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-Ciência de Dados/02 - Excel - Novas Formações/Formação Excel/3198 - Excel 4 - Lógica booleana e busca por valores/Materiais do Curso/"/>
    </mc:Choice>
  </mc:AlternateContent>
  <xr:revisionPtr revIDLastSave="1" documentId="8_{B10DFEA1-DB3E-422F-AA2D-702BB4FDD2A2}" xr6:coauthVersionLast="47" xr6:coauthVersionMax="47" xr10:uidLastSave="{5B73A4A5-734D-4546-B683-A3710FB879E1}"/>
  <bookViews>
    <workbookView xWindow="-108" yWindow="-108" windowWidth="23256" windowHeight="12456" tabRatio="698" firstSheet="3" activeTab="7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Desafio 1" sheetId="35" r:id="rId6"/>
    <sheet name="Cadastros Auxiliares" sheetId="23" r:id="rId7"/>
    <sheet name="Desafio 2" sheetId="32" r:id="rId8"/>
    <sheet name="Dados para Gráficos" sheetId="19" state="hidden" r:id="rId9"/>
    <sheet name="Dashboard" sheetId="18" state="hidden" r:id="rId10"/>
  </sheets>
  <definedNames>
    <definedName name="_xlnm._FilterDatabase" localSheetId="3" hidden="1">Vendas!$C$4:$F$86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32" l="1"/>
  <c r="F9" i="32"/>
  <c r="F6" i="32" a="1"/>
  <c r="F6" i="32" s="1"/>
  <c r="F3" i="32" a="1"/>
  <c r="F3" i="32" s="1"/>
  <c r="F6" i="35"/>
  <c r="F12" i="32"/>
  <c r="F12" i="35" l="1"/>
  <c r="F9" i="35"/>
  <c r="F3" i="35"/>
  <c r="H30" i="16"/>
  <c r="I30" i="16" s="1"/>
  <c r="H33" i="16"/>
  <c r="I33" i="16" s="1"/>
  <c r="H34" i="16"/>
  <c r="I34" i="16" s="1"/>
  <c r="H66" i="16"/>
  <c r="I66" i="16" s="1"/>
  <c r="H69" i="16"/>
  <c r="I69" i="16" s="1"/>
  <c r="H70" i="16"/>
  <c r="I70" i="16" s="1"/>
  <c r="E5" i="16"/>
  <c r="H5" i="16" s="1"/>
  <c r="I5" i="16" s="1"/>
  <c r="E6" i="16"/>
  <c r="H6" i="16" s="1"/>
  <c r="I6" i="16" s="1"/>
  <c r="E7" i="16"/>
  <c r="H7" i="16" s="1"/>
  <c r="I7" i="16" s="1"/>
  <c r="E8" i="16"/>
  <c r="H8" i="16" s="1"/>
  <c r="I8" i="16" s="1"/>
  <c r="E9" i="16"/>
  <c r="H9" i="16" s="1"/>
  <c r="I9" i="16" s="1"/>
  <c r="E10" i="16"/>
  <c r="H10" i="16" s="1"/>
  <c r="I10" i="16" s="1"/>
  <c r="E11" i="16"/>
  <c r="H11" i="16" s="1"/>
  <c r="I11" i="16" s="1"/>
  <c r="E12" i="16"/>
  <c r="H12" i="16" s="1"/>
  <c r="I12" i="16" s="1"/>
  <c r="E13" i="16"/>
  <c r="H13" i="16" s="1"/>
  <c r="I13" i="16" s="1"/>
  <c r="E14" i="16"/>
  <c r="H14" i="16" s="1"/>
  <c r="I14" i="16" s="1"/>
  <c r="E15" i="16"/>
  <c r="H15" i="16" s="1"/>
  <c r="I15" i="16" s="1"/>
  <c r="E16" i="16"/>
  <c r="H16" i="16" s="1"/>
  <c r="I16" i="16" s="1"/>
  <c r="E17" i="16"/>
  <c r="H17" i="16" s="1"/>
  <c r="I17" i="16" s="1"/>
  <c r="E18" i="16"/>
  <c r="H18" i="16" s="1"/>
  <c r="I18" i="16" s="1"/>
  <c r="E19" i="16"/>
  <c r="H19" i="16" s="1"/>
  <c r="I19" i="16" s="1"/>
  <c r="E20" i="16"/>
  <c r="H20" i="16" s="1"/>
  <c r="I20" i="16" s="1"/>
  <c r="E21" i="16"/>
  <c r="H21" i="16" s="1"/>
  <c r="I21" i="16" s="1"/>
  <c r="E22" i="16"/>
  <c r="H22" i="16" s="1"/>
  <c r="I22" i="16" s="1"/>
  <c r="E23" i="16"/>
  <c r="H23" i="16" s="1"/>
  <c r="I23" i="16" s="1"/>
  <c r="E24" i="16"/>
  <c r="H24" i="16" s="1"/>
  <c r="I24" i="16" s="1"/>
  <c r="E25" i="16"/>
  <c r="H25" i="16" s="1"/>
  <c r="I25" i="16" s="1"/>
  <c r="E26" i="16"/>
  <c r="H26" i="16" s="1"/>
  <c r="I26" i="16" s="1"/>
  <c r="E27" i="16"/>
  <c r="H27" i="16" s="1"/>
  <c r="I27" i="16" s="1"/>
  <c r="E28" i="16"/>
  <c r="H28" i="16" s="1"/>
  <c r="I28" i="16" s="1"/>
  <c r="E29" i="16"/>
  <c r="H29" i="16" s="1"/>
  <c r="I29" i="16" s="1"/>
  <c r="E30" i="16"/>
  <c r="E31" i="16"/>
  <c r="H31" i="16" s="1"/>
  <c r="I31" i="16" s="1"/>
  <c r="E32" i="16"/>
  <c r="H32" i="16" s="1"/>
  <c r="I32" i="16" s="1"/>
  <c r="E33" i="16"/>
  <c r="E34" i="16"/>
  <c r="E35" i="16"/>
  <c r="H35" i="16" s="1"/>
  <c r="I35" i="16" s="1"/>
  <c r="E36" i="16"/>
  <c r="H36" i="16" s="1"/>
  <c r="I36" i="16" s="1"/>
  <c r="E37" i="16"/>
  <c r="H37" i="16" s="1"/>
  <c r="I37" i="16" s="1"/>
  <c r="E38" i="16"/>
  <c r="H38" i="16" s="1"/>
  <c r="I38" i="16" s="1"/>
  <c r="E39" i="16"/>
  <c r="H39" i="16" s="1"/>
  <c r="I39" i="16" s="1"/>
  <c r="E40" i="16"/>
  <c r="H40" i="16" s="1"/>
  <c r="I40" i="16" s="1"/>
  <c r="E41" i="16"/>
  <c r="H41" i="16" s="1"/>
  <c r="I41" i="16" s="1"/>
  <c r="E42" i="16"/>
  <c r="H42" i="16" s="1"/>
  <c r="I42" i="16" s="1"/>
  <c r="E43" i="16"/>
  <c r="H43" i="16" s="1"/>
  <c r="I43" i="16" s="1"/>
  <c r="E44" i="16"/>
  <c r="H44" i="16" s="1"/>
  <c r="I44" i="16" s="1"/>
  <c r="E45" i="16"/>
  <c r="H45" i="16" s="1"/>
  <c r="I45" i="16" s="1"/>
  <c r="E46" i="16"/>
  <c r="H46" i="16" s="1"/>
  <c r="I46" i="16" s="1"/>
  <c r="E47" i="16"/>
  <c r="H47" i="16" s="1"/>
  <c r="I47" i="16" s="1"/>
  <c r="E48" i="16"/>
  <c r="H48" i="16" s="1"/>
  <c r="I48" i="16" s="1"/>
  <c r="E49" i="16"/>
  <c r="H49" i="16" s="1"/>
  <c r="I49" i="16" s="1"/>
  <c r="E50" i="16"/>
  <c r="H50" i="16" s="1"/>
  <c r="I50" i="16" s="1"/>
  <c r="E51" i="16"/>
  <c r="H51" i="16" s="1"/>
  <c r="I51" i="16" s="1"/>
  <c r="E52" i="16"/>
  <c r="H52" i="16" s="1"/>
  <c r="I52" i="16" s="1"/>
  <c r="E53" i="16"/>
  <c r="H53" i="16" s="1"/>
  <c r="I53" i="16" s="1"/>
  <c r="E54" i="16"/>
  <c r="H54" i="16" s="1"/>
  <c r="I54" i="16" s="1"/>
  <c r="E55" i="16"/>
  <c r="H55" i="16" s="1"/>
  <c r="I55" i="16" s="1"/>
  <c r="E56" i="16"/>
  <c r="H56" i="16" s="1"/>
  <c r="I56" i="16" s="1"/>
  <c r="E57" i="16"/>
  <c r="H57" i="16" s="1"/>
  <c r="I57" i="16" s="1"/>
  <c r="E58" i="16"/>
  <c r="H58" i="16" s="1"/>
  <c r="I58" i="16" s="1"/>
  <c r="E59" i="16"/>
  <c r="H59" i="16" s="1"/>
  <c r="I59" i="16" s="1"/>
  <c r="E60" i="16"/>
  <c r="H60" i="16" s="1"/>
  <c r="I60" i="16" s="1"/>
  <c r="E61" i="16"/>
  <c r="H61" i="16" s="1"/>
  <c r="I61" i="16" s="1"/>
  <c r="E62" i="16"/>
  <c r="H62" i="16" s="1"/>
  <c r="I62" i="16" s="1"/>
  <c r="E63" i="16"/>
  <c r="H63" i="16" s="1"/>
  <c r="I63" i="16" s="1"/>
  <c r="E64" i="16"/>
  <c r="H64" i="16" s="1"/>
  <c r="I64" i="16" s="1"/>
  <c r="E65" i="16"/>
  <c r="H65" i="16" s="1"/>
  <c r="I65" i="16" s="1"/>
  <c r="E66" i="16"/>
  <c r="E67" i="16"/>
  <c r="H67" i="16" s="1"/>
  <c r="I67" i="16" s="1"/>
  <c r="E68" i="16"/>
  <c r="H68" i="16" s="1"/>
  <c r="I68" i="16" s="1"/>
  <c r="E69" i="16"/>
  <c r="E70" i="16"/>
  <c r="E71" i="16"/>
  <c r="H71" i="16" s="1"/>
  <c r="I71" i="16" s="1"/>
  <c r="E72" i="16"/>
  <c r="H72" i="16" s="1"/>
  <c r="I72" i="16" s="1"/>
  <c r="E73" i="16"/>
  <c r="H73" i="16" s="1"/>
  <c r="I73" i="16" s="1"/>
  <c r="E74" i="16"/>
  <c r="H74" i="16" s="1"/>
  <c r="I74" i="16" s="1"/>
  <c r="E75" i="16"/>
  <c r="H75" i="16" s="1"/>
  <c r="I75" i="16" s="1"/>
  <c r="E76" i="16"/>
  <c r="H76" i="16" s="1"/>
  <c r="I76" i="16" s="1"/>
  <c r="E77" i="16"/>
  <c r="H77" i="16" s="1"/>
  <c r="I77" i="16" s="1"/>
  <c r="E78" i="16"/>
  <c r="H78" i="16" s="1"/>
  <c r="I78" i="16" s="1"/>
  <c r="E79" i="16"/>
  <c r="H79" i="16" s="1"/>
  <c r="I79" i="16" s="1"/>
  <c r="E80" i="16"/>
  <c r="H80" i="16" s="1"/>
  <c r="I80" i="16" s="1"/>
  <c r="E81" i="16"/>
  <c r="H81" i="16" s="1"/>
  <c r="I81" i="16" s="1"/>
  <c r="E82" i="16"/>
  <c r="H82" i="16" s="1"/>
  <c r="I82" i="16" s="1"/>
  <c r="E83" i="16"/>
  <c r="H83" i="16" s="1"/>
  <c r="I83" i="16" s="1"/>
  <c r="E84" i="16"/>
  <c r="H84" i="16" s="1"/>
  <c r="I84" i="16" s="1"/>
  <c r="E85" i="16"/>
  <c r="H85" i="16" s="1"/>
  <c r="I85" i="16" s="1"/>
  <c r="E86" i="16"/>
  <c r="H86" i="16" s="1"/>
  <c r="I86" i="16" s="1"/>
  <c r="J5" i="16" a="1"/>
  <c r="J5" i="16" s="1"/>
  <c r="J6" i="16" a="1"/>
  <c r="J6" i="16" s="1"/>
  <c r="J7" i="16" a="1"/>
  <c r="J7" i="16" s="1"/>
  <c r="J8" i="16" a="1"/>
  <c r="J8" i="16" s="1"/>
  <c r="J9" i="16" a="1"/>
  <c r="J9" i="16" s="1"/>
  <c r="J10" i="16" a="1"/>
  <c r="J10" i="16" s="1"/>
  <c r="J11" i="16" a="1"/>
  <c r="J11" i="16" s="1"/>
  <c r="J12" i="16" a="1"/>
  <c r="J12" i="16" s="1"/>
  <c r="J13" i="16" a="1"/>
  <c r="J13" i="16" s="1"/>
  <c r="J14" i="16" a="1"/>
  <c r="J14" i="16" s="1"/>
  <c r="J15" i="16" a="1"/>
  <c r="J15" i="16" s="1"/>
  <c r="J16" i="16" a="1"/>
  <c r="J16" i="16" s="1"/>
  <c r="J17" i="16" a="1"/>
  <c r="J17" i="16" s="1"/>
  <c r="J18" i="16" a="1"/>
  <c r="J18" i="16" s="1"/>
  <c r="J19" i="16" a="1"/>
  <c r="J19" i="16" s="1"/>
  <c r="J20" i="16" a="1"/>
  <c r="J20" i="16" s="1"/>
  <c r="J21" i="16" a="1"/>
  <c r="J21" i="16" s="1"/>
  <c r="J22" i="16" a="1"/>
  <c r="J22" i="16" s="1"/>
  <c r="J23" i="16" a="1"/>
  <c r="J23" i="16" s="1"/>
  <c r="J24" i="16" a="1"/>
  <c r="J24" i="16" s="1"/>
  <c r="J25" i="16" a="1"/>
  <c r="J25" i="16" s="1"/>
  <c r="J26" i="16" a="1"/>
  <c r="J26" i="16" s="1"/>
  <c r="J27" i="16" a="1"/>
  <c r="J27" i="16" s="1"/>
  <c r="J28" i="16" a="1"/>
  <c r="J28" i="16" s="1"/>
  <c r="J29" i="16" a="1"/>
  <c r="J29" i="16" s="1"/>
  <c r="J30" i="16" a="1"/>
  <c r="J30" i="16" s="1"/>
  <c r="J31" i="16" a="1"/>
  <c r="J31" i="16" s="1"/>
  <c r="J32" i="16" a="1"/>
  <c r="J32" i="16" s="1"/>
  <c r="J33" i="16" a="1"/>
  <c r="J33" i="16" s="1"/>
  <c r="J34" i="16" a="1"/>
  <c r="J34" i="16" s="1"/>
  <c r="J35" i="16" a="1"/>
  <c r="J35" i="16" s="1"/>
  <c r="J36" i="16" a="1"/>
  <c r="J36" i="16" s="1"/>
  <c r="J37" i="16" a="1"/>
  <c r="J37" i="16" s="1"/>
  <c r="J38" i="16" a="1"/>
  <c r="J38" i="16" s="1"/>
  <c r="J39" i="16" a="1"/>
  <c r="J39" i="16" s="1"/>
  <c r="J40" i="16" a="1"/>
  <c r="J40" i="16" s="1"/>
  <c r="J41" i="16" a="1"/>
  <c r="J41" i="16" s="1"/>
  <c r="J42" i="16" a="1"/>
  <c r="J42" i="16" s="1"/>
  <c r="J43" i="16" a="1"/>
  <c r="J43" i="16" s="1"/>
  <c r="J44" i="16" a="1"/>
  <c r="J44" i="16" s="1"/>
  <c r="J45" i="16" a="1"/>
  <c r="J45" i="16" s="1"/>
  <c r="J46" i="16" a="1"/>
  <c r="J46" i="16" s="1"/>
  <c r="J47" i="16" a="1"/>
  <c r="J47" i="16" s="1"/>
  <c r="J48" i="16" a="1"/>
  <c r="J48" i="16" s="1"/>
  <c r="J49" i="16" a="1"/>
  <c r="J49" i="16" s="1"/>
  <c r="J50" i="16" a="1"/>
  <c r="J50" i="16" s="1"/>
  <c r="J51" i="16" a="1"/>
  <c r="J51" i="16" s="1"/>
  <c r="J52" i="16" a="1"/>
  <c r="J52" i="16" s="1"/>
  <c r="J53" i="16" a="1"/>
  <c r="J53" i="16" s="1"/>
  <c r="J54" i="16" a="1"/>
  <c r="J54" i="16" s="1"/>
  <c r="J55" i="16" a="1"/>
  <c r="J55" i="16" s="1"/>
  <c r="J56" i="16" a="1"/>
  <c r="J56" i="16" s="1"/>
  <c r="J57" i="16" a="1"/>
  <c r="J57" i="16" s="1"/>
  <c r="J58" i="16" a="1"/>
  <c r="J58" i="16" s="1"/>
  <c r="J59" i="16" a="1"/>
  <c r="J59" i="16" s="1"/>
  <c r="J60" i="16" a="1"/>
  <c r="J60" i="16" s="1"/>
  <c r="J61" i="16" a="1"/>
  <c r="J61" i="16" s="1"/>
  <c r="J62" i="16" a="1"/>
  <c r="J62" i="16" s="1"/>
  <c r="J63" i="16" a="1"/>
  <c r="J63" i="16" s="1"/>
  <c r="J64" i="16" a="1"/>
  <c r="J64" i="16" s="1"/>
  <c r="J65" i="16" a="1"/>
  <c r="J65" i="16" s="1"/>
  <c r="J66" i="16" a="1"/>
  <c r="J66" i="16" s="1"/>
  <c r="J67" i="16" a="1"/>
  <c r="J67" i="16" s="1"/>
  <c r="J68" i="16" a="1"/>
  <c r="J68" i="16" s="1"/>
  <c r="J69" i="16" a="1"/>
  <c r="J69" i="16" s="1"/>
  <c r="J70" i="16" a="1"/>
  <c r="J70" i="16" s="1"/>
  <c r="J71" i="16" a="1"/>
  <c r="J71" i="16" s="1"/>
  <c r="J72" i="16" a="1"/>
  <c r="J72" i="16" s="1"/>
  <c r="J73" i="16" a="1"/>
  <c r="J73" i="16" s="1"/>
  <c r="J74" i="16" a="1"/>
  <c r="J74" i="16" s="1"/>
  <c r="J75" i="16" a="1"/>
  <c r="J75" i="16" s="1"/>
  <c r="J76" i="16" a="1"/>
  <c r="J76" i="16" s="1"/>
  <c r="J77" i="16" a="1"/>
  <c r="J77" i="16" s="1"/>
  <c r="J78" i="16" a="1"/>
  <c r="J78" i="16" s="1"/>
  <c r="J79" i="16" a="1"/>
  <c r="J79" i="16" s="1"/>
  <c r="J80" i="16" a="1"/>
  <c r="J80" i="16" s="1"/>
  <c r="J81" i="16" a="1"/>
  <c r="J81" i="16" s="1"/>
  <c r="J82" i="16" a="1"/>
  <c r="J82" i="16" s="1"/>
  <c r="J83" i="16" a="1"/>
  <c r="J83" i="16" s="1"/>
  <c r="J84" i="16" a="1"/>
  <c r="J84" i="16" s="1"/>
  <c r="J85" i="16" a="1"/>
  <c r="J85" i="16" s="1"/>
  <c r="J86" i="16" a="1"/>
  <c r="J86" i="16" s="1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C12" i="24" a="1"/>
  <c r="C12" i="24" s="1"/>
  <c r="C13" i="24"/>
  <c r="C11" i="24" a="1"/>
  <c r="C11" i="24" s="1"/>
  <c r="F7" i="24"/>
  <c r="C8" i="24" a="1"/>
  <c r="C8" i="24" s="1"/>
  <c r="C7" i="24"/>
  <c r="C10" i="24"/>
  <c r="C9" i="24"/>
  <c r="F9" i="24"/>
  <c r="L51" i="16" l="1"/>
  <c r="L39" i="16"/>
  <c r="L27" i="16"/>
  <c r="L15" i="16"/>
  <c r="L50" i="16"/>
  <c r="L38" i="16"/>
  <c r="L26" i="16"/>
  <c r="L14" i="16"/>
  <c r="L76" i="16"/>
  <c r="L64" i="16"/>
  <c r="L52" i="16"/>
  <c r="L40" i="16"/>
  <c r="L28" i="16"/>
  <c r="L16" i="16"/>
  <c r="L85" i="16"/>
  <c r="L73" i="16"/>
  <c r="L61" i="16"/>
  <c r="L49" i="16"/>
  <c r="L37" i="16"/>
  <c r="L25" i="16"/>
  <c r="L13" i="16"/>
  <c r="L86" i="16"/>
  <c r="L84" i="16"/>
  <c r="L72" i="16"/>
  <c r="L60" i="16"/>
  <c r="L48" i="16"/>
  <c r="L36" i="16"/>
  <c r="L24" i="16"/>
  <c r="L12" i="16"/>
  <c r="L83" i="16"/>
  <c r="L71" i="16"/>
  <c r="L59" i="16"/>
  <c r="L47" i="16"/>
  <c r="L35" i="16"/>
  <c r="L23" i="16"/>
  <c r="L11" i="16"/>
  <c r="L82" i="16"/>
  <c r="L70" i="16"/>
  <c r="L58" i="16"/>
  <c r="L46" i="16"/>
  <c r="L34" i="16"/>
  <c r="L22" i="16"/>
  <c r="L10" i="16"/>
  <c r="L81" i="16"/>
  <c r="L69" i="16"/>
  <c r="L57" i="16"/>
  <c r="L45" i="16"/>
  <c r="L33" i="16"/>
  <c r="L21" i="16"/>
  <c r="L9" i="16"/>
  <c r="L63" i="16"/>
  <c r="L80" i="16"/>
  <c r="L68" i="16"/>
  <c r="L56" i="16"/>
  <c r="L44" i="16"/>
  <c r="L32" i="16"/>
  <c r="L20" i="16"/>
  <c r="L8" i="16"/>
  <c r="L62" i="16"/>
  <c r="L79" i="16"/>
  <c r="L67" i="16"/>
  <c r="L55" i="16"/>
  <c r="L43" i="16"/>
  <c r="L31" i="16"/>
  <c r="L19" i="16"/>
  <c r="L7" i="16"/>
  <c r="L78" i="16"/>
  <c r="L66" i="16"/>
  <c r="L54" i="16"/>
  <c r="L42" i="16"/>
  <c r="L30" i="16"/>
  <c r="L18" i="16"/>
  <c r="L6" i="16"/>
  <c r="L75" i="16"/>
  <c r="L74" i="16"/>
  <c r="L77" i="16"/>
  <c r="L65" i="16"/>
  <c r="L53" i="16"/>
  <c r="L41" i="16"/>
  <c r="L29" i="16"/>
  <c r="L17" i="16"/>
  <c r="L5" i="16"/>
  <c r="M68" i="16"/>
  <c r="M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M83" i="16" l="1"/>
  <c r="M75" i="16"/>
  <c r="M73" i="16"/>
  <c r="M65" i="16"/>
  <c r="M64" i="16"/>
  <c r="M79" i="16"/>
  <c r="M71" i="16"/>
  <c r="M80" i="16"/>
  <c r="M72" i="16"/>
  <c r="M84" i="16"/>
  <c r="M67" i="16"/>
  <c r="M82" i="16"/>
  <c r="M74" i="16"/>
  <c r="M66" i="16"/>
  <c r="M86" i="16"/>
  <c r="M78" i="16"/>
  <c r="M70" i="16"/>
  <c r="M85" i="16"/>
  <c r="M77" i="16"/>
  <c r="M69" i="16"/>
  <c r="M81" i="16"/>
  <c r="M5" i="16" l="1"/>
  <c r="M6" i="16"/>
  <c r="M7" i="16"/>
  <c r="M8" i="16"/>
  <c r="M9" i="16"/>
  <c r="M10" i="16"/>
  <c r="M11" i="16"/>
  <c r="F8" i="24" s="1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<sst xmlns="http://schemas.openxmlformats.org/spreadsheetml/2006/main" count="532" uniqueCount="178">
  <si>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</si>
  <si>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</si>
  <si>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</si>
  <si>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</si>
  <si>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</si>
  <si>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</si>
  <si>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</si>
  <si>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</si>
  <si>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</si>
  <si>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</si>
  <si>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</si>
  <si>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</si>
  <si>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</si>
  <si>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</si>
  <si>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</si>
  <si>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</si>
  <si>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</si>
  <si>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</si>
  <si>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</si>
  <si>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</si>
  <si>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</si>
  <si>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</si>
  <si>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</si>
  <si>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</si>
  <si>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</si>
  <si>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</si>
  <si>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</si>
  <si>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</si>
  <si>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</si>
  <si>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</si>
  <si>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</si>
  <si>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</si>
  <si>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</si>
  <si>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</si>
  <si>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</si>
  <si>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</si>
  <si>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</si>
  <si>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</si>
  <si>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</si>
  <si>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</si>
  <si>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</si>
  <si>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</si>
  <si>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</si>
  <si>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</si>
  <si>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</si>
  <si>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</si>
  <si>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</si>
  <si>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</si>
  <si>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</si>
  <si>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</si>
  <si>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</si>
  <si>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</si>
  <si>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</si>
  <si>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</si>
  <si>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</si>
  <si>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</si>
  <si>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</si>
  <si>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</si>
  <si>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</si>
  <si>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</si>
  <si>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</si>
  <si>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</si>
  <si>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</si>
  <si>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</si>
  <si>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</si>
  <si>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</si>
  <si>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</si>
  <si>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</si>
  <si>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</si>
  <si>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</si>
  <si>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</si>
  <si>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</si>
  <si>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</si>
  <si>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</si>
  <si>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</si>
  <si>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</si>
  <si>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</si>
  <si>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</si>
  <si>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</si>
  <si>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</si>
  <si>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</si>
  <si>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</si>
  <si>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</si>
  <si>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</si>
  <si>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</si>
  <si>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</si>
  <si>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</si>
  <si>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</si>
  <si>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</si>
  <si>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</si>
  <si>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</si>
  <si>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</si>
  <si>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</si>
  <si>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</si>
  <si>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</si>
  <si>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</si>
  <si>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</si>
  <si>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</si>
  <si>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</si>
  <si>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</si>
  <si>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</si>
  <si>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</si>
  <si>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</si>
  <si>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</si>
  <si>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</si>
  <si>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</si>
  <si>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</si>
  <si>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</si>
  <si>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</si>
  <si>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</si>
  <si>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</si>
  <si>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</si>
  <si>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</si>
  <si>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</si>
  <si>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</si>
  <si>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</si>
  <si>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</si>
  <si>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</si>
  <si>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</si>
  <si>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</si>
  <si>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</si>
  <si>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</si>
  <si>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</si>
  <si>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</si>
  <si>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</si>
  <si>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</si>
  <si>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</si>
  <si>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</si>
  <si>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</si>
  <si>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</si>
  <si>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</si>
  <si>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</si>
  <si>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</si>
  <si>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</si>
  <si>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</si>
  <si>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</si>
  <si>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</si>
  <si>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</si>
  <si>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</si>
  <si>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</si>
  <si>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</si>
  <si>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</si>
  <si>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</si>
  <si>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</si>
  <si>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</si>
  <si>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</si>
  <si>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</si>
  <si>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</si>
  <si>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</si>
  <si>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</si>
  <si>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</si>
  <si>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</si>
  <si>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</si>
  <si>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</si>
  <si>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</si>
  <si>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</si>
  <si>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</si>
  <si>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</si>
  <si>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</si>
  <si>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</si>
  <si>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</si>
  <si>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</si>
  <si>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</si>
  <si>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</si>
  <si>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</si>
  <si>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</si>
  <si>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</si>
  <si>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</si>
  <si>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</si>
  <si>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</si>
  <si>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</si>
  <si>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</si>
  <si>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</si>
  <si>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Lista Simplificada</t>
  </si>
  <si>
    <t>Ache um produto com aproximadamente 35 quantidades</t>
  </si>
  <si>
    <t>Responda sim, se houver uma bermuda que custa 65,90</t>
  </si>
  <si>
    <t>Ache o preço do produto que tenha aproximadamente 20 quantidades</t>
  </si>
  <si>
    <t>Qual o produto mais caro da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</si>
</sst>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3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1"/>
      <color theme="0"/>
      <name val="Montserrat"/>
    </font>
    <font>
      <sz val="14"/>
      <color theme="1"/>
      <name val="Calibri"/>
      <family val="2"/>
      <scheme val="minor"/>
    </font>
    <font>
      <b/>
      <sz val="14"/>
      <color theme="0"/>
      <name val="Montserrat"/>
    </font>
    <font>
      <sz val="14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8FFCC"/>
        <bgColor rgb="FF000000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medium">
        <color indexed="64"/>
      </bottom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" fillId="0" borderId="0" xfId="0" applyFont="1"/>
    <xf numFmtId="0" fontId="26" fillId="0" borderId="0" xfId="0" applyFont="1"/>
    <xf numFmtId="0" fontId="15" fillId="2" borderId="8" xfId="3" applyFont="1" applyFill="1" applyBorder="1" applyAlignment="1">
      <alignment horizontal="center" vertical="center" wrapText="1"/>
    </xf>
    <xf numFmtId="0" fontId="15" fillId="2" borderId="33" xfId="3" applyFont="1" applyFill="1" applyBorder="1" applyAlignment="1">
      <alignment horizontal="center" vertical="center" wrapText="1"/>
    </xf>
    <xf numFmtId="0" fontId="16" fillId="0" borderId="31" xfId="5" applyNumberFormat="1" applyFont="1" applyBorder="1" applyAlignment="1">
      <alignment horizontal="center" vertical="center"/>
    </xf>
    <xf numFmtId="165" fontId="24" fillId="7" borderId="27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7" fillId="2" borderId="0" xfId="3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7" fillId="2" borderId="0" xfId="3" applyFont="1" applyFill="1" applyBorder="1" applyAlignment="1">
      <alignment horizontal="center" vertical="center" wrapText="1"/>
    </xf>
    <xf numFmtId="9" fontId="26" fillId="0" borderId="0" xfId="5" applyFont="1" applyFill="1"/>
    <xf numFmtId="0" fontId="14" fillId="6" borderId="16" xfId="0" applyFont="1" applyFill="1" applyBorder="1" applyAlignment="1">
      <alignment horizontal="center"/>
    </xf>
    <xf numFmtId="0" fontId="14" fillId="6" borderId="17" xfId="0" applyFont="1" applyFill="1" applyBorder="1" applyAlignment="1">
      <alignment horizontal="center"/>
    </xf>
    <xf numFmtId="0" fontId="14" fillId="6" borderId="9" xfId="0" applyFont="1" applyFill="1" applyBorder="1" applyAlignment="1">
      <alignment horizontal="center"/>
    </xf>
    <xf numFmtId="0" fontId="28" fillId="0" borderId="0" xfId="0" applyFont="1"/>
    <xf numFmtId="0" fontId="29" fillId="8" borderId="0" xfId="0" applyFont="1" applyFill="1"/>
    <xf numFmtId="0" fontId="29" fillId="0" borderId="2" xfId="0" applyFont="1" applyBorder="1" applyAlignment="1">
      <alignment vertical="center"/>
    </xf>
    <xf numFmtId="0" fontId="29" fillId="0" borderId="34" xfId="0" applyFont="1" applyBorder="1" applyAlignment="1">
      <alignment horizontal="center" vertical="center"/>
    </xf>
    <xf numFmtId="165" fontId="29" fillId="0" borderId="3" xfId="0" applyNumberFormat="1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35" xfId="0" applyFont="1" applyBorder="1" applyAlignment="1">
      <alignment horizontal="center" vertical="center"/>
    </xf>
    <xf numFmtId="165" fontId="29" fillId="0" borderId="6" xfId="0" applyNumberFormat="1" applyFont="1" applyBorder="1" applyAlignment="1">
      <alignment vertical="center"/>
    </xf>
    <xf numFmtId="165" fontId="29" fillId="8" borderId="0" xfId="0" applyNumberFormat="1" applyFont="1" applyFill="1"/>
    <xf numFmtId="0" fontId="31" fillId="9" borderId="0" xfId="0" applyFont="1" applyFill="1" applyAlignment="1">
      <alignment wrapText="1"/>
    </xf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30" fillId="6" borderId="0" xfId="0" applyFont="1" applyFill="1" applyAlignment="1">
      <alignment horizontal="left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29" fillId="8" borderId="0" xfId="0" applyFont="1" applyFill="1" applyAlignment="1">
      <alignment horizontal="center"/>
    </xf>
    <xf numFmtId="165" fontId="29" fillId="0" borderId="0" xfId="0" applyNumberFormat="1" applyFont="1" applyFill="1" applyBorder="1" applyAlignment="1">
      <alignment vertic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22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600074</xdr:colOff>
      <xdr:row>0</xdr:row>
      <xdr:rowOff>85725</xdr:rowOff>
    </xdr:from>
    <xdr:to>
      <xdr:col>10</xdr:col>
      <xdr:colOff>221932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8</xdr:col>
      <xdr:colOff>19050</xdr:colOff>
      <xdr:row>0</xdr:row>
      <xdr:rowOff>85725</xdr:rowOff>
    </xdr:from>
    <xdr:to>
      <xdr:col>8</xdr:col>
      <xdr:colOff>998220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1069976</xdr:colOff>
      <xdr:row>0</xdr:row>
      <xdr:rowOff>85725</xdr:rowOff>
    </xdr:from>
    <xdr:to>
      <xdr:col>7</xdr:col>
      <xdr:colOff>802958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673100</xdr:colOff>
      <xdr:row>0</xdr:row>
      <xdr:rowOff>85725</xdr:rowOff>
    </xdr:from>
    <xdr:to>
      <xdr:col>6</xdr:col>
      <xdr:colOff>977583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0</xdr:col>
      <xdr:colOff>515619</xdr:colOff>
      <xdr:row>0</xdr:row>
      <xdr:rowOff>437514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2F2455E-2DCF-44A9-B2D2-73771C288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4770"/>
          <a:ext cx="387984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0</xdr:col>
      <xdr:colOff>515619</xdr:colOff>
      <xdr:row>0</xdr:row>
      <xdr:rowOff>437514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14D4B05-BFD6-44AB-B035-E379D48C4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386079" cy="3860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21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0"/>
    <tableColumn id="2" xr3:uid="{E100D4E2-C3A0-43FF-A1D9-90A4BC2A9918}" name="Produtos"/>
    <tableColumn id="3" xr3:uid="{2EF7FEE0-6B6F-4534-86A0-46B6555B7BEF}" name="Tamanho" dataDxfId="19"/>
    <tableColumn id="4" xr3:uid="{4435A4B8-E7F0-4D66-A4F8-6A9FEAA36D5A}" name="Categoria"/>
    <tableColumn id="6" xr3:uid="{15F9CACC-A558-4A20-80CF-C2ADA2603221}" name="Estoque" dataDxfId="18"/>
    <tableColumn id="5" xr3:uid="{CA8AD0DE-58EC-4839-85FB-1DD75DA28087}" name="Preço Unitário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N86" totalsRowShown="0" headerRowDxfId="16" dataDxfId="15" headerRowCellStyle="Cabeçalho Meteora">
  <autoFilter ref="A4:N86" xr:uid="{AD739091-30BD-4C30-BDDA-7504C0C4B6E2}"/>
  <tableColumns count="14">
    <tableColumn id="7" xr3:uid="{5E8DE7C3-CDB6-4314-A5CC-C44D3C21973F}" name="Nº" dataDxfId="14">
      <calculatedColumnFormula>MONTH(TB_Vendas[[#This Row],[Data]])</calculatedColumnFormula>
    </tableColumn>
    <tableColumn id="10" xr3:uid="{BD1ABB49-B48B-4C50-A034-45488FDC03A8}" name="Mês" dataDxfId="13">
      <calculatedColumnFormula>PROPER(TEXT(DATE(,TB_Vendas[[#This Row],[Nº]],1),"Mmm"))</calculatedColumnFormula>
    </tableColumn>
    <tableColumn id="1" xr3:uid="{43632F1F-6978-4CE7-BB13-7CCE587D6821}" name="Data" dataDxfId="12"/>
    <tableColumn id="12" xr3:uid="{205A55AB-454E-4288-AE23-042C3C399E7A}" name="Código" dataDxfId="11"/>
    <tableColumn id="16" xr3:uid="{059789B1-50A2-47F3-849D-D1EE26B94731}" name="Categoria" dataDxfId="10">
      <calculatedColumnFormula>_xlfn.XLOOKUP(TB_Vendas[[#This Row],[Código]],TB_Produtos[Código],TB_Produtos[Categoria])</calculatedColumnFormula>
    </tableColumn>
    <tableColumn id="5" xr3:uid="{7DC2ADED-AF8A-4BC8-A38E-FEF676FE49C9}" name="Qtd" dataDxfId="9"/>
    <tableColumn id="9" xr3:uid="{05B7315B-2774-41BC-AFEC-4A19E452D6C7}" name="Preço Unitário" dataDxfId="8">
      <calculatedColumnFormula>VLOOKUP(TB_Vendas[[#This Row],[Código]],Produtos!$B$6:$G$66,6,0)</calculatedColumnFormula>
    </tableColumn>
    <tableColumn id="18" xr3:uid="{152BED38-8D5F-4FAA-8C38-58740E2353E5}" name="Indice" dataDxfId="7">
      <calculatedColumnFormula>_xlfn.XMATCH(TB_Vendas[[#This Row],[Categoria]],Desc_Categorias,0)</calculatedColumnFormula>
    </tableColumn>
    <tableColumn id="17" xr3:uid="{C4E78734-94D7-4D31-B07D-5609B855AC0F}" name="Desconto _x000a_(Passo a Passo)" dataDxfId="6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5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4">
      <calculatedColumnFormula>_xlfn.XLOOKUP(TB_Vendas[[#This Row],[Vendedor]],Vendedores!$A$5:$A$9,Vendedores!$D$5:$D$9)</calculatedColumnFormula>
    </tableColumn>
    <tableColumn id="4" xr3:uid="{0BDC1FEC-277F-4592-AE4E-EB3C0FEF2F34}" name="Desconto Final" dataDxfId="3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2">
      <calculatedColumnFormula>TB_Vendas[[#This Row],[Preço Unitário]]*TB_Vendas[[#This Row],[Qtd]]</calculatedColumnFormula>
    </tableColumn>
    <tableColumn id="8" xr3:uid="{192FEBCA-1287-48A6-9BE6-69528F71C305}" name="Vendedo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selection activeCell="J14" sqref="J14"/>
    </sheetView>
  </sheetViews>
  <sheetFormatPr defaultColWidth="0" defaultRowHeight="14.4" zeroHeight="1" x14ac:dyDescent="0.3"/>
  <cols>
    <col min="1" max="5" width="8.88671875" style="37" customWidth="1"/>
    <col min="6" max="12" width="8.88671875" customWidth="1"/>
    <col min="13" max="16384" width="8.88671875" hidden="1"/>
  </cols>
  <sheetData>
    <row r="1" spans="1:12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</row>
    <row r="2" spans="1:12" x14ac:dyDescent="0.3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</row>
    <row r="3" spans="1:12" x14ac:dyDescent="0.3">
      <c r="A3" s="100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</row>
    <row r="4" spans="1:12" x14ac:dyDescent="0.3">
      <c r="A4" s="100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</row>
    <row r="5" spans="1:12" x14ac:dyDescent="0.3">
      <c r="A5" s="100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</row>
    <row r="6" spans="1:12" x14ac:dyDescent="0.3">
      <c r="A6" s="100"/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</row>
    <row r="7" spans="1:12" x14ac:dyDescent="0.3">
      <c r="F7" s="37"/>
      <c r="G7" s="37"/>
      <c r="H7" s="37"/>
      <c r="I7" s="37"/>
      <c r="J7" s="37"/>
      <c r="K7" s="37"/>
      <c r="L7" s="37"/>
    </row>
    <row r="8" spans="1:12" x14ac:dyDescent="0.3">
      <c r="F8" s="37"/>
      <c r="G8" s="37"/>
      <c r="H8" s="37"/>
      <c r="I8" s="37"/>
      <c r="J8" s="37"/>
      <c r="K8" s="37"/>
      <c r="L8" s="37"/>
    </row>
    <row r="9" spans="1:12" x14ac:dyDescent="0.3">
      <c r="F9" s="37"/>
      <c r="G9" s="37"/>
      <c r="H9" s="37"/>
      <c r="I9" s="37"/>
      <c r="J9" s="37"/>
      <c r="K9" s="37"/>
      <c r="L9" s="37"/>
    </row>
    <row r="10" spans="1:12" x14ac:dyDescent="0.3">
      <c r="F10" s="37"/>
      <c r="G10" s="37"/>
      <c r="H10" s="37"/>
      <c r="I10" s="37"/>
      <c r="J10" s="37"/>
      <c r="K10" s="37"/>
      <c r="L10" s="37"/>
    </row>
    <row r="11" spans="1:12" x14ac:dyDescent="0.3">
      <c r="F11" s="37"/>
      <c r="G11" s="37"/>
      <c r="H11" s="37"/>
      <c r="I11" s="37"/>
      <c r="J11" s="37"/>
      <c r="K11" s="37"/>
      <c r="L11" s="37"/>
    </row>
    <row r="12" spans="1:12" x14ac:dyDescent="0.3">
      <c r="F12" s="37"/>
      <c r="G12" s="37"/>
      <c r="H12" s="37"/>
      <c r="I12" s="37"/>
      <c r="J12" s="37"/>
      <c r="K12" s="37"/>
      <c r="L12" s="37"/>
    </row>
    <row r="13" spans="1:12" x14ac:dyDescent="0.3">
      <c r="F13" s="37"/>
      <c r="G13" s="37"/>
      <c r="H13" s="37"/>
      <c r="I13" s="37"/>
      <c r="J13" s="37"/>
      <c r="K13" s="37"/>
      <c r="L13" s="37"/>
    </row>
    <row r="14" spans="1:12" x14ac:dyDescent="0.3">
      <c r="F14" s="37"/>
      <c r="G14" s="37"/>
      <c r="H14" s="37"/>
      <c r="I14" s="37"/>
      <c r="J14" s="37"/>
      <c r="K14" s="37"/>
      <c r="L14" s="37"/>
    </row>
    <row r="15" spans="1:12" x14ac:dyDescent="0.3">
      <c r="F15" s="37"/>
      <c r="G15" s="37"/>
      <c r="H15" s="37"/>
      <c r="I15" s="37"/>
      <c r="J15" s="37"/>
      <c r="K15" s="37"/>
      <c r="L15" s="37"/>
    </row>
    <row r="16" spans="1:12" x14ac:dyDescent="0.3">
      <c r="F16" s="37"/>
      <c r="G16" s="37"/>
      <c r="H16" s="37"/>
      <c r="I16" s="37"/>
      <c r="J16" s="37"/>
      <c r="K16" s="37"/>
      <c r="L16" s="37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>
      <selection activeCell="B6" sqref="B6:G66"/>
    </sheetView>
  </sheetViews>
  <sheetFormatPr defaultColWidth="0" defaultRowHeight="14.4" x14ac:dyDescent="0.3"/>
  <cols>
    <col min="1" max="1" width="8.44140625" customWidth="1"/>
    <col min="2" max="2" width="18.33203125" bestFit="1" customWidth="1"/>
    <col min="3" max="3" width="22.6640625" style="1" customWidth="1"/>
    <col min="4" max="4" width="14" bestFit="1" customWidth="1"/>
    <col min="5" max="5" width="17.109375" bestFit="1" customWidth="1"/>
    <col min="6" max="6" width="13.109375" customWidth="1"/>
    <col min="7" max="7" width="22.88671875" bestFit="1" customWidth="1"/>
    <col min="8" max="8" width="8.88671875" customWidth="1"/>
    <col min="9" max="16384" width="8.88671875" hidden="1"/>
  </cols>
  <sheetData>
    <row r="1" spans="1:9" s="37" customFormat="1" ht="40.200000000000003" customHeight="1" x14ac:dyDescent="0.85">
      <c r="A1" s="40"/>
      <c r="B1" s="44" t="s">
        <v>133</v>
      </c>
      <c r="C1" s="44"/>
      <c r="D1" s="44"/>
      <c r="E1" s="44"/>
      <c r="F1" s="44"/>
      <c r="G1" s="44"/>
      <c r="H1" s="42"/>
      <c r="I1" s="42"/>
    </row>
    <row r="2" spans="1:9" s="38" customFormat="1" ht="4.5" customHeight="1" x14ac:dyDescent="0.4">
      <c r="A2" s="41"/>
      <c r="B2" s="41"/>
      <c r="C2" s="41"/>
      <c r="D2" s="41"/>
      <c r="E2" s="41"/>
      <c r="F2" s="41"/>
    </row>
    <row r="3" spans="1:9" ht="4.5" customHeight="1" x14ac:dyDescent="0.4">
      <c r="A3" s="39"/>
      <c r="B3" s="39"/>
      <c r="C3" s="39"/>
      <c r="D3" s="39"/>
      <c r="E3" s="39"/>
      <c r="F3" s="39"/>
    </row>
    <row r="4" spans="1:9" ht="18" customHeight="1" x14ac:dyDescent="0.4">
      <c r="A4" s="43"/>
      <c r="B4" s="43"/>
      <c r="D4" s="39"/>
      <c r="E4" s="39"/>
      <c r="F4" s="39"/>
    </row>
    <row r="5" spans="1:9" ht="4.95" customHeight="1" x14ac:dyDescent="0.4">
      <c r="A5" s="39"/>
      <c r="B5" s="39"/>
      <c r="C5" s="39"/>
      <c r="D5" s="39"/>
      <c r="E5" s="39"/>
      <c r="F5" s="39"/>
    </row>
    <row r="6" spans="1:9" s="1" customFormat="1" ht="18" x14ac:dyDescent="0.4">
      <c r="B6" s="33" t="s">
        <v>30</v>
      </c>
      <c r="C6" s="33" t="s">
        <v>0</v>
      </c>
      <c r="D6" s="33" t="s">
        <v>1</v>
      </c>
      <c r="E6" s="33" t="s">
        <v>10</v>
      </c>
      <c r="F6" s="33" t="s">
        <v>77</v>
      </c>
      <c r="G6" s="33" t="s">
        <v>11</v>
      </c>
      <c r="H6" s="33"/>
    </row>
    <row r="7" spans="1:9" x14ac:dyDescent="0.3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8">
        <v>65.900000000000006</v>
      </c>
    </row>
    <row r="8" spans="1:9" x14ac:dyDescent="0.3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8">
        <v>69.900000000000006</v>
      </c>
    </row>
    <row r="9" spans="1:9" x14ac:dyDescent="0.3">
      <c r="B9" s="1" t="s">
        <v>34</v>
      </c>
      <c r="C9" t="s">
        <v>5</v>
      </c>
      <c r="D9" s="1" t="s">
        <v>4</v>
      </c>
      <c r="E9" t="s">
        <v>12</v>
      </c>
      <c r="F9" s="1">
        <v>37</v>
      </c>
      <c r="G9" s="8">
        <v>70.900000000000006</v>
      </c>
    </row>
    <row r="10" spans="1:9" x14ac:dyDescent="0.3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 x14ac:dyDescent="0.3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 x14ac:dyDescent="0.3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8">
        <v>39.9</v>
      </c>
    </row>
    <row r="13" spans="1:9" x14ac:dyDescent="0.3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8">
        <v>85.9</v>
      </c>
    </row>
    <row r="14" spans="1:9" x14ac:dyDescent="0.3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 x14ac:dyDescent="0.3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 x14ac:dyDescent="0.3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 x14ac:dyDescent="0.3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 x14ac:dyDescent="0.3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 x14ac:dyDescent="0.3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 x14ac:dyDescent="0.3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 x14ac:dyDescent="0.3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 x14ac:dyDescent="0.3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 x14ac:dyDescent="0.3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 x14ac:dyDescent="0.3">
      <c r="B24" s="1" t="s">
        <v>49</v>
      </c>
      <c r="C24" t="s">
        <v>17</v>
      </c>
      <c r="D24" s="1" t="s">
        <v>4</v>
      </c>
      <c r="E24" t="s">
        <v>12</v>
      </c>
      <c r="F24" s="1">
        <v>0</v>
      </c>
      <c r="G24" s="8">
        <v>32.9</v>
      </c>
    </row>
    <row r="25" spans="2:7" x14ac:dyDescent="0.3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8">
        <v>49.9</v>
      </c>
    </row>
    <row r="26" spans="2:7" x14ac:dyDescent="0.3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 x14ac:dyDescent="0.3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 x14ac:dyDescent="0.3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 x14ac:dyDescent="0.3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 x14ac:dyDescent="0.3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 x14ac:dyDescent="0.3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 x14ac:dyDescent="0.3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8">
        <v>349.9</v>
      </c>
    </row>
    <row r="33" spans="2:7" x14ac:dyDescent="0.3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8">
        <v>120</v>
      </c>
    </row>
    <row r="34" spans="2:7" x14ac:dyDescent="0.3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 x14ac:dyDescent="0.3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 x14ac:dyDescent="0.3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 x14ac:dyDescent="0.3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 x14ac:dyDescent="0.3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 x14ac:dyDescent="0.3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 x14ac:dyDescent="0.3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 x14ac:dyDescent="0.3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 x14ac:dyDescent="0.3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 x14ac:dyDescent="0.3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 x14ac:dyDescent="0.3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 x14ac:dyDescent="0.3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 x14ac:dyDescent="0.3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2">
        <v>70</v>
      </c>
    </row>
    <row r="47" spans="2:7" x14ac:dyDescent="0.3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2">
        <v>54.9</v>
      </c>
    </row>
    <row r="48" spans="2:7" x14ac:dyDescent="0.3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2">
        <v>54.9</v>
      </c>
    </row>
    <row r="49" spans="2:7" x14ac:dyDescent="0.3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2">
        <v>72.5</v>
      </c>
    </row>
    <row r="50" spans="2:7" x14ac:dyDescent="0.3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2">
        <v>72.5</v>
      </c>
    </row>
    <row r="51" spans="2:7" x14ac:dyDescent="0.3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2">
        <v>72.5</v>
      </c>
    </row>
    <row r="52" spans="2:7" x14ac:dyDescent="0.3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2">
        <v>289.89999999999998</v>
      </c>
    </row>
    <row r="53" spans="2:7" x14ac:dyDescent="0.3">
      <c r="B53" s="1" t="s">
        <v>105</v>
      </c>
      <c r="C53" t="s">
        <v>104</v>
      </c>
      <c r="D53" s="1" t="s">
        <v>3</v>
      </c>
      <c r="E53" t="s">
        <v>12</v>
      </c>
      <c r="F53" s="1">
        <v>10</v>
      </c>
      <c r="G53" s="32">
        <v>289.89999999999998</v>
      </c>
    </row>
    <row r="54" spans="2:7" x14ac:dyDescent="0.3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2">
        <v>289.89999999999998</v>
      </c>
    </row>
    <row r="55" spans="2:7" x14ac:dyDescent="0.3">
      <c r="B55" s="1" t="s">
        <v>107</v>
      </c>
      <c r="C55" t="s">
        <v>108</v>
      </c>
      <c r="D55" s="1" t="s">
        <v>2</v>
      </c>
      <c r="E55" t="s">
        <v>12</v>
      </c>
      <c r="F55" s="1">
        <v>8</v>
      </c>
      <c r="G55" s="32">
        <v>32.9</v>
      </c>
    </row>
    <row r="56" spans="2:7" x14ac:dyDescent="0.3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2">
        <v>32.9</v>
      </c>
    </row>
    <row r="57" spans="2:7" x14ac:dyDescent="0.3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2">
        <v>32.9</v>
      </c>
    </row>
    <row r="58" spans="2:7" x14ac:dyDescent="0.3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2">
        <v>49.9</v>
      </c>
    </row>
    <row r="59" spans="2:7" x14ac:dyDescent="0.3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2">
        <v>49.9</v>
      </c>
    </row>
    <row r="60" spans="2:7" x14ac:dyDescent="0.3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2">
        <v>49.9</v>
      </c>
    </row>
    <row r="61" spans="2:7" x14ac:dyDescent="0.3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2">
        <v>89.9</v>
      </c>
    </row>
    <row r="62" spans="2:7" x14ac:dyDescent="0.3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 x14ac:dyDescent="0.3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 x14ac:dyDescent="0.3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 x14ac:dyDescent="0.3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 x14ac:dyDescent="0.3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selection activeCell="D7" sqref="D7"/>
    </sheetView>
  </sheetViews>
  <sheetFormatPr defaultColWidth="8.88671875" defaultRowHeight="14.4" x14ac:dyDescent="0.3"/>
  <cols>
    <col min="1" max="1" width="14.6640625" bestFit="1" customWidth="1"/>
    <col min="2" max="2" width="27.5546875" customWidth="1"/>
    <col min="3" max="3" width="25.6640625" customWidth="1"/>
    <col min="4" max="4" width="22.109375" customWidth="1"/>
  </cols>
  <sheetData>
    <row r="1" spans="1:5" s="37" customFormat="1" ht="40.200000000000003" customHeight="1" x14ac:dyDescent="0.85">
      <c r="A1" s="40"/>
      <c r="B1" s="101" t="s">
        <v>133</v>
      </c>
      <c r="C1" s="101"/>
      <c r="D1" s="42"/>
      <c r="E1" s="42"/>
    </row>
    <row r="2" spans="1:5" s="38" customFormat="1" ht="4.5" customHeight="1" x14ac:dyDescent="0.4">
      <c r="A2" s="41"/>
      <c r="B2" s="41"/>
    </row>
    <row r="3" spans="1:5" ht="4.5" customHeight="1" thickBot="1" x14ac:dyDescent="0.45">
      <c r="A3" s="39"/>
      <c r="B3" s="39"/>
    </row>
    <row r="4" spans="1:5" ht="21.6" x14ac:dyDescent="0.5">
      <c r="A4" s="49" t="s">
        <v>30</v>
      </c>
      <c r="B4" s="55" t="s">
        <v>74</v>
      </c>
      <c r="C4" s="55" t="s">
        <v>145</v>
      </c>
      <c r="D4" s="50" t="s">
        <v>146</v>
      </c>
    </row>
    <row r="5" spans="1:5" ht="22.5" customHeight="1" x14ac:dyDescent="0.4">
      <c r="A5" s="61" t="s">
        <v>126</v>
      </c>
      <c r="B5" s="54" t="s">
        <v>73</v>
      </c>
      <c r="C5" s="54" t="s">
        <v>147</v>
      </c>
      <c r="D5" s="64">
        <v>0.2</v>
      </c>
    </row>
    <row r="6" spans="1:5" ht="22.5" customHeight="1" x14ac:dyDescent="0.4">
      <c r="A6" s="61" t="s">
        <v>127</v>
      </c>
      <c r="B6" s="54" t="s">
        <v>75</v>
      </c>
      <c r="C6" s="54" t="s">
        <v>148</v>
      </c>
      <c r="D6" s="64">
        <v>0.15</v>
      </c>
    </row>
    <row r="7" spans="1:5" ht="22.5" customHeight="1" x14ac:dyDescent="0.4">
      <c r="A7" s="61" t="s">
        <v>128</v>
      </c>
      <c r="B7" s="54" t="s">
        <v>72</v>
      </c>
      <c r="C7" s="54" t="s">
        <v>149</v>
      </c>
      <c r="D7" s="64">
        <v>0.1</v>
      </c>
    </row>
    <row r="8" spans="1:5" ht="22.5" customHeight="1" x14ac:dyDescent="0.4">
      <c r="A8" s="61" t="s">
        <v>129</v>
      </c>
      <c r="B8" s="54" t="s">
        <v>131</v>
      </c>
      <c r="C8" s="54" t="s">
        <v>150</v>
      </c>
      <c r="D8" s="64">
        <v>0.2</v>
      </c>
    </row>
    <row r="9" spans="1:5" ht="22.5" customHeight="1" thickBot="1" x14ac:dyDescent="0.45">
      <c r="A9" s="62" t="s">
        <v>130</v>
      </c>
      <c r="B9" s="63" t="s">
        <v>132</v>
      </c>
      <c r="C9" s="63" t="s">
        <v>151</v>
      </c>
      <c r="D9" s="65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N86"/>
  <sheetViews>
    <sheetView topLeftCell="C1" zoomScaleNormal="100" workbookViewId="0">
      <selection activeCell="I5" sqref="I5"/>
    </sheetView>
  </sheetViews>
  <sheetFormatPr defaultColWidth="8.88671875" defaultRowHeight="14.4" x14ac:dyDescent="0.3"/>
  <cols>
    <col min="1" max="1" width="8.88671875" style="1" hidden="1" customWidth="1"/>
    <col min="2" max="2" width="8.88671875" style="1" customWidth="1"/>
    <col min="3" max="3" width="11.5546875" style="1" bestFit="1" customWidth="1"/>
    <col min="4" max="4" width="11.5546875" style="1" customWidth="1"/>
    <col min="5" max="5" width="16.6640625" style="1" customWidth="1"/>
    <col min="6" max="6" width="10.109375" bestFit="1" customWidth="1"/>
    <col min="7" max="7" width="18.6640625" customWidth="1"/>
    <col min="8" max="8" width="13.109375" bestFit="1" customWidth="1"/>
    <col min="9" max="10" width="16" customWidth="1"/>
    <col min="11" max="12" width="17" customWidth="1"/>
    <col min="13" max="13" width="20.33203125" customWidth="1"/>
    <col min="14" max="14" width="17" bestFit="1" customWidth="1"/>
  </cols>
  <sheetData>
    <row r="1" spans="1:14" s="37" customFormat="1" ht="40.200000000000003" customHeight="1" x14ac:dyDescent="0.85">
      <c r="A1" s="40"/>
      <c r="C1" s="44" t="s">
        <v>134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4" s="38" customFormat="1" ht="4.5" customHeight="1" x14ac:dyDescent="0.4">
      <c r="A2" s="41"/>
      <c r="B2" s="41"/>
      <c r="C2" s="41"/>
      <c r="D2" s="41"/>
      <c r="E2" s="41"/>
      <c r="F2" s="41"/>
    </row>
    <row r="3" spans="1:14" ht="4.5" customHeight="1" x14ac:dyDescent="0.4">
      <c r="A3" s="39"/>
      <c r="B3" s="39"/>
      <c r="C3" s="39"/>
      <c r="D3" s="39"/>
      <c r="E3" s="39"/>
      <c r="F3" s="39"/>
    </row>
    <row r="4" spans="1:14" s="84" customFormat="1" ht="36" x14ac:dyDescent="0.3">
      <c r="A4" s="81" t="s">
        <v>125</v>
      </c>
      <c r="B4" s="82" t="s">
        <v>31</v>
      </c>
      <c r="C4" s="82" t="s">
        <v>76</v>
      </c>
      <c r="D4" s="82" t="s">
        <v>30</v>
      </c>
      <c r="E4" s="82" t="s">
        <v>10</v>
      </c>
      <c r="F4" s="82" t="s">
        <v>15</v>
      </c>
      <c r="G4" s="82" t="s">
        <v>11</v>
      </c>
      <c r="H4" s="82" t="s">
        <v>168</v>
      </c>
      <c r="I4" s="85" t="s">
        <v>169</v>
      </c>
      <c r="J4" s="85" t="s">
        <v>170</v>
      </c>
      <c r="K4" s="85" t="s">
        <v>171</v>
      </c>
      <c r="L4" s="82" t="s">
        <v>172</v>
      </c>
      <c r="M4" s="83" t="s">
        <v>16</v>
      </c>
      <c r="N4" s="82" t="s">
        <v>74</v>
      </c>
    </row>
    <row r="5" spans="1:14" x14ac:dyDescent="0.3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0" t="str">
        <f>_xlfn.XLOOKUP(TB_Vendas[[#This Row],[Código]],TB_Produtos[Código],TB_Produtos[Categoria])</f>
        <v>Acessórios</v>
      </c>
      <c r="F5" s="1">
        <v>1</v>
      </c>
      <c r="G5" s="28">
        <f>VLOOKUP(TB_Vendas[[#This Row],[Código]],Produtos!$B$6:$G$66,6,0)</f>
        <v>39.9</v>
      </c>
      <c r="H5" s="1">
        <f>_xlfn.XMATCH(TB_Vendas[[#This Row],[Categoria]],Desc_Categorias,0)</f>
        <v>2</v>
      </c>
      <c r="I5" s="67">
        <f>VLOOKUP(TB_Vendas[[#This Row],[Qtd]],Desc_TabelaToda,TB_Vendas[[#This Row],[Indice]],TRUE)</f>
        <v>0</v>
      </c>
      <c r="J5" s="67" cm="1">
        <f t="array" ref="J5">INDEX(Desc_TabelaToda,MATCH(TB_Vendas[[#This Row],[Qtd]],Desc_Quantidades,1),MATCH(_xlfn.XLOOKUP(TB_Vendas[[#This Row],[Código]],TB_Produtos[[#All],[Código]],TB_Produtos[[#All],[Categoria]]),Desc_Categorias,0))</f>
        <v>0</v>
      </c>
      <c r="K5" s="67">
        <f>_xlfn.XLOOKUP(TB_Vendas[[#This Row],[Vendedor]],Vendedores!$A$5:$A$9,Vendedores!$D$5:$D$9)</f>
        <v>0.15</v>
      </c>
      <c r="L5" s="67">
        <f>IF(TB_Vendas[[#This Row],[Desconto 
(Diretão)]]&lt;=TB_Vendas[[#This Row],[Desconto 
(Vendedor)]],TB_Vendas[[#This Row],[Desconto 
(Diretão)]],TB_Vendas[[#This Row],[Desconto 
(Vendedor)]])</f>
        <v>0</v>
      </c>
      <c r="M5" s="8">
        <f>TB_Vendas[[#This Row],[Preço Unitário]]*TB_Vendas[[#This Row],[Qtd]]</f>
        <v>39.9</v>
      </c>
      <c r="N5" s="1" t="s">
        <v>127</v>
      </c>
    </row>
    <row r="6" spans="1:14" x14ac:dyDescent="0.3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0" t="str">
        <f>_xlfn.XLOOKUP(TB_Vendas[[#This Row],[Código]],TB_Produtos[Código],TB_Produtos[Categoria])</f>
        <v>Acessórios</v>
      </c>
      <c r="F6" s="1">
        <v>1</v>
      </c>
      <c r="G6" s="28">
        <f>VLOOKUP(TB_Vendas[[#This Row],[Código]],Produtos!$B$6:$G$66,6,0)</f>
        <v>259.89999999999998</v>
      </c>
      <c r="H6" s="1">
        <f>_xlfn.XMATCH(TB_Vendas[[#This Row],[Categoria]],Desc_Categorias,0)</f>
        <v>2</v>
      </c>
      <c r="I6" s="67">
        <f>VLOOKUP(TB_Vendas[[#This Row],[Qtd]],Desc_TabelaToda,TB_Vendas[[#This Row],[Indice]],TRUE)</f>
        <v>0</v>
      </c>
      <c r="J6" s="67" cm="1">
        <f t="array" ref="J6">INDEX(Desc_TabelaToda,MATCH(TB_Vendas[[#This Row],[Qtd]],Desc_Quantidades,1),MATCH(_xlfn.XLOOKUP(TB_Vendas[[#This Row],[Código]],TB_Produtos[[#All],[Código]],TB_Produtos[[#All],[Categoria]]),Desc_Categorias,0))</f>
        <v>0</v>
      </c>
      <c r="K6" s="67">
        <f>_xlfn.XLOOKUP(TB_Vendas[[#This Row],[Vendedor]],Vendedores!$A$5:$A$9,Vendedores!$D$5:$D$9)</f>
        <v>0.15</v>
      </c>
      <c r="L6" s="67">
        <f>IF(TB_Vendas[[#This Row],[Desconto 
(Diretão)]]&lt;=TB_Vendas[[#This Row],[Desconto 
(Vendedor)]],TB_Vendas[[#This Row],[Desconto 
(Diretão)]],TB_Vendas[[#This Row],[Desconto 
(Vendedor)]])</f>
        <v>0</v>
      </c>
      <c r="M6" s="8">
        <f>TB_Vendas[[#This Row],[Preço Unitário]]*TB_Vendas[[#This Row],[Qtd]]</f>
        <v>259.89999999999998</v>
      </c>
      <c r="N6" s="1" t="s">
        <v>127</v>
      </c>
    </row>
    <row r="7" spans="1:14" x14ac:dyDescent="0.3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0" t="str">
        <f>_xlfn.XLOOKUP(TB_Vendas[[#This Row],[Código]],TB_Produtos[Código],TB_Produtos[Categoria])</f>
        <v>Vestuário</v>
      </c>
      <c r="F7" s="1">
        <v>2</v>
      </c>
      <c r="G7" s="28">
        <f>VLOOKUP(TB_Vendas[[#This Row],[Código]],Produtos!$B$6:$G$66,6,0)</f>
        <v>32.9</v>
      </c>
      <c r="H7" s="1">
        <f>_xlfn.XMATCH(TB_Vendas[[#This Row],[Categoria]],Desc_Categorias,0)</f>
        <v>3</v>
      </c>
      <c r="I7" s="67">
        <f>VLOOKUP(TB_Vendas[[#This Row],[Qtd]],Desc_TabelaToda,TB_Vendas[[#This Row],[Indice]],TRUE)</f>
        <v>0.15</v>
      </c>
      <c r="J7" s="67" cm="1">
        <f t="array" ref="J7">INDEX(Desc_TabelaToda,MATCH(TB_Vendas[[#This Row],[Qtd]],Desc_Quantidades,1),MATCH(_xlfn.XLOOKUP(TB_Vendas[[#This Row],[Código]],TB_Produtos[[#All],[Código]],TB_Produtos[[#All],[Categoria]]),Desc_Categorias,0))</f>
        <v>0.15</v>
      </c>
      <c r="K7" s="67">
        <f>_xlfn.XLOOKUP(TB_Vendas[[#This Row],[Vendedor]],Vendedores!$A$5:$A$9,Vendedores!$D$5:$D$9)</f>
        <v>0.2</v>
      </c>
      <c r="L7" s="67">
        <f>IF(TB_Vendas[[#This Row],[Desconto 
(Diretão)]]&lt;=TB_Vendas[[#This Row],[Desconto 
(Vendedor)]],TB_Vendas[[#This Row],[Desconto 
(Diretão)]],TB_Vendas[[#This Row],[Desconto 
(Vendedor)]])</f>
        <v>0.15</v>
      </c>
      <c r="M7" s="8">
        <f>TB_Vendas[[#This Row],[Preço Unitário]]*TB_Vendas[[#This Row],[Qtd]]</f>
        <v>65.8</v>
      </c>
      <c r="N7" s="1" t="s">
        <v>126</v>
      </c>
    </row>
    <row r="8" spans="1:14" x14ac:dyDescent="0.3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0" t="str">
        <f>_xlfn.XLOOKUP(TB_Vendas[[#This Row],[Código]],TB_Produtos[Código],TB_Produtos[Categoria])</f>
        <v>Vestuário</v>
      </c>
      <c r="F8" s="1">
        <v>1</v>
      </c>
      <c r="G8" s="28">
        <f>VLOOKUP(TB_Vendas[[#This Row],[Código]],Produtos!$B$6:$G$66,6,0)</f>
        <v>46.9</v>
      </c>
      <c r="H8" s="1">
        <f>_xlfn.XMATCH(TB_Vendas[[#This Row],[Categoria]],Desc_Categorias,0)</f>
        <v>3</v>
      </c>
      <c r="I8" s="67">
        <f>VLOOKUP(TB_Vendas[[#This Row],[Qtd]],Desc_TabelaToda,TB_Vendas[[#This Row],[Indice]],TRUE)</f>
        <v>0.1</v>
      </c>
      <c r="J8" s="67" cm="1">
        <f t="array" ref="J8">INDEX(Desc_TabelaToda,MATCH(TB_Vendas[[#This Row],[Qtd]],Desc_Quantidades,1),MATCH(_xlfn.XLOOKUP(TB_Vendas[[#This Row],[Código]],TB_Produtos[[#All],[Código]],TB_Produtos[[#All],[Categoria]]),Desc_Categorias,0))</f>
        <v>0.1</v>
      </c>
      <c r="K8" s="67">
        <f>_xlfn.XLOOKUP(TB_Vendas[[#This Row],[Vendedor]],Vendedores!$A$5:$A$9,Vendedores!$D$5:$D$9)</f>
        <v>0.15</v>
      </c>
      <c r="L8" s="67">
        <f>IF(TB_Vendas[[#This Row],[Desconto 
(Diretão)]]&lt;=TB_Vendas[[#This Row],[Desconto 
(Vendedor)]],TB_Vendas[[#This Row],[Desconto 
(Diretão)]],TB_Vendas[[#This Row],[Desconto 
(Vendedor)]])</f>
        <v>0.1</v>
      </c>
      <c r="M8" s="8">
        <f>TB_Vendas[[#This Row],[Preço Unitário]]*TB_Vendas[[#This Row],[Qtd]]</f>
        <v>46.9</v>
      </c>
      <c r="N8" s="1" t="s">
        <v>130</v>
      </c>
    </row>
    <row r="9" spans="1:14" x14ac:dyDescent="0.3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0" t="str">
        <f>_xlfn.XLOOKUP(TB_Vendas[[#This Row],[Código]],TB_Produtos[Código],TB_Produtos[Categoria])</f>
        <v>Vestuário</v>
      </c>
      <c r="F9" s="1">
        <v>1</v>
      </c>
      <c r="G9" s="28">
        <f>VLOOKUP(TB_Vendas[[#This Row],[Código]],Produtos!$B$6:$G$66,6,0)</f>
        <v>29.9</v>
      </c>
      <c r="H9" s="1">
        <f>_xlfn.XMATCH(TB_Vendas[[#This Row],[Categoria]],Desc_Categorias,0)</f>
        <v>3</v>
      </c>
      <c r="I9" s="67">
        <f>VLOOKUP(TB_Vendas[[#This Row],[Qtd]],Desc_TabelaToda,TB_Vendas[[#This Row],[Indice]],TRUE)</f>
        <v>0.1</v>
      </c>
      <c r="J9" s="67" cm="1">
        <f t="array" ref="J9">INDEX(Desc_TabelaToda,MATCH(TB_Vendas[[#This Row],[Qtd]],Desc_Quantidades,1),MATCH(_xlfn.XLOOKUP(TB_Vendas[[#This Row],[Código]],TB_Produtos[[#All],[Código]],TB_Produtos[[#All],[Categoria]]),Desc_Categorias,0))</f>
        <v>0.1</v>
      </c>
      <c r="K9" s="67">
        <f>_xlfn.XLOOKUP(TB_Vendas[[#This Row],[Vendedor]],Vendedores!$A$5:$A$9,Vendedores!$D$5:$D$9)</f>
        <v>0.15</v>
      </c>
      <c r="L9" s="67">
        <f>IF(TB_Vendas[[#This Row],[Desconto 
(Diretão)]]&lt;=TB_Vendas[[#This Row],[Desconto 
(Vendedor)]],TB_Vendas[[#This Row],[Desconto 
(Diretão)]],TB_Vendas[[#This Row],[Desconto 
(Vendedor)]])</f>
        <v>0.1</v>
      </c>
      <c r="M9" s="8">
        <f>TB_Vendas[[#This Row],[Preço Unitário]]*TB_Vendas[[#This Row],[Qtd]]</f>
        <v>29.9</v>
      </c>
      <c r="N9" s="1" t="s">
        <v>127</v>
      </c>
    </row>
    <row r="10" spans="1:14" x14ac:dyDescent="0.3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0" t="str">
        <f>_xlfn.XLOOKUP(TB_Vendas[[#This Row],[Código]],TB_Produtos[Código],TB_Produtos[Categoria])</f>
        <v>Vestuário</v>
      </c>
      <c r="F10" s="1">
        <v>1</v>
      </c>
      <c r="G10" s="28">
        <f>VLOOKUP(TB_Vendas[[#This Row],[Código]],Produtos!$B$6:$G$66,6,0)</f>
        <v>299.89999999999998</v>
      </c>
      <c r="H10" s="1">
        <f>_xlfn.XMATCH(TB_Vendas[[#This Row],[Categoria]],Desc_Categorias,0)</f>
        <v>3</v>
      </c>
      <c r="I10" s="67">
        <f>VLOOKUP(TB_Vendas[[#This Row],[Qtd]],Desc_TabelaToda,TB_Vendas[[#This Row],[Indice]],TRUE)</f>
        <v>0.1</v>
      </c>
      <c r="J10" s="67" cm="1">
        <f t="array" ref="J10">INDEX(Desc_TabelaToda,MATCH(TB_Vendas[[#This Row],[Qtd]],Desc_Quantidades,1),MATCH(_xlfn.XLOOKUP(TB_Vendas[[#This Row],[Código]],TB_Produtos[[#All],[Código]],TB_Produtos[[#All],[Categoria]]),Desc_Categorias,0))</f>
        <v>0.1</v>
      </c>
      <c r="K10" s="67">
        <f>_xlfn.XLOOKUP(TB_Vendas[[#This Row],[Vendedor]],Vendedores!$A$5:$A$9,Vendedores!$D$5:$D$9)</f>
        <v>0.15</v>
      </c>
      <c r="L10" s="67">
        <f>IF(TB_Vendas[[#This Row],[Desconto 
(Diretão)]]&lt;=TB_Vendas[[#This Row],[Desconto 
(Vendedor)]],TB_Vendas[[#This Row],[Desconto 
(Diretão)]],TB_Vendas[[#This Row],[Desconto 
(Vendedor)]])</f>
        <v>0.1</v>
      </c>
      <c r="M10" s="8">
        <f>TB_Vendas[[#This Row],[Preço Unitário]]*TB_Vendas[[#This Row],[Qtd]]</f>
        <v>299.89999999999998</v>
      </c>
      <c r="N10" s="1" t="s">
        <v>130</v>
      </c>
    </row>
    <row r="11" spans="1:14" x14ac:dyDescent="0.3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0" t="str">
        <f>_xlfn.XLOOKUP(TB_Vendas[[#This Row],[Código]],TB_Produtos[Código],TB_Produtos[Categoria])</f>
        <v>Vestuário</v>
      </c>
      <c r="F11" s="1">
        <v>1</v>
      </c>
      <c r="G11" s="28">
        <f>VLOOKUP(TB_Vendas[[#This Row],[Código]],Produtos!$B$6:$G$66,6,0)</f>
        <v>146</v>
      </c>
      <c r="H11" s="1">
        <f>_xlfn.XMATCH(TB_Vendas[[#This Row],[Categoria]],Desc_Categorias,0)</f>
        <v>3</v>
      </c>
      <c r="I11" s="67">
        <f>VLOOKUP(TB_Vendas[[#This Row],[Qtd]],Desc_TabelaToda,TB_Vendas[[#This Row],[Indice]],TRUE)</f>
        <v>0.1</v>
      </c>
      <c r="J11" s="67" cm="1">
        <f t="array" ref="J11">INDEX(Desc_TabelaToda,MATCH(TB_Vendas[[#This Row],[Qtd]],Desc_Quantidades,1),MATCH(_xlfn.XLOOKUP(TB_Vendas[[#This Row],[Código]],TB_Produtos[[#All],[Código]],TB_Produtos[[#All],[Categoria]]),Desc_Categorias,0))</f>
        <v>0.1</v>
      </c>
      <c r="K11" s="67">
        <f>_xlfn.XLOOKUP(TB_Vendas[[#This Row],[Vendedor]],Vendedores!$A$5:$A$9,Vendedores!$D$5:$D$9)</f>
        <v>0.1</v>
      </c>
      <c r="L11" s="67">
        <f>IF(TB_Vendas[[#This Row],[Desconto 
(Diretão)]]&lt;=TB_Vendas[[#This Row],[Desconto 
(Vendedor)]],TB_Vendas[[#This Row],[Desconto 
(Diretão)]],TB_Vendas[[#This Row],[Desconto 
(Vendedor)]])</f>
        <v>0.1</v>
      </c>
      <c r="M11" s="8">
        <f>TB_Vendas[[#This Row],[Preço Unitário]]*TB_Vendas[[#This Row],[Qtd]]</f>
        <v>146</v>
      </c>
      <c r="N11" s="1" t="s">
        <v>128</v>
      </c>
    </row>
    <row r="12" spans="1:14" x14ac:dyDescent="0.3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0" t="str">
        <f>_xlfn.XLOOKUP(TB_Vendas[[#This Row],[Código]],TB_Produtos[Código],TB_Produtos[Categoria])</f>
        <v>Vestuário</v>
      </c>
      <c r="F12" s="1">
        <v>2</v>
      </c>
      <c r="G12" s="28">
        <f>VLOOKUP(TB_Vendas[[#This Row],[Código]],Produtos!$B$6:$G$66,6,0)</f>
        <v>89.9</v>
      </c>
      <c r="H12" s="1">
        <f>_xlfn.XMATCH(TB_Vendas[[#This Row],[Categoria]],Desc_Categorias,0)</f>
        <v>3</v>
      </c>
      <c r="I12" s="67">
        <f>VLOOKUP(TB_Vendas[[#This Row],[Qtd]],Desc_TabelaToda,TB_Vendas[[#This Row],[Indice]],TRUE)</f>
        <v>0.15</v>
      </c>
      <c r="J12" s="67" cm="1">
        <f t="array" ref="J12">INDEX(Desc_TabelaToda,MATCH(TB_Vendas[[#This Row],[Qtd]],Desc_Quantidades,1),MATCH(_xlfn.XLOOKUP(TB_Vendas[[#This Row],[Código]],TB_Produtos[[#All],[Código]],TB_Produtos[[#All],[Categoria]]),Desc_Categorias,0))</f>
        <v>0.15</v>
      </c>
      <c r="K12" s="67">
        <f>_xlfn.XLOOKUP(TB_Vendas[[#This Row],[Vendedor]],Vendedores!$A$5:$A$9,Vendedores!$D$5:$D$9)</f>
        <v>0.1</v>
      </c>
      <c r="L12" s="67">
        <f>IF(TB_Vendas[[#This Row],[Desconto 
(Diretão)]]&lt;=TB_Vendas[[#This Row],[Desconto 
(Vendedor)]],TB_Vendas[[#This Row],[Desconto 
(Diretão)]],TB_Vendas[[#This Row],[Desconto 
(Vendedor)]])</f>
        <v>0.1</v>
      </c>
      <c r="M12" s="8">
        <f>TB_Vendas[[#This Row],[Preço Unitário]]*TB_Vendas[[#This Row],[Qtd]]</f>
        <v>179.8</v>
      </c>
      <c r="N12" s="1" t="s">
        <v>128</v>
      </c>
    </row>
    <row r="13" spans="1:14" x14ac:dyDescent="0.3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0" t="str">
        <f>_xlfn.XLOOKUP(TB_Vendas[[#This Row],[Código]],TB_Produtos[Código],TB_Produtos[Categoria])</f>
        <v>Calçado</v>
      </c>
      <c r="F13" s="1">
        <v>2</v>
      </c>
      <c r="G13" s="28">
        <f>VLOOKUP(TB_Vendas[[#This Row],[Código]],Produtos!$B$6:$G$66,6,0)</f>
        <v>250</v>
      </c>
      <c r="H13" s="1">
        <f>_xlfn.XMATCH(TB_Vendas[[#This Row],[Categoria]],Desc_Categorias,0)</f>
        <v>4</v>
      </c>
      <c r="I13" s="67">
        <f>VLOOKUP(TB_Vendas[[#This Row],[Qtd]],Desc_TabelaToda,TB_Vendas[[#This Row],[Indice]],TRUE)</f>
        <v>0.1</v>
      </c>
      <c r="J13" s="67" cm="1">
        <f t="array" ref="J13">INDEX(Desc_TabelaToda,MATCH(TB_Vendas[[#This Row],[Qtd]],Desc_Quantidades,1),MATCH(_xlfn.XLOOKUP(TB_Vendas[[#This Row],[Código]],TB_Produtos[[#All],[Código]],TB_Produtos[[#All],[Categoria]]),Desc_Categorias,0))</f>
        <v>0.1</v>
      </c>
      <c r="K13" s="67">
        <f>_xlfn.XLOOKUP(TB_Vendas[[#This Row],[Vendedor]],Vendedores!$A$5:$A$9,Vendedores!$D$5:$D$9)</f>
        <v>0.15</v>
      </c>
      <c r="L13" s="67">
        <f>IF(TB_Vendas[[#This Row],[Desconto 
(Diretão)]]&lt;=TB_Vendas[[#This Row],[Desconto 
(Vendedor)]],TB_Vendas[[#This Row],[Desconto 
(Diretão)]],TB_Vendas[[#This Row],[Desconto 
(Vendedor)]])</f>
        <v>0.1</v>
      </c>
      <c r="M13" s="8">
        <f>TB_Vendas[[#This Row],[Preço Unitário]]*TB_Vendas[[#This Row],[Qtd]]</f>
        <v>500</v>
      </c>
      <c r="N13" s="1" t="s">
        <v>127</v>
      </c>
    </row>
    <row r="14" spans="1:14" x14ac:dyDescent="0.3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0" t="str">
        <f>_xlfn.XLOOKUP(TB_Vendas[[#This Row],[Código]],TB_Produtos[Código],TB_Produtos[Categoria])</f>
        <v>Vestuário</v>
      </c>
      <c r="F14" s="1">
        <v>1</v>
      </c>
      <c r="G14" s="28">
        <f>VLOOKUP(TB_Vendas[[#This Row],[Código]],Produtos!$B$6:$G$66,6,0)</f>
        <v>39.9</v>
      </c>
      <c r="H14" s="1">
        <f>_xlfn.XMATCH(TB_Vendas[[#This Row],[Categoria]],Desc_Categorias,0)</f>
        <v>3</v>
      </c>
      <c r="I14" s="67">
        <f>VLOOKUP(TB_Vendas[[#This Row],[Qtd]],Desc_TabelaToda,TB_Vendas[[#This Row],[Indice]],TRUE)</f>
        <v>0.1</v>
      </c>
      <c r="J14" s="67" cm="1">
        <f t="array" ref="J14">INDEX(Desc_TabelaToda,MATCH(TB_Vendas[[#This Row],[Qtd]],Desc_Quantidades,1),MATCH(_xlfn.XLOOKUP(TB_Vendas[[#This Row],[Código]],TB_Produtos[[#All],[Código]],TB_Produtos[[#All],[Categoria]]),Desc_Categorias,0))</f>
        <v>0.1</v>
      </c>
      <c r="K14" s="67">
        <f>_xlfn.XLOOKUP(TB_Vendas[[#This Row],[Vendedor]],Vendedores!$A$5:$A$9,Vendedores!$D$5:$D$9)</f>
        <v>0.15</v>
      </c>
      <c r="L14" s="67">
        <f>IF(TB_Vendas[[#This Row],[Desconto 
(Diretão)]]&lt;=TB_Vendas[[#This Row],[Desconto 
(Vendedor)]],TB_Vendas[[#This Row],[Desconto 
(Diretão)]],TB_Vendas[[#This Row],[Desconto 
(Vendedor)]])</f>
        <v>0.1</v>
      </c>
      <c r="M14" s="8">
        <f>TB_Vendas[[#This Row],[Preço Unitário]]*TB_Vendas[[#This Row],[Qtd]]</f>
        <v>39.9</v>
      </c>
      <c r="N14" s="1" t="s">
        <v>127</v>
      </c>
    </row>
    <row r="15" spans="1:14" x14ac:dyDescent="0.3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0" t="str">
        <f>_xlfn.XLOOKUP(TB_Vendas[[#This Row],[Código]],TB_Produtos[Código],TB_Produtos[Categoria])</f>
        <v>Vestuário</v>
      </c>
      <c r="F15" s="1">
        <v>1</v>
      </c>
      <c r="G15" s="28">
        <f>VLOOKUP(TB_Vendas[[#This Row],[Código]],Produtos!$B$6:$G$66,6,0)</f>
        <v>142.9</v>
      </c>
      <c r="H15" s="1">
        <f>_xlfn.XMATCH(TB_Vendas[[#This Row],[Categoria]],Desc_Categorias,0)</f>
        <v>3</v>
      </c>
      <c r="I15" s="67">
        <f>VLOOKUP(TB_Vendas[[#This Row],[Qtd]],Desc_TabelaToda,TB_Vendas[[#This Row],[Indice]],TRUE)</f>
        <v>0.1</v>
      </c>
      <c r="J15" s="67" cm="1">
        <f t="array" ref="J15">INDEX(Desc_TabelaToda,MATCH(TB_Vendas[[#This Row],[Qtd]],Desc_Quantidades,1),MATCH(_xlfn.XLOOKUP(TB_Vendas[[#This Row],[Código]],TB_Produtos[[#All],[Código]],TB_Produtos[[#All],[Categoria]]),Desc_Categorias,0))</f>
        <v>0.1</v>
      </c>
      <c r="K15" s="67">
        <f>_xlfn.XLOOKUP(TB_Vendas[[#This Row],[Vendedor]],Vendedores!$A$5:$A$9,Vendedores!$D$5:$D$9)</f>
        <v>0.2</v>
      </c>
      <c r="L15" s="67">
        <f>IF(TB_Vendas[[#This Row],[Desconto 
(Diretão)]]&lt;=TB_Vendas[[#This Row],[Desconto 
(Vendedor)]],TB_Vendas[[#This Row],[Desconto 
(Diretão)]],TB_Vendas[[#This Row],[Desconto 
(Vendedor)]])</f>
        <v>0.1</v>
      </c>
      <c r="M15" s="8">
        <f>TB_Vendas[[#This Row],[Preço Unitário]]*TB_Vendas[[#This Row],[Qtd]]</f>
        <v>142.9</v>
      </c>
      <c r="N15" s="1" t="s">
        <v>129</v>
      </c>
    </row>
    <row r="16" spans="1:14" x14ac:dyDescent="0.3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0" t="str">
        <f>_xlfn.XLOOKUP(TB_Vendas[[#This Row],[Código]],TB_Produtos[Código],TB_Produtos[Categoria])</f>
        <v>Vestuário</v>
      </c>
      <c r="F16" s="1">
        <v>1</v>
      </c>
      <c r="G16" s="28">
        <f>VLOOKUP(TB_Vendas[[#This Row],[Código]],Produtos!$B$6:$G$66,6,0)</f>
        <v>300</v>
      </c>
      <c r="H16" s="1">
        <f>_xlfn.XMATCH(TB_Vendas[[#This Row],[Categoria]],Desc_Categorias,0)</f>
        <v>3</v>
      </c>
      <c r="I16" s="67">
        <f>VLOOKUP(TB_Vendas[[#This Row],[Qtd]],Desc_TabelaToda,TB_Vendas[[#This Row],[Indice]],TRUE)</f>
        <v>0.1</v>
      </c>
      <c r="J16" s="67" cm="1">
        <f t="array" ref="J16">INDEX(Desc_TabelaToda,MATCH(TB_Vendas[[#This Row],[Qtd]],Desc_Quantidades,1),MATCH(_xlfn.XLOOKUP(TB_Vendas[[#This Row],[Código]],TB_Produtos[[#All],[Código]],TB_Produtos[[#All],[Categoria]]),Desc_Categorias,0))</f>
        <v>0.1</v>
      </c>
      <c r="K16" s="67">
        <f>_xlfn.XLOOKUP(TB_Vendas[[#This Row],[Vendedor]],Vendedores!$A$5:$A$9,Vendedores!$D$5:$D$9)</f>
        <v>0.1</v>
      </c>
      <c r="L16" s="67">
        <f>IF(TB_Vendas[[#This Row],[Desconto 
(Diretão)]]&lt;=TB_Vendas[[#This Row],[Desconto 
(Vendedor)]],TB_Vendas[[#This Row],[Desconto 
(Diretão)]],TB_Vendas[[#This Row],[Desconto 
(Vendedor)]])</f>
        <v>0.1</v>
      </c>
      <c r="M16" s="8">
        <f>TB_Vendas[[#This Row],[Preço Unitário]]*TB_Vendas[[#This Row],[Qtd]]</f>
        <v>300</v>
      </c>
      <c r="N16" s="1" t="s">
        <v>128</v>
      </c>
    </row>
    <row r="17" spans="1:14" x14ac:dyDescent="0.3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0" t="str">
        <f>_xlfn.XLOOKUP(TB_Vendas[[#This Row],[Código]],TB_Produtos[Código],TB_Produtos[Categoria])</f>
        <v>Vestuário</v>
      </c>
      <c r="F17" s="1">
        <v>2</v>
      </c>
      <c r="G17" s="28">
        <f>VLOOKUP(TB_Vendas[[#This Row],[Código]],Produtos!$B$6:$G$66,6,0)</f>
        <v>289.89999999999998</v>
      </c>
      <c r="H17" s="1">
        <f>_xlfn.XMATCH(TB_Vendas[[#This Row],[Categoria]],Desc_Categorias,0)</f>
        <v>3</v>
      </c>
      <c r="I17" s="67">
        <f>VLOOKUP(TB_Vendas[[#This Row],[Qtd]],Desc_TabelaToda,TB_Vendas[[#This Row],[Indice]],TRUE)</f>
        <v>0.15</v>
      </c>
      <c r="J17" s="67" cm="1">
        <f t="array" ref="J17">INDEX(Desc_TabelaToda,MATCH(TB_Vendas[[#This Row],[Qtd]],Desc_Quantidades,1),MATCH(_xlfn.XLOOKUP(TB_Vendas[[#This Row],[Código]],TB_Produtos[[#All],[Código]],TB_Produtos[[#All],[Categoria]]),Desc_Categorias,0))</f>
        <v>0.15</v>
      </c>
      <c r="K17" s="67">
        <f>_xlfn.XLOOKUP(TB_Vendas[[#This Row],[Vendedor]],Vendedores!$A$5:$A$9,Vendedores!$D$5:$D$9)</f>
        <v>0.2</v>
      </c>
      <c r="L17" s="67">
        <f>IF(TB_Vendas[[#This Row],[Desconto 
(Diretão)]]&lt;=TB_Vendas[[#This Row],[Desconto 
(Vendedor)]],TB_Vendas[[#This Row],[Desconto 
(Diretão)]],TB_Vendas[[#This Row],[Desconto 
(Vendedor)]])</f>
        <v>0.15</v>
      </c>
      <c r="M17" s="8">
        <f>TB_Vendas[[#This Row],[Preço Unitário]]*TB_Vendas[[#This Row],[Qtd]]</f>
        <v>579.79999999999995</v>
      </c>
      <c r="N17" s="1" t="s">
        <v>129</v>
      </c>
    </row>
    <row r="18" spans="1:14" x14ac:dyDescent="0.3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0" t="str">
        <f>_xlfn.XLOOKUP(TB_Vendas[[#This Row],[Código]],TB_Produtos[Código],TB_Produtos[Categoria])</f>
        <v>Calçado</v>
      </c>
      <c r="F18" s="1">
        <v>1</v>
      </c>
      <c r="G18" s="28">
        <f>VLOOKUP(TB_Vendas[[#This Row],[Código]],Produtos!$B$6:$G$66,6,0)</f>
        <v>249.9</v>
      </c>
      <c r="H18" s="1">
        <f>_xlfn.XMATCH(TB_Vendas[[#This Row],[Categoria]],Desc_Categorias,0)</f>
        <v>4</v>
      </c>
      <c r="I18" s="67">
        <f>VLOOKUP(TB_Vendas[[#This Row],[Qtd]],Desc_TabelaToda,TB_Vendas[[#This Row],[Indice]],TRUE)</f>
        <v>0</v>
      </c>
      <c r="J18" s="67" cm="1">
        <f t="array" ref="J18">INDEX(Desc_TabelaToda,MATCH(TB_Vendas[[#This Row],[Qtd]],Desc_Quantidades,1),MATCH(_xlfn.XLOOKUP(TB_Vendas[[#This Row],[Código]],TB_Produtos[[#All],[Código]],TB_Produtos[[#All],[Categoria]]),Desc_Categorias,0))</f>
        <v>0</v>
      </c>
      <c r="K18" s="67">
        <f>_xlfn.XLOOKUP(TB_Vendas[[#This Row],[Vendedor]],Vendedores!$A$5:$A$9,Vendedores!$D$5:$D$9)</f>
        <v>0.2</v>
      </c>
      <c r="L18" s="67">
        <f>IF(TB_Vendas[[#This Row],[Desconto 
(Diretão)]]&lt;=TB_Vendas[[#This Row],[Desconto 
(Vendedor)]],TB_Vendas[[#This Row],[Desconto 
(Diretão)]],TB_Vendas[[#This Row],[Desconto 
(Vendedor)]])</f>
        <v>0</v>
      </c>
      <c r="M18" s="8">
        <f>TB_Vendas[[#This Row],[Preço Unitário]]*TB_Vendas[[#This Row],[Qtd]]</f>
        <v>249.9</v>
      </c>
      <c r="N18" s="1" t="s">
        <v>129</v>
      </c>
    </row>
    <row r="19" spans="1:14" x14ac:dyDescent="0.3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0" t="str">
        <f>_xlfn.XLOOKUP(TB_Vendas[[#This Row],[Código]],TB_Produtos[Código],TB_Produtos[Categoria])</f>
        <v>Vestuário</v>
      </c>
      <c r="F19" s="1">
        <v>2</v>
      </c>
      <c r="G19" s="28">
        <f>VLOOKUP(TB_Vendas[[#This Row],[Código]],Produtos!$B$6:$G$66,6,0)</f>
        <v>39.9</v>
      </c>
      <c r="H19" s="1">
        <f>_xlfn.XMATCH(TB_Vendas[[#This Row],[Categoria]],Desc_Categorias,0)</f>
        <v>3</v>
      </c>
      <c r="I19" s="67">
        <f>VLOOKUP(TB_Vendas[[#This Row],[Qtd]],Desc_TabelaToda,TB_Vendas[[#This Row],[Indice]],TRUE)</f>
        <v>0.15</v>
      </c>
      <c r="J19" s="67" cm="1">
        <f t="array" ref="J19">INDEX(Desc_TabelaToda,MATCH(TB_Vendas[[#This Row],[Qtd]],Desc_Quantidades,1),MATCH(_xlfn.XLOOKUP(TB_Vendas[[#This Row],[Código]],TB_Produtos[[#All],[Código]],TB_Produtos[[#All],[Categoria]]),Desc_Categorias,0))</f>
        <v>0.15</v>
      </c>
      <c r="K19" s="67">
        <f>_xlfn.XLOOKUP(TB_Vendas[[#This Row],[Vendedor]],Vendedores!$A$5:$A$9,Vendedores!$D$5:$D$9)</f>
        <v>0.2</v>
      </c>
      <c r="L19" s="67">
        <f>IF(TB_Vendas[[#This Row],[Desconto 
(Diretão)]]&lt;=TB_Vendas[[#This Row],[Desconto 
(Vendedor)]],TB_Vendas[[#This Row],[Desconto 
(Diretão)]],TB_Vendas[[#This Row],[Desconto 
(Vendedor)]])</f>
        <v>0.15</v>
      </c>
      <c r="M19" s="8">
        <f>TB_Vendas[[#This Row],[Preço Unitário]]*TB_Vendas[[#This Row],[Qtd]]</f>
        <v>79.8</v>
      </c>
      <c r="N19" s="1" t="s">
        <v>129</v>
      </c>
    </row>
    <row r="20" spans="1:14" x14ac:dyDescent="0.3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0" t="str">
        <f>_xlfn.XLOOKUP(TB_Vendas[[#This Row],[Código]],TB_Produtos[Código],TB_Produtos[Categoria])</f>
        <v>Vestuário</v>
      </c>
      <c r="F20" s="1">
        <v>4</v>
      </c>
      <c r="G20" s="28">
        <f>VLOOKUP(TB_Vendas[[#This Row],[Código]],Produtos!$B$6:$G$66,6,0)</f>
        <v>289.89999999999998</v>
      </c>
      <c r="H20" s="1">
        <f>_xlfn.XMATCH(TB_Vendas[[#This Row],[Categoria]],Desc_Categorias,0)</f>
        <v>3</v>
      </c>
      <c r="I20" s="67">
        <f>VLOOKUP(TB_Vendas[[#This Row],[Qtd]],Desc_TabelaToda,TB_Vendas[[#This Row],[Indice]],TRUE)</f>
        <v>0.2</v>
      </c>
      <c r="J20" s="67" cm="1">
        <f t="array" ref="J20">INDEX(Desc_TabelaToda,MATCH(TB_Vendas[[#This Row],[Qtd]],Desc_Quantidades,1),MATCH(_xlfn.XLOOKUP(TB_Vendas[[#This Row],[Código]],TB_Produtos[[#All],[Código]],TB_Produtos[[#All],[Categoria]]),Desc_Categorias,0))</f>
        <v>0.2</v>
      </c>
      <c r="K20" s="67">
        <f>_xlfn.XLOOKUP(TB_Vendas[[#This Row],[Vendedor]],Vendedores!$A$5:$A$9,Vendedores!$D$5:$D$9)</f>
        <v>0.2</v>
      </c>
      <c r="L20" s="67">
        <f>IF(TB_Vendas[[#This Row],[Desconto 
(Diretão)]]&lt;=TB_Vendas[[#This Row],[Desconto 
(Vendedor)]],TB_Vendas[[#This Row],[Desconto 
(Diretão)]],TB_Vendas[[#This Row],[Desconto 
(Vendedor)]])</f>
        <v>0.2</v>
      </c>
      <c r="M20" s="8">
        <f>TB_Vendas[[#This Row],[Preço Unitário]]*TB_Vendas[[#This Row],[Qtd]]</f>
        <v>1159.5999999999999</v>
      </c>
      <c r="N20" s="1" t="s">
        <v>129</v>
      </c>
    </row>
    <row r="21" spans="1:14" x14ac:dyDescent="0.3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0" t="str">
        <f>_xlfn.XLOOKUP(TB_Vendas[[#This Row],[Código]],TB_Produtos[Código],TB_Produtos[Categoria])</f>
        <v>Vestuário</v>
      </c>
      <c r="F21" s="1">
        <v>3</v>
      </c>
      <c r="G21" s="28">
        <f>VLOOKUP(TB_Vendas[[#This Row],[Código]],Produtos!$B$6:$G$66,6,0)</f>
        <v>180</v>
      </c>
      <c r="H21" s="1">
        <f>_xlfn.XMATCH(TB_Vendas[[#This Row],[Categoria]],Desc_Categorias,0)</f>
        <v>3</v>
      </c>
      <c r="I21" s="67">
        <f>VLOOKUP(TB_Vendas[[#This Row],[Qtd]],Desc_TabelaToda,TB_Vendas[[#This Row],[Indice]],TRUE)</f>
        <v>0.2</v>
      </c>
      <c r="J21" s="67" cm="1">
        <f t="array" ref="J21">INDEX(Desc_TabelaToda,MATCH(TB_Vendas[[#This Row],[Qtd]],Desc_Quantidades,1),MATCH(_xlfn.XLOOKUP(TB_Vendas[[#This Row],[Código]],TB_Produtos[[#All],[Código]],TB_Produtos[[#All],[Categoria]]),Desc_Categorias,0))</f>
        <v>0.2</v>
      </c>
      <c r="K21" s="67">
        <f>_xlfn.XLOOKUP(TB_Vendas[[#This Row],[Vendedor]],Vendedores!$A$5:$A$9,Vendedores!$D$5:$D$9)</f>
        <v>0.15</v>
      </c>
      <c r="L21" s="67">
        <f>IF(TB_Vendas[[#This Row],[Desconto 
(Diretão)]]&lt;=TB_Vendas[[#This Row],[Desconto 
(Vendedor)]],TB_Vendas[[#This Row],[Desconto 
(Diretão)]],TB_Vendas[[#This Row],[Desconto 
(Vendedor)]])</f>
        <v>0.15</v>
      </c>
      <c r="M21" s="8">
        <f>TB_Vendas[[#This Row],[Preço Unitário]]*TB_Vendas[[#This Row],[Qtd]]</f>
        <v>540</v>
      </c>
      <c r="N21" s="1" t="s">
        <v>127</v>
      </c>
    </row>
    <row r="22" spans="1:14" x14ac:dyDescent="0.3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0" t="str">
        <f>_xlfn.XLOOKUP(TB_Vendas[[#This Row],[Código]],TB_Produtos[Código],TB_Produtos[Categoria])</f>
        <v>Vestuário</v>
      </c>
      <c r="F22" s="1">
        <v>2</v>
      </c>
      <c r="G22" s="28">
        <f>VLOOKUP(TB_Vendas[[#This Row],[Código]],Produtos!$B$6:$G$66,6,0)</f>
        <v>32.9</v>
      </c>
      <c r="H22" s="1">
        <f>_xlfn.XMATCH(TB_Vendas[[#This Row],[Categoria]],Desc_Categorias,0)</f>
        <v>3</v>
      </c>
      <c r="I22" s="67">
        <f>VLOOKUP(TB_Vendas[[#This Row],[Qtd]],Desc_TabelaToda,TB_Vendas[[#This Row],[Indice]],TRUE)</f>
        <v>0.15</v>
      </c>
      <c r="J22" s="67" cm="1">
        <f t="array" ref="J22">INDEX(Desc_TabelaToda,MATCH(TB_Vendas[[#This Row],[Qtd]],Desc_Quantidades,1),MATCH(_xlfn.XLOOKUP(TB_Vendas[[#This Row],[Código]],TB_Produtos[[#All],[Código]],TB_Produtos[[#All],[Categoria]]),Desc_Categorias,0))</f>
        <v>0.15</v>
      </c>
      <c r="K22" s="67">
        <f>_xlfn.XLOOKUP(TB_Vendas[[#This Row],[Vendedor]],Vendedores!$A$5:$A$9,Vendedores!$D$5:$D$9)</f>
        <v>0.2</v>
      </c>
      <c r="L22" s="67">
        <f>IF(TB_Vendas[[#This Row],[Desconto 
(Diretão)]]&lt;=TB_Vendas[[#This Row],[Desconto 
(Vendedor)]],TB_Vendas[[#This Row],[Desconto 
(Diretão)]],TB_Vendas[[#This Row],[Desconto 
(Vendedor)]])</f>
        <v>0.15</v>
      </c>
      <c r="M22" s="8">
        <f>TB_Vendas[[#This Row],[Preço Unitário]]*TB_Vendas[[#This Row],[Qtd]]</f>
        <v>65.8</v>
      </c>
      <c r="N22" s="1" t="s">
        <v>126</v>
      </c>
    </row>
    <row r="23" spans="1:14" x14ac:dyDescent="0.3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0" t="str">
        <f>_xlfn.XLOOKUP(TB_Vendas[[#This Row],[Código]],TB_Produtos[Código],TB_Produtos[Categoria])</f>
        <v>Calçado</v>
      </c>
      <c r="F23" s="1">
        <v>3</v>
      </c>
      <c r="G23" s="28">
        <f>VLOOKUP(TB_Vendas[[#This Row],[Código]],Produtos!$B$6:$G$66,6,0)</f>
        <v>255</v>
      </c>
      <c r="H23" s="1">
        <f>_xlfn.XMATCH(TB_Vendas[[#This Row],[Categoria]],Desc_Categorias,0)</f>
        <v>4</v>
      </c>
      <c r="I23" s="67">
        <f>VLOOKUP(TB_Vendas[[#This Row],[Qtd]],Desc_TabelaToda,TB_Vendas[[#This Row],[Indice]],TRUE)</f>
        <v>0.15</v>
      </c>
      <c r="J23" s="67" cm="1">
        <f t="array" ref="J23">INDEX(Desc_TabelaToda,MATCH(TB_Vendas[[#This Row],[Qtd]],Desc_Quantidades,1),MATCH(_xlfn.XLOOKUP(TB_Vendas[[#This Row],[Código]],TB_Produtos[[#All],[Código]],TB_Produtos[[#All],[Categoria]]),Desc_Categorias,0))</f>
        <v>0.15</v>
      </c>
      <c r="K23" s="67">
        <f>_xlfn.XLOOKUP(TB_Vendas[[#This Row],[Vendedor]],Vendedores!$A$5:$A$9,Vendedores!$D$5:$D$9)</f>
        <v>0.2</v>
      </c>
      <c r="L23" s="67">
        <f>IF(TB_Vendas[[#This Row],[Desconto 
(Diretão)]]&lt;=TB_Vendas[[#This Row],[Desconto 
(Vendedor)]],TB_Vendas[[#This Row],[Desconto 
(Diretão)]],TB_Vendas[[#This Row],[Desconto 
(Vendedor)]])</f>
        <v>0.15</v>
      </c>
      <c r="M23" s="8">
        <f>TB_Vendas[[#This Row],[Preço Unitário]]*TB_Vendas[[#This Row],[Qtd]]</f>
        <v>765</v>
      </c>
      <c r="N23" s="1" t="s">
        <v>129</v>
      </c>
    </row>
    <row r="24" spans="1:14" x14ac:dyDescent="0.3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0" t="str">
        <f>_xlfn.XLOOKUP(TB_Vendas[[#This Row],[Código]],TB_Produtos[Código],TB_Produtos[Categoria])</f>
        <v>Vestuário</v>
      </c>
      <c r="F24" s="1">
        <v>1</v>
      </c>
      <c r="G24" s="28">
        <f>VLOOKUP(TB_Vendas[[#This Row],[Código]],Produtos!$B$6:$G$66,6,0)</f>
        <v>142.9</v>
      </c>
      <c r="H24" s="1">
        <f>_xlfn.XMATCH(TB_Vendas[[#This Row],[Categoria]],Desc_Categorias,0)</f>
        <v>3</v>
      </c>
      <c r="I24" s="67">
        <f>VLOOKUP(TB_Vendas[[#This Row],[Qtd]],Desc_TabelaToda,TB_Vendas[[#This Row],[Indice]],TRUE)</f>
        <v>0.1</v>
      </c>
      <c r="J24" s="67" cm="1">
        <f t="array" ref="J24">INDEX(Desc_TabelaToda,MATCH(TB_Vendas[[#This Row],[Qtd]],Desc_Quantidades,1),MATCH(_xlfn.XLOOKUP(TB_Vendas[[#This Row],[Código]],TB_Produtos[[#All],[Código]],TB_Produtos[[#All],[Categoria]]),Desc_Categorias,0))</f>
        <v>0.1</v>
      </c>
      <c r="K24" s="67">
        <f>_xlfn.XLOOKUP(TB_Vendas[[#This Row],[Vendedor]],Vendedores!$A$5:$A$9,Vendedores!$D$5:$D$9)</f>
        <v>0.2</v>
      </c>
      <c r="L24" s="67">
        <f>IF(TB_Vendas[[#This Row],[Desconto 
(Diretão)]]&lt;=TB_Vendas[[#This Row],[Desconto 
(Vendedor)]],TB_Vendas[[#This Row],[Desconto 
(Diretão)]],TB_Vendas[[#This Row],[Desconto 
(Vendedor)]])</f>
        <v>0.1</v>
      </c>
      <c r="M24" s="8">
        <f>TB_Vendas[[#This Row],[Preço Unitário]]*TB_Vendas[[#This Row],[Qtd]]</f>
        <v>142.9</v>
      </c>
      <c r="N24" s="1" t="s">
        <v>126</v>
      </c>
    </row>
    <row r="25" spans="1:14" x14ac:dyDescent="0.3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0" t="str">
        <f>_xlfn.XLOOKUP(TB_Vendas[[#This Row],[Código]],TB_Produtos[Código],TB_Produtos[Categoria])</f>
        <v>Vestuário</v>
      </c>
      <c r="F25" s="1">
        <v>4</v>
      </c>
      <c r="G25" s="28">
        <f>VLOOKUP(TB_Vendas[[#This Row],[Código]],Produtos!$B$6:$G$66,6,0)</f>
        <v>92.9</v>
      </c>
      <c r="H25" s="1">
        <f>_xlfn.XMATCH(TB_Vendas[[#This Row],[Categoria]],Desc_Categorias,0)</f>
        <v>3</v>
      </c>
      <c r="I25" s="67">
        <f>VLOOKUP(TB_Vendas[[#This Row],[Qtd]],Desc_TabelaToda,TB_Vendas[[#This Row],[Indice]],TRUE)</f>
        <v>0.2</v>
      </c>
      <c r="J25" s="67" cm="1">
        <f t="array" ref="J25">INDEX(Desc_TabelaToda,MATCH(TB_Vendas[[#This Row],[Qtd]],Desc_Quantidades,1),MATCH(_xlfn.XLOOKUP(TB_Vendas[[#This Row],[Código]],TB_Produtos[[#All],[Código]],TB_Produtos[[#All],[Categoria]]),Desc_Categorias,0))</f>
        <v>0.2</v>
      </c>
      <c r="K25" s="67">
        <f>_xlfn.XLOOKUP(TB_Vendas[[#This Row],[Vendedor]],Vendedores!$A$5:$A$9,Vendedores!$D$5:$D$9)</f>
        <v>0.1</v>
      </c>
      <c r="L25" s="67">
        <f>IF(TB_Vendas[[#This Row],[Desconto 
(Diretão)]]&lt;=TB_Vendas[[#This Row],[Desconto 
(Vendedor)]],TB_Vendas[[#This Row],[Desconto 
(Diretão)]],TB_Vendas[[#This Row],[Desconto 
(Vendedor)]])</f>
        <v>0.1</v>
      </c>
      <c r="M25" s="8">
        <f>TB_Vendas[[#This Row],[Preço Unitário]]*TB_Vendas[[#This Row],[Qtd]]</f>
        <v>371.6</v>
      </c>
      <c r="N25" s="1" t="s">
        <v>128</v>
      </c>
    </row>
    <row r="26" spans="1:14" x14ac:dyDescent="0.3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0" t="str">
        <f>_xlfn.XLOOKUP(TB_Vendas[[#This Row],[Código]],TB_Produtos[Código],TB_Produtos[Categoria])</f>
        <v>Vestuário</v>
      </c>
      <c r="F26" s="1">
        <v>2</v>
      </c>
      <c r="G26" s="28">
        <f>VLOOKUP(TB_Vendas[[#This Row],[Código]],Produtos!$B$6:$G$66,6,0)</f>
        <v>54.9</v>
      </c>
      <c r="H26" s="1">
        <f>_xlfn.XMATCH(TB_Vendas[[#This Row],[Categoria]],Desc_Categorias,0)</f>
        <v>3</v>
      </c>
      <c r="I26" s="67">
        <f>VLOOKUP(TB_Vendas[[#This Row],[Qtd]],Desc_TabelaToda,TB_Vendas[[#This Row],[Indice]],TRUE)</f>
        <v>0.15</v>
      </c>
      <c r="J26" s="67" cm="1">
        <f t="array" ref="J26">INDEX(Desc_TabelaToda,MATCH(TB_Vendas[[#This Row],[Qtd]],Desc_Quantidades,1),MATCH(_xlfn.XLOOKUP(TB_Vendas[[#This Row],[Código]],TB_Produtos[[#All],[Código]],TB_Produtos[[#All],[Categoria]]),Desc_Categorias,0))</f>
        <v>0.15</v>
      </c>
      <c r="K26" s="67">
        <f>_xlfn.XLOOKUP(TB_Vendas[[#This Row],[Vendedor]],Vendedores!$A$5:$A$9,Vendedores!$D$5:$D$9)</f>
        <v>0.2</v>
      </c>
      <c r="L26" s="67">
        <f>IF(TB_Vendas[[#This Row],[Desconto 
(Diretão)]]&lt;=TB_Vendas[[#This Row],[Desconto 
(Vendedor)]],TB_Vendas[[#This Row],[Desconto 
(Diretão)]],TB_Vendas[[#This Row],[Desconto 
(Vendedor)]])</f>
        <v>0.15</v>
      </c>
      <c r="M26" s="8">
        <f>TB_Vendas[[#This Row],[Preço Unitário]]*TB_Vendas[[#This Row],[Qtd]]</f>
        <v>109.8</v>
      </c>
      <c r="N26" s="1" t="s">
        <v>126</v>
      </c>
    </row>
    <row r="27" spans="1:14" x14ac:dyDescent="0.3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0" t="str">
        <f>_xlfn.XLOOKUP(TB_Vendas[[#This Row],[Código]],TB_Produtos[Código],TB_Produtos[Categoria])</f>
        <v>Vestuário</v>
      </c>
      <c r="F27" s="1">
        <v>3</v>
      </c>
      <c r="G27" s="28">
        <f>VLOOKUP(TB_Vendas[[#This Row],[Código]],Produtos!$B$6:$G$66,6,0)</f>
        <v>142.9</v>
      </c>
      <c r="H27" s="1">
        <f>_xlfn.XMATCH(TB_Vendas[[#This Row],[Categoria]],Desc_Categorias,0)</f>
        <v>3</v>
      </c>
      <c r="I27" s="67">
        <f>VLOOKUP(TB_Vendas[[#This Row],[Qtd]],Desc_TabelaToda,TB_Vendas[[#This Row],[Indice]],TRUE)</f>
        <v>0.2</v>
      </c>
      <c r="J27" s="67" cm="1">
        <f t="array" ref="J27">INDEX(Desc_TabelaToda,MATCH(TB_Vendas[[#This Row],[Qtd]],Desc_Quantidades,1),MATCH(_xlfn.XLOOKUP(TB_Vendas[[#This Row],[Código]],TB_Produtos[[#All],[Código]],TB_Produtos[[#All],[Categoria]]),Desc_Categorias,0))</f>
        <v>0.2</v>
      </c>
      <c r="K27" s="67">
        <f>_xlfn.XLOOKUP(TB_Vendas[[#This Row],[Vendedor]],Vendedores!$A$5:$A$9,Vendedores!$D$5:$D$9)</f>
        <v>0.15</v>
      </c>
      <c r="L27" s="67">
        <f>IF(TB_Vendas[[#This Row],[Desconto 
(Diretão)]]&lt;=TB_Vendas[[#This Row],[Desconto 
(Vendedor)]],TB_Vendas[[#This Row],[Desconto 
(Diretão)]],TB_Vendas[[#This Row],[Desconto 
(Vendedor)]])</f>
        <v>0.15</v>
      </c>
      <c r="M27" s="8">
        <f>TB_Vendas[[#This Row],[Preço Unitário]]*TB_Vendas[[#This Row],[Qtd]]</f>
        <v>428.70000000000005</v>
      </c>
      <c r="N27" s="1" t="s">
        <v>127</v>
      </c>
    </row>
    <row r="28" spans="1:14" x14ac:dyDescent="0.3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0" t="str">
        <f>_xlfn.XLOOKUP(TB_Vendas[[#This Row],[Código]],TB_Produtos[Código],TB_Produtos[Categoria])</f>
        <v>Acessórios</v>
      </c>
      <c r="F28" s="1">
        <v>2</v>
      </c>
      <c r="G28" s="28">
        <f>VLOOKUP(TB_Vendas[[#This Row],[Código]],Produtos!$B$6:$G$66,6,0)</f>
        <v>120</v>
      </c>
      <c r="H28" s="1">
        <f>_xlfn.XMATCH(TB_Vendas[[#This Row],[Categoria]],Desc_Categorias,0)</f>
        <v>2</v>
      </c>
      <c r="I28" s="67">
        <f>VLOOKUP(TB_Vendas[[#This Row],[Qtd]],Desc_TabelaToda,TB_Vendas[[#This Row],[Indice]],TRUE)</f>
        <v>0.05</v>
      </c>
      <c r="J28" s="67" cm="1">
        <f t="array" ref="J28">INDEX(Desc_TabelaToda,MATCH(TB_Vendas[[#This Row],[Qtd]],Desc_Quantidades,1),MATCH(_xlfn.XLOOKUP(TB_Vendas[[#This Row],[Código]],TB_Produtos[[#All],[Código]],TB_Produtos[[#All],[Categoria]]),Desc_Categorias,0))</f>
        <v>0.05</v>
      </c>
      <c r="K28" s="67">
        <f>_xlfn.XLOOKUP(TB_Vendas[[#This Row],[Vendedor]],Vendedores!$A$5:$A$9,Vendedores!$D$5:$D$9)</f>
        <v>0.15</v>
      </c>
      <c r="L28" s="67">
        <f>IF(TB_Vendas[[#This Row],[Desconto 
(Diretão)]]&lt;=TB_Vendas[[#This Row],[Desconto 
(Vendedor)]],TB_Vendas[[#This Row],[Desconto 
(Diretão)]],TB_Vendas[[#This Row],[Desconto 
(Vendedor)]])</f>
        <v>0.05</v>
      </c>
      <c r="M28" s="8">
        <f>TB_Vendas[[#This Row],[Preço Unitário]]*TB_Vendas[[#This Row],[Qtd]]</f>
        <v>240</v>
      </c>
      <c r="N28" s="1" t="s">
        <v>127</v>
      </c>
    </row>
    <row r="29" spans="1:14" x14ac:dyDescent="0.3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0" t="str">
        <f>_xlfn.XLOOKUP(TB_Vendas[[#This Row],[Código]],TB_Produtos[Código],TB_Produtos[Categoria])</f>
        <v>Vestuário</v>
      </c>
      <c r="F29" s="1">
        <v>1</v>
      </c>
      <c r="G29" s="28">
        <f>VLOOKUP(TB_Vendas[[#This Row],[Código]],Produtos!$B$6:$G$66,6,0)</f>
        <v>65.900000000000006</v>
      </c>
      <c r="H29" s="1">
        <f>_xlfn.XMATCH(TB_Vendas[[#This Row],[Categoria]],Desc_Categorias,0)</f>
        <v>3</v>
      </c>
      <c r="I29" s="67">
        <f>VLOOKUP(TB_Vendas[[#This Row],[Qtd]],Desc_TabelaToda,TB_Vendas[[#This Row],[Indice]],TRUE)</f>
        <v>0.1</v>
      </c>
      <c r="J29" s="67" cm="1">
        <f t="array" ref="J29">INDEX(Desc_TabelaToda,MATCH(TB_Vendas[[#This Row],[Qtd]],Desc_Quantidades,1),MATCH(_xlfn.XLOOKUP(TB_Vendas[[#This Row],[Código]],TB_Produtos[[#All],[Código]],TB_Produtos[[#All],[Categoria]]),Desc_Categorias,0))</f>
        <v>0.1</v>
      </c>
      <c r="K29" s="67">
        <f>_xlfn.XLOOKUP(TB_Vendas[[#This Row],[Vendedor]],Vendedores!$A$5:$A$9,Vendedores!$D$5:$D$9)</f>
        <v>0.2</v>
      </c>
      <c r="L29" s="67">
        <f>IF(TB_Vendas[[#This Row],[Desconto 
(Diretão)]]&lt;=TB_Vendas[[#This Row],[Desconto 
(Vendedor)]],TB_Vendas[[#This Row],[Desconto 
(Diretão)]],TB_Vendas[[#This Row],[Desconto 
(Vendedor)]])</f>
        <v>0.1</v>
      </c>
      <c r="M29" s="8">
        <f>TB_Vendas[[#This Row],[Preço Unitário]]*TB_Vendas[[#This Row],[Qtd]]</f>
        <v>65.900000000000006</v>
      </c>
      <c r="N29" s="1" t="s">
        <v>129</v>
      </c>
    </row>
    <row r="30" spans="1:14" x14ac:dyDescent="0.3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0" t="str">
        <f>_xlfn.XLOOKUP(TB_Vendas[[#This Row],[Código]],TB_Produtos[Código],TB_Produtos[Categoria])</f>
        <v>Vestuário</v>
      </c>
      <c r="F30" s="1">
        <v>5</v>
      </c>
      <c r="G30" s="28">
        <f>VLOOKUP(TB_Vendas[[#This Row],[Código]],Produtos!$B$6:$G$66,6,0)</f>
        <v>32.9</v>
      </c>
      <c r="H30" s="1">
        <f>_xlfn.XMATCH(TB_Vendas[[#This Row],[Categoria]],Desc_Categorias,0)</f>
        <v>3</v>
      </c>
      <c r="I30" s="67">
        <f>VLOOKUP(TB_Vendas[[#This Row],[Qtd]],Desc_TabelaToda,TB_Vendas[[#This Row],[Indice]],TRUE)</f>
        <v>0.25</v>
      </c>
      <c r="J30" s="67" cm="1">
        <f t="array" ref="J30">INDEX(Desc_TabelaToda,MATCH(TB_Vendas[[#This Row],[Qtd]],Desc_Quantidades,1),MATCH(_xlfn.XLOOKUP(TB_Vendas[[#This Row],[Código]],TB_Produtos[[#All],[Código]],TB_Produtos[[#All],[Categoria]]),Desc_Categorias,0))</f>
        <v>0.25</v>
      </c>
      <c r="K30" s="67">
        <f>_xlfn.XLOOKUP(TB_Vendas[[#This Row],[Vendedor]],Vendedores!$A$5:$A$9,Vendedores!$D$5:$D$9)</f>
        <v>0.15</v>
      </c>
      <c r="L30" s="67">
        <f>IF(TB_Vendas[[#This Row],[Desconto 
(Diretão)]]&lt;=TB_Vendas[[#This Row],[Desconto 
(Vendedor)]],TB_Vendas[[#This Row],[Desconto 
(Diretão)]],TB_Vendas[[#This Row],[Desconto 
(Vendedor)]])</f>
        <v>0.15</v>
      </c>
      <c r="M30" s="8">
        <f>TB_Vendas[[#This Row],[Preço Unitário]]*TB_Vendas[[#This Row],[Qtd]]</f>
        <v>164.5</v>
      </c>
      <c r="N30" s="1" t="s">
        <v>130</v>
      </c>
    </row>
    <row r="31" spans="1:14" x14ac:dyDescent="0.3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0" t="str">
        <f>_xlfn.XLOOKUP(TB_Vendas[[#This Row],[Código]],TB_Produtos[Código],TB_Produtos[Categoria])</f>
        <v>Vestuário</v>
      </c>
      <c r="F31" s="1">
        <v>2</v>
      </c>
      <c r="G31" s="28">
        <f>VLOOKUP(TB_Vendas[[#This Row],[Código]],Produtos!$B$6:$G$66,6,0)</f>
        <v>180</v>
      </c>
      <c r="H31" s="1">
        <f>_xlfn.XMATCH(TB_Vendas[[#This Row],[Categoria]],Desc_Categorias,0)</f>
        <v>3</v>
      </c>
      <c r="I31" s="67">
        <f>VLOOKUP(TB_Vendas[[#This Row],[Qtd]],Desc_TabelaToda,TB_Vendas[[#This Row],[Indice]],TRUE)</f>
        <v>0.15</v>
      </c>
      <c r="J31" s="67" cm="1">
        <f t="array" ref="J31">INDEX(Desc_TabelaToda,MATCH(TB_Vendas[[#This Row],[Qtd]],Desc_Quantidades,1),MATCH(_xlfn.XLOOKUP(TB_Vendas[[#This Row],[Código]],TB_Produtos[[#All],[Código]],TB_Produtos[[#All],[Categoria]]),Desc_Categorias,0))</f>
        <v>0.15</v>
      </c>
      <c r="K31" s="67">
        <f>_xlfn.XLOOKUP(TB_Vendas[[#This Row],[Vendedor]],Vendedores!$A$5:$A$9,Vendedores!$D$5:$D$9)</f>
        <v>0.15</v>
      </c>
      <c r="L31" s="67">
        <f>IF(TB_Vendas[[#This Row],[Desconto 
(Diretão)]]&lt;=TB_Vendas[[#This Row],[Desconto 
(Vendedor)]],TB_Vendas[[#This Row],[Desconto 
(Diretão)]],TB_Vendas[[#This Row],[Desconto 
(Vendedor)]])</f>
        <v>0.15</v>
      </c>
      <c r="M31" s="8">
        <f>TB_Vendas[[#This Row],[Preço Unitário]]*TB_Vendas[[#This Row],[Qtd]]</f>
        <v>360</v>
      </c>
      <c r="N31" s="1" t="s">
        <v>127</v>
      </c>
    </row>
    <row r="32" spans="1:14" x14ac:dyDescent="0.3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0" t="str">
        <f>_xlfn.XLOOKUP(TB_Vendas[[#This Row],[Código]],TB_Produtos[Código],TB_Produtos[Categoria])</f>
        <v>Acessórios</v>
      </c>
      <c r="F32" s="1">
        <v>3</v>
      </c>
      <c r="G32" s="28">
        <f>VLOOKUP(TB_Vendas[[#This Row],[Código]],Produtos!$B$6:$G$66,6,0)</f>
        <v>349.9</v>
      </c>
      <c r="H32" s="1">
        <f>_xlfn.XMATCH(TB_Vendas[[#This Row],[Categoria]],Desc_Categorias,0)</f>
        <v>2</v>
      </c>
      <c r="I32" s="67">
        <f>VLOOKUP(TB_Vendas[[#This Row],[Qtd]],Desc_TabelaToda,TB_Vendas[[#This Row],[Indice]],TRUE)</f>
        <v>0.15</v>
      </c>
      <c r="J32" s="67" cm="1">
        <f t="array" ref="J32">INDEX(Desc_TabelaToda,MATCH(TB_Vendas[[#This Row],[Qtd]],Desc_Quantidades,1),MATCH(_xlfn.XLOOKUP(TB_Vendas[[#This Row],[Código]],TB_Produtos[[#All],[Código]],TB_Produtos[[#All],[Categoria]]),Desc_Categorias,0))</f>
        <v>0.15</v>
      </c>
      <c r="K32" s="67">
        <f>_xlfn.XLOOKUP(TB_Vendas[[#This Row],[Vendedor]],Vendedores!$A$5:$A$9,Vendedores!$D$5:$D$9)</f>
        <v>0.2</v>
      </c>
      <c r="L32" s="67">
        <f>IF(TB_Vendas[[#This Row],[Desconto 
(Diretão)]]&lt;=TB_Vendas[[#This Row],[Desconto 
(Vendedor)]],TB_Vendas[[#This Row],[Desconto 
(Diretão)]],TB_Vendas[[#This Row],[Desconto 
(Vendedor)]])</f>
        <v>0.15</v>
      </c>
      <c r="M32" s="8">
        <f>TB_Vendas[[#This Row],[Preço Unitário]]*TB_Vendas[[#This Row],[Qtd]]</f>
        <v>1049.6999999999998</v>
      </c>
      <c r="N32" s="1" t="s">
        <v>126</v>
      </c>
    </row>
    <row r="33" spans="1:14" x14ac:dyDescent="0.3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0" t="str">
        <f>_xlfn.XLOOKUP(TB_Vendas[[#This Row],[Código]],TB_Produtos[Código],TB_Produtos[Categoria])</f>
        <v>Vestuário</v>
      </c>
      <c r="F33" s="1">
        <v>1</v>
      </c>
      <c r="G33" s="28">
        <f>VLOOKUP(TB_Vendas[[#This Row],[Código]],Produtos!$B$6:$G$66,6,0)</f>
        <v>72.5</v>
      </c>
      <c r="H33" s="1">
        <f>_xlfn.XMATCH(TB_Vendas[[#This Row],[Categoria]],Desc_Categorias,0)</f>
        <v>3</v>
      </c>
      <c r="I33" s="67">
        <f>VLOOKUP(TB_Vendas[[#This Row],[Qtd]],Desc_TabelaToda,TB_Vendas[[#This Row],[Indice]],TRUE)</f>
        <v>0.1</v>
      </c>
      <c r="J33" s="67" cm="1">
        <f t="array" ref="J33">INDEX(Desc_TabelaToda,MATCH(TB_Vendas[[#This Row],[Qtd]],Desc_Quantidades,1),MATCH(_xlfn.XLOOKUP(TB_Vendas[[#This Row],[Código]],TB_Produtos[[#All],[Código]],TB_Produtos[[#All],[Categoria]]),Desc_Categorias,0))</f>
        <v>0.1</v>
      </c>
      <c r="K33" s="67">
        <f>_xlfn.XLOOKUP(TB_Vendas[[#This Row],[Vendedor]],Vendedores!$A$5:$A$9,Vendedores!$D$5:$D$9)</f>
        <v>0.1</v>
      </c>
      <c r="L33" s="67">
        <f>IF(TB_Vendas[[#This Row],[Desconto 
(Diretão)]]&lt;=TB_Vendas[[#This Row],[Desconto 
(Vendedor)]],TB_Vendas[[#This Row],[Desconto 
(Diretão)]],TB_Vendas[[#This Row],[Desconto 
(Vendedor)]])</f>
        <v>0.1</v>
      </c>
      <c r="M33" s="8">
        <f>TB_Vendas[[#This Row],[Preço Unitário]]*TB_Vendas[[#This Row],[Qtd]]</f>
        <v>72.5</v>
      </c>
      <c r="N33" s="1" t="s">
        <v>128</v>
      </c>
    </row>
    <row r="34" spans="1:14" x14ac:dyDescent="0.3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0" t="str">
        <f>_xlfn.XLOOKUP(TB_Vendas[[#This Row],[Código]],TB_Produtos[Código],TB_Produtos[Categoria])</f>
        <v>Vestuário</v>
      </c>
      <c r="F34" s="1">
        <v>4</v>
      </c>
      <c r="G34" s="28">
        <f>VLOOKUP(TB_Vendas[[#This Row],[Código]],Produtos!$B$6:$G$66,6,0)</f>
        <v>259.89999999999998</v>
      </c>
      <c r="H34" s="1">
        <f>_xlfn.XMATCH(TB_Vendas[[#This Row],[Categoria]],Desc_Categorias,0)</f>
        <v>3</v>
      </c>
      <c r="I34" s="67">
        <f>VLOOKUP(TB_Vendas[[#This Row],[Qtd]],Desc_TabelaToda,TB_Vendas[[#This Row],[Indice]],TRUE)</f>
        <v>0.2</v>
      </c>
      <c r="J34" s="67" cm="1">
        <f t="array" ref="J34">INDEX(Desc_TabelaToda,MATCH(TB_Vendas[[#This Row],[Qtd]],Desc_Quantidades,1),MATCH(_xlfn.XLOOKUP(TB_Vendas[[#This Row],[Código]],TB_Produtos[[#All],[Código]],TB_Produtos[[#All],[Categoria]]),Desc_Categorias,0))</f>
        <v>0.2</v>
      </c>
      <c r="K34" s="67">
        <f>_xlfn.XLOOKUP(TB_Vendas[[#This Row],[Vendedor]],Vendedores!$A$5:$A$9,Vendedores!$D$5:$D$9)</f>
        <v>0.2</v>
      </c>
      <c r="L34" s="67">
        <f>IF(TB_Vendas[[#This Row],[Desconto 
(Diretão)]]&lt;=TB_Vendas[[#This Row],[Desconto 
(Vendedor)]],TB_Vendas[[#This Row],[Desconto 
(Diretão)]],TB_Vendas[[#This Row],[Desconto 
(Vendedor)]])</f>
        <v>0.2</v>
      </c>
      <c r="M34" s="8">
        <f>TB_Vendas[[#This Row],[Preço Unitário]]*TB_Vendas[[#This Row],[Qtd]]</f>
        <v>1039.5999999999999</v>
      </c>
      <c r="N34" s="1" t="s">
        <v>126</v>
      </c>
    </row>
    <row r="35" spans="1:14" x14ac:dyDescent="0.3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0" t="str">
        <f>_xlfn.XLOOKUP(TB_Vendas[[#This Row],[Código]],TB_Produtos[Código],TB_Produtos[Categoria])</f>
        <v>Vestuário</v>
      </c>
      <c r="F35" s="1">
        <v>3</v>
      </c>
      <c r="G35" s="28">
        <f>VLOOKUP(TB_Vendas[[#This Row],[Código]],Produtos!$B$6:$G$66,6,0)</f>
        <v>25.9</v>
      </c>
      <c r="H35" s="1">
        <f>_xlfn.XMATCH(TB_Vendas[[#This Row],[Categoria]],Desc_Categorias,0)</f>
        <v>3</v>
      </c>
      <c r="I35" s="67">
        <f>VLOOKUP(TB_Vendas[[#This Row],[Qtd]],Desc_TabelaToda,TB_Vendas[[#This Row],[Indice]],TRUE)</f>
        <v>0.2</v>
      </c>
      <c r="J35" s="67" cm="1">
        <f t="array" ref="J35">INDEX(Desc_TabelaToda,MATCH(TB_Vendas[[#This Row],[Qtd]],Desc_Quantidades,1),MATCH(_xlfn.XLOOKUP(TB_Vendas[[#This Row],[Código]],TB_Produtos[[#All],[Código]],TB_Produtos[[#All],[Categoria]]),Desc_Categorias,0))</f>
        <v>0.2</v>
      </c>
      <c r="K35" s="67">
        <f>_xlfn.XLOOKUP(TB_Vendas[[#This Row],[Vendedor]],Vendedores!$A$5:$A$9,Vendedores!$D$5:$D$9)</f>
        <v>0.15</v>
      </c>
      <c r="L35" s="67">
        <f>IF(TB_Vendas[[#This Row],[Desconto 
(Diretão)]]&lt;=TB_Vendas[[#This Row],[Desconto 
(Vendedor)]],TB_Vendas[[#This Row],[Desconto 
(Diretão)]],TB_Vendas[[#This Row],[Desconto 
(Vendedor)]])</f>
        <v>0.15</v>
      </c>
      <c r="M35" s="8">
        <f>TB_Vendas[[#This Row],[Preço Unitário]]*TB_Vendas[[#This Row],[Qtd]]</f>
        <v>77.699999999999989</v>
      </c>
      <c r="N35" s="1" t="s">
        <v>127</v>
      </c>
    </row>
    <row r="36" spans="1:14" x14ac:dyDescent="0.3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0" t="str">
        <f>_xlfn.XLOOKUP(TB_Vendas[[#This Row],[Código]],TB_Produtos[Código],TB_Produtos[Categoria])</f>
        <v>Acessórios</v>
      </c>
      <c r="F36" s="1">
        <v>2</v>
      </c>
      <c r="G36" s="28">
        <f>VLOOKUP(TB_Vendas[[#This Row],[Código]],Produtos!$B$6:$G$66,6,0)</f>
        <v>145</v>
      </c>
      <c r="H36" s="1">
        <f>_xlfn.XMATCH(TB_Vendas[[#This Row],[Categoria]],Desc_Categorias,0)</f>
        <v>2</v>
      </c>
      <c r="I36" s="67">
        <f>VLOOKUP(TB_Vendas[[#This Row],[Qtd]],Desc_TabelaToda,TB_Vendas[[#This Row],[Indice]],TRUE)</f>
        <v>0.05</v>
      </c>
      <c r="J36" s="67" cm="1">
        <f t="array" ref="J36">INDEX(Desc_TabelaToda,MATCH(TB_Vendas[[#This Row],[Qtd]],Desc_Quantidades,1),MATCH(_xlfn.XLOOKUP(TB_Vendas[[#This Row],[Código]],TB_Produtos[[#All],[Código]],TB_Produtos[[#All],[Categoria]]),Desc_Categorias,0))</f>
        <v>0.05</v>
      </c>
      <c r="K36" s="67">
        <f>_xlfn.XLOOKUP(TB_Vendas[[#This Row],[Vendedor]],Vendedores!$A$5:$A$9,Vendedores!$D$5:$D$9)</f>
        <v>0.2</v>
      </c>
      <c r="L36" s="67">
        <f>IF(TB_Vendas[[#This Row],[Desconto 
(Diretão)]]&lt;=TB_Vendas[[#This Row],[Desconto 
(Vendedor)]],TB_Vendas[[#This Row],[Desconto 
(Diretão)]],TB_Vendas[[#This Row],[Desconto 
(Vendedor)]])</f>
        <v>0.05</v>
      </c>
      <c r="M36" s="8">
        <f>TB_Vendas[[#This Row],[Preço Unitário]]*TB_Vendas[[#This Row],[Qtd]]</f>
        <v>290</v>
      </c>
      <c r="N36" s="1" t="s">
        <v>126</v>
      </c>
    </row>
    <row r="37" spans="1:14" x14ac:dyDescent="0.3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0" t="str">
        <f>_xlfn.XLOOKUP(TB_Vendas[[#This Row],[Código]],TB_Produtos[Código],TB_Produtos[Categoria])</f>
        <v>Acessórios</v>
      </c>
      <c r="F37" s="1">
        <v>1</v>
      </c>
      <c r="G37" s="28">
        <f>VLOOKUP(TB_Vendas[[#This Row],[Código]],Produtos!$B$6:$G$66,6,0)</f>
        <v>39.9</v>
      </c>
      <c r="H37" s="1">
        <f>_xlfn.XMATCH(TB_Vendas[[#This Row],[Categoria]],Desc_Categorias,0)</f>
        <v>2</v>
      </c>
      <c r="I37" s="67">
        <f>VLOOKUP(TB_Vendas[[#This Row],[Qtd]],Desc_TabelaToda,TB_Vendas[[#This Row],[Indice]],TRUE)</f>
        <v>0</v>
      </c>
      <c r="J37" s="67" cm="1">
        <f t="array" ref="J37">INDEX(Desc_TabelaToda,MATCH(TB_Vendas[[#This Row],[Qtd]],Desc_Quantidades,1),MATCH(_xlfn.XLOOKUP(TB_Vendas[[#This Row],[Código]],TB_Produtos[[#All],[Código]],TB_Produtos[[#All],[Categoria]]),Desc_Categorias,0))</f>
        <v>0</v>
      </c>
      <c r="K37" s="67">
        <f>_xlfn.XLOOKUP(TB_Vendas[[#This Row],[Vendedor]],Vendedores!$A$5:$A$9,Vendedores!$D$5:$D$9)</f>
        <v>0.15</v>
      </c>
      <c r="L37" s="67">
        <f>IF(TB_Vendas[[#This Row],[Desconto 
(Diretão)]]&lt;=TB_Vendas[[#This Row],[Desconto 
(Vendedor)]],TB_Vendas[[#This Row],[Desconto 
(Diretão)]],TB_Vendas[[#This Row],[Desconto 
(Vendedor)]])</f>
        <v>0</v>
      </c>
      <c r="M37" s="8">
        <f>TB_Vendas[[#This Row],[Preço Unitário]]*TB_Vendas[[#This Row],[Qtd]]</f>
        <v>39.9</v>
      </c>
      <c r="N37" s="1" t="s">
        <v>127</v>
      </c>
    </row>
    <row r="38" spans="1:14" x14ac:dyDescent="0.3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0" t="str">
        <f>_xlfn.XLOOKUP(TB_Vendas[[#This Row],[Código]],TB_Produtos[Código],TB_Produtos[Categoria])</f>
        <v>Acessórios</v>
      </c>
      <c r="F38" s="1">
        <v>3</v>
      </c>
      <c r="G38" s="28">
        <f>VLOOKUP(TB_Vendas[[#This Row],[Código]],Produtos!$B$6:$G$66,6,0)</f>
        <v>349.9</v>
      </c>
      <c r="H38" s="1">
        <f>_xlfn.XMATCH(TB_Vendas[[#This Row],[Categoria]],Desc_Categorias,0)</f>
        <v>2</v>
      </c>
      <c r="I38" s="67">
        <f>VLOOKUP(TB_Vendas[[#This Row],[Qtd]],Desc_TabelaToda,TB_Vendas[[#This Row],[Indice]],TRUE)</f>
        <v>0.15</v>
      </c>
      <c r="J38" s="67" cm="1">
        <f t="array" ref="J38">INDEX(Desc_TabelaToda,MATCH(TB_Vendas[[#This Row],[Qtd]],Desc_Quantidades,1),MATCH(_xlfn.XLOOKUP(TB_Vendas[[#This Row],[Código]],TB_Produtos[[#All],[Código]],TB_Produtos[[#All],[Categoria]]),Desc_Categorias,0))</f>
        <v>0.15</v>
      </c>
      <c r="K38" s="67">
        <f>_xlfn.XLOOKUP(TB_Vendas[[#This Row],[Vendedor]],Vendedores!$A$5:$A$9,Vendedores!$D$5:$D$9)</f>
        <v>0.2</v>
      </c>
      <c r="L38" s="67">
        <f>IF(TB_Vendas[[#This Row],[Desconto 
(Diretão)]]&lt;=TB_Vendas[[#This Row],[Desconto 
(Vendedor)]],TB_Vendas[[#This Row],[Desconto 
(Diretão)]],TB_Vendas[[#This Row],[Desconto 
(Vendedor)]])</f>
        <v>0.15</v>
      </c>
      <c r="M38" s="8">
        <f>TB_Vendas[[#This Row],[Preço Unitário]]*TB_Vendas[[#This Row],[Qtd]]</f>
        <v>1049.6999999999998</v>
      </c>
      <c r="N38" s="1" t="s">
        <v>129</v>
      </c>
    </row>
    <row r="39" spans="1:14" x14ac:dyDescent="0.3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0" t="str">
        <f>_xlfn.XLOOKUP(TB_Vendas[[#This Row],[Código]],TB_Produtos[Código],TB_Produtos[Categoria])</f>
        <v>Calçado</v>
      </c>
      <c r="F39" s="1">
        <v>4</v>
      </c>
      <c r="G39" s="28">
        <f>VLOOKUP(TB_Vendas[[#This Row],[Código]],Produtos!$B$6:$G$66,6,0)</f>
        <v>89.9</v>
      </c>
      <c r="H39" s="1">
        <f>_xlfn.XMATCH(TB_Vendas[[#This Row],[Categoria]],Desc_Categorias,0)</f>
        <v>4</v>
      </c>
      <c r="I39" s="67">
        <f>VLOOKUP(TB_Vendas[[#This Row],[Qtd]],Desc_TabelaToda,TB_Vendas[[#This Row],[Indice]],TRUE)</f>
        <v>0.15</v>
      </c>
      <c r="J39" s="67" cm="1">
        <f t="array" ref="J39">INDEX(Desc_TabelaToda,MATCH(TB_Vendas[[#This Row],[Qtd]],Desc_Quantidades,1),MATCH(_xlfn.XLOOKUP(TB_Vendas[[#This Row],[Código]],TB_Produtos[[#All],[Código]],TB_Produtos[[#All],[Categoria]]),Desc_Categorias,0))</f>
        <v>0.15</v>
      </c>
      <c r="K39" s="67">
        <f>_xlfn.XLOOKUP(TB_Vendas[[#This Row],[Vendedor]],Vendedores!$A$5:$A$9,Vendedores!$D$5:$D$9)</f>
        <v>0.2</v>
      </c>
      <c r="L39" s="67">
        <f>IF(TB_Vendas[[#This Row],[Desconto 
(Diretão)]]&lt;=TB_Vendas[[#This Row],[Desconto 
(Vendedor)]],TB_Vendas[[#This Row],[Desconto 
(Diretão)]],TB_Vendas[[#This Row],[Desconto 
(Vendedor)]])</f>
        <v>0.15</v>
      </c>
      <c r="M39" s="8">
        <f>TB_Vendas[[#This Row],[Preço Unitário]]*TB_Vendas[[#This Row],[Qtd]]</f>
        <v>359.6</v>
      </c>
      <c r="N39" s="1" t="s">
        <v>126</v>
      </c>
    </row>
    <row r="40" spans="1:14" x14ac:dyDescent="0.3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0" t="str">
        <f>_xlfn.XLOOKUP(TB_Vendas[[#This Row],[Código]],TB_Produtos[Código],TB_Produtos[Categoria])</f>
        <v>Calçado</v>
      </c>
      <c r="F40" s="1">
        <v>2</v>
      </c>
      <c r="G40" s="28">
        <f>VLOOKUP(TB_Vendas[[#This Row],[Código]],Produtos!$B$6:$G$66,6,0)</f>
        <v>89.9</v>
      </c>
      <c r="H40" s="1">
        <f>_xlfn.XMATCH(TB_Vendas[[#This Row],[Categoria]],Desc_Categorias,0)</f>
        <v>4</v>
      </c>
      <c r="I40" s="67">
        <f>VLOOKUP(TB_Vendas[[#This Row],[Qtd]],Desc_TabelaToda,TB_Vendas[[#This Row],[Indice]],TRUE)</f>
        <v>0.1</v>
      </c>
      <c r="J40" s="67" cm="1">
        <f t="array" ref="J40">INDEX(Desc_TabelaToda,MATCH(TB_Vendas[[#This Row],[Qtd]],Desc_Quantidades,1),MATCH(_xlfn.XLOOKUP(TB_Vendas[[#This Row],[Código]],TB_Produtos[[#All],[Código]],TB_Produtos[[#All],[Categoria]]),Desc_Categorias,0))</f>
        <v>0.1</v>
      </c>
      <c r="K40" s="67">
        <f>_xlfn.XLOOKUP(TB_Vendas[[#This Row],[Vendedor]],Vendedores!$A$5:$A$9,Vendedores!$D$5:$D$9)</f>
        <v>0.2</v>
      </c>
      <c r="L40" s="67">
        <f>IF(TB_Vendas[[#This Row],[Desconto 
(Diretão)]]&lt;=TB_Vendas[[#This Row],[Desconto 
(Vendedor)]],TB_Vendas[[#This Row],[Desconto 
(Diretão)]],TB_Vendas[[#This Row],[Desconto 
(Vendedor)]])</f>
        <v>0.1</v>
      </c>
      <c r="M40" s="8">
        <f>TB_Vendas[[#This Row],[Preço Unitário]]*TB_Vendas[[#This Row],[Qtd]]</f>
        <v>179.8</v>
      </c>
      <c r="N40" s="1" t="s">
        <v>129</v>
      </c>
    </row>
    <row r="41" spans="1:14" x14ac:dyDescent="0.3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0" t="str">
        <f>_xlfn.XLOOKUP(TB_Vendas[[#This Row],[Código]],TB_Produtos[Código],TB_Produtos[Categoria])</f>
        <v>Vestuário</v>
      </c>
      <c r="F41" s="1">
        <v>3</v>
      </c>
      <c r="G41" s="28">
        <f>VLOOKUP(TB_Vendas[[#This Row],[Código]],Produtos!$B$6:$G$66,6,0)</f>
        <v>69.900000000000006</v>
      </c>
      <c r="H41" s="1">
        <f>_xlfn.XMATCH(TB_Vendas[[#This Row],[Categoria]],Desc_Categorias,0)</f>
        <v>3</v>
      </c>
      <c r="I41" s="67">
        <f>VLOOKUP(TB_Vendas[[#This Row],[Qtd]],Desc_TabelaToda,TB_Vendas[[#This Row],[Indice]],TRUE)</f>
        <v>0.2</v>
      </c>
      <c r="J41" s="67" cm="1">
        <f t="array" ref="J41">INDEX(Desc_TabelaToda,MATCH(TB_Vendas[[#This Row],[Qtd]],Desc_Quantidades,1),MATCH(_xlfn.XLOOKUP(TB_Vendas[[#This Row],[Código]],TB_Produtos[[#All],[Código]],TB_Produtos[[#All],[Categoria]]),Desc_Categorias,0))</f>
        <v>0.2</v>
      </c>
      <c r="K41" s="67">
        <f>_xlfn.XLOOKUP(TB_Vendas[[#This Row],[Vendedor]],Vendedores!$A$5:$A$9,Vendedores!$D$5:$D$9)</f>
        <v>0.2</v>
      </c>
      <c r="L41" s="67">
        <f>IF(TB_Vendas[[#This Row],[Desconto 
(Diretão)]]&lt;=TB_Vendas[[#This Row],[Desconto 
(Vendedor)]],TB_Vendas[[#This Row],[Desconto 
(Diretão)]],TB_Vendas[[#This Row],[Desconto 
(Vendedor)]])</f>
        <v>0.2</v>
      </c>
      <c r="M41" s="8">
        <f>TB_Vendas[[#This Row],[Preço Unitário]]*TB_Vendas[[#This Row],[Qtd]]</f>
        <v>209.70000000000002</v>
      </c>
      <c r="N41" s="1" t="s">
        <v>126</v>
      </c>
    </row>
    <row r="42" spans="1:14" x14ac:dyDescent="0.3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0" t="str">
        <f>_xlfn.XLOOKUP(TB_Vendas[[#This Row],[Código]],TB_Produtos[Código],TB_Produtos[Categoria])</f>
        <v>Acessórios</v>
      </c>
      <c r="F42" s="1">
        <v>1</v>
      </c>
      <c r="G42" s="28">
        <f>VLOOKUP(TB_Vendas[[#This Row],[Código]],Produtos!$B$6:$G$66,6,0)</f>
        <v>145</v>
      </c>
      <c r="H42" s="1">
        <f>_xlfn.XMATCH(TB_Vendas[[#This Row],[Categoria]],Desc_Categorias,0)</f>
        <v>2</v>
      </c>
      <c r="I42" s="67">
        <f>VLOOKUP(TB_Vendas[[#This Row],[Qtd]],Desc_TabelaToda,TB_Vendas[[#This Row],[Indice]],TRUE)</f>
        <v>0</v>
      </c>
      <c r="J42" s="67" cm="1">
        <f t="array" ref="J42">INDEX(Desc_TabelaToda,MATCH(TB_Vendas[[#This Row],[Qtd]],Desc_Quantidades,1),MATCH(_xlfn.XLOOKUP(TB_Vendas[[#This Row],[Código]],TB_Produtos[[#All],[Código]],TB_Produtos[[#All],[Categoria]]),Desc_Categorias,0))</f>
        <v>0</v>
      </c>
      <c r="K42" s="67">
        <f>_xlfn.XLOOKUP(TB_Vendas[[#This Row],[Vendedor]],Vendedores!$A$5:$A$9,Vendedores!$D$5:$D$9)</f>
        <v>0.15</v>
      </c>
      <c r="L42" s="67">
        <f>IF(TB_Vendas[[#This Row],[Desconto 
(Diretão)]]&lt;=TB_Vendas[[#This Row],[Desconto 
(Vendedor)]],TB_Vendas[[#This Row],[Desconto 
(Diretão)]],TB_Vendas[[#This Row],[Desconto 
(Vendedor)]])</f>
        <v>0</v>
      </c>
      <c r="M42" s="8">
        <f>TB_Vendas[[#This Row],[Preço Unitário]]*TB_Vendas[[#This Row],[Qtd]]</f>
        <v>145</v>
      </c>
      <c r="N42" s="1" t="s">
        <v>130</v>
      </c>
    </row>
    <row r="43" spans="1:14" x14ac:dyDescent="0.3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0" t="str">
        <f>_xlfn.XLOOKUP(TB_Vendas[[#This Row],[Código]],TB_Produtos[Código],TB_Produtos[Categoria])</f>
        <v>Vestuário</v>
      </c>
      <c r="F43" s="1">
        <v>4</v>
      </c>
      <c r="G43" s="28">
        <f>VLOOKUP(TB_Vendas[[#This Row],[Código]],Produtos!$B$6:$G$66,6,0)</f>
        <v>46.9</v>
      </c>
      <c r="H43" s="1">
        <f>_xlfn.XMATCH(TB_Vendas[[#This Row],[Categoria]],Desc_Categorias,0)</f>
        <v>3</v>
      </c>
      <c r="I43" s="67">
        <f>VLOOKUP(TB_Vendas[[#This Row],[Qtd]],Desc_TabelaToda,TB_Vendas[[#This Row],[Indice]],TRUE)</f>
        <v>0.2</v>
      </c>
      <c r="J43" s="67" cm="1">
        <f t="array" ref="J43">INDEX(Desc_TabelaToda,MATCH(TB_Vendas[[#This Row],[Qtd]],Desc_Quantidades,1),MATCH(_xlfn.XLOOKUP(TB_Vendas[[#This Row],[Código]],TB_Produtos[[#All],[Código]],TB_Produtos[[#All],[Categoria]]),Desc_Categorias,0))</f>
        <v>0.2</v>
      </c>
      <c r="K43" s="67">
        <f>_xlfn.XLOOKUP(TB_Vendas[[#This Row],[Vendedor]],Vendedores!$A$5:$A$9,Vendedores!$D$5:$D$9)</f>
        <v>0.2</v>
      </c>
      <c r="L43" s="67">
        <f>IF(TB_Vendas[[#This Row],[Desconto 
(Diretão)]]&lt;=TB_Vendas[[#This Row],[Desconto 
(Vendedor)]],TB_Vendas[[#This Row],[Desconto 
(Diretão)]],TB_Vendas[[#This Row],[Desconto 
(Vendedor)]])</f>
        <v>0.2</v>
      </c>
      <c r="M43" s="8">
        <f>TB_Vendas[[#This Row],[Preço Unitário]]*TB_Vendas[[#This Row],[Qtd]]</f>
        <v>187.6</v>
      </c>
      <c r="N43" s="1" t="s">
        <v>126</v>
      </c>
    </row>
    <row r="44" spans="1:14" x14ac:dyDescent="0.3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0" t="str">
        <f>_xlfn.XLOOKUP(TB_Vendas[[#This Row],[Código]],TB_Produtos[Código],TB_Produtos[Categoria])</f>
        <v>Vestuário</v>
      </c>
      <c r="F44" s="1">
        <v>2</v>
      </c>
      <c r="G44" s="28">
        <f>VLOOKUP(TB_Vendas[[#This Row],[Código]],Produtos!$B$6:$G$66,6,0)</f>
        <v>72.5</v>
      </c>
      <c r="H44" s="1">
        <f>_xlfn.XMATCH(TB_Vendas[[#This Row],[Categoria]],Desc_Categorias,0)</f>
        <v>3</v>
      </c>
      <c r="I44" s="67">
        <f>VLOOKUP(TB_Vendas[[#This Row],[Qtd]],Desc_TabelaToda,TB_Vendas[[#This Row],[Indice]],TRUE)</f>
        <v>0.15</v>
      </c>
      <c r="J44" s="67" cm="1">
        <f t="array" ref="J44">INDEX(Desc_TabelaToda,MATCH(TB_Vendas[[#This Row],[Qtd]],Desc_Quantidades,1),MATCH(_xlfn.XLOOKUP(TB_Vendas[[#This Row],[Código]],TB_Produtos[[#All],[Código]],TB_Produtos[[#All],[Categoria]]),Desc_Categorias,0))</f>
        <v>0.15</v>
      </c>
      <c r="K44" s="67">
        <f>_xlfn.XLOOKUP(TB_Vendas[[#This Row],[Vendedor]],Vendedores!$A$5:$A$9,Vendedores!$D$5:$D$9)</f>
        <v>0.15</v>
      </c>
      <c r="L44" s="67">
        <f>IF(TB_Vendas[[#This Row],[Desconto 
(Diretão)]]&lt;=TB_Vendas[[#This Row],[Desconto 
(Vendedor)]],TB_Vendas[[#This Row],[Desconto 
(Diretão)]],TB_Vendas[[#This Row],[Desconto 
(Vendedor)]])</f>
        <v>0.15</v>
      </c>
      <c r="M44" s="8">
        <f>TB_Vendas[[#This Row],[Preço Unitário]]*TB_Vendas[[#This Row],[Qtd]]</f>
        <v>145</v>
      </c>
      <c r="N44" s="1" t="s">
        <v>130</v>
      </c>
    </row>
    <row r="45" spans="1:14" x14ac:dyDescent="0.3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0" t="str">
        <f>_xlfn.XLOOKUP(TB_Vendas[[#This Row],[Código]],TB_Produtos[Código],TB_Produtos[Categoria])</f>
        <v>Vestuário</v>
      </c>
      <c r="F45" s="1">
        <v>3</v>
      </c>
      <c r="G45" s="28">
        <f>VLOOKUP(TB_Vendas[[#This Row],[Código]],Produtos!$B$6:$G$66,6,0)</f>
        <v>140</v>
      </c>
      <c r="H45" s="1">
        <f>_xlfn.XMATCH(TB_Vendas[[#This Row],[Categoria]],Desc_Categorias,0)</f>
        <v>3</v>
      </c>
      <c r="I45" s="67">
        <f>VLOOKUP(TB_Vendas[[#This Row],[Qtd]],Desc_TabelaToda,TB_Vendas[[#This Row],[Indice]],TRUE)</f>
        <v>0.2</v>
      </c>
      <c r="J45" s="67" cm="1">
        <f t="array" ref="J45">INDEX(Desc_TabelaToda,MATCH(TB_Vendas[[#This Row],[Qtd]],Desc_Quantidades,1),MATCH(_xlfn.XLOOKUP(TB_Vendas[[#This Row],[Código]],TB_Produtos[[#All],[Código]],TB_Produtos[[#All],[Categoria]]),Desc_Categorias,0))</f>
        <v>0.2</v>
      </c>
      <c r="K45" s="67">
        <f>_xlfn.XLOOKUP(TB_Vendas[[#This Row],[Vendedor]],Vendedores!$A$5:$A$9,Vendedores!$D$5:$D$9)</f>
        <v>0.2</v>
      </c>
      <c r="L45" s="67">
        <f>IF(TB_Vendas[[#This Row],[Desconto 
(Diretão)]]&lt;=TB_Vendas[[#This Row],[Desconto 
(Vendedor)]],TB_Vendas[[#This Row],[Desconto 
(Diretão)]],TB_Vendas[[#This Row],[Desconto 
(Vendedor)]])</f>
        <v>0.2</v>
      </c>
      <c r="M45" s="8">
        <f>TB_Vendas[[#This Row],[Preço Unitário]]*TB_Vendas[[#This Row],[Qtd]]</f>
        <v>420</v>
      </c>
      <c r="N45" s="1" t="s">
        <v>129</v>
      </c>
    </row>
    <row r="46" spans="1:14" x14ac:dyDescent="0.3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0" t="str">
        <f>_xlfn.XLOOKUP(TB_Vendas[[#This Row],[Código]],TB_Produtos[Código],TB_Produtos[Categoria])</f>
        <v>Vestuário</v>
      </c>
      <c r="F46" s="1">
        <v>1</v>
      </c>
      <c r="G46" s="28">
        <f>VLOOKUP(TB_Vendas[[#This Row],[Código]],Produtos!$B$6:$G$66,6,0)</f>
        <v>91.4</v>
      </c>
      <c r="H46" s="1">
        <f>_xlfn.XMATCH(TB_Vendas[[#This Row],[Categoria]],Desc_Categorias,0)</f>
        <v>3</v>
      </c>
      <c r="I46" s="67">
        <f>VLOOKUP(TB_Vendas[[#This Row],[Qtd]],Desc_TabelaToda,TB_Vendas[[#This Row],[Indice]],TRUE)</f>
        <v>0.1</v>
      </c>
      <c r="J46" s="67" cm="1">
        <f t="array" ref="J46">INDEX(Desc_TabelaToda,MATCH(TB_Vendas[[#This Row],[Qtd]],Desc_Quantidades,1),MATCH(_xlfn.XLOOKUP(TB_Vendas[[#This Row],[Código]],TB_Produtos[[#All],[Código]],TB_Produtos[[#All],[Categoria]]),Desc_Categorias,0))</f>
        <v>0.1</v>
      </c>
      <c r="K46" s="67">
        <f>_xlfn.XLOOKUP(TB_Vendas[[#This Row],[Vendedor]],Vendedores!$A$5:$A$9,Vendedores!$D$5:$D$9)</f>
        <v>0.15</v>
      </c>
      <c r="L46" s="67">
        <f>IF(TB_Vendas[[#This Row],[Desconto 
(Diretão)]]&lt;=TB_Vendas[[#This Row],[Desconto 
(Vendedor)]],TB_Vendas[[#This Row],[Desconto 
(Diretão)]],TB_Vendas[[#This Row],[Desconto 
(Vendedor)]])</f>
        <v>0.1</v>
      </c>
      <c r="M46" s="8">
        <f>TB_Vendas[[#This Row],[Preço Unitário]]*TB_Vendas[[#This Row],[Qtd]]</f>
        <v>91.4</v>
      </c>
      <c r="N46" s="1" t="s">
        <v>127</v>
      </c>
    </row>
    <row r="47" spans="1:14" x14ac:dyDescent="0.3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0" t="str">
        <f>_xlfn.XLOOKUP(TB_Vendas[[#This Row],[Código]],TB_Produtos[Código],TB_Produtos[Categoria])</f>
        <v>Acessórios</v>
      </c>
      <c r="F47" s="1">
        <v>2</v>
      </c>
      <c r="G47" s="28">
        <f>VLOOKUP(TB_Vendas[[#This Row],[Código]],Produtos!$B$6:$G$66,6,0)</f>
        <v>349.9</v>
      </c>
      <c r="H47" s="1">
        <f>_xlfn.XMATCH(TB_Vendas[[#This Row],[Categoria]],Desc_Categorias,0)</f>
        <v>2</v>
      </c>
      <c r="I47" s="67">
        <f>VLOOKUP(TB_Vendas[[#This Row],[Qtd]],Desc_TabelaToda,TB_Vendas[[#This Row],[Indice]],TRUE)</f>
        <v>0.05</v>
      </c>
      <c r="J47" s="67" cm="1">
        <f t="array" ref="J47">INDEX(Desc_TabelaToda,MATCH(TB_Vendas[[#This Row],[Qtd]],Desc_Quantidades,1),MATCH(_xlfn.XLOOKUP(TB_Vendas[[#This Row],[Código]],TB_Produtos[[#All],[Código]],TB_Produtos[[#All],[Categoria]]),Desc_Categorias,0))</f>
        <v>0.05</v>
      </c>
      <c r="K47" s="67">
        <f>_xlfn.XLOOKUP(TB_Vendas[[#This Row],[Vendedor]],Vendedores!$A$5:$A$9,Vendedores!$D$5:$D$9)</f>
        <v>0.2</v>
      </c>
      <c r="L47" s="67">
        <f>IF(TB_Vendas[[#This Row],[Desconto 
(Diretão)]]&lt;=TB_Vendas[[#This Row],[Desconto 
(Vendedor)]],TB_Vendas[[#This Row],[Desconto 
(Diretão)]],TB_Vendas[[#This Row],[Desconto 
(Vendedor)]])</f>
        <v>0.05</v>
      </c>
      <c r="M47" s="8">
        <f>TB_Vendas[[#This Row],[Preço Unitário]]*TB_Vendas[[#This Row],[Qtd]]</f>
        <v>699.8</v>
      </c>
      <c r="N47" s="1" t="s">
        <v>129</v>
      </c>
    </row>
    <row r="48" spans="1:14" x14ac:dyDescent="0.3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0" t="str">
        <f>_xlfn.XLOOKUP(TB_Vendas[[#This Row],[Código]],TB_Produtos[Código],TB_Produtos[Categoria])</f>
        <v>Vestuário</v>
      </c>
      <c r="F48" s="1">
        <v>3</v>
      </c>
      <c r="G48" s="28">
        <f>VLOOKUP(TB_Vendas[[#This Row],[Código]],Produtos!$B$6:$G$66,6,0)</f>
        <v>65.900000000000006</v>
      </c>
      <c r="H48" s="1">
        <f>_xlfn.XMATCH(TB_Vendas[[#This Row],[Categoria]],Desc_Categorias,0)</f>
        <v>3</v>
      </c>
      <c r="I48" s="67">
        <f>VLOOKUP(TB_Vendas[[#This Row],[Qtd]],Desc_TabelaToda,TB_Vendas[[#This Row],[Indice]],TRUE)</f>
        <v>0.2</v>
      </c>
      <c r="J48" s="67" cm="1">
        <f t="array" ref="J48">INDEX(Desc_TabelaToda,MATCH(TB_Vendas[[#This Row],[Qtd]],Desc_Quantidades,1),MATCH(_xlfn.XLOOKUP(TB_Vendas[[#This Row],[Código]],TB_Produtos[[#All],[Código]],TB_Produtos[[#All],[Categoria]]),Desc_Categorias,0))</f>
        <v>0.2</v>
      </c>
      <c r="K48" s="67">
        <f>_xlfn.XLOOKUP(TB_Vendas[[#This Row],[Vendedor]],Vendedores!$A$5:$A$9,Vendedores!$D$5:$D$9)</f>
        <v>0.15</v>
      </c>
      <c r="L48" s="67">
        <f>IF(TB_Vendas[[#This Row],[Desconto 
(Diretão)]]&lt;=TB_Vendas[[#This Row],[Desconto 
(Vendedor)]],TB_Vendas[[#This Row],[Desconto 
(Diretão)]],TB_Vendas[[#This Row],[Desconto 
(Vendedor)]])</f>
        <v>0.15</v>
      </c>
      <c r="M48" s="8">
        <f>TB_Vendas[[#This Row],[Preço Unitário]]*TB_Vendas[[#This Row],[Qtd]]</f>
        <v>197.70000000000002</v>
      </c>
      <c r="N48" s="1" t="s">
        <v>127</v>
      </c>
    </row>
    <row r="49" spans="1:14" x14ac:dyDescent="0.3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0" t="str">
        <f>_xlfn.XLOOKUP(TB_Vendas[[#This Row],[Código]],TB_Produtos[Código],TB_Produtos[Categoria])</f>
        <v>Vestuário</v>
      </c>
      <c r="F49" s="1">
        <v>2</v>
      </c>
      <c r="G49" s="28">
        <f>VLOOKUP(TB_Vendas[[#This Row],[Código]],Produtos!$B$6:$G$66,6,0)</f>
        <v>91.4</v>
      </c>
      <c r="H49" s="1">
        <f>_xlfn.XMATCH(TB_Vendas[[#This Row],[Categoria]],Desc_Categorias,0)</f>
        <v>3</v>
      </c>
      <c r="I49" s="67">
        <f>VLOOKUP(TB_Vendas[[#This Row],[Qtd]],Desc_TabelaToda,TB_Vendas[[#This Row],[Indice]],TRUE)</f>
        <v>0.15</v>
      </c>
      <c r="J49" s="67" cm="1">
        <f t="array" ref="J49">INDEX(Desc_TabelaToda,MATCH(TB_Vendas[[#This Row],[Qtd]],Desc_Quantidades,1),MATCH(_xlfn.XLOOKUP(TB_Vendas[[#This Row],[Código]],TB_Produtos[[#All],[Código]],TB_Produtos[[#All],[Categoria]]),Desc_Categorias,0))</f>
        <v>0.15</v>
      </c>
      <c r="K49" s="67">
        <f>_xlfn.XLOOKUP(TB_Vendas[[#This Row],[Vendedor]],Vendedores!$A$5:$A$9,Vendedores!$D$5:$D$9)</f>
        <v>0.2</v>
      </c>
      <c r="L49" s="67">
        <f>IF(TB_Vendas[[#This Row],[Desconto 
(Diretão)]]&lt;=TB_Vendas[[#This Row],[Desconto 
(Vendedor)]],TB_Vendas[[#This Row],[Desconto 
(Diretão)]],TB_Vendas[[#This Row],[Desconto 
(Vendedor)]])</f>
        <v>0.15</v>
      </c>
      <c r="M49" s="8">
        <f>TB_Vendas[[#This Row],[Preço Unitário]]*TB_Vendas[[#This Row],[Qtd]]</f>
        <v>182.8</v>
      </c>
      <c r="N49" s="1" t="s">
        <v>126</v>
      </c>
    </row>
    <row r="50" spans="1:14" x14ac:dyDescent="0.3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0" t="str">
        <f>_xlfn.XLOOKUP(TB_Vendas[[#This Row],[Código]],TB_Produtos[Código],TB_Produtos[Categoria])</f>
        <v>Acessórios</v>
      </c>
      <c r="F50" s="1">
        <v>4</v>
      </c>
      <c r="G50" s="28">
        <f>VLOOKUP(TB_Vendas[[#This Row],[Código]],Produtos!$B$6:$G$66,6,0)</f>
        <v>259.89999999999998</v>
      </c>
      <c r="H50" s="1">
        <f>_xlfn.XMATCH(TB_Vendas[[#This Row],[Categoria]],Desc_Categorias,0)</f>
        <v>2</v>
      </c>
      <c r="I50" s="67">
        <f>VLOOKUP(TB_Vendas[[#This Row],[Qtd]],Desc_TabelaToda,TB_Vendas[[#This Row],[Indice]],TRUE)</f>
        <v>0.15</v>
      </c>
      <c r="J50" s="67" cm="1">
        <f t="array" ref="J50">INDEX(Desc_TabelaToda,MATCH(TB_Vendas[[#This Row],[Qtd]],Desc_Quantidades,1),MATCH(_xlfn.XLOOKUP(TB_Vendas[[#This Row],[Código]],TB_Produtos[[#All],[Código]],TB_Produtos[[#All],[Categoria]]),Desc_Categorias,0))</f>
        <v>0.15</v>
      </c>
      <c r="K50" s="67">
        <f>_xlfn.XLOOKUP(TB_Vendas[[#This Row],[Vendedor]],Vendedores!$A$5:$A$9,Vendedores!$D$5:$D$9)</f>
        <v>0.15</v>
      </c>
      <c r="L50" s="67">
        <f>IF(TB_Vendas[[#This Row],[Desconto 
(Diretão)]]&lt;=TB_Vendas[[#This Row],[Desconto 
(Vendedor)]],TB_Vendas[[#This Row],[Desconto 
(Diretão)]],TB_Vendas[[#This Row],[Desconto 
(Vendedor)]])</f>
        <v>0.15</v>
      </c>
      <c r="M50" s="8">
        <f>TB_Vendas[[#This Row],[Preço Unitário]]*TB_Vendas[[#This Row],[Qtd]]</f>
        <v>1039.5999999999999</v>
      </c>
      <c r="N50" s="1" t="s">
        <v>127</v>
      </c>
    </row>
    <row r="51" spans="1:14" x14ac:dyDescent="0.3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0" t="str">
        <f>_xlfn.XLOOKUP(TB_Vendas[[#This Row],[Código]],TB_Produtos[Código],TB_Produtos[Categoria])</f>
        <v>Acessórios</v>
      </c>
      <c r="F51" s="1">
        <v>3</v>
      </c>
      <c r="G51" s="28">
        <f>VLOOKUP(TB_Vendas[[#This Row],[Código]],Produtos!$B$6:$G$66,6,0)</f>
        <v>145</v>
      </c>
      <c r="H51" s="1">
        <f>_xlfn.XMATCH(TB_Vendas[[#This Row],[Categoria]],Desc_Categorias,0)</f>
        <v>2</v>
      </c>
      <c r="I51" s="67">
        <f>VLOOKUP(TB_Vendas[[#This Row],[Qtd]],Desc_TabelaToda,TB_Vendas[[#This Row],[Indice]],TRUE)</f>
        <v>0.15</v>
      </c>
      <c r="J51" s="67" cm="1">
        <f t="array" ref="J51">INDEX(Desc_TabelaToda,MATCH(TB_Vendas[[#This Row],[Qtd]],Desc_Quantidades,1),MATCH(_xlfn.XLOOKUP(TB_Vendas[[#This Row],[Código]],TB_Produtos[[#All],[Código]],TB_Produtos[[#All],[Categoria]]),Desc_Categorias,0))</f>
        <v>0.15</v>
      </c>
      <c r="K51" s="67">
        <f>_xlfn.XLOOKUP(TB_Vendas[[#This Row],[Vendedor]],Vendedores!$A$5:$A$9,Vendedores!$D$5:$D$9)</f>
        <v>0.2</v>
      </c>
      <c r="L51" s="67">
        <f>IF(TB_Vendas[[#This Row],[Desconto 
(Diretão)]]&lt;=TB_Vendas[[#This Row],[Desconto 
(Vendedor)]],TB_Vendas[[#This Row],[Desconto 
(Diretão)]],TB_Vendas[[#This Row],[Desconto 
(Vendedor)]])</f>
        <v>0.15</v>
      </c>
      <c r="M51" s="8">
        <f>TB_Vendas[[#This Row],[Preço Unitário]]*TB_Vendas[[#This Row],[Qtd]]</f>
        <v>435</v>
      </c>
      <c r="N51" s="1" t="s">
        <v>126</v>
      </c>
    </row>
    <row r="52" spans="1:14" x14ac:dyDescent="0.3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0" t="str">
        <f>_xlfn.XLOOKUP(TB_Vendas[[#This Row],[Código]],TB_Produtos[Código],TB_Produtos[Categoria])</f>
        <v>Vestuário</v>
      </c>
      <c r="F52" s="1">
        <v>2</v>
      </c>
      <c r="G52" s="28">
        <f>VLOOKUP(TB_Vendas[[#This Row],[Código]],Produtos!$B$6:$G$66,6,0)</f>
        <v>142.9</v>
      </c>
      <c r="H52" s="1">
        <f>_xlfn.XMATCH(TB_Vendas[[#This Row],[Categoria]],Desc_Categorias,0)</f>
        <v>3</v>
      </c>
      <c r="I52" s="67">
        <f>VLOOKUP(TB_Vendas[[#This Row],[Qtd]],Desc_TabelaToda,TB_Vendas[[#This Row],[Indice]],TRUE)</f>
        <v>0.15</v>
      </c>
      <c r="J52" s="67" cm="1">
        <f t="array" ref="J52">INDEX(Desc_TabelaToda,MATCH(TB_Vendas[[#This Row],[Qtd]],Desc_Quantidades,1),MATCH(_xlfn.XLOOKUP(TB_Vendas[[#This Row],[Código]],TB_Produtos[[#All],[Código]],TB_Produtos[[#All],[Categoria]]),Desc_Categorias,0))</f>
        <v>0.15</v>
      </c>
      <c r="K52" s="67">
        <f>_xlfn.XLOOKUP(TB_Vendas[[#This Row],[Vendedor]],Vendedores!$A$5:$A$9,Vendedores!$D$5:$D$9)</f>
        <v>0.1</v>
      </c>
      <c r="L52" s="67">
        <f>IF(TB_Vendas[[#This Row],[Desconto 
(Diretão)]]&lt;=TB_Vendas[[#This Row],[Desconto 
(Vendedor)]],TB_Vendas[[#This Row],[Desconto 
(Diretão)]],TB_Vendas[[#This Row],[Desconto 
(Vendedor)]])</f>
        <v>0.1</v>
      </c>
      <c r="M52" s="8">
        <f>TB_Vendas[[#This Row],[Preço Unitário]]*TB_Vendas[[#This Row],[Qtd]]</f>
        <v>285.8</v>
      </c>
      <c r="N52" s="1" t="s">
        <v>128</v>
      </c>
    </row>
    <row r="53" spans="1:14" x14ac:dyDescent="0.3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0" t="str">
        <f>_xlfn.XLOOKUP(TB_Vendas[[#This Row],[Código]],TB_Produtos[Código],TB_Produtos[Categoria])</f>
        <v>Vestuário</v>
      </c>
      <c r="F53" s="1">
        <v>2</v>
      </c>
      <c r="G53" s="28">
        <f>VLOOKUP(TB_Vendas[[#This Row],[Código]],Produtos!$B$6:$G$66,6,0)</f>
        <v>180</v>
      </c>
      <c r="H53" s="1">
        <f>_xlfn.XMATCH(TB_Vendas[[#This Row],[Categoria]],Desc_Categorias,0)</f>
        <v>3</v>
      </c>
      <c r="I53" s="67">
        <f>VLOOKUP(TB_Vendas[[#This Row],[Qtd]],Desc_TabelaToda,TB_Vendas[[#This Row],[Indice]],TRUE)</f>
        <v>0.15</v>
      </c>
      <c r="J53" s="67" cm="1">
        <f t="array" ref="J53">INDEX(Desc_TabelaToda,MATCH(TB_Vendas[[#This Row],[Qtd]],Desc_Quantidades,1),MATCH(_xlfn.XLOOKUP(TB_Vendas[[#This Row],[Código]],TB_Produtos[[#All],[Código]],TB_Produtos[[#All],[Categoria]]),Desc_Categorias,0))</f>
        <v>0.15</v>
      </c>
      <c r="K53" s="67">
        <f>_xlfn.XLOOKUP(TB_Vendas[[#This Row],[Vendedor]],Vendedores!$A$5:$A$9,Vendedores!$D$5:$D$9)</f>
        <v>0.2</v>
      </c>
      <c r="L53" s="67">
        <f>IF(TB_Vendas[[#This Row],[Desconto 
(Diretão)]]&lt;=TB_Vendas[[#This Row],[Desconto 
(Vendedor)]],TB_Vendas[[#This Row],[Desconto 
(Diretão)]],TB_Vendas[[#This Row],[Desconto 
(Vendedor)]])</f>
        <v>0.15</v>
      </c>
      <c r="M53" s="8">
        <f>TB_Vendas[[#This Row],[Preço Unitário]]*TB_Vendas[[#This Row],[Qtd]]</f>
        <v>360</v>
      </c>
      <c r="N53" s="1" t="s">
        <v>126</v>
      </c>
    </row>
    <row r="54" spans="1:14" x14ac:dyDescent="0.3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0" t="str">
        <f>_xlfn.XLOOKUP(TB_Vendas[[#This Row],[Código]],TB_Produtos[Código],TB_Produtos[Categoria])</f>
        <v>Vestuário</v>
      </c>
      <c r="F54" s="1">
        <v>2</v>
      </c>
      <c r="G54" s="28">
        <f>VLOOKUP(TB_Vendas[[#This Row],[Código]],Produtos!$B$6:$G$66,6,0)</f>
        <v>42.5</v>
      </c>
      <c r="H54" s="1">
        <f>_xlfn.XMATCH(TB_Vendas[[#This Row],[Categoria]],Desc_Categorias,0)</f>
        <v>3</v>
      </c>
      <c r="I54" s="67">
        <f>VLOOKUP(TB_Vendas[[#This Row],[Qtd]],Desc_TabelaToda,TB_Vendas[[#This Row],[Indice]],TRUE)</f>
        <v>0.15</v>
      </c>
      <c r="J54" s="67" cm="1">
        <f t="array" ref="J54">INDEX(Desc_TabelaToda,MATCH(TB_Vendas[[#This Row],[Qtd]],Desc_Quantidades,1),MATCH(_xlfn.XLOOKUP(TB_Vendas[[#This Row],[Código]],TB_Produtos[[#All],[Código]],TB_Produtos[[#All],[Categoria]]),Desc_Categorias,0))</f>
        <v>0.15</v>
      </c>
      <c r="K54" s="67">
        <f>_xlfn.XLOOKUP(TB_Vendas[[#This Row],[Vendedor]],Vendedores!$A$5:$A$9,Vendedores!$D$5:$D$9)</f>
        <v>0.1</v>
      </c>
      <c r="L54" s="67">
        <f>IF(TB_Vendas[[#This Row],[Desconto 
(Diretão)]]&lt;=TB_Vendas[[#This Row],[Desconto 
(Vendedor)]],TB_Vendas[[#This Row],[Desconto 
(Diretão)]],TB_Vendas[[#This Row],[Desconto 
(Vendedor)]])</f>
        <v>0.1</v>
      </c>
      <c r="M54" s="8">
        <f>TB_Vendas[[#This Row],[Preço Unitário]]*TB_Vendas[[#This Row],[Qtd]]</f>
        <v>85</v>
      </c>
      <c r="N54" s="1" t="s">
        <v>128</v>
      </c>
    </row>
    <row r="55" spans="1:14" x14ac:dyDescent="0.3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0" t="str">
        <f>_xlfn.XLOOKUP(TB_Vendas[[#This Row],[Código]],TB_Produtos[Código],TB_Produtos[Categoria])</f>
        <v>Vestuário</v>
      </c>
      <c r="F55" s="1">
        <v>1</v>
      </c>
      <c r="G55" s="28">
        <f>VLOOKUP(TB_Vendas[[#This Row],[Código]],Produtos!$B$6:$G$66,6,0)</f>
        <v>65.900000000000006</v>
      </c>
      <c r="H55" s="1">
        <f>_xlfn.XMATCH(TB_Vendas[[#This Row],[Categoria]],Desc_Categorias,0)</f>
        <v>3</v>
      </c>
      <c r="I55" s="67">
        <f>VLOOKUP(TB_Vendas[[#This Row],[Qtd]],Desc_TabelaToda,TB_Vendas[[#This Row],[Indice]],TRUE)</f>
        <v>0.1</v>
      </c>
      <c r="J55" s="67" cm="1">
        <f t="array" ref="J55">INDEX(Desc_TabelaToda,MATCH(TB_Vendas[[#This Row],[Qtd]],Desc_Quantidades,1),MATCH(_xlfn.XLOOKUP(TB_Vendas[[#This Row],[Código]],TB_Produtos[[#All],[Código]],TB_Produtos[[#All],[Categoria]]),Desc_Categorias,0))</f>
        <v>0.1</v>
      </c>
      <c r="K55" s="67">
        <f>_xlfn.XLOOKUP(TB_Vendas[[#This Row],[Vendedor]],Vendedores!$A$5:$A$9,Vendedores!$D$5:$D$9)</f>
        <v>0.15</v>
      </c>
      <c r="L55" s="67">
        <f>IF(TB_Vendas[[#This Row],[Desconto 
(Diretão)]]&lt;=TB_Vendas[[#This Row],[Desconto 
(Vendedor)]],TB_Vendas[[#This Row],[Desconto 
(Diretão)]],TB_Vendas[[#This Row],[Desconto 
(Vendedor)]])</f>
        <v>0.1</v>
      </c>
      <c r="M55" s="8">
        <f>TB_Vendas[[#This Row],[Preço Unitário]]*TB_Vendas[[#This Row],[Qtd]]</f>
        <v>65.900000000000006</v>
      </c>
      <c r="N55" s="1" t="s">
        <v>127</v>
      </c>
    </row>
    <row r="56" spans="1:14" x14ac:dyDescent="0.3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0" t="str">
        <f>_xlfn.XLOOKUP(TB_Vendas[[#This Row],[Código]],TB_Produtos[Código],TB_Produtos[Categoria])</f>
        <v>Vestuário</v>
      </c>
      <c r="F56" s="1">
        <v>1</v>
      </c>
      <c r="G56" s="28">
        <f>VLOOKUP(TB_Vendas[[#This Row],[Código]],Produtos!$B$6:$G$66,6,0)</f>
        <v>180</v>
      </c>
      <c r="H56" s="1">
        <f>_xlfn.XMATCH(TB_Vendas[[#This Row],[Categoria]],Desc_Categorias,0)</f>
        <v>3</v>
      </c>
      <c r="I56" s="67">
        <f>VLOOKUP(TB_Vendas[[#This Row],[Qtd]],Desc_TabelaToda,TB_Vendas[[#This Row],[Indice]],TRUE)</f>
        <v>0.1</v>
      </c>
      <c r="J56" s="67" cm="1">
        <f t="array" ref="J56">INDEX(Desc_TabelaToda,MATCH(TB_Vendas[[#This Row],[Qtd]],Desc_Quantidades,1),MATCH(_xlfn.XLOOKUP(TB_Vendas[[#This Row],[Código]],TB_Produtos[[#All],[Código]],TB_Produtos[[#All],[Categoria]]),Desc_Categorias,0))</f>
        <v>0.1</v>
      </c>
      <c r="K56" s="67">
        <f>_xlfn.XLOOKUP(TB_Vendas[[#This Row],[Vendedor]],Vendedores!$A$5:$A$9,Vendedores!$D$5:$D$9)</f>
        <v>0.1</v>
      </c>
      <c r="L56" s="67">
        <f>IF(TB_Vendas[[#This Row],[Desconto 
(Diretão)]]&lt;=TB_Vendas[[#This Row],[Desconto 
(Vendedor)]],TB_Vendas[[#This Row],[Desconto 
(Diretão)]],TB_Vendas[[#This Row],[Desconto 
(Vendedor)]])</f>
        <v>0.1</v>
      </c>
      <c r="M56" s="8">
        <f>TB_Vendas[[#This Row],[Preço Unitário]]*TB_Vendas[[#This Row],[Qtd]]</f>
        <v>180</v>
      </c>
      <c r="N56" s="1" t="s">
        <v>128</v>
      </c>
    </row>
    <row r="57" spans="1:14" x14ac:dyDescent="0.3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0" t="str">
        <f>_xlfn.XLOOKUP(TB_Vendas[[#This Row],[Código]],TB_Produtos[Código],TB_Produtos[Categoria])</f>
        <v>Vestuário</v>
      </c>
      <c r="F57" s="1">
        <v>3</v>
      </c>
      <c r="G57" s="28">
        <f>VLOOKUP(TB_Vendas[[#This Row],[Código]],Produtos!$B$6:$G$66,6,0)</f>
        <v>32.9</v>
      </c>
      <c r="H57" s="1">
        <f>_xlfn.XMATCH(TB_Vendas[[#This Row],[Categoria]],Desc_Categorias,0)</f>
        <v>3</v>
      </c>
      <c r="I57" s="67">
        <f>VLOOKUP(TB_Vendas[[#This Row],[Qtd]],Desc_TabelaToda,TB_Vendas[[#This Row],[Indice]],TRUE)</f>
        <v>0.2</v>
      </c>
      <c r="J57" s="67" cm="1">
        <f t="array" ref="J57">INDEX(Desc_TabelaToda,MATCH(TB_Vendas[[#This Row],[Qtd]],Desc_Quantidades,1),MATCH(_xlfn.XLOOKUP(TB_Vendas[[#This Row],[Código]],TB_Produtos[[#All],[Código]],TB_Produtos[[#All],[Categoria]]),Desc_Categorias,0))</f>
        <v>0.2</v>
      </c>
      <c r="K57" s="67">
        <f>_xlfn.XLOOKUP(TB_Vendas[[#This Row],[Vendedor]],Vendedores!$A$5:$A$9,Vendedores!$D$5:$D$9)</f>
        <v>0.15</v>
      </c>
      <c r="L57" s="67">
        <f>IF(TB_Vendas[[#This Row],[Desconto 
(Diretão)]]&lt;=TB_Vendas[[#This Row],[Desconto 
(Vendedor)]],TB_Vendas[[#This Row],[Desconto 
(Diretão)]],TB_Vendas[[#This Row],[Desconto 
(Vendedor)]])</f>
        <v>0.15</v>
      </c>
      <c r="M57" s="8">
        <f>TB_Vendas[[#This Row],[Preço Unitário]]*TB_Vendas[[#This Row],[Qtd]]</f>
        <v>98.699999999999989</v>
      </c>
      <c r="N57" s="1" t="s">
        <v>127</v>
      </c>
    </row>
    <row r="58" spans="1:14" x14ac:dyDescent="0.3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0" t="str">
        <f>_xlfn.XLOOKUP(TB_Vendas[[#This Row],[Código]],TB_Produtos[Código],TB_Produtos[Categoria])</f>
        <v>Vestuário</v>
      </c>
      <c r="F58" s="1">
        <v>4</v>
      </c>
      <c r="G58" s="28">
        <f>VLOOKUP(TB_Vendas[[#This Row],[Código]],Produtos!$B$6:$G$66,6,0)</f>
        <v>92.9</v>
      </c>
      <c r="H58" s="1">
        <f>_xlfn.XMATCH(TB_Vendas[[#This Row],[Categoria]],Desc_Categorias,0)</f>
        <v>3</v>
      </c>
      <c r="I58" s="67">
        <f>VLOOKUP(TB_Vendas[[#This Row],[Qtd]],Desc_TabelaToda,TB_Vendas[[#This Row],[Indice]],TRUE)</f>
        <v>0.2</v>
      </c>
      <c r="J58" s="67" cm="1">
        <f t="array" ref="J58">INDEX(Desc_TabelaToda,MATCH(TB_Vendas[[#This Row],[Qtd]],Desc_Quantidades,1),MATCH(_xlfn.XLOOKUP(TB_Vendas[[#This Row],[Código]],TB_Produtos[[#All],[Código]],TB_Produtos[[#All],[Categoria]]),Desc_Categorias,0))</f>
        <v>0.2</v>
      </c>
      <c r="K58" s="67">
        <f>_xlfn.XLOOKUP(TB_Vendas[[#This Row],[Vendedor]],Vendedores!$A$5:$A$9,Vendedores!$D$5:$D$9)</f>
        <v>0.2</v>
      </c>
      <c r="L58" s="67">
        <f>IF(TB_Vendas[[#This Row],[Desconto 
(Diretão)]]&lt;=TB_Vendas[[#This Row],[Desconto 
(Vendedor)]],TB_Vendas[[#This Row],[Desconto 
(Diretão)]],TB_Vendas[[#This Row],[Desconto 
(Vendedor)]])</f>
        <v>0.2</v>
      </c>
      <c r="M58" s="8">
        <f>TB_Vendas[[#This Row],[Preço Unitário]]*TB_Vendas[[#This Row],[Qtd]]</f>
        <v>371.6</v>
      </c>
      <c r="N58" s="1" t="s">
        <v>126</v>
      </c>
    </row>
    <row r="59" spans="1:14" x14ac:dyDescent="0.3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0" t="str">
        <f>_xlfn.XLOOKUP(TB_Vendas[[#This Row],[Código]],TB_Produtos[Código],TB_Produtos[Categoria])</f>
        <v>Calçado</v>
      </c>
      <c r="F59" s="1">
        <v>2</v>
      </c>
      <c r="G59" s="28">
        <f>VLOOKUP(TB_Vendas[[#This Row],[Código]],Produtos!$B$6:$G$66,6,0)</f>
        <v>259.89999999999998</v>
      </c>
      <c r="H59" s="1">
        <f>_xlfn.XMATCH(TB_Vendas[[#This Row],[Categoria]],Desc_Categorias,0)</f>
        <v>4</v>
      </c>
      <c r="I59" s="67">
        <f>VLOOKUP(TB_Vendas[[#This Row],[Qtd]],Desc_TabelaToda,TB_Vendas[[#This Row],[Indice]],TRUE)</f>
        <v>0.1</v>
      </c>
      <c r="J59" s="67" cm="1">
        <f t="array" ref="J59">INDEX(Desc_TabelaToda,MATCH(TB_Vendas[[#This Row],[Qtd]],Desc_Quantidades,1),MATCH(_xlfn.XLOOKUP(TB_Vendas[[#This Row],[Código]],TB_Produtos[[#All],[Código]],TB_Produtos[[#All],[Categoria]]),Desc_Categorias,0))</f>
        <v>0.1</v>
      </c>
      <c r="K59" s="67">
        <f>_xlfn.XLOOKUP(TB_Vendas[[#This Row],[Vendedor]],Vendedores!$A$5:$A$9,Vendedores!$D$5:$D$9)</f>
        <v>0.1</v>
      </c>
      <c r="L59" s="67">
        <f>IF(TB_Vendas[[#This Row],[Desconto 
(Diretão)]]&lt;=TB_Vendas[[#This Row],[Desconto 
(Vendedor)]],TB_Vendas[[#This Row],[Desconto 
(Diretão)]],TB_Vendas[[#This Row],[Desconto 
(Vendedor)]])</f>
        <v>0.1</v>
      </c>
      <c r="M59" s="8">
        <f>TB_Vendas[[#This Row],[Preço Unitário]]*TB_Vendas[[#This Row],[Qtd]]</f>
        <v>519.79999999999995</v>
      </c>
      <c r="N59" s="1" t="s">
        <v>128</v>
      </c>
    </row>
    <row r="60" spans="1:14" x14ac:dyDescent="0.3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0" t="str">
        <f>_xlfn.XLOOKUP(TB_Vendas[[#This Row],[Código]],TB_Produtos[Código],TB_Produtos[Categoria])</f>
        <v>Vestuário</v>
      </c>
      <c r="F60" s="1">
        <v>1</v>
      </c>
      <c r="G60" s="28">
        <f>VLOOKUP(TB_Vendas[[#This Row],[Código]],Produtos!$B$6:$G$66,6,0)</f>
        <v>259.89999999999998</v>
      </c>
      <c r="H60" s="1">
        <f>_xlfn.XMATCH(TB_Vendas[[#This Row],[Categoria]],Desc_Categorias,0)</f>
        <v>3</v>
      </c>
      <c r="I60" s="67">
        <f>VLOOKUP(TB_Vendas[[#This Row],[Qtd]],Desc_TabelaToda,TB_Vendas[[#This Row],[Indice]],TRUE)</f>
        <v>0.1</v>
      </c>
      <c r="J60" s="67" cm="1">
        <f t="array" ref="J60">INDEX(Desc_TabelaToda,MATCH(TB_Vendas[[#This Row],[Qtd]],Desc_Quantidades,1),MATCH(_xlfn.XLOOKUP(TB_Vendas[[#This Row],[Código]],TB_Produtos[[#All],[Código]],TB_Produtos[[#All],[Categoria]]),Desc_Categorias,0))</f>
        <v>0.1</v>
      </c>
      <c r="K60" s="67">
        <f>_xlfn.XLOOKUP(TB_Vendas[[#This Row],[Vendedor]],Vendedores!$A$5:$A$9,Vendedores!$D$5:$D$9)</f>
        <v>0.15</v>
      </c>
      <c r="L60" s="67">
        <f>IF(TB_Vendas[[#This Row],[Desconto 
(Diretão)]]&lt;=TB_Vendas[[#This Row],[Desconto 
(Vendedor)]],TB_Vendas[[#This Row],[Desconto 
(Diretão)]],TB_Vendas[[#This Row],[Desconto 
(Vendedor)]])</f>
        <v>0.1</v>
      </c>
      <c r="M60" s="8">
        <f>TB_Vendas[[#This Row],[Preço Unitário]]*TB_Vendas[[#This Row],[Qtd]]</f>
        <v>259.89999999999998</v>
      </c>
      <c r="N60" s="1" t="s">
        <v>130</v>
      </c>
    </row>
    <row r="61" spans="1:14" x14ac:dyDescent="0.3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0" t="str">
        <f>_xlfn.XLOOKUP(TB_Vendas[[#This Row],[Código]],TB_Produtos[Código],TB_Produtos[Categoria])</f>
        <v>Vestuário</v>
      </c>
      <c r="F61" s="1">
        <v>5</v>
      </c>
      <c r="G61" s="28">
        <f>VLOOKUP(TB_Vendas[[#This Row],[Código]],Produtos!$B$6:$G$66,6,0)</f>
        <v>42.5</v>
      </c>
      <c r="H61" s="1">
        <f>_xlfn.XMATCH(TB_Vendas[[#This Row],[Categoria]],Desc_Categorias,0)</f>
        <v>3</v>
      </c>
      <c r="I61" s="67">
        <f>VLOOKUP(TB_Vendas[[#This Row],[Qtd]],Desc_TabelaToda,TB_Vendas[[#This Row],[Indice]],TRUE)</f>
        <v>0.25</v>
      </c>
      <c r="J61" s="67" cm="1">
        <f t="array" ref="J61">INDEX(Desc_TabelaToda,MATCH(TB_Vendas[[#This Row],[Qtd]],Desc_Quantidades,1),MATCH(_xlfn.XLOOKUP(TB_Vendas[[#This Row],[Código]],TB_Produtos[[#All],[Código]],TB_Produtos[[#All],[Categoria]]),Desc_Categorias,0))</f>
        <v>0.25</v>
      </c>
      <c r="K61" s="67">
        <f>_xlfn.XLOOKUP(TB_Vendas[[#This Row],[Vendedor]],Vendedores!$A$5:$A$9,Vendedores!$D$5:$D$9)</f>
        <v>0.15</v>
      </c>
      <c r="L61" s="67">
        <f>IF(TB_Vendas[[#This Row],[Desconto 
(Diretão)]]&lt;=TB_Vendas[[#This Row],[Desconto 
(Vendedor)]],TB_Vendas[[#This Row],[Desconto 
(Diretão)]],TB_Vendas[[#This Row],[Desconto 
(Vendedor)]])</f>
        <v>0.15</v>
      </c>
      <c r="M61" s="8">
        <f>TB_Vendas[[#This Row],[Preço Unitário]]*TB_Vendas[[#This Row],[Qtd]]</f>
        <v>212.5</v>
      </c>
      <c r="N61" s="1" t="s">
        <v>130</v>
      </c>
    </row>
    <row r="62" spans="1:14" x14ac:dyDescent="0.3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0" t="str">
        <f>_xlfn.XLOOKUP(TB_Vendas[[#This Row],[Código]],TB_Produtos[Código],TB_Produtos[Categoria])</f>
        <v>Vestuário</v>
      </c>
      <c r="F62" s="1">
        <v>2</v>
      </c>
      <c r="G62" s="28">
        <f>VLOOKUP(TB_Vendas[[#This Row],[Código]],Produtos!$B$6:$G$66,6,0)</f>
        <v>32.9</v>
      </c>
      <c r="H62" s="1">
        <f>_xlfn.XMATCH(TB_Vendas[[#This Row],[Categoria]],Desc_Categorias,0)</f>
        <v>3</v>
      </c>
      <c r="I62" s="67">
        <f>VLOOKUP(TB_Vendas[[#This Row],[Qtd]],Desc_TabelaToda,TB_Vendas[[#This Row],[Indice]],TRUE)</f>
        <v>0.15</v>
      </c>
      <c r="J62" s="67" cm="1">
        <f t="array" ref="J62">INDEX(Desc_TabelaToda,MATCH(TB_Vendas[[#This Row],[Qtd]],Desc_Quantidades,1),MATCH(_xlfn.XLOOKUP(TB_Vendas[[#This Row],[Código]],TB_Produtos[[#All],[Código]],TB_Produtos[[#All],[Categoria]]),Desc_Categorias,0))</f>
        <v>0.15</v>
      </c>
      <c r="K62" s="67">
        <f>_xlfn.XLOOKUP(TB_Vendas[[#This Row],[Vendedor]],Vendedores!$A$5:$A$9,Vendedores!$D$5:$D$9)</f>
        <v>0.15</v>
      </c>
      <c r="L62" s="67">
        <f>IF(TB_Vendas[[#This Row],[Desconto 
(Diretão)]]&lt;=TB_Vendas[[#This Row],[Desconto 
(Vendedor)]],TB_Vendas[[#This Row],[Desconto 
(Diretão)]],TB_Vendas[[#This Row],[Desconto 
(Vendedor)]])</f>
        <v>0.15</v>
      </c>
      <c r="M62" s="8">
        <f>TB_Vendas[[#This Row],[Preço Unitário]]*TB_Vendas[[#This Row],[Qtd]]</f>
        <v>65.8</v>
      </c>
      <c r="N62" s="1" t="s">
        <v>130</v>
      </c>
    </row>
    <row r="63" spans="1:14" x14ac:dyDescent="0.3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0" t="str">
        <f>_xlfn.XLOOKUP(TB_Vendas[[#This Row],[Código]],TB_Produtos[Código],TB_Produtos[Categoria])</f>
        <v>Vestuário</v>
      </c>
      <c r="F63" s="1">
        <v>3</v>
      </c>
      <c r="G63" s="28">
        <f>VLOOKUP(TB_Vendas[[#This Row],[Código]],Produtos!$B$6:$G$66,6,0)</f>
        <v>92.9</v>
      </c>
      <c r="H63" s="1">
        <f>_xlfn.XMATCH(TB_Vendas[[#This Row],[Categoria]],Desc_Categorias,0)</f>
        <v>3</v>
      </c>
      <c r="I63" s="67">
        <f>VLOOKUP(TB_Vendas[[#This Row],[Qtd]],Desc_TabelaToda,TB_Vendas[[#This Row],[Indice]],TRUE)</f>
        <v>0.2</v>
      </c>
      <c r="J63" s="67" cm="1">
        <f t="array" ref="J63">INDEX(Desc_TabelaToda,MATCH(TB_Vendas[[#This Row],[Qtd]],Desc_Quantidades,1),MATCH(_xlfn.XLOOKUP(TB_Vendas[[#This Row],[Código]],TB_Produtos[[#All],[Código]],TB_Produtos[[#All],[Categoria]]),Desc_Categorias,0))</f>
        <v>0.2</v>
      </c>
      <c r="K63" s="67">
        <f>_xlfn.XLOOKUP(TB_Vendas[[#This Row],[Vendedor]],Vendedores!$A$5:$A$9,Vendedores!$D$5:$D$9)</f>
        <v>0.2</v>
      </c>
      <c r="L63" s="67">
        <f>IF(TB_Vendas[[#This Row],[Desconto 
(Diretão)]]&lt;=TB_Vendas[[#This Row],[Desconto 
(Vendedor)]],TB_Vendas[[#This Row],[Desconto 
(Diretão)]],TB_Vendas[[#This Row],[Desconto 
(Vendedor)]])</f>
        <v>0.2</v>
      </c>
      <c r="M63" s="8">
        <f>TB_Vendas[[#This Row],[Preço Unitário]]*TB_Vendas[[#This Row],[Qtd]]</f>
        <v>278.70000000000005</v>
      </c>
      <c r="N63" s="1" t="s">
        <v>126</v>
      </c>
    </row>
    <row r="64" spans="1:14" x14ac:dyDescent="0.3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0" t="str">
        <f>_xlfn.XLOOKUP(TB_Vendas[[#This Row],[Código]],TB_Produtos[Código],TB_Produtos[Categoria])</f>
        <v>Vestuário</v>
      </c>
      <c r="F64" s="1">
        <v>10</v>
      </c>
      <c r="G64" s="28">
        <f>VLOOKUP(TB_Vendas[[#This Row],[Código]],Produtos!$B$6:$G$66,6,0)</f>
        <v>25.9</v>
      </c>
      <c r="H64" s="1">
        <f>_xlfn.XMATCH(TB_Vendas[[#This Row],[Categoria]],Desc_Categorias,0)</f>
        <v>3</v>
      </c>
      <c r="I64" s="67">
        <f>VLOOKUP(TB_Vendas[[#This Row],[Qtd]],Desc_TabelaToda,TB_Vendas[[#This Row],[Indice]],TRUE)</f>
        <v>0.3</v>
      </c>
      <c r="J64" s="67" cm="1">
        <f t="array" ref="J64">INDEX(Desc_TabelaToda,MATCH(TB_Vendas[[#This Row],[Qtd]],Desc_Quantidades,1),MATCH(_xlfn.XLOOKUP(TB_Vendas[[#This Row],[Código]],TB_Produtos[[#All],[Código]],TB_Produtos[[#All],[Categoria]]),Desc_Categorias,0))</f>
        <v>0.3</v>
      </c>
      <c r="K64" s="67">
        <f>_xlfn.XLOOKUP(TB_Vendas[[#This Row],[Vendedor]],Vendedores!$A$5:$A$9,Vendedores!$D$5:$D$9)</f>
        <v>0.2</v>
      </c>
      <c r="L64" s="67">
        <f>IF(TB_Vendas[[#This Row],[Desconto 
(Diretão)]]&lt;=TB_Vendas[[#This Row],[Desconto 
(Vendedor)]],TB_Vendas[[#This Row],[Desconto 
(Diretão)]],TB_Vendas[[#This Row],[Desconto 
(Vendedor)]])</f>
        <v>0.2</v>
      </c>
      <c r="M64" s="8">
        <f>TB_Vendas[[#This Row],[Preço Unitário]]*TB_Vendas[[#This Row],[Qtd]]</f>
        <v>259</v>
      </c>
      <c r="N64" s="1" t="s">
        <v>126</v>
      </c>
    </row>
    <row r="65" spans="1:14" x14ac:dyDescent="0.3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0" t="str">
        <f>_xlfn.XLOOKUP(TB_Vendas[[#This Row],[Código]],TB_Produtos[Código],TB_Produtos[Categoria])</f>
        <v>Vestuário</v>
      </c>
      <c r="F65" s="1">
        <v>1</v>
      </c>
      <c r="G65" s="28">
        <f>VLOOKUP(TB_Vendas[[#This Row],[Código]],Produtos!$B$6:$G$66,6,0)</f>
        <v>72.5</v>
      </c>
      <c r="H65" s="1">
        <f>_xlfn.XMATCH(TB_Vendas[[#This Row],[Categoria]],Desc_Categorias,0)</f>
        <v>3</v>
      </c>
      <c r="I65" s="67">
        <f>VLOOKUP(TB_Vendas[[#This Row],[Qtd]],Desc_TabelaToda,TB_Vendas[[#This Row],[Indice]],TRUE)</f>
        <v>0.1</v>
      </c>
      <c r="J65" s="67" cm="1">
        <f t="array" ref="J65">INDEX(Desc_TabelaToda,MATCH(TB_Vendas[[#This Row],[Qtd]],Desc_Quantidades,1),MATCH(_xlfn.XLOOKUP(TB_Vendas[[#This Row],[Código]],TB_Produtos[[#All],[Código]],TB_Produtos[[#All],[Categoria]]),Desc_Categorias,0))</f>
        <v>0.1</v>
      </c>
      <c r="K65" s="67">
        <f>_xlfn.XLOOKUP(TB_Vendas[[#This Row],[Vendedor]],Vendedores!$A$5:$A$9,Vendedores!$D$5:$D$9)</f>
        <v>0.15</v>
      </c>
      <c r="L65" s="67">
        <f>IF(TB_Vendas[[#This Row],[Desconto 
(Diretão)]]&lt;=TB_Vendas[[#This Row],[Desconto 
(Vendedor)]],TB_Vendas[[#This Row],[Desconto 
(Diretão)]],TB_Vendas[[#This Row],[Desconto 
(Vendedor)]])</f>
        <v>0.1</v>
      </c>
      <c r="M65" s="8">
        <f>TB_Vendas[[#This Row],[Preço Unitário]]*TB_Vendas[[#This Row],[Qtd]]</f>
        <v>72.5</v>
      </c>
      <c r="N65" s="1" t="s">
        <v>127</v>
      </c>
    </row>
    <row r="66" spans="1:14" x14ac:dyDescent="0.3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0" t="str">
        <f>_xlfn.XLOOKUP(TB_Vendas[[#This Row],[Código]],TB_Produtos[Código],TB_Produtos[Categoria])</f>
        <v>Vestuário</v>
      </c>
      <c r="F66" s="1">
        <v>4</v>
      </c>
      <c r="G66" s="28">
        <f>VLOOKUP(TB_Vendas[[#This Row],[Código]],Produtos!$B$6:$G$66,6,0)</f>
        <v>302.89999999999998</v>
      </c>
      <c r="H66" s="1">
        <f>_xlfn.XMATCH(TB_Vendas[[#This Row],[Categoria]],Desc_Categorias,0)</f>
        <v>3</v>
      </c>
      <c r="I66" s="67">
        <f>VLOOKUP(TB_Vendas[[#This Row],[Qtd]],Desc_TabelaToda,TB_Vendas[[#This Row],[Indice]],TRUE)</f>
        <v>0.2</v>
      </c>
      <c r="J66" s="67" cm="1">
        <f t="array" ref="J66">INDEX(Desc_TabelaToda,MATCH(TB_Vendas[[#This Row],[Qtd]],Desc_Quantidades,1),MATCH(_xlfn.XLOOKUP(TB_Vendas[[#This Row],[Código]],TB_Produtos[[#All],[Código]],TB_Produtos[[#All],[Categoria]]),Desc_Categorias,0))</f>
        <v>0.2</v>
      </c>
      <c r="K66" s="67">
        <f>_xlfn.XLOOKUP(TB_Vendas[[#This Row],[Vendedor]],Vendedores!$A$5:$A$9,Vendedores!$D$5:$D$9)</f>
        <v>0.15</v>
      </c>
      <c r="L66" s="67">
        <f>IF(TB_Vendas[[#This Row],[Desconto 
(Diretão)]]&lt;=TB_Vendas[[#This Row],[Desconto 
(Vendedor)]],TB_Vendas[[#This Row],[Desconto 
(Diretão)]],TB_Vendas[[#This Row],[Desconto 
(Vendedor)]])</f>
        <v>0.15</v>
      </c>
      <c r="M66" s="8">
        <f>TB_Vendas[[#This Row],[Preço Unitário]]*TB_Vendas[[#This Row],[Qtd]]</f>
        <v>1211.5999999999999</v>
      </c>
      <c r="N66" s="1" t="s">
        <v>130</v>
      </c>
    </row>
    <row r="67" spans="1:14" x14ac:dyDescent="0.3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0" t="str">
        <f>_xlfn.XLOOKUP(TB_Vendas[[#This Row],[Código]],TB_Produtos[Código],TB_Produtos[Categoria])</f>
        <v>Vestuário</v>
      </c>
      <c r="F67" s="1">
        <v>8</v>
      </c>
      <c r="G67" s="28">
        <f>VLOOKUP(TB_Vendas[[#This Row],[Código]],Produtos!$B$6:$G$66,6,0)</f>
        <v>289.89999999999998</v>
      </c>
      <c r="H67" s="1">
        <f>_xlfn.XMATCH(TB_Vendas[[#This Row],[Categoria]],Desc_Categorias,0)</f>
        <v>3</v>
      </c>
      <c r="I67" s="67">
        <f>VLOOKUP(TB_Vendas[[#This Row],[Qtd]],Desc_TabelaToda,TB_Vendas[[#This Row],[Indice]],TRUE)</f>
        <v>0.25</v>
      </c>
      <c r="J67" s="67" cm="1">
        <f t="array" ref="J67">INDEX(Desc_TabelaToda,MATCH(TB_Vendas[[#This Row],[Qtd]],Desc_Quantidades,1),MATCH(_xlfn.XLOOKUP(TB_Vendas[[#This Row],[Código]],TB_Produtos[[#All],[Código]],TB_Produtos[[#All],[Categoria]]),Desc_Categorias,0))</f>
        <v>0.25</v>
      </c>
      <c r="K67" s="67">
        <f>_xlfn.XLOOKUP(TB_Vendas[[#This Row],[Vendedor]],Vendedores!$A$5:$A$9,Vendedores!$D$5:$D$9)</f>
        <v>0.2</v>
      </c>
      <c r="L67" s="67">
        <f>IF(TB_Vendas[[#This Row],[Desconto 
(Diretão)]]&lt;=TB_Vendas[[#This Row],[Desconto 
(Vendedor)]],TB_Vendas[[#This Row],[Desconto 
(Diretão)]],TB_Vendas[[#This Row],[Desconto 
(Vendedor)]])</f>
        <v>0.2</v>
      </c>
      <c r="M67" s="8">
        <f>TB_Vendas[[#This Row],[Preço Unitário]]*TB_Vendas[[#This Row],[Qtd]]</f>
        <v>2319.1999999999998</v>
      </c>
      <c r="N67" s="1" t="s">
        <v>126</v>
      </c>
    </row>
    <row r="68" spans="1:14" x14ac:dyDescent="0.3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0" t="str">
        <f>_xlfn.XLOOKUP(TB_Vendas[[#This Row],[Código]],TB_Produtos[Código],TB_Produtos[Categoria])</f>
        <v>Vestuário</v>
      </c>
      <c r="F68" s="1">
        <v>2</v>
      </c>
      <c r="G68" s="28">
        <f>VLOOKUP(TB_Vendas[[#This Row],[Código]],Produtos!$B$6:$G$66,6,0)</f>
        <v>54.9</v>
      </c>
      <c r="H68" s="1">
        <f>_xlfn.XMATCH(TB_Vendas[[#This Row],[Categoria]],Desc_Categorias,0)</f>
        <v>3</v>
      </c>
      <c r="I68" s="67">
        <f>VLOOKUP(TB_Vendas[[#This Row],[Qtd]],Desc_TabelaToda,TB_Vendas[[#This Row],[Indice]],TRUE)</f>
        <v>0.15</v>
      </c>
      <c r="J68" s="67" cm="1">
        <f t="array" ref="J68">INDEX(Desc_TabelaToda,MATCH(TB_Vendas[[#This Row],[Qtd]],Desc_Quantidades,1),MATCH(_xlfn.XLOOKUP(TB_Vendas[[#This Row],[Código]],TB_Produtos[[#All],[Código]],TB_Produtos[[#All],[Categoria]]),Desc_Categorias,0))</f>
        <v>0.15</v>
      </c>
      <c r="K68" s="67">
        <f>_xlfn.XLOOKUP(TB_Vendas[[#This Row],[Vendedor]],Vendedores!$A$5:$A$9,Vendedores!$D$5:$D$9)</f>
        <v>0.2</v>
      </c>
      <c r="L68" s="67">
        <f>IF(TB_Vendas[[#This Row],[Desconto 
(Diretão)]]&lt;=TB_Vendas[[#This Row],[Desconto 
(Vendedor)]],TB_Vendas[[#This Row],[Desconto 
(Diretão)]],TB_Vendas[[#This Row],[Desconto 
(Vendedor)]])</f>
        <v>0.15</v>
      </c>
      <c r="M68" s="8">
        <f>TB_Vendas[[#This Row],[Preço Unitário]]*TB_Vendas[[#This Row],[Qtd]]</f>
        <v>109.8</v>
      </c>
      <c r="N68" s="1" t="s">
        <v>126</v>
      </c>
    </row>
    <row r="69" spans="1:14" x14ac:dyDescent="0.3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0" t="str">
        <f>_xlfn.XLOOKUP(TB_Vendas[[#This Row],[Código]],TB_Produtos[Código],TB_Produtos[Categoria])</f>
        <v>Vestuário</v>
      </c>
      <c r="F69" s="1">
        <v>2</v>
      </c>
      <c r="G69" s="28">
        <f>VLOOKUP(TB_Vendas[[#This Row],[Código]],Produtos!$B$6:$G$66,6,0)</f>
        <v>39.9</v>
      </c>
      <c r="H69" s="1">
        <f>_xlfn.XMATCH(TB_Vendas[[#This Row],[Categoria]],Desc_Categorias,0)</f>
        <v>3</v>
      </c>
      <c r="I69" s="67">
        <f>VLOOKUP(TB_Vendas[[#This Row],[Qtd]],Desc_TabelaToda,TB_Vendas[[#This Row],[Indice]],TRUE)</f>
        <v>0.15</v>
      </c>
      <c r="J69" s="67" cm="1">
        <f t="array" ref="J69">INDEX(Desc_TabelaToda,MATCH(TB_Vendas[[#This Row],[Qtd]],Desc_Quantidades,1),MATCH(_xlfn.XLOOKUP(TB_Vendas[[#This Row],[Código]],TB_Produtos[[#All],[Código]],TB_Produtos[[#All],[Categoria]]),Desc_Categorias,0))</f>
        <v>0.15</v>
      </c>
      <c r="K69" s="67">
        <f>_xlfn.XLOOKUP(TB_Vendas[[#This Row],[Vendedor]],Vendedores!$A$5:$A$9,Vendedores!$D$5:$D$9)</f>
        <v>0.15</v>
      </c>
      <c r="L69" s="67">
        <f>IF(TB_Vendas[[#This Row],[Desconto 
(Diretão)]]&lt;=TB_Vendas[[#This Row],[Desconto 
(Vendedor)]],TB_Vendas[[#This Row],[Desconto 
(Diretão)]],TB_Vendas[[#This Row],[Desconto 
(Vendedor)]])</f>
        <v>0.15</v>
      </c>
      <c r="M69" s="8">
        <f>TB_Vendas[[#This Row],[Preço Unitário]]*TB_Vendas[[#This Row],[Qtd]]</f>
        <v>79.8</v>
      </c>
      <c r="N69" s="1" t="s">
        <v>130</v>
      </c>
    </row>
    <row r="70" spans="1:14" x14ac:dyDescent="0.3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0" t="str">
        <f>_xlfn.XLOOKUP(TB_Vendas[[#This Row],[Código]],TB_Produtos[Código],TB_Produtos[Categoria])</f>
        <v>Vestuário</v>
      </c>
      <c r="F70" s="1">
        <v>7</v>
      </c>
      <c r="G70" s="28">
        <f>VLOOKUP(TB_Vendas[[#This Row],[Código]],Produtos!$B$6:$G$66,6,0)</f>
        <v>54.9</v>
      </c>
      <c r="H70" s="1">
        <f>_xlfn.XMATCH(TB_Vendas[[#This Row],[Categoria]],Desc_Categorias,0)</f>
        <v>3</v>
      </c>
      <c r="I70" s="67">
        <f>VLOOKUP(TB_Vendas[[#This Row],[Qtd]],Desc_TabelaToda,TB_Vendas[[#This Row],[Indice]],TRUE)</f>
        <v>0.25</v>
      </c>
      <c r="J70" s="67" cm="1">
        <f t="array" ref="J70">INDEX(Desc_TabelaToda,MATCH(TB_Vendas[[#This Row],[Qtd]],Desc_Quantidades,1),MATCH(_xlfn.XLOOKUP(TB_Vendas[[#This Row],[Código]],TB_Produtos[[#All],[Código]],TB_Produtos[[#All],[Categoria]]),Desc_Categorias,0))</f>
        <v>0.25</v>
      </c>
      <c r="K70" s="67">
        <f>_xlfn.XLOOKUP(TB_Vendas[[#This Row],[Vendedor]],Vendedores!$A$5:$A$9,Vendedores!$D$5:$D$9)</f>
        <v>0.2</v>
      </c>
      <c r="L70" s="67">
        <f>IF(TB_Vendas[[#This Row],[Desconto 
(Diretão)]]&lt;=TB_Vendas[[#This Row],[Desconto 
(Vendedor)]],TB_Vendas[[#This Row],[Desconto 
(Diretão)]],TB_Vendas[[#This Row],[Desconto 
(Vendedor)]])</f>
        <v>0.2</v>
      </c>
      <c r="M70" s="8">
        <f>TB_Vendas[[#This Row],[Preço Unitário]]*TB_Vendas[[#This Row],[Qtd]]</f>
        <v>384.3</v>
      </c>
      <c r="N70" s="1" t="s">
        <v>129</v>
      </c>
    </row>
    <row r="71" spans="1:14" x14ac:dyDescent="0.3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0" t="str">
        <f>_xlfn.XLOOKUP(TB_Vendas[[#This Row],[Código]],TB_Produtos[Código],TB_Produtos[Categoria])</f>
        <v>Vestuário</v>
      </c>
      <c r="F71" s="1">
        <v>4</v>
      </c>
      <c r="G71" s="28">
        <f>VLOOKUP(TB_Vendas[[#This Row],[Código]],Produtos!$B$6:$G$66,6,0)</f>
        <v>299.89999999999998</v>
      </c>
      <c r="H71" s="1">
        <f>_xlfn.XMATCH(TB_Vendas[[#This Row],[Categoria]],Desc_Categorias,0)</f>
        <v>3</v>
      </c>
      <c r="I71" s="67">
        <f>VLOOKUP(TB_Vendas[[#This Row],[Qtd]],Desc_TabelaToda,TB_Vendas[[#This Row],[Indice]],TRUE)</f>
        <v>0.2</v>
      </c>
      <c r="J71" s="67" cm="1">
        <f t="array" ref="J71">INDEX(Desc_TabelaToda,MATCH(TB_Vendas[[#This Row],[Qtd]],Desc_Quantidades,1),MATCH(_xlfn.XLOOKUP(TB_Vendas[[#This Row],[Código]],TB_Produtos[[#All],[Código]],TB_Produtos[[#All],[Categoria]]),Desc_Categorias,0))</f>
        <v>0.2</v>
      </c>
      <c r="K71" s="67">
        <f>_xlfn.XLOOKUP(TB_Vendas[[#This Row],[Vendedor]],Vendedores!$A$5:$A$9,Vendedores!$D$5:$D$9)</f>
        <v>0.15</v>
      </c>
      <c r="L71" s="67">
        <f>IF(TB_Vendas[[#This Row],[Desconto 
(Diretão)]]&lt;=TB_Vendas[[#This Row],[Desconto 
(Vendedor)]],TB_Vendas[[#This Row],[Desconto 
(Diretão)]],TB_Vendas[[#This Row],[Desconto 
(Vendedor)]])</f>
        <v>0.15</v>
      </c>
      <c r="M71" s="8">
        <f>TB_Vendas[[#This Row],[Preço Unitário]]*TB_Vendas[[#This Row],[Qtd]]</f>
        <v>1199.5999999999999</v>
      </c>
      <c r="N71" s="1" t="s">
        <v>130</v>
      </c>
    </row>
    <row r="72" spans="1:14" x14ac:dyDescent="0.3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0" t="str">
        <f>_xlfn.XLOOKUP(TB_Vendas[[#This Row],[Código]],TB_Produtos[Código],TB_Produtos[Categoria])</f>
        <v>Vestuário</v>
      </c>
      <c r="F72" s="1">
        <v>3</v>
      </c>
      <c r="G72" s="28">
        <f>VLOOKUP(TB_Vendas[[#This Row],[Código]],Produtos!$B$6:$G$66,6,0)</f>
        <v>259.89999999999998</v>
      </c>
      <c r="H72" s="1">
        <f>_xlfn.XMATCH(TB_Vendas[[#This Row],[Categoria]],Desc_Categorias,0)</f>
        <v>3</v>
      </c>
      <c r="I72" s="67">
        <f>VLOOKUP(TB_Vendas[[#This Row],[Qtd]],Desc_TabelaToda,TB_Vendas[[#This Row],[Indice]],TRUE)</f>
        <v>0.2</v>
      </c>
      <c r="J72" s="67" cm="1">
        <f t="array" ref="J72">INDEX(Desc_TabelaToda,MATCH(TB_Vendas[[#This Row],[Qtd]],Desc_Quantidades,1),MATCH(_xlfn.XLOOKUP(TB_Vendas[[#This Row],[Código]],TB_Produtos[[#All],[Código]],TB_Produtos[[#All],[Categoria]]),Desc_Categorias,0))</f>
        <v>0.2</v>
      </c>
      <c r="K72" s="67">
        <f>_xlfn.XLOOKUP(TB_Vendas[[#This Row],[Vendedor]],Vendedores!$A$5:$A$9,Vendedores!$D$5:$D$9)</f>
        <v>0.2</v>
      </c>
      <c r="L72" s="67">
        <f>IF(TB_Vendas[[#This Row],[Desconto 
(Diretão)]]&lt;=TB_Vendas[[#This Row],[Desconto 
(Vendedor)]],TB_Vendas[[#This Row],[Desconto 
(Diretão)]],TB_Vendas[[#This Row],[Desconto 
(Vendedor)]])</f>
        <v>0.2</v>
      </c>
      <c r="M72" s="8">
        <f>TB_Vendas[[#This Row],[Preço Unitário]]*TB_Vendas[[#This Row],[Qtd]]</f>
        <v>779.69999999999993</v>
      </c>
      <c r="N72" s="1" t="s">
        <v>129</v>
      </c>
    </row>
    <row r="73" spans="1:14" x14ac:dyDescent="0.3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0" t="str">
        <f>_xlfn.XLOOKUP(TB_Vendas[[#This Row],[Código]],TB_Produtos[Código],TB_Produtos[Categoria])</f>
        <v>Vestuário</v>
      </c>
      <c r="F73" s="1">
        <v>9</v>
      </c>
      <c r="G73" s="28">
        <f>VLOOKUP(TB_Vendas[[#This Row],[Código]],Produtos!$B$6:$G$66,6,0)</f>
        <v>72.5</v>
      </c>
      <c r="H73" s="1">
        <f>_xlfn.XMATCH(TB_Vendas[[#This Row],[Categoria]],Desc_Categorias,0)</f>
        <v>3</v>
      </c>
      <c r="I73" s="67">
        <f>VLOOKUP(TB_Vendas[[#This Row],[Qtd]],Desc_TabelaToda,TB_Vendas[[#This Row],[Indice]],TRUE)</f>
        <v>0.25</v>
      </c>
      <c r="J73" s="67" cm="1">
        <f t="array" ref="J73">INDEX(Desc_TabelaToda,MATCH(TB_Vendas[[#This Row],[Qtd]],Desc_Quantidades,1),MATCH(_xlfn.XLOOKUP(TB_Vendas[[#This Row],[Código]],TB_Produtos[[#All],[Código]],TB_Produtos[[#All],[Categoria]]),Desc_Categorias,0))</f>
        <v>0.25</v>
      </c>
      <c r="K73" s="67">
        <f>_xlfn.XLOOKUP(TB_Vendas[[#This Row],[Vendedor]],Vendedores!$A$5:$A$9,Vendedores!$D$5:$D$9)</f>
        <v>0.1</v>
      </c>
      <c r="L73" s="67">
        <f>IF(TB_Vendas[[#This Row],[Desconto 
(Diretão)]]&lt;=TB_Vendas[[#This Row],[Desconto 
(Vendedor)]],TB_Vendas[[#This Row],[Desconto 
(Diretão)]],TB_Vendas[[#This Row],[Desconto 
(Vendedor)]])</f>
        <v>0.1</v>
      </c>
      <c r="M73" s="8">
        <f>TB_Vendas[[#This Row],[Preço Unitário]]*TB_Vendas[[#This Row],[Qtd]]</f>
        <v>652.5</v>
      </c>
      <c r="N73" s="1" t="s">
        <v>128</v>
      </c>
    </row>
    <row r="74" spans="1:14" x14ac:dyDescent="0.3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0" t="str">
        <f>_xlfn.XLOOKUP(TB_Vendas[[#This Row],[Código]],TB_Produtos[Código],TB_Produtos[Categoria])</f>
        <v>Vestuário</v>
      </c>
      <c r="F74" s="1">
        <v>4</v>
      </c>
      <c r="G74" s="28">
        <f>VLOOKUP(TB_Vendas[[#This Row],[Código]],Produtos!$B$6:$G$66,6,0)</f>
        <v>300</v>
      </c>
      <c r="H74" s="1">
        <f>_xlfn.XMATCH(TB_Vendas[[#This Row],[Categoria]],Desc_Categorias,0)</f>
        <v>3</v>
      </c>
      <c r="I74" s="67">
        <f>VLOOKUP(TB_Vendas[[#This Row],[Qtd]],Desc_TabelaToda,TB_Vendas[[#This Row],[Indice]],TRUE)</f>
        <v>0.2</v>
      </c>
      <c r="J74" s="67" cm="1">
        <f t="array" ref="J74">INDEX(Desc_TabelaToda,MATCH(TB_Vendas[[#This Row],[Qtd]],Desc_Quantidades,1),MATCH(_xlfn.XLOOKUP(TB_Vendas[[#This Row],[Código]],TB_Produtos[[#All],[Código]],TB_Produtos[[#All],[Categoria]]),Desc_Categorias,0))</f>
        <v>0.2</v>
      </c>
      <c r="K74" s="67">
        <f>_xlfn.XLOOKUP(TB_Vendas[[#This Row],[Vendedor]],Vendedores!$A$5:$A$9,Vendedores!$D$5:$D$9)</f>
        <v>0.15</v>
      </c>
      <c r="L74" s="67">
        <f>IF(TB_Vendas[[#This Row],[Desconto 
(Diretão)]]&lt;=TB_Vendas[[#This Row],[Desconto 
(Vendedor)]],TB_Vendas[[#This Row],[Desconto 
(Diretão)]],TB_Vendas[[#This Row],[Desconto 
(Vendedor)]])</f>
        <v>0.15</v>
      </c>
      <c r="M74" s="8">
        <f>TB_Vendas[[#This Row],[Preço Unitário]]*TB_Vendas[[#This Row],[Qtd]]</f>
        <v>1200</v>
      </c>
      <c r="N74" s="1" t="s">
        <v>130</v>
      </c>
    </row>
    <row r="75" spans="1:14" x14ac:dyDescent="0.3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0" t="str">
        <f>_xlfn.XLOOKUP(TB_Vendas[[#This Row],[Código]],TB_Produtos[Código],TB_Produtos[Categoria])</f>
        <v>Vestuário</v>
      </c>
      <c r="F75" s="1">
        <v>9</v>
      </c>
      <c r="G75" s="28">
        <f>VLOOKUP(TB_Vendas[[#This Row],[Código]],Produtos!$B$6:$G$66,6,0)</f>
        <v>65.900000000000006</v>
      </c>
      <c r="H75" s="1">
        <f>_xlfn.XMATCH(TB_Vendas[[#This Row],[Categoria]],Desc_Categorias,0)</f>
        <v>3</v>
      </c>
      <c r="I75" s="67">
        <f>VLOOKUP(TB_Vendas[[#This Row],[Qtd]],Desc_TabelaToda,TB_Vendas[[#This Row],[Indice]],TRUE)</f>
        <v>0.25</v>
      </c>
      <c r="J75" s="67" cm="1">
        <f t="array" ref="J75">INDEX(Desc_TabelaToda,MATCH(TB_Vendas[[#This Row],[Qtd]],Desc_Quantidades,1),MATCH(_xlfn.XLOOKUP(TB_Vendas[[#This Row],[Código]],TB_Produtos[[#All],[Código]],TB_Produtos[[#All],[Categoria]]),Desc_Categorias,0))</f>
        <v>0.25</v>
      </c>
      <c r="K75" s="67">
        <f>_xlfn.XLOOKUP(TB_Vendas[[#This Row],[Vendedor]],Vendedores!$A$5:$A$9,Vendedores!$D$5:$D$9)</f>
        <v>0.15</v>
      </c>
      <c r="L75" s="67">
        <f>IF(TB_Vendas[[#This Row],[Desconto 
(Diretão)]]&lt;=TB_Vendas[[#This Row],[Desconto 
(Vendedor)]],TB_Vendas[[#This Row],[Desconto 
(Diretão)]],TB_Vendas[[#This Row],[Desconto 
(Vendedor)]])</f>
        <v>0.15</v>
      </c>
      <c r="M75" s="8">
        <f>TB_Vendas[[#This Row],[Preço Unitário]]*TB_Vendas[[#This Row],[Qtd]]</f>
        <v>593.1</v>
      </c>
      <c r="N75" s="1" t="s">
        <v>130</v>
      </c>
    </row>
    <row r="76" spans="1:14" x14ac:dyDescent="0.3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0" t="str">
        <f>_xlfn.XLOOKUP(TB_Vendas[[#This Row],[Código]],TB_Produtos[Código],TB_Produtos[Categoria])</f>
        <v>Vestuário</v>
      </c>
      <c r="F76" s="1">
        <v>10</v>
      </c>
      <c r="G76" s="28">
        <f>VLOOKUP(TB_Vendas[[#This Row],[Código]],Produtos!$B$6:$G$66,6,0)</f>
        <v>92.9</v>
      </c>
      <c r="H76" s="1">
        <f>_xlfn.XMATCH(TB_Vendas[[#This Row],[Categoria]],Desc_Categorias,0)</f>
        <v>3</v>
      </c>
      <c r="I76" s="67">
        <f>VLOOKUP(TB_Vendas[[#This Row],[Qtd]],Desc_TabelaToda,TB_Vendas[[#This Row],[Indice]],TRUE)</f>
        <v>0.3</v>
      </c>
      <c r="J76" s="67" cm="1">
        <f t="array" ref="J76">INDEX(Desc_TabelaToda,MATCH(TB_Vendas[[#This Row],[Qtd]],Desc_Quantidades,1),MATCH(_xlfn.XLOOKUP(TB_Vendas[[#This Row],[Código]],TB_Produtos[[#All],[Código]],TB_Produtos[[#All],[Categoria]]),Desc_Categorias,0))</f>
        <v>0.3</v>
      </c>
      <c r="K76" s="67">
        <f>_xlfn.XLOOKUP(TB_Vendas[[#This Row],[Vendedor]],Vendedores!$A$5:$A$9,Vendedores!$D$5:$D$9)</f>
        <v>0.15</v>
      </c>
      <c r="L76" s="67">
        <f>IF(TB_Vendas[[#This Row],[Desconto 
(Diretão)]]&lt;=TB_Vendas[[#This Row],[Desconto 
(Vendedor)]],TB_Vendas[[#This Row],[Desconto 
(Diretão)]],TB_Vendas[[#This Row],[Desconto 
(Vendedor)]])</f>
        <v>0.15</v>
      </c>
      <c r="M76" s="8">
        <f>TB_Vendas[[#This Row],[Preço Unitário]]*TB_Vendas[[#This Row],[Qtd]]</f>
        <v>929</v>
      </c>
      <c r="N76" s="1" t="s">
        <v>130</v>
      </c>
    </row>
    <row r="77" spans="1:14" x14ac:dyDescent="0.3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0" t="str">
        <f>_xlfn.XLOOKUP(TB_Vendas[[#This Row],[Código]],TB_Produtos[Código],TB_Produtos[Categoria])</f>
        <v>Calçado</v>
      </c>
      <c r="F77" s="1">
        <v>1</v>
      </c>
      <c r="G77" s="28">
        <f>VLOOKUP(TB_Vendas[[#This Row],[Código]],Produtos!$B$6:$G$66,6,0)</f>
        <v>89.9</v>
      </c>
      <c r="H77" s="1">
        <f>_xlfn.XMATCH(TB_Vendas[[#This Row],[Categoria]],Desc_Categorias,0)</f>
        <v>4</v>
      </c>
      <c r="I77" s="67">
        <f>VLOOKUP(TB_Vendas[[#This Row],[Qtd]],Desc_TabelaToda,TB_Vendas[[#This Row],[Indice]],TRUE)</f>
        <v>0</v>
      </c>
      <c r="J77" s="67" cm="1">
        <f t="array" ref="J77">INDEX(Desc_TabelaToda,MATCH(TB_Vendas[[#This Row],[Qtd]],Desc_Quantidades,1),MATCH(_xlfn.XLOOKUP(TB_Vendas[[#This Row],[Código]],TB_Produtos[[#All],[Código]],TB_Produtos[[#All],[Categoria]]),Desc_Categorias,0))</f>
        <v>0</v>
      </c>
      <c r="K77" s="67">
        <f>_xlfn.XLOOKUP(TB_Vendas[[#This Row],[Vendedor]],Vendedores!$A$5:$A$9,Vendedores!$D$5:$D$9)</f>
        <v>0.1</v>
      </c>
      <c r="L77" s="67">
        <f>IF(TB_Vendas[[#This Row],[Desconto 
(Diretão)]]&lt;=TB_Vendas[[#This Row],[Desconto 
(Vendedor)]],TB_Vendas[[#This Row],[Desconto 
(Diretão)]],TB_Vendas[[#This Row],[Desconto 
(Vendedor)]])</f>
        <v>0</v>
      </c>
      <c r="M77" s="8">
        <f>TB_Vendas[[#This Row],[Preço Unitário]]*TB_Vendas[[#This Row],[Qtd]]</f>
        <v>89.9</v>
      </c>
      <c r="N77" s="1" t="s">
        <v>128</v>
      </c>
    </row>
    <row r="78" spans="1:14" x14ac:dyDescent="0.3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0" t="str">
        <f>_xlfn.XLOOKUP(TB_Vendas[[#This Row],[Código]],TB_Produtos[Código],TB_Produtos[Categoria])</f>
        <v>Vestuário</v>
      </c>
      <c r="F78" s="1">
        <v>2</v>
      </c>
      <c r="G78" s="28">
        <f>VLOOKUP(TB_Vendas[[#This Row],[Código]],Produtos!$B$6:$G$66,6,0)</f>
        <v>49.9</v>
      </c>
      <c r="H78" s="1">
        <f>_xlfn.XMATCH(TB_Vendas[[#This Row],[Categoria]],Desc_Categorias,0)</f>
        <v>3</v>
      </c>
      <c r="I78" s="67">
        <f>VLOOKUP(TB_Vendas[[#This Row],[Qtd]],Desc_TabelaToda,TB_Vendas[[#This Row],[Indice]],TRUE)</f>
        <v>0.15</v>
      </c>
      <c r="J78" s="67" cm="1">
        <f t="array" ref="J78">INDEX(Desc_TabelaToda,MATCH(TB_Vendas[[#This Row],[Qtd]],Desc_Quantidades,1),MATCH(_xlfn.XLOOKUP(TB_Vendas[[#This Row],[Código]],TB_Produtos[[#All],[Código]],TB_Produtos[[#All],[Categoria]]),Desc_Categorias,0))</f>
        <v>0.15</v>
      </c>
      <c r="K78" s="67">
        <f>_xlfn.XLOOKUP(TB_Vendas[[#This Row],[Vendedor]],Vendedores!$A$5:$A$9,Vendedores!$D$5:$D$9)</f>
        <v>0.1</v>
      </c>
      <c r="L78" s="67">
        <f>IF(TB_Vendas[[#This Row],[Desconto 
(Diretão)]]&lt;=TB_Vendas[[#This Row],[Desconto 
(Vendedor)]],TB_Vendas[[#This Row],[Desconto 
(Diretão)]],TB_Vendas[[#This Row],[Desconto 
(Vendedor)]])</f>
        <v>0.1</v>
      </c>
      <c r="M78" s="8">
        <f>TB_Vendas[[#This Row],[Preço Unitário]]*TB_Vendas[[#This Row],[Qtd]]</f>
        <v>99.8</v>
      </c>
      <c r="N78" s="1" t="s">
        <v>128</v>
      </c>
    </row>
    <row r="79" spans="1:14" x14ac:dyDescent="0.3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0" t="str">
        <f>_xlfn.XLOOKUP(TB_Vendas[[#This Row],[Código]],TB_Produtos[Código],TB_Produtos[Categoria])</f>
        <v>Vestuário</v>
      </c>
      <c r="F79" s="1">
        <v>8</v>
      </c>
      <c r="G79" s="28">
        <f>VLOOKUP(TB_Vendas[[#This Row],[Código]],Produtos!$B$6:$G$66,6,0)</f>
        <v>70</v>
      </c>
      <c r="H79" s="1">
        <f>_xlfn.XMATCH(TB_Vendas[[#This Row],[Categoria]],Desc_Categorias,0)</f>
        <v>3</v>
      </c>
      <c r="I79" s="67">
        <f>VLOOKUP(TB_Vendas[[#This Row],[Qtd]],Desc_TabelaToda,TB_Vendas[[#This Row],[Indice]],TRUE)</f>
        <v>0.25</v>
      </c>
      <c r="J79" s="67" cm="1">
        <f t="array" ref="J79">INDEX(Desc_TabelaToda,MATCH(TB_Vendas[[#This Row],[Qtd]],Desc_Quantidades,1),MATCH(_xlfn.XLOOKUP(TB_Vendas[[#This Row],[Código]],TB_Produtos[[#All],[Código]],TB_Produtos[[#All],[Categoria]]),Desc_Categorias,0))</f>
        <v>0.25</v>
      </c>
      <c r="K79" s="67">
        <f>_xlfn.XLOOKUP(TB_Vendas[[#This Row],[Vendedor]],Vendedores!$A$5:$A$9,Vendedores!$D$5:$D$9)</f>
        <v>0.15</v>
      </c>
      <c r="L79" s="67">
        <f>IF(TB_Vendas[[#This Row],[Desconto 
(Diretão)]]&lt;=TB_Vendas[[#This Row],[Desconto 
(Vendedor)]],TB_Vendas[[#This Row],[Desconto 
(Diretão)]],TB_Vendas[[#This Row],[Desconto 
(Vendedor)]])</f>
        <v>0.15</v>
      </c>
      <c r="M79" s="8">
        <f>TB_Vendas[[#This Row],[Preço Unitário]]*TB_Vendas[[#This Row],[Qtd]]</f>
        <v>560</v>
      </c>
      <c r="N79" s="1" t="s">
        <v>127</v>
      </c>
    </row>
    <row r="80" spans="1:14" x14ac:dyDescent="0.3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0" t="str">
        <f>_xlfn.XLOOKUP(TB_Vendas[[#This Row],[Código]],TB_Produtos[Código],TB_Produtos[Categoria])</f>
        <v>Vestuário</v>
      </c>
      <c r="F80" s="1">
        <v>5</v>
      </c>
      <c r="G80" s="28">
        <f>VLOOKUP(TB_Vendas[[#This Row],[Código]],Produtos!$B$6:$G$66,6,0)</f>
        <v>46.9</v>
      </c>
      <c r="H80" s="1">
        <f>_xlfn.XMATCH(TB_Vendas[[#This Row],[Categoria]],Desc_Categorias,0)</f>
        <v>3</v>
      </c>
      <c r="I80" s="67">
        <f>VLOOKUP(TB_Vendas[[#This Row],[Qtd]],Desc_TabelaToda,TB_Vendas[[#This Row],[Indice]],TRUE)</f>
        <v>0.25</v>
      </c>
      <c r="J80" s="67" cm="1">
        <f t="array" ref="J80">INDEX(Desc_TabelaToda,MATCH(TB_Vendas[[#This Row],[Qtd]],Desc_Quantidades,1),MATCH(_xlfn.XLOOKUP(TB_Vendas[[#This Row],[Código]],TB_Produtos[[#All],[Código]],TB_Produtos[[#All],[Categoria]]),Desc_Categorias,0))</f>
        <v>0.25</v>
      </c>
      <c r="K80" s="67">
        <f>_xlfn.XLOOKUP(TB_Vendas[[#This Row],[Vendedor]],Vendedores!$A$5:$A$9,Vendedores!$D$5:$D$9)</f>
        <v>0.1</v>
      </c>
      <c r="L80" s="67">
        <f>IF(TB_Vendas[[#This Row],[Desconto 
(Diretão)]]&lt;=TB_Vendas[[#This Row],[Desconto 
(Vendedor)]],TB_Vendas[[#This Row],[Desconto 
(Diretão)]],TB_Vendas[[#This Row],[Desconto 
(Vendedor)]])</f>
        <v>0.1</v>
      </c>
      <c r="M80" s="8">
        <f>TB_Vendas[[#This Row],[Preço Unitário]]*TB_Vendas[[#This Row],[Qtd]]</f>
        <v>234.5</v>
      </c>
      <c r="N80" s="1" t="s">
        <v>128</v>
      </c>
    </row>
    <row r="81" spans="1:14" x14ac:dyDescent="0.3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0" t="str">
        <f>_xlfn.XLOOKUP(TB_Vendas[[#This Row],[Código]],TB_Produtos[Código],TB_Produtos[Categoria])</f>
        <v>Vestuário</v>
      </c>
      <c r="F81" s="1">
        <v>10</v>
      </c>
      <c r="G81" s="28">
        <f>VLOOKUP(TB_Vendas[[#This Row],[Código]],Produtos!$B$6:$G$66,6,0)</f>
        <v>289.89999999999998</v>
      </c>
      <c r="H81" s="1">
        <f>_xlfn.XMATCH(TB_Vendas[[#This Row],[Categoria]],Desc_Categorias,0)</f>
        <v>3</v>
      </c>
      <c r="I81" s="67">
        <f>VLOOKUP(TB_Vendas[[#This Row],[Qtd]],Desc_TabelaToda,TB_Vendas[[#This Row],[Indice]],TRUE)</f>
        <v>0.3</v>
      </c>
      <c r="J81" s="67" cm="1">
        <f t="array" ref="J81">INDEX(Desc_TabelaToda,MATCH(TB_Vendas[[#This Row],[Qtd]],Desc_Quantidades,1),MATCH(_xlfn.XLOOKUP(TB_Vendas[[#This Row],[Código]],TB_Produtos[[#All],[Código]],TB_Produtos[[#All],[Categoria]]),Desc_Categorias,0))</f>
        <v>0.3</v>
      </c>
      <c r="K81" s="67">
        <f>_xlfn.XLOOKUP(TB_Vendas[[#This Row],[Vendedor]],Vendedores!$A$5:$A$9,Vendedores!$D$5:$D$9)</f>
        <v>0.15</v>
      </c>
      <c r="L81" s="67">
        <f>IF(TB_Vendas[[#This Row],[Desconto 
(Diretão)]]&lt;=TB_Vendas[[#This Row],[Desconto 
(Vendedor)]],TB_Vendas[[#This Row],[Desconto 
(Diretão)]],TB_Vendas[[#This Row],[Desconto 
(Vendedor)]])</f>
        <v>0.15</v>
      </c>
      <c r="M81" s="8">
        <f>TB_Vendas[[#This Row],[Preço Unitário]]*TB_Vendas[[#This Row],[Qtd]]</f>
        <v>2899</v>
      </c>
      <c r="N81" s="1" t="s">
        <v>127</v>
      </c>
    </row>
    <row r="82" spans="1:14" x14ac:dyDescent="0.3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0" t="str">
        <f>_xlfn.XLOOKUP(TB_Vendas[[#This Row],[Código]],TB_Produtos[Código],TB_Produtos[Categoria])</f>
        <v>Vestuário</v>
      </c>
      <c r="F82" s="1">
        <v>1</v>
      </c>
      <c r="G82" s="28">
        <f>VLOOKUP(TB_Vendas[[#This Row],[Código]],Produtos!$B$6:$G$66,6,0)</f>
        <v>42.5</v>
      </c>
      <c r="H82" s="1">
        <f>_xlfn.XMATCH(TB_Vendas[[#This Row],[Categoria]],Desc_Categorias,0)</f>
        <v>3</v>
      </c>
      <c r="I82" s="67">
        <f>VLOOKUP(TB_Vendas[[#This Row],[Qtd]],Desc_TabelaToda,TB_Vendas[[#This Row],[Indice]],TRUE)</f>
        <v>0.1</v>
      </c>
      <c r="J82" s="67" cm="1">
        <f t="array" ref="J82">INDEX(Desc_TabelaToda,MATCH(TB_Vendas[[#This Row],[Qtd]],Desc_Quantidades,1),MATCH(_xlfn.XLOOKUP(TB_Vendas[[#This Row],[Código]],TB_Produtos[[#All],[Código]],TB_Produtos[[#All],[Categoria]]),Desc_Categorias,0))</f>
        <v>0.1</v>
      </c>
      <c r="K82" s="67">
        <f>_xlfn.XLOOKUP(TB_Vendas[[#This Row],[Vendedor]],Vendedores!$A$5:$A$9,Vendedores!$D$5:$D$9)</f>
        <v>0.1</v>
      </c>
      <c r="L82" s="67">
        <f>IF(TB_Vendas[[#This Row],[Desconto 
(Diretão)]]&lt;=TB_Vendas[[#This Row],[Desconto 
(Vendedor)]],TB_Vendas[[#This Row],[Desconto 
(Diretão)]],TB_Vendas[[#This Row],[Desconto 
(Vendedor)]])</f>
        <v>0.1</v>
      </c>
      <c r="M82" s="8">
        <f>TB_Vendas[[#This Row],[Preço Unitário]]*TB_Vendas[[#This Row],[Qtd]]</f>
        <v>42.5</v>
      </c>
      <c r="N82" s="1" t="s">
        <v>128</v>
      </c>
    </row>
    <row r="83" spans="1:14" x14ac:dyDescent="0.3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0" t="str">
        <f>_xlfn.XLOOKUP(TB_Vendas[[#This Row],[Código]],TB_Produtos[Código],TB_Produtos[Categoria])</f>
        <v>Calçado</v>
      </c>
      <c r="F83" s="1">
        <v>2</v>
      </c>
      <c r="G83" s="28">
        <f>VLOOKUP(TB_Vendas[[#This Row],[Código]],Produtos!$B$6:$G$66,6,0)</f>
        <v>89.9</v>
      </c>
      <c r="H83" s="1">
        <f>_xlfn.XMATCH(TB_Vendas[[#This Row],[Categoria]],Desc_Categorias,0)</f>
        <v>4</v>
      </c>
      <c r="I83" s="67">
        <f>VLOOKUP(TB_Vendas[[#This Row],[Qtd]],Desc_TabelaToda,TB_Vendas[[#This Row],[Indice]],TRUE)</f>
        <v>0.1</v>
      </c>
      <c r="J83" s="67" cm="1">
        <f t="array" ref="J83">INDEX(Desc_TabelaToda,MATCH(TB_Vendas[[#This Row],[Qtd]],Desc_Quantidades,1),MATCH(_xlfn.XLOOKUP(TB_Vendas[[#This Row],[Código]],TB_Produtos[[#All],[Código]],TB_Produtos[[#All],[Categoria]]),Desc_Categorias,0))</f>
        <v>0.1</v>
      </c>
      <c r="K83" s="67">
        <f>_xlfn.XLOOKUP(TB_Vendas[[#This Row],[Vendedor]],Vendedores!$A$5:$A$9,Vendedores!$D$5:$D$9)</f>
        <v>0.15</v>
      </c>
      <c r="L83" s="67">
        <f>IF(TB_Vendas[[#This Row],[Desconto 
(Diretão)]]&lt;=TB_Vendas[[#This Row],[Desconto 
(Vendedor)]],TB_Vendas[[#This Row],[Desconto 
(Diretão)]],TB_Vendas[[#This Row],[Desconto 
(Vendedor)]])</f>
        <v>0.1</v>
      </c>
      <c r="M83" s="8">
        <f>TB_Vendas[[#This Row],[Preço Unitário]]*TB_Vendas[[#This Row],[Qtd]]</f>
        <v>179.8</v>
      </c>
      <c r="N83" s="1" t="s">
        <v>127</v>
      </c>
    </row>
    <row r="84" spans="1:14" x14ac:dyDescent="0.3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0" t="str">
        <f>_xlfn.XLOOKUP(TB_Vendas[[#This Row],[Código]],TB_Produtos[Código],TB_Produtos[Categoria])</f>
        <v>Calçado</v>
      </c>
      <c r="F84" s="1">
        <v>3</v>
      </c>
      <c r="G84" s="28">
        <f>VLOOKUP(TB_Vendas[[#This Row],[Código]],Produtos!$B$6:$G$66,6,0)</f>
        <v>255</v>
      </c>
      <c r="H84" s="1">
        <f>_xlfn.XMATCH(TB_Vendas[[#This Row],[Categoria]],Desc_Categorias,0)</f>
        <v>4</v>
      </c>
      <c r="I84" s="67">
        <f>VLOOKUP(TB_Vendas[[#This Row],[Qtd]],Desc_TabelaToda,TB_Vendas[[#This Row],[Indice]],TRUE)</f>
        <v>0.15</v>
      </c>
      <c r="J84" s="67" cm="1">
        <f t="array" ref="J84">INDEX(Desc_TabelaToda,MATCH(TB_Vendas[[#This Row],[Qtd]],Desc_Quantidades,1),MATCH(_xlfn.XLOOKUP(TB_Vendas[[#This Row],[Código]],TB_Produtos[[#All],[Código]],TB_Produtos[[#All],[Categoria]]),Desc_Categorias,0))</f>
        <v>0.15</v>
      </c>
      <c r="K84" s="67">
        <f>_xlfn.XLOOKUP(TB_Vendas[[#This Row],[Vendedor]],Vendedores!$A$5:$A$9,Vendedores!$D$5:$D$9)</f>
        <v>0.2</v>
      </c>
      <c r="L84" s="67">
        <f>IF(TB_Vendas[[#This Row],[Desconto 
(Diretão)]]&lt;=TB_Vendas[[#This Row],[Desconto 
(Vendedor)]],TB_Vendas[[#This Row],[Desconto 
(Diretão)]],TB_Vendas[[#This Row],[Desconto 
(Vendedor)]])</f>
        <v>0.15</v>
      </c>
      <c r="M84" s="8">
        <f>TB_Vendas[[#This Row],[Preço Unitário]]*TB_Vendas[[#This Row],[Qtd]]</f>
        <v>765</v>
      </c>
      <c r="N84" s="1" t="s">
        <v>126</v>
      </c>
    </row>
    <row r="85" spans="1:14" x14ac:dyDescent="0.3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0" t="str">
        <f>_xlfn.XLOOKUP(TB_Vendas[[#This Row],[Código]],TB_Produtos[Código],TB_Produtos[Categoria])</f>
        <v>Vestuário</v>
      </c>
      <c r="F85" s="1">
        <v>6</v>
      </c>
      <c r="G85" s="28">
        <f>VLOOKUP(TB_Vendas[[#This Row],[Código]],Produtos!$B$6:$G$66,6,0)</f>
        <v>42.5</v>
      </c>
      <c r="H85" s="1">
        <f>_xlfn.XMATCH(TB_Vendas[[#This Row],[Categoria]],Desc_Categorias,0)</f>
        <v>3</v>
      </c>
      <c r="I85" s="67">
        <f>VLOOKUP(TB_Vendas[[#This Row],[Qtd]],Desc_TabelaToda,TB_Vendas[[#This Row],[Indice]],TRUE)</f>
        <v>0.25</v>
      </c>
      <c r="J85" s="67" cm="1">
        <f t="array" ref="J85">INDEX(Desc_TabelaToda,MATCH(TB_Vendas[[#This Row],[Qtd]],Desc_Quantidades,1),MATCH(_xlfn.XLOOKUP(TB_Vendas[[#This Row],[Código]],TB_Produtos[[#All],[Código]],TB_Produtos[[#All],[Categoria]]),Desc_Categorias,0))</f>
        <v>0.25</v>
      </c>
      <c r="K85" s="67">
        <f>_xlfn.XLOOKUP(TB_Vendas[[#This Row],[Vendedor]],Vendedores!$A$5:$A$9,Vendedores!$D$5:$D$9)</f>
        <v>0.2</v>
      </c>
      <c r="L85" s="67">
        <f>IF(TB_Vendas[[#This Row],[Desconto 
(Diretão)]]&lt;=TB_Vendas[[#This Row],[Desconto 
(Vendedor)]],TB_Vendas[[#This Row],[Desconto 
(Diretão)]],TB_Vendas[[#This Row],[Desconto 
(Vendedor)]])</f>
        <v>0.2</v>
      </c>
      <c r="M85" s="8">
        <f>TB_Vendas[[#This Row],[Preço Unitário]]*TB_Vendas[[#This Row],[Qtd]]</f>
        <v>255</v>
      </c>
      <c r="N85" s="1" t="s">
        <v>129</v>
      </c>
    </row>
    <row r="86" spans="1:14" x14ac:dyDescent="0.3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0" t="str">
        <f>_xlfn.XLOOKUP(TB_Vendas[[#This Row],[Código]],TB_Produtos[Código],TB_Produtos[Categoria])</f>
        <v>Vestuário</v>
      </c>
      <c r="F86" s="1">
        <v>8</v>
      </c>
      <c r="G86" s="28">
        <f>VLOOKUP(TB_Vendas[[#This Row],[Código]],Produtos!$B$6:$G$66,6,0)</f>
        <v>39.9</v>
      </c>
      <c r="H86" s="1">
        <f>_xlfn.XMATCH(TB_Vendas[[#This Row],[Categoria]],Desc_Categorias,0)</f>
        <v>3</v>
      </c>
      <c r="I86" s="67">
        <f>VLOOKUP(TB_Vendas[[#This Row],[Qtd]],Desc_TabelaToda,TB_Vendas[[#This Row],[Indice]],TRUE)</f>
        <v>0.25</v>
      </c>
      <c r="J86" s="67" cm="1">
        <f t="array" ref="J86">INDEX(Desc_TabelaToda,MATCH(TB_Vendas[[#This Row],[Qtd]],Desc_Quantidades,1),MATCH(_xlfn.XLOOKUP(TB_Vendas[[#This Row],[Código]],TB_Produtos[[#All],[Código]],TB_Produtos[[#All],[Categoria]]),Desc_Categorias,0))</f>
        <v>0.25</v>
      </c>
      <c r="K86" s="67">
        <f>_xlfn.XLOOKUP(TB_Vendas[[#This Row],[Vendedor]],Vendedores!$A$5:$A$9,Vendedores!$D$5:$D$9)</f>
        <v>0.15</v>
      </c>
      <c r="L86" s="67">
        <f>IF(TB_Vendas[[#This Row],[Desconto 
(Diretão)]]&lt;=TB_Vendas[[#This Row],[Desconto 
(Vendedor)]],TB_Vendas[[#This Row],[Desconto 
(Diretão)]],TB_Vendas[[#This Row],[Desconto 
(Vendedor)]])</f>
        <v>0.15</v>
      </c>
      <c r="M86" s="8">
        <f>TB_Vendas[[#This Row],[Preço Unitário]]*TB_Vendas[[#This Row],[Qtd]]</f>
        <v>319.2</v>
      </c>
      <c r="N86" s="1" t="s">
        <v>127</v>
      </c>
    </row>
  </sheetData>
  <phoneticPr fontId="12" type="noConversion"/>
  <conditionalFormatting sqref="F4:L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selection sqref="A1:XFD1"/>
    </sheetView>
  </sheetViews>
  <sheetFormatPr defaultColWidth="8.88671875" defaultRowHeight="14.4" zeroHeight="1" x14ac:dyDescent="0.3"/>
  <cols>
    <col min="1" max="1" width="8.88671875" customWidth="1"/>
    <col min="2" max="2" width="21.88671875" customWidth="1"/>
    <col min="3" max="3" width="34" customWidth="1"/>
    <col min="4" max="4" width="11.6640625" customWidth="1"/>
    <col min="5" max="5" width="21.88671875" customWidth="1"/>
    <col min="6" max="6" width="34" customWidth="1"/>
    <col min="7" max="9" width="8.88671875" customWidth="1"/>
  </cols>
  <sheetData>
    <row r="1" spans="1:9" s="37" customFormat="1" ht="40.200000000000003" customHeight="1" x14ac:dyDescent="0.85">
      <c r="A1" s="40"/>
      <c r="B1" s="44" t="s">
        <v>144</v>
      </c>
      <c r="C1" s="42"/>
      <c r="D1" s="42"/>
      <c r="E1" s="42"/>
      <c r="F1" s="42"/>
      <c r="G1" s="42"/>
      <c r="H1" s="42"/>
      <c r="I1" s="42"/>
    </row>
    <row r="2" spans="1:9" s="38" customFormat="1" ht="4.5" customHeight="1" x14ac:dyDescent="0.4">
      <c r="A2" s="41"/>
      <c r="B2" s="41"/>
      <c r="C2" s="41"/>
      <c r="D2" s="41"/>
      <c r="E2" s="41"/>
      <c r="F2" s="41"/>
    </row>
    <row r="3" spans="1:9" ht="4.5" customHeight="1" x14ac:dyDescent="0.4">
      <c r="A3" s="39"/>
      <c r="B3" s="39"/>
      <c r="C3" s="39"/>
      <c r="D3" s="39"/>
      <c r="E3" s="39"/>
      <c r="F3" s="39"/>
    </row>
    <row r="4" spans="1:9" ht="23.25" customHeight="1" x14ac:dyDescent="0.4">
      <c r="A4" s="39"/>
      <c r="B4" s="102" t="s">
        <v>153</v>
      </c>
      <c r="C4" s="102"/>
      <c r="D4" s="39"/>
      <c r="E4" s="102" t="s">
        <v>160</v>
      </c>
      <c r="F4" s="102"/>
    </row>
    <row r="5" spans="1:9" ht="5.25" customHeight="1" thickBot="1" x14ac:dyDescent="0.35"/>
    <row r="6" spans="1:9" ht="24.6" customHeight="1" thickBot="1" x14ac:dyDescent="0.55000000000000004">
      <c r="B6" s="69" t="s">
        <v>154</v>
      </c>
      <c r="C6" s="68" t="s">
        <v>115</v>
      </c>
      <c r="E6" s="69" t="s">
        <v>159</v>
      </c>
      <c r="F6" s="73">
        <v>44949</v>
      </c>
    </row>
    <row r="7" spans="1:9" ht="24.6" customHeight="1" thickTop="1" thickBot="1" x14ac:dyDescent="0.55000000000000004">
      <c r="B7" s="69" t="s">
        <v>155</v>
      </c>
      <c r="C7" s="47" t="str">
        <f>IFERROR(VLOOKUP(C6,TB_Produtos[#All],2,FALSE),"")</f>
        <v>Sandália Rasteira</v>
      </c>
      <c r="E7" s="69" t="s">
        <v>162</v>
      </c>
      <c r="F7" s="47" t="str">
        <f>_xlfn.XLOOKUP(WEEKDAY(F6),'Cadastros Auxiliares'!$B$4:$I$4,'Cadastros Auxiliares'!$B$5:$I$5,"")</f>
        <v>Segunda-feira</v>
      </c>
      <c r="G7" s="46"/>
    </row>
    <row r="8" spans="1:9" ht="24.6" customHeight="1" thickTop="1" thickBot="1" x14ac:dyDescent="0.45">
      <c r="B8" s="70" t="s">
        <v>156</v>
      </c>
      <c r="C8" s="45" cm="1">
        <f t="array" ref="C8">_xlfn.XLOOKUP(C6,TB_Produtos[[#All],[Código]],TB_Produtos[[#All],[Tamanho]],"")</f>
        <v>35</v>
      </c>
      <c r="E8" s="70" t="s">
        <v>163</v>
      </c>
      <c r="F8" s="74">
        <f>SUMIF(TB_Vendas[[#All],[Data]],Consultas!$F$6,TB_Vendas[[#All],[Total]])</f>
        <v>146</v>
      </c>
      <c r="G8" s="46"/>
    </row>
    <row r="9" spans="1:9" ht="24.6" customHeight="1" thickTop="1" thickBot="1" x14ac:dyDescent="0.45">
      <c r="B9" s="71" t="s">
        <v>157</v>
      </c>
      <c r="C9" s="45" t="str">
        <f>IFERROR(VLOOKUP($C$6,Produtos!$B$6:$G$66,4,0),"")</f>
        <v>Calçado</v>
      </c>
      <c r="E9" s="72" t="s">
        <v>161</v>
      </c>
      <c r="F9" s="48">
        <f>SUMIF(TB_Vendas[[#All],[Data]],Consultas!$F$6,TB_Vendas[[#All],[Qtd]])</f>
        <v>1</v>
      </c>
      <c r="G9" s="46"/>
    </row>
    <row r="10" spans="1:9" ht="24.6" customHeight="1" thickTop="1" thickBot="1" x14ac:dyDescent="0.45">
      <c r="B10" s="71" t="s">
        <v>164</v>
      </c>
      <c r="C10" s="74">
        <f>_xlfn.XLOOKUP($C$6,Produtos!$B$6:$B$66,Produtos!$G$6:$G$66,"")</f>
        <v>89.9</v>
      </c>
      <c r="G10" s="46"/>
    </row>
    <row r="11" spans="1:9" ht="24.6" customHeight="1" thickTop="1" thickBot="1" x14ac:dyDescent="0.45">
      <c r="B11" s="70" t="s">
        <v>158</v>
      </c>
      <c r="C11" s="45" cm="1">
        <f t="array" ref="C11">_xlfn.XLOOKUP($C$6,TB_Produtos[[#All],[Código]],TB_Produtos[[#All],[Estoque]],"")</f>
        <v>48</v>
      </c>
      <c r="G11" s="46"/>
    </row>
    <row r="12" spans="1:9" ht="22.8" thickTop="1" thickBot="1" x14ac:dyDescent="0.45">
      <c r="B12" s="71" t="s">
        <v>165</v>
      </c>
      <c r="C12" s="45" t="str" cm="1">
        <f t="array" ref="C12">_xlfn.IFS(C11=0,"Estoque Zerado",C11&gt;=C13,"Estoque OK",1,"Rever Estoque")</f>
        <v>Estoque OK</v>
      </c>
      <c r="E12" s="75"/>
    </row>
    <row r="13" spans="1:9" ht="24.6" thickTop="1" thickBot="1" x14ac:dyDescent="0.5">
      <c r="B13" s="72" t="s">
        <v>167</v>
      </c>
      <c r="C13" s="80">
        <f>_xlfn.XLOOKUP(C9,'Cadastros Auxiliares'!G9:G11,'Cadastros Auxiliares'!H9:H11)</f>
        <v>15</v>
      </c>
      <c r="E13" s="76"/>
    </row>
    <row r="14" spans="1:9" x14ac:dyDescent="0.3"/>
    <row r="15" spans="1:9" x14ac:dyDescent="0.3"/>
    <row r="16" spans="1:9" x14ac:dyDescent="0.3"/>
    <row r="17" x14ac:dyDescent="0.3"/>
    <row r="18" x14ac:dyDescent="0.3"/>
    <row r="19" x14ac:dyDescent="0.3"/>
    <row r="20" x14ac:dyDescent="0.3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02C9-D733-40E1-B428-1111949FC27E}">
  <sheetPr>
    <tabColor rgb="FFDAFF01"/>
  </sheetPr>
  <dimension ref="B1:N23"/>
  <sheetViews>
    <sheetView workbookViewId="0">
      <selection activeCell="F6" sqref="F6"/>
    </sheetView>
  </sheetViews>
  <sheetFormatPr defaultColWidth="8.88671875" defaultRowHeight="14.4" x14ac:dyDescent="0.3"/>
  <cols>
    <col min="2" max="2" width="22.109375" customWidth="1"/>
    <col min="3" max="3" width="15.88671875" customWidth="1"/>
    <col min="4" max="4" width="19.109375" customWidth="1"/>
    <col min="6" max="6" width="17.33203125" customWidth="1"/>
    <col min="7" max="14" width="12" customWidth="1"/>
  </cols>
  <sheetData>
    <row r="1" spans="2:14" s="37" customFormat="1" ht="40.200000000000003" customHeight="1" thickBot="1" x14ac:dyDescent="0.9">
      <c r="B1" s="40" t="s">
        <v>173</v>
      </c>
      <c r="C1" s="40"/>
      <c r="D1" s="44"/>
      <c r="E1" s="42"/>
      <c r="F1" s="42"/>
      <c r="G1" s="42"/>
      <c r="H1" s="42"/>
      <c r="I1" s="42"/>
      <c r="J1" s="42"/>
      <c r="K1" s="42"/>
    </row>
    <row r="2" spans="2:14" ht="21.75" customHeight="1" x14ac:dyDescent="0.5">
      <c r="B2" s="87" t="s">
        <v>0</v>
      </c>
      <c r="C2" s="89" t="s">
        <v>77</v>
      </c>
      <c r="D2" s="88" t="s">
        <v>11</v>
      </c>
      <c r="F2" s="103" t="s">
        <v>176</v>
      </c>
      <c r="G2" s="103"/>
      <c r="H2" s="103"/>
      <c r="I2" s="103"/>
      <c r="J2" s="103"/>
      <c r="K2" s="103"/>
      <c r="L2" s="103"/>
      <c r="M2" s="103"/>
      <c r="N2" s="103"/>
    </row>
    <row r="3" spans="2:14" ht="21.75" customHeight="1" x14ac:dyDescent="0.35">
      <c r="B3" s="92" t="s">
        <v>5</v>
      </c>
      <c r="C3" s="93">
        <v>48</v>
      </c>
      <c r="D3" s="94">
        <v>65.900000000000006</v>
      </c>
      <c r="F3" s="91">
        <f>_xlfn.XLOOKUP(20,C3:C10,D3:D10,"",-1)</f>
        <v>259.89999999999998</v>
      </c>
      <c r="G3" s="91"/>
      <c r="H3" s="91"/>
      <c r="I3" s="91"/>
      <c r="J3" s="91"/>
      <c r="K3" s="91"/>
      <c r="L3" s="91"/>
      <c r="M3" s="91"/>
      <c r="N3" s="91"/>
    </row>
    <row r="4" spans="2:14" ht="21.75" customHeight="1" x14ac:dyDescent="0.3">
      <c r="B4" s="92" t="s">
        <v>5</v>
      </c>
      <c r="C4" s="93">
        <v>17</v>
      </c>
      <c r="D4" s="94">
        <v>63.9</v>
      </c>
    </row>
    <row r="5" spans="2:14" ht="21.75" customHeight="1" x14ac:dyDescent="0.5">
      <c r="B5" s="92" t="s">
        <v>5</v>
      </c>
      <c r="C5" s="93">
        <v>37</v>
      </c>
      <c r="D5" s="94">
        <v>70.900000000000006</v>
      </c>
      <c r="F5" s="103" t="s">
        <v>174</v>
      </c>
      <c r="G5" s="103"/>
      <c r="H5" s="103"/>
      <c r="I5" s="103"/>
      <c r="J5" s="103"/>
      <c r="K5" s="103"/>
      <c r="L5" s="103"/>
      <c r="M5" s="103"/>
      <c r="N5" s="103"/>
    </row>
    <row r="6" spans="2:14" ht="21.75" customHeight="1" x14ac:dyDescent="0.35">
      <c r="B6" s="92" t="s">
        <v>29</v>
      </c>
      <c r="C6" s="93">
        <v>36</v>
      </c>
      <c r="D6" s="94">
        <v>145</v>
      </c>
      <c r="F6" s="99" t="str">
        <f>_xlfn.XLOOKUP(35,C3:C10,B3:B10,,-1)</f>
        <v>Calça jeans</v>
      </c>
      <c r="G6" s="91"/>
      <c r="H6" s="91"/>
      <c r="I6" s="91"/>
      <c r="J6" s="91"/>
      <c r="K6" s="91"/>
      <c r="L6" s="91"/>
      <c r="M6" s="91"/>
      <c r="N6" s="91"/>
    </row>
    <row r="7" spans="2:14" ht="21.75" customHeight="1" x14ac:dyDescent="0.3">
      <c r="B7" s="92" t="s">
        <v>28</v>
      </c>
      <c r="C7" s="93">
        <v>19</v>
      </c>
      <c r="D7" s="94">
        <v>259.89999999999998</v>
      </c>
    </row>
    <row r="8" spans="2:14" ht="21.75" customHeight="1" x14ac:dyDescent="0.5">
      <c r="B8" s="92" t="s">
        <v>6</v>
      </c>
      <c r="C8" s="93">
        <v>23</v>
      </c>
      <c r="D8" s="94">
        <v>39.9</v>
      </c>
      <c r="F8" s="103" t="s">
        <v>175</v>
      </c>
      <c r="G8" s="103"/>
      <c r="H8" s="103"/>
      <c r="I8" s="103"/>
      <c r="J8" s="103"/>
      <c r="K8" s="103"/>
      <c r="L8" s="103"/>
      <c r="M8" s="103"/>
      <c r="N8" s="103"/>
    </row>
    <row r="9" spans="2:14" ht="21.75" customHeight="1" x14ac:dyDescent="0.35">
      <c r="B9" s="92" t="s">
        <v>23</v>
      </c>
      <c r="C9" s="93">
        <v>24</v>
      </c>
      <c r="D9" s="94">
        <v>85.9</v>
      </c>
      <c r="F9" s="91" t="str">
        <f>IF(_xlfn.XLOOKUP(65.9,D3:D10,B3:B10)="Bermuda","Sim","Não")</f>
        <v>Sim</v>
      </c>
      <c r="G9" s="91"/>
      <c r="H9" s="91"/>
      <c r="I9" s="91"/>
      <c r="J9" s="91"/>
      <c r="K9" s="91"/>
      <c r="L9" s="91"/>
      <c r="M9" s="91"/>
      <c r="N9" s="91"/>
    </row>
    <row r="10" spans="2:14" ht="21.75" customHeight="1" thickBot="1" x14ac:dyDescent="0.35">
      <c r="B10" s="95" t="s">
        <v>23</v>
      </c>
      <c r="C10" s="96">
        <v>34</v>
      </c>
      <c r="D10" s="97">
        <v>89.9</v>
      </c>
    </row>
    <row r="11" spans="2:14" ht="21.75" customHeight="1" x14ac:dyDescent="0.5">
      <c r="F11" s="103" t="s">
        <v>177</v>
      </c>
      <c r="G11" s="103"/>
      <c r="H11" s="103"/>
      <c r="I11" s="103"/>
      <c r="J11" s="103"/>
      <c r="K11" s="103"/>
      <c r="L11" s="103"/>
      <c r="M11" s="103"/>
      <c r="N11" s="103"/>
    </row>
    <row r="12" spans="2:14" ht="21.75" customHeight="1" x14ac:dyDescent="0.35">
      <c r="F12" s="91" t="str">
        <f>_xlfn.XLOOKUP(MAX(D3:D10),D3:D10,B3:B10)</f>
        <v>Bolsa de couro</v>
      </c>
      <c r="G12" s="91"/>
      <c r="H12" s="91"/>
      <c r="I12" s="91"/>
      <c r="J12" s="91"/>
      <c r="K12" s="91"/>
      <c r="L12" s="91"/>
      <c r="M12" s="91"/>
      <c r="N12" s="91"/>
    </row>
    <row r="13" spans="2:14" ht="21.75" customHeight="1" x14ac:dyDescent="0.3"/>
    <row r="14" spans="2:14" ht="16.8" x14ac:dyDescent="0.4">
      <c r="F14" s="90"/>
      <c r="G14" s="90"/>
      <c r="H14" s="90"/>
      <c r="I14" s="90"/>
      <c r="J14" s="90"/>
      <c r="K14" s="90"/>
      <c r="L14" s="90"/>
      <c r="M14" s="90"/>
      <c r="N14" s="90"/>
    </row>
    <row r="17" spans="6:14" ht="16.8" x14ac:dyDescent="0.4">
      <c r="F17" s="90"/>
      <c r="G17" s="90"/>
      <c r="H17" s="90"/>
      <c r="I17" s="90"/>
      <c r="J17" s="90"/>
      <c r="K17" s="90"/>
      <c r="L17" s="90"/>
      <c r="M17" s="90"/>
      <c r="N17" s="90"/>
    </row>
    <row r="20" spans="6:14" ht="16.8" x14ac:dyDescent="0.4">
      <c r="F20" s="90"/>
      <c r="G20" s="90"/>
      <c r="H20" s="90"/>
      <c r="I20" s="90"/>
      <c r="J20" s="90"/>
      <c r="K20" s="90"/>
      <c r="L20" s="90"/>
      <c r="M20" s="90"/>
      <c r="N20" s="90"/>
    </row>
    <row r="23" spans="6:14" ht="16.8" x14ac:dyDescent="0.4">
      <c r="F23" s="90"/>
      <c r="G23" s="90"/>
      <c r="H23" s="90"/>
      <c r="I23" s="90"/>
      <c r="J23" s="90"/>
      <c r="K23" s="90"/>
      <c r="L23" s="90"/>
      <c r="M23" s="90"/>
      <c r="N23" s="90"/>
    </row>
  </sheetData>
  <mergeCells count="4">
    <mergeCell ref="F2:N2"/>
    <mergeCell ref="F5:N5"/>
    <mergeCell ref="F8:N8"/>
    <mergeCell ref="F11:N11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E16" sqref="E16"/>
    </sheetView>
  </sheetViews>
  <sheetFormatPr defaultColWidth="8.88671875" defaultRowHeight="14.4" x14ac:dyDescent="0.3"/>
  <cols>
    <col min="1" max="1" width="8" customWidth="1"/>
    <col min="2" max="2" width="30.88671875" customWidth="1"/>
    <col min="3" max="9" width="17.44140625" customWidth="1"/>
  </cols>
  <sheetData>
    <row r="1" spans="2:10" s="37" customFormat="1" ht="40.200000000000003" customHeight="1" x14ac:dyDescent="0.3">
      <c r="B1" s="60" t="s">
        <v>135</v>
      </c>
      <c r="C1" s="44"/>
      <c r="D1" s="44"/>
      <c r="E1" s="44"/>
      <c r="F1" s="44"/>
      <c r="G1" s="44"/>
      <c r="H1" s="44"/>
      <c r="I1" s="42"/>
      <c r="J1" s="42"/>
    </row>
    <row r="2" spans="2:10" s="38" customFormat="1" ht="4.5" customHeight="1" x14ac:dyDescent="0.4">
      <c r="B2" s="41"/>
      <c r="C2" s="41"/>
      <c r="D2" s="41"/>
      <c r="E2" s="41"/>
      <c r="F2" s="41"/>
      <c r="G2" s="41"/>
    </row>
    <row r="3" spans="2:10" ht="4.5" customHeight="1" thickBot="1" x14ac:dyDescent="0.45">
      <c r="B3" s="39"/>
      <c r="C3" s="39"/>
      <c r="D3" s="39"/>
      <c r="E3" s="39"/>
      <c r="F3" s="39"/>
      <c r="G3" s="39"/>
    </row>
    <row r="4" spans="2:10" ht="22.2" thickBot="1" x14ac:dyDescent="0.55000000000000004">
      <c r="B4" s="34" t="s">
        <v>30</v>
      </c>
      <c r="C4" s="35">
        <v>1</v>
      </c>
      <c r="D4" s="36">
        <v>2</v>
      </c>
      <c r="E4" s="35">
        <v>3</v>
      </c>
      <c r="F4" s="36">
        <v>4</v>
      </c>
      <c r="G4" s="35">
        <v>5</v>
      </c>
      <c r="H4" s="36">
        <v>6</v>
      </c>
      <c r="I4" s="35">
        <v>7</v>
      </c>
    </row>
    <row r="5" spans="2:10" s="53" customFormat="1" ht="22.2" thickBot="1" x14ac:dyDescent="0.35">
      <c r="B5" s="51" t="s">
        <v>136</v>
      </c>
      <c r="C5" s="52" t="s">
        <v>137</v>
      </c>
      <c r="D5" s="52" t="s">
        <v>138</v>
      </c>
      <c r="E5" s="52" t="s">
        <v>139</v>
      </c>
      <c r="F5" s="52" t="s">
        <v>140</v>
      </c>
      <c r="G5" s="52" t="s">
        <v>141</v>
      </c>
      <c r="H5" s="52" t="s">
        <v>142</v>
      </c>
      <c r="I5" s="52" t="s">
        <v>143</v>
      </c>
    </row>
    <row r="7" spans="2:10" ht="15" thickBot="1" x14ac:dyDescent="0.35"/>
    <row r="8" spans="2:10" ht="43.8" thickBot="1" x14ac:dyDescent="0.35">
      <c r="B8" s="57" t="s">
        <v>152</v>
      </c>
      <c r="C8" s="58" t="s">
        <v>13</v>
      </c>
      <c r="D8" s="58" t="s">
        <v>12</v>
      </c>
      <c r="E8" s="58" t="s">
        <v>14</v>
      </c>
      <c r="G8" s="77" t="s">
        <v>10</v>
      </c>
      <c r="H8" s="78" t="s">
        <v>166</v>
      </c>
    </row>
    <row r="9" spans="2:10" ht="17.399999999999999" thickBot="1" x14ac:dyDescent="0.35">
      <c r="B9" s="52">
        <v>1</v>
      </c>
      <c r="C9" s="56">
        <v>0</v>
      </c>
      <c r="D9" s="56">
        <v>0.1</v>
      </c>
      <c r="E9" s="59">
        <v>0</v>
      </c>
      <c r="G9" s="52" t="s">
        <v>13</v>
      </c>
      <c r="H9" s="79">
        <v>5</v>
      </c>
    </row>
    <row r="10" spans="2:10" ht="17.399999999999999" thickBot="1" x14ac:dyDescent="0.35">
      <c r="B10" s="52">
        <v>2</v>
      </c>
      <c r="C10" s="56">
        <v>0.05</v>
      </c>
      <c r="D10" s="56">
        <v>0.15</v>
      </c>
      <c r="E10" s="59">
        <v>0.1</v>
      </c>
      <c r="G10" s="52" t="s">
        <v>12</v>
      </c>
      <c r="H10" s="79">
        <v>10</v>
      </c>
    </row>
    <row r="11" spans="2:10" ht="17.399999999999999" thickBot="1" x14ac:dyDescent="0.35">
      <c r="B11" s="52">
        <v>3</v>
      </c>
      <c r="C11" s="56">
        <v>0.15</v>
      </c>
      <c r="D11" s="56">
        <v>0.2</v>
      </c>
      <c r="E11" s="59">
        <v>0.15</v>
      </c>
      <c r="G11" s="52" t="s">
        <v>14</v>
      </c>
      <c r="H11" s="79">
        <v>15</v>
      </c>
    </row>
    <row r="12" spans="2:10" ht="17.399999999999999" thickBot="1" x14ac:dyDescent="0.35">
      <c r="B12" s="52">
        <v>5</v>
      </c>
      <c r="C12" s="56">
        <v>0.25</v>
      </c>
      <c r="D12" s="56">
        <v>0.25</v>
      </c>
      <c r="E12" s="59">
        <v>0.25</v>
      </c>
    </row>
    <row r="13" spans="2:10" ht="17.399999999999999" thickBot="1" x14ac:dyDescent="0.35">
      <c r="B13" s="52">
        <v>10</v>
      </c>
      <c r="C13" s="56">
        <v>0.3</v>
      </c>
      <c r="D13" s="56">
        <v>0.3</v>
      </c>
      <c r="E13" s="59">
        <v>0.3</v>
      </c>
      <c r="G13" s="66"/>
    </row>
    <row r="15" spans="2:10" ht="23.4" x14ac:dyDescent="0.45">
      <c r="B15" s="76"/>
      <c r="C15" s="76"/>
      <c r="D15" s="76"/>
      <c r="E15" s="76"/>
      <c r="F15" s="76"/>
    </row>
    <row r="16" spans="2:10" ht="23.4" x14ac:dyDescent="0.45">
      <c r="B16" s="76"/>
      <c r="C16" s="76"/>
      <c r="D16" s="76"/>
      <c r="E16" s="76"/>
      <c r="F16" s="76"/>
    </row>
    <row r="17" spans="2:6" ht="23.4" x14ac:dyDescent="0.45">
      <c r="B17" s="76"/>
      <c r="C17" s="76"/>
      <c r="D17" s="86"/>
      <c r="E17" s="76"/>
      <c r="F17" s="76"/>
    </row>
    <row r="18" spans="2:6" ht="23.4" x14ac:dyDescent="0.45">
      <c r="B18" s="76"/>
      <c r="C18" s="76"/>
      <c r="D18" s="76"/>
      <c r="E18" s="76"/>
      <c r="F18" s="86"/>
    </row>
    <row r="19" spans="2:6" ht="23.4" x14ac:dyDescent="0.45">
      <c r="B19" s="76"/>
      <c r="C19" s="76"/>
      <c r="D19" s="76"/>
      <c r="E19" s="76"/>
      <c r="F19" s="76"/>
    </row>
    <row r="20" spans="2:6" ht="23.4" x14ac:dyDescent="0.45">
      <c r="B20" s="76"/>
      <c r="C20" s="76"/>
      <c r="D20" s="76"/>
      <c r="E20" s="76"/>
      <c r="F20" s="76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EE0F-69A0-4DC1-99C0-E2A4680C6ED8}">
  <sheetPr>
    <tabColor rgb="FFDAFF01"/>
  </sheetPr>
  <dimension ref="B1:N23"/>
  <sheetViews>
    <sheetView tabSelected="1" workbookViewId="0">
      <selection activeCell="G13" sqref="G13"/>
    </sheetView>
  </sheetViews>
  <sheetFormatPr defaultColWidth="8.88671875" defaultRowHeight="14.4" x14ac:dyDescent="0.3"/>
  <cols>
    <col min="2" max="2" width="22.109375" customWidth="1"/>
    <col min="3" max="3" width="15.88671875" customWidth="1"/>
    <col min="4" max="4" width="19.109375" customWidth="1"/>
    <col min="6" max="6" width="17.33203125" customWidth="1"/>
    <col min="7" max="14" width="12" customWidth="1"/>
  </cols>
  <sheetData>
    <row r="1" spans="2:14" s="37" customFormat="1" ht="40.200000000000003" customHeight="1" thickBot="1" x14ac:dyDescent="0.9">
      <c r="B1" s="40" t="s">
        <v>173</v>
      </c>
      <c r="C1" s="40"/>
      <c r="D1" s="44"/>
      <c r="E1" s="42"/>
      <c r="F1" s="42"/>
      <c r="G1" s="42"/>
      <c r="H1" s="42"/>
      <c r="I1" s="42"/>
      <c r="J1" s="42"/>
      <c r="K1" s="42"/>
    </row>
    <row r="2" spans="2:14" ht="21.75" customHeight="1" x14ac:dyDescent="0.5">
      <c r="B2" s="87" t="s">
        <v>0</v>
      </c>
      <c r="C2" s="89" t="s">
        <v>77</v>
      </c>
      <c r="D2" s="88" t="s">
        <v>11</v>
      </c>
      <c r="F2" s="103" t="s">
        <v>176</v>
      </c>
      <c r="G2" s="103"/>
      <c r="H2" s="103"/>
      <c r="I2" s="103"/>
      <c r="J2" s="103"/>
      <c r="K2" s="103"/>
      <c r="L2" s="103"/>
      <c r="M2" s="103"/>
      <c r="N2" s="103"/>
    </row>
    <row r="3" spans="2:14" ht="21.75" customHeight="1" x14ac:dyDescent="0.35">
      <c r="B3" s="92" t="s">
        <v>5</v>
      </c>
      <c r="C3" s="93">
        <v>48</v>
      </c>
      <c r="D3" s="94">
        <v>65.900000000000006</v>
      </c>
      <c r="F3" s="137" cm="1">
        <f t="array" ref="F3">INDEX(D3:D10,MATCH(MIN(ABS(C3:C10-20)),ABS(C3:C10-20),0))</f>
        <v>259.89999999999998</v>
      </c>
      <c r="G3" s="91"/>
      <c r="H3" s="91"/>
      <c r="I3" s="91"/>
      <c r="J3" s="91"/>
      <c r="K3" s="91"/>
      <c r="L3" s="91"/>
      <c r="M3" s="91"/>
      <c r="N3" s="91"/>
    </row>
    <row r="4" spans="2:14" ht="21.75" customHeight="1" x14ac:dyDescent="0.3">
      <c r="B4" s="92" t="s">
        <v>5</v>
      </c>
      <c r="C4" s="93">
        <v>17</v>
      </c>
      <c r="D4" s="94">
        <v>63.9</v>
      </c>
    </row>
    <row r="5" spans="2:14" ht="21.75" customHeight="1" x14ac:dyDescent="0.5">
      <c r="B5" s="92" t="s">
        <v>5</v>
      </c>
      <c r="C5" s="93">
        <v>37</v>
      </c>
      <c r="D5" s="94">
        <v>70.900000000000006</v>
      </c>
      <c r="F5" s="103" t="s">
        <v>174</v>
      </c>
      <c r="G5" s="103"/>
      <c r="H5" s="103"/>
      <c r="I5" s="103"/>
      <c r="J5" s="103"/>
      <c r="K5" s="103"/>
      <c r="L5" s="103"/>
      <c r="M5" s="103"/>
      <c r="N5" s="103"/>
    </row>
    <row r="6" spans="2:14" ht="21.75" customHeight="1" x14ac:dyDescent="0.35">
      <c r="B6" s="92" t="s">
        <v>29</v>
      </c>
      <c r="C6" s="93">
        <v>36</v>
      </c>
      <c r="D6" s="94">
        <v>145</v>
      </c>
      <c r="F6" s="91" t="str" cm="1">
        <f t="array" ref="F6">INDEX(B3:B10,MATCH(1,((ABS(C3:C10-35)=MIN(ABS(C3:C10-35)))*(C3:C10&lt;=35)),0))</f>
        <v>Calça jeans</v>
      </c>
      <c r="G6" s="91"/>
      <c r="H6" s="91"/>
      <c r="I6" s="91"/>
      <c r="J6" s="91"/>
      <c r="K6" s="91"/>
      <c r="L6" s="91"/>
      <c r="M6" s="91"/>
      <c r="N6" s="91"/>
    </row>
    <row r="7" spans="2:14" ht="21.75" customHeight="1" x14ac:dyDescent="0.3">
      <c r="B7" s="92" t="s">
        <v>28</v>
      </c>
      <c r="C7" s="93">
        <v>19</v>
      </c>
      <c r="D7" s="94">
        <v>259.89999999999998</v>
      </c>
    </row>
    <row r="8" spans="2:14" ht="21.75" customHeight="1" x14ac:dyDescent="0.5">
      <c r="B8" s="92" t="s">
        <v>6</v>
      </c>
      <c r="C8" s="93">
        <v>23</v>
      </c>
      <c r="D8" s="94">
        <v>39.9</v>
      </c>
      <c r="F8" s="103" t="s">
        <v>175</v>
      </c>
      <c r="G8" s="103"/>
      <c r="H8" s="103"/>
      <c r="I8" s="103"/>
      <c r="J8" s="103"/>
      <c r="K8" s="103"/>
      <c r="L8" s="103"/>
      <c r="M8" s="103"/>
      <c r="N8" s="103"/>
    </row>
    <row r="9" spans="2:14" ht="21.75" customHeight="1" x14ac:dyDescent="0.35">
      <c r="B9" s="92" t="s">
        <v>23</v>
      </c>
      <c r="C9" s="93">
        <v>24</v>
      </c>
      <c r="D9" s="94">
        <v>85.9</v>
      </c>
      <c r="F9" s="137" t="str">
        <f>IF(INDEX(B3:D10,MATCH(65.9,D3:D10,0),1)="Bermuda","Sim","Não")</f>
        <v>Sim</v>
      </c>
      <c r="G9" s="137" t="str">
        <f>IF(AND(COUNTIFS(B3:B10, "Bermuda", D3:D10, 65.9)&gt;0), "Sim", "Não")</f>
        <v>Sim</v>
      </c>
      <c r="H9" s="91"/>
      <c r="I9" s="91"/>
      <c r="J9" s="91"/>
      <c r="K9" s="91"/>
      <c r="L9" s="91"/>
      <c r="M9" s="91"/>
      <c r="N9" s="91"/>
    </row>
    <row r="10" spans="2:14" ht="21.75" customHeight="1" thickBot="1" x14ac:dyDescent="0.35">
      <c r="B10" s="95" t="s">
        <v>23</v>
      </c>
      <c r="C10" s="96">
        <v>34</v>
      </c>
      <c r="D10" s="97">
        <v>89.9</v>
      </c>
    </row>
    <row r="11" spans="2:14" ht="21.75" customHeight="1" x14ac:dyDescent="0.5">
      <c r="F11" s="103" t="s">
        <v>177</v>
      </c>
      <c r="G11" s="103"/>
      <c r="H11" s="103"/>
      <c r="I11" s="103"/>
      <c r="J11" s="103"/>
      <c r="K11" s="103"/>
      <c r="L11" s="103"/>
      <c r="M11" s="103"/>
      <c r="N11" s="103"/>
    </row>
    <row r="12" spans="2:14" ht="21.75" customHeight="1" x14ac:dyDescent="0.35">
      <c r="F12" s="98" t="str">
        <f>INDEX(B3:B10,MATCH(MAX(D3:D10),D3:D10,0))</f>
        <v>Bolsa de couro</v>
      </c>
      <c r="G12" s="91"/>
      <c r="H12" s="91"/>
      <c r="I12" s="91"/>
      <c r="J12" s="91"/>
      <c r="K12" s="91"/>
      <c r="L12" s="91"/>
      <c r="M12" s="91"/>
      <c r="N12" s="91"/>
    </row>
    <row r="13" spans="2:14" ht="21.75" customHeight="1" x14ac:dyDescent="0.3">
      <c r="D13" s="138"/>
    </row>
    <row r="14" spans="2:14" ht="16.8" x14ac:dyDescent="0.4">
      <c r="F14" s="90"/>
      <c r="G14" s="90"/>
      <c r="H14" s="90"/>
      <c r="I14" s="90"/>
      <c r="J14" s="90"/>
      <c r="K14" s="90"/>
      <c r="L14" s="90"/>
      <c r="M14" s="90"/>
      <c r="N14" s="90"/>
    </row>
    <row r="17" spans="6:14" ht="16.8" x14ac:dyDescent="0.4">
      <c r="F17" s="90"/>
      <c r="G17" s="90"/>
      <c r="H17" s="90"/>
      <c r="I17" s="90"/>
      <c r="J17" s="90"/>
      <c r="K17" s="90"/>
      <c r="L17" s="90"/>
      <c r="M17" s="90"/>
      <c r="N17" s="90"/>
    </row>
    <row r="20" spans="6:14" ht="16.8" x14ac:dyDescent="0.4">
      <c r="F20" s="90"/>
      <c r="G20" s="90"/>
      <c r="H20" s="90"/>
      <c r="I20" s="90"/>
      <c r="J20" s="90"/>
      <c r="K20" s="90"/>
      <c r="L20" s="90"/>
      <c r="M20" s="90"/>
      <c r="N20" s="90"/>
    </row>
    <row r="23" spans="6:14" ht="16.8" x14ac:dyDescent="0.4">
      <c r="F23" s="90"/>
      <c r="G23" s="90"/>
      <c r="H23" s="90"/>
      <c r="I23" s="90"/>
      <c r="J23" s="90"/>
      <c r="K23" s="90"/>
      <c r="L23" s="90"/>
      <c r="M23" s="90"/>
      <c r="N23" s="90"/>
    </row>
  </sheetData>
  <mergeCells count="4">
    <mergeCell ref="F2:N2"/>
    <mergeCell ref="F5:N5"/>
    <mergeCell ref="F8:N8"/>
    <mergeCell ref="F11:N11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ColWidth="8.88671875" defaultRowHeight="14.4" x14ac:dyDescent="0.3"/>
  <cols>
    <col min="1" max="1" width="17.109375" customWidth="1"/>
    <col min="2" max="2" width="20.88671875" customWidth="1"/>
    <col min="3" max="3" width="1.33203125" customWidth="1"/>
    <col min="6" max="6" width="13.5546875" customWidth="1"/>
    <col min="8" max="8" width="1.33203125" customWidth="1"/>
    <col min="9" max="11" width="13" customWidth="1"/>
    <col min="12" max="12" width="15.33203125" customWidth="1"/>
  </cols>
  <sheetData>
    <row r="1" spans="1:12" s="13" customFormat="1" x14ac:dyDescent="0.3">
      <c r="A1" s="14" t="s">
        <v>84</v>
      </c>
      <c r="B1" s="15" t="s">
        <v>85</v>
      </c>
      <c r="D1" s="14" t="s">
        <v>87</v>
      </c>
      <c r="E1" s="18" t="s">
        <v>86</v>
      </c>
      <c r="F1" s="18" t="s">
        <v>16</v>
      </c>
      <c r="G1" s="15" t="s">
        <v>15</v>
      </c>
      <c r="I1" s="21" t="s">
        <v>10</v>
      </c>
      <c r="J1" s="23" t="s">
        <v>95</v>
      </c>
      <c r="K1" s="23" t="s">
        <v>94</v>
      </c>
      <c r="L1" s="22" t="s">
        <v>16</v>
      </c>
    </row>
    <row r="2" spans="1:12" x14ac:dyDescent="0.3">
      <c r="A2" s="3" t="s">
        <v>13</v>
      </c>
      <c r="B2" s="16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1750.9</v>
      </c>
      <c r="G2" s="19">
        <f>SUMIF(TB_Vendas[Nº],D2,TB_Vendas[Qtd])</f>
        <v>14</v>
      </c>
      <c r="I2" s="3" t="s">
        <v>72</v>
      </c>
      <c r="J2" s="26" t="e">
        <f>L2/SUM($L$2:$L$4)</f>
        <v>#DIV/0!</v>
      </c>
      <c r="K2" s="24" t="e">
        <f>100%-J2</f>
        <v>#DIV/0!</v>
      </c>
      <c r="L2" s="16">
        <f>SUMIF(TB_Vendas[Vendedor],I2,TB_Vendas[Total])</f>
        <v>0</v>
      </c>
    </row>
    <row r="3" spans="1:12" x14ac:dyDescent="0.3">
      <c r="A3" s="3" t="s">
        <v>71</v>
      </c>
      <c r="B3" s="16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2974.9</v>
      </c>
      <c r="G3" s="19">
        <f>SUMIF(TB_Vendas[Nº],D3,TB_Vendas[Qtd])</f>
        <v>15</v>
      </c>
      <c r="I3" s="3" t="s">
        <v>73</v>
      </c>
      <c r="J3" s="26" t="e">
        <f t="shared" ref="J3" si="0">L3/SUM($L$2:$L$4)</f>
        <v>#DIV/0!</v>
      </c>
      <c r="K3" s="24" t="e">
        <f t="shared" ref="K3:K4" si="1">100%-J3</f>
        <v>#DIV/0!</v>
      </c>
      <c r="L3" s="16">
        <f>SUMIF(TB_Vendas[Vendedor],I3,TB_Vendas[Total])</f>
        <v>0</v>
      </c>
    </row>
    <row r="4" spans="1:12" ht="15" thickBot="1" x14ac:dyDescent="0.35">
      <c r="A4" s="4" t="s">
        <v>12</v>
      </c>
      <c r="B4" s="17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3698.1</v>
      </c>
      <c r="G4" s="19">
        <f>SUMIF(TB_Vendas[Nº],D4,TB_Vendas[Qtd])</f>
        <v>26</v>
      </c>
      <c r="I4" s="4" t="s">
        <v>75</v>
      </c>
      <c r="J4" s="27" t="e">
        <f>L4/SUM($L$2:$L$4)</f>
        <v>#DIV/0!</v>
      </c>
      <c r="K4" s="25" t="e">
        <f t="shared" si="1"/>
        <v>#DIV/0!</v>
      </c>
      <c r="L4" s="17">
        <f>SUMIF(TB_Vendas[Vendedor],I4,TB_Vendas[Total])</f>
        <v>0</v>
      </c>
    </row>
    <row r="5" spans="1:12" x14ac:dyDescent="0.3">
      <c r="D5" s="3">
        <v>4</v>
      </c>
      <c r="E5" s="2" t="s">
        <v>91</v>
      </c>
      <c r="F5" s="6">
        <f>SUMIF(TB_Vendas[Nº],D5,TB_Vendas[Total])</f>
        <v>3651.0999999999995</v>
      </c>
      <c r="G5" s="19">
        <f>SUMIF(TB_Vendas[Nº],D5,TB_Vendas[Qtd])</f>
        <v>28</v>
      </c>
    </row>
    <row r="6" spans="1:12" x14ac:dyDescent="0.3">
      <c r="D6" s="3">
        <v>5</v>
      </c>
      <c r="E6" s="2" t="s">
        <v>92</v>
      </c>
      <c r="F6" s="6">
        <f>SUMIF(TB_Vendas[Nº],D6,TB_Vendas[Total])</f>
        <v>2776.2999999999997</v>
      </c>
      <c r="G6" s="19">
        <f>SUMIF(TB_Vendas[Nº],D6,TB_Vendas[Qtd])</f>
        <v>17</v>
      </c>
    </row>
    <row r="7" spans="1:12" ht="15" thickBot="1" x14ac:dyDescent="0.35">
      <c r="D7" s="4">
        <v>6</v>
      </c>
      <c r="E7" s="5" t="s">
        <v>93</v>
      </c>
      <c r="F7" s="7">
        <f>SUMIF(TB_Vendas[Nº],D7,TB_Vendas[Total])</f>
        <v>3477.7000000000007</v>
      </c>
      <c r="G7" s="20">
        <f>SUMIF(TB_Vendas[Nº],D7,TB_Vendas[Qtd])</f>
        <v>41</v>
      </c>
    </row>
    <row r="11" spans="1:12" x14ac:dyDescent="0.3">
      <c r="I11" s="29"/>
      <c r="J11" s="29"/>
      <c r="K11" s="29"/>
      <c r="L11" s="29"/>
    </row>
    <row r="12" spans="1:12" x14ac:dyDescent="0.3">
      <c r="J12" s="30"/>
      <c r="K12" s="31"/>
      <c r="L12" s="8"/>
    </row>
    <row r="13" spans="1:12" x14ac:dyDescent="0.3">
      <c r="J13" s="30"/>
      <c r="K13" s="31"/>
      <c r="L13" s="8"/>
    </row>
    <row r="14" spans="1:12" x14ac:dyDescent="0.3">
      <c r="J14" s="30"/>
      <c r="K14" s="31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 x14ac:dyDescent="0.4"/>
  <cols>
    <col min="1" max="16384" width="2" style="11"/>
  </cols>
  <sheetData>
    <row r="1" spans="3:80" ht="9.75" customHeight="1" thickBot="1" x14ac:dyDescent="0.45"/>
    <row r="2" spans="3:80" ht="9.75" customHeight="1" x14ac:dyDescent="0.4">
      <c r="W2" s="104" t="s">
        <v>78</v>
      </c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6"/>
      <c r="AQ2" s="104" t="s">
        <v>79</v>
      </c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6"/>
      <c r="BK2" s="104" t="s">
        <v>80</v>
      </c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5"/>
      <c r="BW2" s="105"/>
      <c r="BX2" s="105"/>
      <c r="BY2" s="105"/>
      <c r="BZ2" s="105"/>
      <c r="CA2" s="105"/>
      <c r="CB2" s="106"/>
    </row>
    <row r="3" spans="3:80" ht="9.75" customHeight="1" thickBot="1" x14ac:dyDescent="0.45">
      <c r="W3" s="107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9"/>
      <c r="AQ3" s="107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108"/>
      <c r="BG3" s="108"/>
      <c r="BH3" s="109"/>
      <c r="BK3" s="107"/>
      <c r="BL3" s="108"/>
      <c r="BM3" s="108"/>
      <c r="BN3" s="108"/>
      <c r="BO3" s="108"/>
      <c r="BP3" s="108"/>
      <c r="BQ3" s="108"/>
      <c r="BR3" s="108"/>
      <c r="BS3" s="108"/>
      <c r="BT3" s="108"/>
      <c r="BU3" s="108"/>
      <c r="BV3" s="108"/>
      <c r="BW3" s="108"/>
      <c r="BX3" s="108"/>
      <c r="BY3" s="108"/>
      <c r="BZ3" s="108"/>
      <c r="CA3" s="108"/>
      <c r="CB3" s="109"/>
    </row>
    <row r="4" spans="3:80" ht="9.75" customHeight="1" x14ac:dyDescent="0.4">
      <c r="W4" s="110">
        <f>COUNTA(TB_Produtos[Código])</f>
        <v>60</v>
      </c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2"/>
      <c r="AQ4" s="110">
        <f>SUM(TB_Vendas[Qtd])</f>
        <v>250</v>
      </c>
      <c r="AR4" s="111"/>
      <c r="AS4" s="111"/>
      <c r="AT4" s="111"/>
      <c r="AU4" s="111"/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/>
      <c r="BG4" s="111"/>
      <c r="BH4" s="112"/>
      <c r="BK4" s="119">
        <f>SUM(TB_Vendas[Total])</f>
        <v>33304.799999999988</v>
      </c>
      <c r="BL4" s="120"/>
      <c r="BM4" s="120"/>
      <c r="BN4" s="120"/>
      <c r="BO4" s="120"/>
      <c r="BP4" s="120"/>
      <c r="BQ4" s="120"/>
      <c r="BR4" s="120"/>
      <c r="BS4" s="120"/>
      <c r="BT4" s="120"/>
      <c r="BU4" s="120"/>
      <c r="BV4" s="120"/>
      <c r="BW4" s="120"/>
      <c r="BX4" s="120"/>
      <c r="BY4" s="120"/>
      <c r="BZ4" s="120"/>
      <c r="CA4" s="120"/>
      <c r="CB4" s="121"/>
    </row>
    <row r="5" spans="3:80" ht="9.75" customHeight="1" x14ac:dyDescent="0.4">
      <c r="W5" s="113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5"/>
      <c r="AQ5" s="113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5"/>
      <c r="BK5" s="122"/>
      <c r="BL5" s="123"/>
      <c r="BM5" s="123"/>
      <c r="BN5" s="123"/>
      <c r="BO5" s="123"/>
      <c r="BP5" s="123"/>
      <c r="BQ5" s="123"/>
      <c r="BR5" s="123"/>
      <c r="BS5" s="123"/>
      <c r="BT5" s="123"/>
      <c r="BU5" s="123"/>
      <c r="BV5" s="123"/>
      <c r="BW5" s="123"/>
      <c r="BX5" s="123"/>
      <c r="BY5" s="123"/>
      <c r="BZ5" s="123"/>
      <c r="CA5" s="123"/>
      <c r="CB5" s="124"/>
    </row>
    <row r="6" spans="3:80" ht="9.75" customHeight="1" x14ac:dyDescent="0.4">
      <c r="W6" s="113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5"/>
      <c r="AQ6" s="113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5"/>
      <c r="BK6" s="122"/>
      <c r="BL6" s="123"/>
      <c r="BM6" s="123"/>
      <c r="BN6" s="123"/>
      <c r="BO6" s="123"/>
      <c r="BP6" s="123"/>
      <c r="BQ6" s="123"/>
      <c r="BR6" s="123"/>
      <c r="BS6" s="123"/>
      <c r="BT6" s="123"/>
      <c r="BU6" s="123"/>
      <c r="BV6" s="123"/>
      <c r="BW6" s="123"/>
      <c r="BX6" s="123"/>
      <c r="BY6" s="123"/>
      <c r="BZ6" s="123"/>
      <c r="CA6" s="123"/>
      <c r="CB6" s="124"/>
    </row>
    <row r="7" spans="3:80" ht="9.75" customHeight="1" thickBot="1" x14ac:dyDescent="0.45">
      <c r="W7" s="116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8"/>
      <c r="AQ7" s="116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8"/>
      <c r="BK7" s="125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6"/>
      <c r="CB7" s="127"/>
    </row>
    <row r="8" spans="3:80" ht="9.75" customHeight="1" thickBot="1" x14ac:dyDescent="0.45"/>
    <row r="9" spans="3:80" ht="9.75" customHeight="1" x14ac:dyDescent="0.4">
      <c r="C9" s="104" t="s">
        <v>81</v>
      </c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  <c r="AN9" s="105"/>
      <c r="AO9" s="105"/>
      <c r="AP9" s="105"/>
      <c r="AQ9" s="105"/>
      <c r="AR9" s="105"/>
      <c r="AS9" s="105"/>
      <c r="AT9" s="105"/>
      <c r="AU9" s="105"/>
      <c r="AV9" s="105"/>
      <c r="AW9" s="105"/>
      <c r="AX9" s="105"/>
      <c r="AY9" s="105"/>
      <c r="AZ9" s="105"/>
      <c r="BA9" s="105"/>
      <c r="BB9" s="105"/>
      <c r="BC9" s="105"/>
      <c r="BD9" s="105"/>
      <c r="BE9" s="105"/>
      <c r="BF9" s="105"/>
      <c r="BG9" s="105"/>
      <c r="BH9" s="105"/>
      <c r="BI9" s="105"/>
      <c r="BJ9" s="105"/>
      <c r="BK9" s="105"/>
      <c r="BL9" s="105"/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6"/>
    </row>
    <row r="10" spans="3:80" ht="9.75" customHeight="1" thickBot="1" x14ac:dyDescent="0.45">
      <c r="C10" s="107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8"/>
      <c r="BQ10" s="108"/>
      <c r="BR10" s="108"/>
      <c r="BS10" s="108"/>
      <c r="BT10" s="108"/>
      <c r="BU10" s="108"/>
      <c r="BV10" s="108"/>
      <c r="BW10" s="108"/>
      <c r="BX10" s="108"/>
      <c r="BY10" s="108"/>
      <c r="BZ10" s="108"/>
      <c r="CA10" s="108"/>
      <c r="CB10" s="109"/>
    </row>
    <row r="11" spans="3:80" ht="9.75" customHeight="1" x14ac:dyDescent="0.4">
      <c r="C11" s="128"/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  <c r="AA11" s="129"/>
      <c r="AB11" s="129"/>
      <c r="AC11" s="129"/>
      <c r="AD11" s="129"/>
      <c r="AE11" s="129"/>
      <c r="AF11" s="129"/>
      <c r="AG11" s="129"/>
      <c r="AH11" s="129"/>
      <c r="AI11" s="129"/>
      <c r="AJ11" s="129"/>
      <c r="AK11" s="129"/>
      <c r="AL11" s="129"/>
      <c r="AM11" s="129"/>
      <c r="AN11" s="129"/>
      <c r="AO11" s="129"/>
      <c r="AP11" s="129"/>
      <c r="AQ11" s="129"/>
      <c r="AR11" s="129"/>
      <c r="AS11" s="129"/>
      <c r="AT11" s="129"/>
      <c r="AU11" s="129"/>
      <c r="AV11" s="129"/>
      <c r="AW11" s="129"/>
      <c r="AX11" s="129"/>
      <c r="AY11" s="129"/>
      <c r="AZ11" s="129"/>
      <c r="BA11" s="129"/>
      <c r="BB11" s="129"/>
      <c r="BC11" s="129"/>
      <c r="BD11" s="129"/>
      <c r="BE11" s="129"/>
      <c r="BF11" s="129"/>
      <c r="BG11" s="129"/>
      <c r="BH11" s="129"/>
      <c r="BI11" s="129"/>
      <c r="BJ11" s="129"/>
      <c r="BK11" s="129"/>
      <c r="BL11" s="129"/>
      <c r="BM11" s="129"/>
      <c r="BN11" s="129"/>
      <c r="BO11" s="129"/>
      <c r="BP11" s="129"/>
      <c r="BQ11" s="129"/>
      <c r="BR11" s="129"/>
      <c r="BS11" s="129"/>
      <c r="BT11" s="129"/>
      <c r="BU11" s="129"/>
      <c r="BV11" s="129"/>
      <c r="BW11" s="129"/>
      <c r="BX11" s="129"/>
      <c r="BY11" s="129"/>
      <c r="BZ11" s="129"/>
      <c r="CA11" s="129"/>
      <c r="CB11" s="130"/>
    </row>
    <row r="12" spans="3:80" ht="9.75" customHeight="1" x14ac:dyDescent="0.4">
      <c r="C12" s="131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3"/>
    </row>
    <row r="13" spans="3:80" ht="9.75" customHeight="1" x14ac:dyDescent="0.4">
      <c r="C13" s="131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3"/>
    </row>
    <row r="14" spans="3:80" ht="9.75" customHeight="1" x14ac:dyDescent="0.4">
      <c r="C14" s="131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3"/>
    </row>
    <row r="15" spans="3:80" ht="9.75" customHeight="1" x14ac:dyDescent="0.4">
      <c r="C15" s="131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3"/>
    </row>
    <row r="16" spans="3:80" ht="9.75" customHeight="1" x14ac:dyDescent="0.4">
      <c r="C16" s="131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3"/>
    </row>
    <row r="17" spans="3:80" ht="9.75" customHeight="1" x14ac:dyDescent="0.4">
      <c r="C17" s="131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3"/>
    </row>
    <row r="18" spans="3:80" ht="9.75" customHeight="1" x14ac:dyDescent="0.4">
      <c r="C18" s="131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3"/>
    </row>
    <row r="19" spans="3:80" ht="9.75" customHeight="1" x14ac:dyDescent="0.4">
      <c r="C19" s="131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3"/>
    </row>
    <row r="20" spans="3:80" ht="9.75" customHeight="1" x14ac:dyDescent="0.4">
      <c r="C20" s="131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3"/>
    </row>
    <row r="21" spans="3:80" ht="9.75" customHeight="1" x14ac:dyDescent="0.4">
      <c r="C21" s="131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3"/>
    </row>
    <row r="22" spans="3:80" ht="9.75" customHeight="1" x14ac:dyDescent="0.4">
      <c r="C22" s="131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3"/>
    </row>
    <row r="23" spans="3:80" ht="9.75" customHeight="1" x14ac:dyDescent="0.4">
      <c r="C23" s="131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3"/>
    </row>
    <row r="24" spans="3:80" ht="9.75" customHeight="1" thickBot="1" x14ac:dyDescent="0.45">
      <c r="C24" s="134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5"/>
      <c r="AL24" s="135"/>
      <c r="AM24" s="135"/>
      <c r="AN24" s="135"/>
      <c r="AO24" s="135"/>
      <c r="AP24" s="135"/>
      <c r="AQ24" s="135"/>
      <c r="AR24" s="135"/>
      <c r="AS24" s="135"/>
      <c r="AT24" s="135"/>
      <c r="AU24" s="135"/>
      <c r="AV24" s="135"/>
      <c r="AW24" s="135"/>
      <c r="AX24" s="135"/>
      <c r="AY24" s="135"/>
      <c r="AZ24" s="135"/>
      <c r="BA24" s="135"/>
      <c r="BB24" s="135"/>
      <c r="BC24" s="135"/>
      <c r="BD24" s="135"/>
      <c r="BE24" s="135"/>
      <c r="BF24" s="135"/>
      <c r="BG24" s="135"/>
      <c r="BH24" s="135"/>
      <c r="BI24" s="135"/>
      <c r="BJ24" s="135"/>
      <c r="BK24" s="135"/>
      <c r="BL24" s="135"/>
      <c r="BM24" s="135"/>
      <c r="BN24" s="135"/>
      <c r="BO24" s="135"/>
      <c r="BP24" s="135"/>
      <c r="BQ24" s="135"/>
      <c r="BR24" s="135"/>
      <c r="BS24" s="135"/>
      <c r="BT24" s="135"/>
      <c r="BU24" s="135"/>
      <c r="BV24" s="135"/>
      <c r="BW24" s="135"/>
      <c r="BX24" s="135"/>
      <c r="BY24" s="135"/>
      <c r="BZ24" s="135"/>
      <c r="CA24" s="135"/>
      <c r="CB24" s="136"/>
    </row>
    <row r="25" spans="3:80" ht="9.75" customHeight="1" thickBot="1" x14ac:dyDescent="0.45"/>
    <row r="26" spans="3:80" ht="9.75" customHeight="1" x14ac:dyDescent="0.55000000000000004">
      <c r="C26" s="104" t="s">
        <v>82</v>
      </c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6"/>
      <c r="AO26" s="12"/>
      <c r="AP26" s="12"/>
      <c r="AQ26" s="104" t="s">
        <v>83</v>
      </c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  <c r="BM26" s="105"/>
      <c r="BN26" s="105"/>
      <c r="BO26" s="105"/>
      <c r="BP26" s="105"/>
      <c r="BQ26" s="105"/>
      <c r="BR26" s="105"/>
      <c r="BS26" s="105"/>
      <c r="BT26" s="105"/>
      <c r="BU26" s="105"/>
      <c r="BV26" s="105"/>
      <c r="BW26" s="105"/>
      <c r="BX26" s="105"/>
      <c r="BY26" s="105"/>
      <c r="BZ26" s="105"/>
      <c r="CA26" s="105"/>
      <c r="CB26" s="106"/>
    </row>
    <row r="27" spans="3:80" ht="9.75" customHeight="1" thickBot="1" x14ac:dyDescent="0.6">
      <c r="C27" s="107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9"/>
      <c r="AO27" s="12"/>
      <c r="AP27" s="12"/>
      <c r="AQ27" s="107"/>
      <c r="AR27" s="108"/>
      <c r="AS27" s="108"/>
      <c r="AT27" s="108"/>
      <c r="AU27" s="108"/>
      <c r="AV27" s="108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08"/>
      <c r="BK27" s="108"/>
      <c r="BL27" s="108"/>
      <c r="BM27" s="108"/>
      <c r="BN27" s="108"/>
      <c r="BO27" s="108"/>
      <c r="BP27" s="108"/>
      <c r="BQ27" s="108"/>
      <c r="BR27" s="108"/>
      <c r="BS27" s="108"/>
      <c r="BT27" s="108"/>
      <c r="BU27" s="108"/>
      <c r="BV27" s="108"/>
      <c r="BW27" s="108"/>
      <c r="BX27" s="108"/>
      <c r="BY27" s="108"/>
      <c r="BZ27" s="108"/>
      <c r="CA27" s="108"/>
      <c r="CB27" s="109"/>
    </row>
    <row r="28" spans="3:80" ht="9.75" customHeight="1" x14ac:dyDescent="0.4">
      <c r="C28" s="128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129"/>
      <c r="AD28" s="129"/>
      <c r="AE28" s="129"/>
      <c r="AF28" s="129"/>
      <c r="AG28" s="129"/>
      <c r="AH28" s="129"/>
      <c r="AI28" s="129"/>
      <c r="AJ28" s="129"/>
      <c r="AK28" s="129"/>
      <c r="AL28" s="129"/>
      <c r="AM28" s="129"/>
      <c r="AN28" s="130"/>
      <c r="AQ28" s="128"/>
      <c r="AR28" s="129"/>
      <c r="AS28" s="129"/>
      <c r="AT28" s="129"/>
      <c r="AU28" s="129"/>
      <c r="AV28" s="129"/>
      <c r="AW28" s="129"/>
      <c r="AX28" s="129"/>
      <c r="AY28" s="129"/>
      <c r="AZ28" s="129"/>
      <c r="BA28" s="129"/>
      <c r="BB28" s="129"/>
      <c r="BC28" s="129"/>
      <c r="BD28" s="129"/>
      <c r="BE28" s="129"/>
      <c r="BF28" s="129"/>
      <c r="BG28" s="129"/>
      <c r="BH28" s="129"/>
      <c r="BI28" s="129"/>
      <c r="BJ28" s="129"/>
      <c r="BK28" s="129"/>
      <c r="BL28" s="129"/>
      <c r="BM28" s="129"/>
      <c r="BN28" s="129"/>
      <c r="BO28" s="129"/>
      <c r="BP28" s="129"/>
      <c r="BQ28" s="129"/>
      <c r="BR28" s="129"/>
      <c r="BS28" s="129"/>
      <c r="BT28" s="129"/>
      <c r="BU28" s="129"/>
      <c r="BV28" s="129"/>
      <c r="BW28" s="129"/>
      <c r="BX28" s="129"/>
      <c r="BY28" s="129"/>
      <c r="BZ28" s="129"/>
      <c r="CA28" s="129"/>
      <c r="CB28" s="130"/>
    </row>
    <row r="29" spans="3:80" ht="9.75" customHeight="1" x14ac:dyDescent="0.4">
      <c r="C29" s="131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3"/>
      <c r="AQ29" s="131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3"/>
    </row>
    <row r="30" spans="3:80" ht="9.75" customHeight="1" x14ac:dyDescent="0.4">
      <c r="C30" s="131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3"/>
      <c r="AQ30" s="131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3"/>
    </row>
    <row r="31" spans="3:80" ht="9.75" customHeight="1" x14ac:dyDescent="0.4">
      <c r="C31" s="131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3"/>
      <c r="AQ31" s="131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3"/>
    </row>
    <row r="32" spans="3:80" ht="9.75" customHeight="1" x14ac:dyDescent="0.4">
      <c r="C32" s="131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3"/>
      <c r="AQ32" s="131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3"/>
    </row>
    <row r="33" spans="3:80" ht="9.75" customHeight="1" x14ac:dyDescent="0.4">
      <c r="C33" s="131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3"/>
      <c r="AQ33" s="131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3"/>
    </row>
    <row r="34" spans="3:80" ht="9.75" customHeight="1" x14ac:dyDescent="0.4">
      <c r="C34" s="131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3"/>
      <c r="AQ34" s="131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3"/>
    </row>
    <row r="35" spans="3:80" ht="9.75" customHeight="1" x14ac:dyDescent="0.4">
      <c r="C35" s="131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3"/>
      <c r="AQ35" s="131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3"/>
    </row>
    <row r="36" spans="3:80" ht="9.75" customHeight="1" x14ac:dyDescent="0.4">
      <c r="C36" s="131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3"/>
      <c r="AQ36" s="131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3"/>
    </row>
    <row r="37" spans="3:80" ht="9.75" customHeight="1" x14ac:dyDescent="0.4">
      <c r="C37" s="131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3"/>
      <c r="AQ37" s="131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3"/>
    </row>
    <row r="38" spans="3:80" ht="9.75" customHeight="1" x14ac:dyDescent="0.4">
      <c r="C38" s="131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3"/>
      <c r="AQ38" s="131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3"/>
    </row>
    <row r="39" spans="3:80" ht="9.75" customHeight="1" x14ac:dyDescent="0.4">
      <c r="C39" s="131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3"/>
      <c r="AQ39" s="131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3"/>
    </row>
    <row r="40" spans="3:80" ht="9.75" customHeight="1" x14ac:dyDescent="0.4">
      <c r="C40" s="131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3"/>
      <c r="AQ40" s="131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3"/>
    </row>
    <row r="41" spans="3:80" ht="9.75" customHeight="1" x14ac:dyDescent="0.4">
      <c r="C41" s="131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3"/>
      <c r="AQ41" s="131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3"/>
    </row>
    <row r="42" spans="3:80" ht="9.75" customHeight="1" x14ac:dyDescent="0.4">
      <c r="C42" s="131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3"/>
      <c r="AQ42" s="131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3"/>
    </row>
    <row r="43" spans="3:80" ht="9.75" customHeight="1" x14ac:dyDescent="0.4">
      <c r="C43" s="131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3"/>
      <c r="AQ43" s="131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3"/>
    </row>
    <row r="44" spans="3:80" ht="9.75" customHeight="1" x14ac:dyDescent="0.4">
      <c r="C44" s="131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3"/>
      <c r="AQ44" s="131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3"/>
    </row>
    <row r="45" spans="3:80" ht="9.75" customHeight="1" x14ac:dyDescent="0.4">
      <c r="C45" s="131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3"/>
      <c r="AQ45" s="131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3"/>
    </row>
    <row r="46" spans="3:80" ht="9.75" customHeight="1" thickBot="1" x14ac:dyDescent="0.45">
      <c r="C46" s="134"/>
      <c r="D46" s="135"/>
      <c r="E46" s="135"/>
      <c r="F46" s="135"/>
      <c r="G46" s="135"/>
      <c r="H46" s="135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5"/>
      <c r="Z46" s="135"/>
      <c r="AA46" s="135"/>
      <c r="AB46" s="135"/>
      <c r="AC46" s="135"/>
      <c r="AD46" s="135"/>
      <c r="AE46" s="135"/>
      <c r="AF46" s="135"/>
      <c r="AG46" s="135"/>
      <c r="AH46" s="135"/>
      <c r="AI46" s="135"/>
      <c r="AJ46" s="135"/>
      <c r="AK46" s="135"/>
      <c r="AL46" s="135"/>
      <c r="AM46" s="135"/>
      <c r="AN46" s="136"/>
      <c r="AQ46" s="134"/>
      <c r="AR46" s="135"/>
      <c r="AS46" s="135"/>
      <c r="AT46" s="135"/>
      <c r="AU46" s="135"/>
      <c r="AV46" s="135"/>
      <c r="AW46" s="135"/>
      <c r="AX46" s="135"/>
      <c r="AY46" s="135"/>
      <c r="AZ46" s="135"/>
      <c r="BA46" s="135"/>
      <c r="BB46" s="135"/>
      <c r="BC46" s="135"/>
      <c r="BD46" s="135"/>
      <c r="BE46" s="135"/>
      <c r="BF46" s="135"/>
      <c r="BG46" s="135"/>
      <c r="BH46" s="135"/>
      <c r="BI46" s="135"/>
      <c r="BJ46" s="135"/>
      <c r="BK46" s="135"/>
      <c r="BL46" s="135"/>
      <c r="BM46" s="135"/>
      <c r="BN46" s="135"/>
      <c r="BO46" s="135"/>
      <c r="BP46" s="135"/>
      <c r="BQ46" s="135"/>
      <c r="BR46" s="135"/>
      <c r="BS46" s="135"/>
      <c r="BT46" s="135"/>
      <c r="BU46" s="135"/>
      <c r="BV46" s="135"/>
      <c r="BW46" s="135"/>
      <c r="BX46" s="135"/>
      <c r="BY46" s="135"/>
      <c r="BZ46" s="135"/>
      <c r="CA46" s="135"/>
      <c r="CB46" s="136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3</vt:i4>
      </vt:variant>
    </vt:vector>
  </HeadingPairs>
  <TitlesOfParts>
    <vt:vector size="13" baseType="lpstr">
      <vt:lpstr>Menu</vt:lpstr>
      <vt:lpstr>Produtos</vt:lpstr>
      <vt:lpstr>Vendedores</vt:lpstr>
      <vt:lpstr>Vendas</vt:lpstr>
      <vt:lpstr>Consultas</vt:lpstr>
      <vt:lpstr>Desafio 1</vt:lpstr>
      <vt:lpstr>Cadastros Auxiliares</vt:lpstr>
      <vt:lpstr>Desafio 2</vt:lpstr>
      <vt:lpstr>Dados para Gráficos</vt:lpstr>
      <vt:lpstr>Dashboard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Samantha Faustino</cp:lastModifiedBy>
  <cp:lastPrinted>2023-06-07T14:57:58Z</cp:lastPrinted>
  <dcterms:created xsi:type="dcterms:W3CDTF">2023-06-02T17:54:12Z</dcterms:created>
  <dcterms:modified xsi:type="dcterms:W3CDTF">2024-12-03T19:30:12Z</dcterms:modified>
</cp:coreProperties>
</file>