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Formação Excel/3199 - Excel 5 -Tabelas Dinâmicas e Gráficos Dinâmicos/Materiais do Curso/"/>
    </mc:Choice>
  </mc:AlternateContent>
  <xr:revisionPtr revIDLastSave="10" documentId="8_{2BCB36E9-ED98-4D97-BC89-033AD3013826}" xr6:coauthVersionLast="47" xr6:coauthVersionMax="47" xr10:uidLastSave="{79338475-89F4-44C7-B947-4EDBE23083A8}"/>
  <bookViews>
    <workbookView xWindow="-108" yWindow="-108" windowWidth="23256" windowHeight="12456" tabRatio="698" activeTab="1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state="hidden" r:id="rId6"/>
    <sheet name="Dashboard" sheetId="18" state="hidden" r:id="rId7"/>
  </sheets>
  <definedNames>
    <definedName name="_xlnm._FilterDatabase" localSheetId="3" hidden="1">Vendas!$C$4:$F$86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16" l="1"/>
  <c r="I30" i="16" s="1"/>
  <c r="H33" i="16"/>
  <c r="I33" i="16" s="1"/>
  <c r="H34" i="16"/>
  <c r="I34" i="16" s="1"/>
  <c r="H66" i="16"/>
  <c r="I66" i="16" s="1"/>
  <c r="H69" i="16"/>
  <c r="I69" i="16" s="1"/>
  <c r="H70" i="16"/>
  <c r="I70" i="16" s="1"/>
  <c r="E5" i="16"/>
  <c r="H5" i="16" s="1"/>
  <c r="I5" i="16" s="1"/>
  <c r="E6" i="16"/>
  <c r="H6" i="16" s="1"/>
  <c r="I6" i="16" s="1"/>
  <c r="E7" i="16"/>
  <c r="H7" i="16" s="1"/>
  <c r="I7" i="16" s="1"/>
  <c r="E8" i="16"/>
  <c r="H8" i="16" s="1"/>
  <c r="I8" i="16" s="1"/>
  <c r="E9" i="16"/>
  <c r="H9" i="16" s="1"/>
  <c r="I9" i="16" s="1"/>
  <c r="E10" i="16"/>
  <c r="H10" i="16" s="1"/>
  <c r="I10" i="16" s="1"/>
  <c r="E11" i="16"/>
  <c r="H11" i="16" s="1"/>
  <c r="I11" i="16" s="1"/>
  <c r="E12" i="16"/>
  <c r="H12" i="16" s="1"/>
  <c r="I12" i="16" s="1"/>
  <c r="E13" i="16"/>
  <c r="H13" i="16" s="1"/>
  <c r="I13" i="16" s="1"/>
  <c r="E14" i="16"/>
  <c r="H14" i="16" s="1"/>
  <c r="I14" i="16" s="1"/>
  <c r="E15" i="16"/>
  <c r="H15" i="16" s="1"/>
  <c r="I15" i="16" s="1"/>
  <c r="E16" i="16"/>
  <c r="H16" i="16" s="1"/>
  <c r="I16" i="16" s="1"/>
  <c r="E17" i="16"/>
  <c r="H17" i="16" s="1"/>
  <c r="I17" i="16" s="1"/>
  <c r="E18" i="16"/>
  <c r="H18" i="16" s="1"/>
  <c r="I18" i="16" s="1"/>
  <c r="E19" i="16"/>
  <c r="H19" i="16" s="1"/>
  <c r="I19" i="16" s="1"/>
  <c r="E20" i="16"/>
  <c r="H20" i="16" s="1"/>
  <c r="I20" i="16" s="1"/>
  <c r="E21" i="16"/>
  <c r="H21" i="16" s="1"/>
  <c r="I21" i="16" s="1"/>
  <c r="E22" i="16"/>
  <c r="H22" i="16" s="1"/>
  <c r="I22" i="16" s="1"/>
  <c r="E23" i="16"/>
  <c r="H23" i="16" s="1"/>
  <c r="I23" i="16" s="1"/>
  <c r="E24" i="16"/>
  <c r="H24" i="16" s="1"/>
  <c r="I24" i="16" s="1"/>
  <c r="E25" i="16"/>
  <c r="H25" i="16" s="1"/>
  <c r="I25" i="16" s="1"/>
  <c r="E26" i="16"/>
  <c r="H26" i="16" s="1"/>
  <c r="I26" i="16" s="1"/>
  <c r="E27" i="16"/>
  <c r="H27" i="16" s="1"/>
  <c r="I27" i="16" s="1"/>
  <c r="E28" i="16"/>
  <c r="H28" i="16" s="1"/>
  <c r="I28" i="16" s="1"/>
  <c r="E29" i="16"/>
  <c r="H29" i="16" s="1"/>
  <c r="I29" i="16" s="1"/>
  <c r="E30" i="16"/>
  <c r="E31" i="16"/>
  <c r="H31" i="16" s="1"/>
  <c r="I31" i="16" s="1"/>
  <c r="E32" i="16"/>
  <c r="H32" i="16" s="1"/>
  <c r="I32" i="16" s="1"/>
  <c r="E33" i="16"/>
  <c r="E34" i="16"/>
  <c r="E35" i="16"/>
  <c r="H35" i="16" s="1"/>
  <c r="I35" i="16" s="1"/>
  <c r="E36" i="16"/>
  <c r="H36" i="16" s="1"/>
  <c r="I36" i="16" s="1"/>
  <c r="E37" i="16"/>
  <c r="H37" i="16" s="1"/>
  <c r="I37" i="16" s="1"/>
  <c r="E38" i="16"/>
  <c r="H38" i="16" s="1"/>
  <c r="I38" i="16" s="1"/>
  <c r="E39" i="16"/>
  <c r="H39" i="16" s="1"/>
  <c r="I39" i="16" s="1"/>
  <c r="E40" i="16"/>
  <c r="H40" i="16" s="1"/>
  <c r="I40" i="16" s="1"/>
  <c r="E41" i="16"/>
  <c r="H41" i="16" s="1"/>
  <c r="I41" i="16" s="1"/>
  <c r="E42" i="16"/>
  <c r="H42" i="16" s="1"/>
  <c r="I42" i="16" s="1"/>
  <c r="E43" i="16"/>
  <c r="H43" i="16" s="1"/>
  <c r="I43" i="16" s="1"/>
  <c r="E44" i="16"/>
  <c r="H44" i="16" s="1"/>
  <c r="I44" i="16" s="1"/>
  <c r="E45" i="16"/>
  <c r="H45" i="16" s="1"/>
  <c r="I45" i="16" s="1"/>
  <c r="E46" i="16"/>
  <c r="H46" i="16" s="1"/>
  <c r="I46" i="16" s="1"/>
  <c r="E47" i="16"/>
  <c r="H47" i="16" s="1"/>
  <c r="I47" i="16" s="1"/>
  <c r="E48" i="16"/>
  <c r="H48" i="16" s="1"/>
  <c r="I48" i="16" s="1"/>
  <c r="E49" i="16"/>
  <c r="H49" i="16" s="1"/>
  <c r="I49" i="16" s="1"/>
  <c r="E50" i="16"/>
  <c r="H50" i="16" s="1"/>
  <c r="I50" i="16" s="1"/>
  <c r="E51" i="16"/>
  <c r="H51" i="16" s="1"/>
  <c r="I51" i="16" s="1"/>
  <c r="E52" i="16"/>
  <c r="H52" i="16" s="1"/>
  <c r="I52" i="16" s="1"/>
  <c r="E53" i="16"/>
  <c r="H53" i="16" s="1"/>
  <c r="I53" i="16" s="1"/>
  <c r="E54" i="16"/>
  <c r="H54" i="16" s="1"/>
  <c r="I54" i="16" s="1"/>
  <c r="E55" i="16"/>
  <c r="H55" i="16" s="1"/>
  <c r="I55" i="16" s="1"/>
  <c r="E56" i="16"/>
  <c r="H56" i="16" s="1"/>
  <c r="I56" i="16" s="1"/>
  <c r="E57" i="16"/>
  <c r="H57" i="16" s="1"/>
  <c r="I57" i="16" s="1"/>
  <c r="E58" i="16"/>
  <c r="H58" i="16" s="1"/>
  <c r="I58" i="16" s="1"/>
  <c r="E59" i="16"/>
  <c r="H59" i="16" s="1"/>
  <c r="I59" i="16" s="1"/>
  <c r="E60" i="16"/>
  <c r="H60" i="16" s="1"/>
  <c r="I60" i="16" s="1"/>
  <c r="E61" i="16"/>
  <c r="H61" i="16" s="1"/>
  <c r="I61" i="16" s="1"/>
  <c r="E62" i="16"/>
  <c r="H62" i="16" s="1"/>
  <c r="I62" i="16" s="1"/>
  <c r="E63" i="16"/>
  <c r="H63" i="16" s="1"/>
  <c r="I63" i="16" s="1"/>
  <c r="E64" i="16"/>
  <c r="H64" i="16" s="1"/>
  <c r="I64" i="16" s="1"/>
  <c r="E65" i="16"/>
  <c r="H65" i="16" s="1"/>
  <c r="I65" i="16" s="1"/>
  <c r="E66" i="16"/>
  <c r="E67" i="16"/>
  <c r="H67" i="16" s="1"/>
  <c r="I67" i="16" s="1"/>
  <c r="E68" i="16"/>
  <c r="H68" i="16" s="1"/>
  <c r="I68" i="16" s="1"/>
  <c r="E69" i="16"/>
  <c r="E70" i="16"/>
  <c r="E71" i="16"/>
  <c r="H71" i="16" s="1"/>
  <c r="I71" i="16" s="1"/>
  <c r="E72" i="16"/>
  <c r="H72" i="16" s="1"/>
  <c r="I72" i="16" s="1"/>
  <c r="E73" i="16"/>
  <c r="H73" i="16" s="1"/>
  <c r="I73" i="16" s="1"/>
  <c r="E74" i="16"/>
  <c r="H74" i="16" s="1"/>
  <c r="I74" i="16" s="1"/>
  <c r="E75" i="16"/>
  <c r="H75" i="16" s="1"/>
  <c r="I75" i="16" s="1"/>
  <c r="E76" i="16"/>
  <c r="H76" i="16" s="1"/>
  <c r="I76" i="16" s="1"/>
  <c r="E77" i="16"/>
  <c r="H77" i="16" s="1"/>
  <c r="I77" i="16" s="1"/>
  <c r="E78" i="16"/>
  <c r="H78" i="16" s="1"/>
  <c r="I78" i="16" s="1"/>
  <c r="E79" i="16"/>
  <c r="H79" i="16" s="1"/>
  <c r="I79" i="16" s="1"/>
  <c r="E80" i="16"/>
  <c r="H80" i="16" s="1"/>
  <c r="I80" i="16" s="1"/>
  <c r="E81" i="16"/>
  <c r="H81" i="16" s="1"/>
  <c r="I81" i="16" s="1"/>
  <c r="E82" i="16"/>
  <c r="H82" i="16" s="1"/>
  <c r="I82" i="16" s="1"/>
  <c r="E83" i="16"/>
  <c r="H83" i="16" s="1"/>
  <c r="I83" i="16" s="1"/>
  <c r="E84" i="16"/>
  <c r="H84" i="16" s="1"/>
  <c r="I84" i="16" s="1"/>
  <c r="E85" i="16"/>
  <c r="H85" i="16" s="1"/>
  <c r="I85" i="16" s="1"/>
  <c r="E86" i="16"/>
  <c r="H86" i="16" s="1"/>
  <c r="I86" i="16" s="1"/>
  <c r="J5" i="16" a="1"/>
  <c r="J5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1" i="24" a="1"/>
  <c r="C11" i="24" s="1"/>
  <c r="F7" i="24"/>
  <c r="C8" i="24" a="1"/>
  <c r="C8" i="24" s="1"/>
  <c r="C7" i="24"/>
  <c r="C10" i="24"/>
  <c r="C9" i="24"/>
  <c r="C13" i="24" s="1"/>
  <c r="F9" i="24"/>
  <c r="C12" i="24" l="1" a="1"/>
  <c r="C12" i="24" s="1"/>
  <c r="L51" i="16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<sst xmlns="http://schemas.openxmlformats.org/spreadsheetml/2006/main" count="478" uniqueCount="161">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</sst>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2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1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0"/>
    <tableColumn id="2" xr3:uid="{E100D4E2-C3A0-43FF-A1D9-90A4BC2A9918}" name="Produtos"/>
    <tableColumn id="3" xr3:uid="{2EF7FEE0-6B6F-4534-86A0-46B6555B7BEF}" name="Tamanho" dataDxfId="19"/>
    <tableColumn id="4" xr3:uid="{4435A4B8-E7F0-4D66-A4F8-6A9FEAA36D5A}" name="Categoria"/>
    <tableColumn id="6" xr3:uid="{15F9CACC-A558-4A20-80CF-C2ADA2603221}" name="Estoque" dataDxfId="18"/>
    <tableColumn id="5" xr3:uid="{CA8AD0DE-58EC-4839-85FB-1DD75DA28087}" name="Preço Unitá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16" dataDxfId="15" headerRowCellStyle="Cabeçalho Meteora">
  <autoFilter ref="A4:N86" xr:uid="{AD739091-30BD-4C30-BDDA-7504C0C4B6E2}"/>
  <tableColumns count="14">
    <tableColumn id="7" xr3:uid="{5E8DE7C3-CDB6-4314-A5CC-C44D3C21973F}" name="Nº" dataDxfId="14">
      <calculatedColumnFormula>MONTH(TB_Vendas[[#This Row],[Data]])</calculatedColumnFormula>
    </tableColumn>
    <tableColumn id="10" xr3:uid="{BD1ABB49-B48B-4C50-A034-45488FDC03A8}" name="Mês" dataDxfId="13">
      <calculatedColumnFormula>PROPER(TEXT(DATE(,TB_Vendas[[#This Row],[Nº]],1),"Mmm"))</calculatedColumnFormula>
    </tableColumn>
    <tableColumn id="1" xr3:uid="{43632F1F-6978-4CE7-BB13-7CCE587D6821}" name="Data" dataDxfId="12"/>
    <tableColumn id="12" xr3:uid="{205A55AB-454E-4288-AE23-042C3C399E7A}" name="Código" dataDxfId="11"/>
    <tableColumn id="16" xr3:uid="{059789B1-50A2-47F3-849D-D1EE26B94731}" name="Categoria" dataDxfId="10">
      <calculatedColumnFormula>_xlfn.XLOOKUP(TB_Vendas[[#This Row],[Código]],TB_Produtos[Código],TB_Produtos[Categoria])</calculatedColumnFormula>
    </tableColumn>
    <tableColumn id="5" xr3:uid="{7DC2ADED-AF8A-4BC8-A38E-FEF676FE49C9}" name="Qtd" dataDxfId="9"/>
    <tableColumn id="9" xr3:uid="{05B7315B-2774-41BC-AFEC-4A19E452D6C7}" name="Preço Unitário" dataDxfId="8">
      <calculatedColumnFormula>VLOOKUP(TB_Vendas[[#This Row],[Código]],Produtos!$B$6:$G$66,6,0)</calculatedColumnFormula>
    </tableColumn>
    <tableColumn id="18" xr3:uid="{152BED38-8D5F-4FAA-8C38-58740E2353E5}" name="Indice" dataDxfId="7">
      <calculatedColumnFormula>_xlfn.XMATCH(TB_Vendas[[#This Row],[Categoria]],Desc_Categorias,0)</calculatedColumnFormula>
    </tableColumn>
    <tableColumn id="17" xr3:uid="{C4E78734-94D7-4D31-B07D-5609B855AC0F}" name="Desconto _x000a_(Passo a Passo)" dataDxfId="6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4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3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pane activePane="bottomRight" state="frozen"/>
      <selection sqref="A1:L6"/>
    </sheetView>
  </sheetViews>
  <sheetFormatPr defaultColWidth="0" defaultRowHeight="14.4" zeroHeight="1" x14ac:dyDescent="0.3"/>
  <cols>
    <col min="1" max="12" width="8.88671875" customWidth="1"/>
    <col min="13" max="16384" width="8.88671875" hidden="1"/>
  </cols>
  <sheetData>
    <row r="1" spans="1:12" x14ac:dyDescent="0.3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2" x14ac:dyDescent="0.3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1:12" x14ac:dyDescent="0.3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</row>
    <row r="4" spans="1:12" x14ac:dyDescent="0.3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</row>
    <row r="5" spans="1:12" x14ac:dyDescent="0.3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</row>
    <row r="6" spans="1:12" x14ac:dyDescent="0.3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</row>
    <row r="7" spans="1:12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tabSelected="1" zoomScale="120" zoomScaleNormal="120" workbookViewId="0">
      <pane ySplit="1" topLeftCell="A2" activePane="bottomLeft" state="frozen"/>
      <selection pane="bottomLeft" activeCell="B6" sqref="B6"/>
    </sheetView>
  </sheetViews>
  <sheetFormatPr defaultColWidth="0" defaultRowHeight="14.4" x14ac:dyDescent="0.3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13" customFormat="1" ht="40.200000000000003" customHeight="1" x14ac:dyDescent="0.85">
      <c r="A1" s="16"/>
      <c r="B1" s="20" t="s">
        <v>121</v>
      </c>
      <c r="C1" s="20"/>
      <c r="D1" s="20"/>
      <c r="E1" s="20"/>
      <c r="F1" s="20"/>
      <c r="G1" s="20"/>
      <c r="H1" s="18"/>
      <c r="I1" s="18"/>
    </row>
    <row r="2" spans="1:9" s="14" customFormat="1" ht="4.5" customHeight="1" x14ac:dyDescent="0.4">
      <c r="A2" s="17"/>
      <c r="B2" s="17"/>
      <c r="C2" s="17"/>
      <c r="D2" s="17"/>
      <c r="E2" s="17"/>
      <c r="F2" s="17"/>
    </row>
    <row r="3" spans="1:9" ht="4.5" customHeight="1" x14ac:dyDescent="0.4">
      <c r="A3" s="15"/>
      <c r="B3" s="15"/>
      <c r="C3" s="15"/>
      <c r="D3" s="15"/>
      <c r="E3" s="15"/>
      <c r="F3" s="15"/>
    </row>
    <row r="4" spans="1:9" ht="18" customHeight="1" x14ac:dyDescent="0.4">
      <c r="A4" s="19"/>
      <c r="B4" s="19"/>
      <c r="D4" s="15"/>
      <c r="E4" s="15"/>
      <c r="F4" s="15"/>
    </row>
    <row r="5" spans="1:9" ht="4.95" customHeight="1" x14ac:dyDescent="0.4">
      <c r="A5" s="15"/>
      <c r="B5" s="15"/>
      <c r="C5" s="15"/>
      <c r="D5" s="15"/>
      <c r="E5" s="15"/>
      <c r="F5" s="15"/>
    </row>
    <row r="6" spans="1:9" s="1" customFormat="1" ht="18" x14ac:dyDescent="0.4">
      <c r="B6" s="9" t="s">
        <v>30</v>
      </c>
      <c r="C6" s="9" t="s">
        <v>0</v>
      </c>
      <c r="D6" s="9" t="s">
        <v>1</v>
      </c>
      <c r="E6" s="9" t="s">
        <v>10</v>
      </c>
      <c r="F6" s="9" t="s">
        <v>76</v>
      </c>
      <c r="G6" s="9" t="s">
        <v>11</v>
      </c>
      <c r="H6" s="9"/>
    </row>
    <row r="7" spans="1:9" x14ac:dyDescent="0.3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 x14ac:dyDescent="0.3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 x14ac:dyDescent="0.3">
      <c r="B9" s="1" t="s">
        <v>34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 x14ac:dyDescent="0.3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 x14ac:dyDescent="0.3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 x14ac:dyDescent="0.3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 x14ac:dyDescent="0.3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 x14ac:dyDescent="0.3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 x14ac:dyDescent="0.3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 x14ac:dyDescent="0.3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 x14ac:dyDescent="0.3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 x14ac:dyDescent="0.3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 x14ac:dyDescent="0.3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 x14ac:dyDescent="0.3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 x14ac:dyDescent="0.3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 x14ac:dyDescent="0.3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 x14ac:dyDescent="0.3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 x14ac:dyDescent="0.3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 x14ac:dyDescent="0.3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 x14ac:dyDescent="0.3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 x14ac:dyDescent="0.3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 x14ac:dyDescent="0.3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 x14ac:dyDescent="0.3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 x14ac:dyDescent="0.3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 x14ac:dyDescent="0.3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 x14ac:dyDescent="0.3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 x14ac:dyDescent="0.3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 x14ac:dyDescent="0.3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 x14ac:dyDescent="0.3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 x14ac:dyDescent="0.3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 x14ac:dyDescent="0.3">
      <c r="B37" s="1" t="s">
        <v>62</v>
      </c>
      <c r="C37" t="s">
        <v>112</v>
      </c>
      <c r="D37" s="1">
        <v>36</v>
      </c>
      <c r="E37" t="s">
        <v>14</v>
      </c>
      <c r="F37" s="1">
        <v>27</v>
      </c>
      <c r="G37" s="2">
        <v>245</v>
      </c>
    </row>
    <row r="38" spans="2:7" x14ac:dyDescent="0.3">
      <c r="B38" s="1" t="s">
        <v>63</v>
      </c>
      <c r="C38" t="s">
        <v>112</v>
      </c>
      <c r="D38" s="1">
        <v>37</v>
      </c>
      <c r="E38" t="s">
        <v>14</v>
      </c>
      <c r="F38" s="1">
        <v>41</v>
      </c>
      <c r="G38" s="2">
        <v>250</v>
      </c>
    </row>
    <row r="39" spans="2:7" x14ac:dyDescent="0.3">
      <c r="B39" s="1" t="s">
        <v>64</v>
      </c>
      <c r="C39" t="s">
        <v>112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 x14ac:dyDescent="0.3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 x14ac:dyDescent="0.3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 x14ac:dyDescent="0.3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 x14ac:dyDescent="0.3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 x14ac:dyDescent="0.3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 x14ac:dyDescent="0.3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 x14ac:dyDescent="0.3">
      <c r="B46" s="1" t="s">
        <v>84</v>
      </c>
      <c r="C46" t="s">
        <v>108</v>
      </c>
      <c r="D46" s="1" t="s">
        <v>2</v>
      </c>
      <c r="E46" t="s">
        <v>12</v>
      </c>
      <c r="F46" s="1">
        <v>16</v>
      </c>
      <c r="G46" s="8">
        <v>70</v>
      </c>
    </row>
    <row r="47" spans="2:7" x14ac:dyDescent="0.3">
      <c r="B47" s="1" t="s">
        <v>85</v>
      </c>
      <c r="C47" t="s">
        <v>108</v>
      </c>
      <c r="D47" s="1" t="s">
        <v>3</v>
      </c>
      <c r="E47" t="s">
        <v>12</v>
      </c>
      <c r="F47" s="1">
        <v>21</v>
      </c>
      <c r="G47" s="8">
        <v>54.9</v>
      </c>
    </row>
    <row r="48" spans="2:7" x14ac:dyDescent="0.3">
      <c r="B48" s="1" t="s">
        <v>86</v>
      </c>
      <c r="C48" t="s">
        <v>108</v>
      </c>
      <c r="D48" s="1" t="s">
        <v>4</v>
      </c>
      <c r="E48" t="s">
        <v>12</v>
      </c>
      <c r="F48" s="1">
        <v>43</v>
      </c>
      <c r="G48" s="8">
        <v>54.9</v>
      </c>
    </row>
    <row r="49" spans="2:7" x14ac:dyDescent="0.3">
      <c r="B49" s="1" t="s">
        <v>87</v>
      </c>
      <c r="C49" t="s">
        <v>88</v>
      </c>
      <c r="D49" s="1" t="s">
        <v>2</v>
      </c>
      <c r="E49" t="s">
        <v>12</v>
      </c>
      <c r="F49" s="1">
        <v>43</v>
      </c>
      <c r="G49" s="8">
        <v>72.5</v>
      </c>
    </row>
    <row r="50" spans="2:7" x14ac:dyDescent="0.3">
      <c r="B50" s="1" t="s">
        <v>89</v>
      </c>
      <c r="C50" t="s">
        <v>88</v>
      </c>
      <c r="D50" s="1" t="s">
        <v>3</v>
      </c>
      <c r="E50" t="s">
        <v>12</v>
      </c>
      <c r="F50" s="1">
        <v>41</v>
      </c>
      <c r="G50" s="8">
        <v>72.5</v>
      </c>
    </row>
    <row r="51" spans="2:7" x14ac:dyDescent="0.3">
      <c r="B51" s="1" t="s">
        <v>90</v>
      </c>
      <c r="C51" t="s">
        <v>88</v>
      </c>
      <c r="D51" s="1" t="s">
        <v>4</v>
      </c>
      <c r="E51" t="s">
        <v>12</v>
      </c>
      <c r="F51" s="1">
        <v>49</v>
      </c>
      <c r="G51" s="8">
        <v>72.5</v>
      </c>
    </row>
    <row r="52" spans="2:7" x14ac:dyDescent="0.3">
      <c r="B52" s="1" t="s">
        <v>91</v>
      </c>
      <c r="C52" t="s">
        <v>92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 x14ac:dyDescent="0.3">
      <c r="B53" s="1" t="s">
        <v>93</v>
      </c>
      <c r="C53" t="s">
        <v>92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 x14ac:dyDescent="0.3">
      <c r="B54" s="1" t="s">
        <v>94</v>
      </c>
      <c r="C54" t="s">
        <v>92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 x14ac:dyDescent="0.3">
      <c r="B55" s="1" t="s">
        <v>95</v>
      </c>
      <c r="C55" t="s">
        <v>96</v>
      </c>
      <c r="D55" s="1" t="s">
        <v>2</v>
      </c>
      <c r="E55" t="s">
        <v>12</v>
      </c>
      <c r="F55" s="1">
        <v>8</v>
      </c>
      <c r="G55" s="8">
        <v>32.9</v>
      </c>
    </row>
    <row r="56" spans="2:7" x14ac:dyDescent="0.3">
      <c r="B56" s="1" t="s">
        <v>97</v>
      </c>
      <c r="C56" t="s">
        <v>96</v>
      </c>
      <c r="D56" s="1" t="s">
        <v>3</v>
      </c>
      <c r="E56" t="s">
        <v>12</v>
      </c>
      <c r="F56" s="1">
        <v>42</v>
      </c>
      <c r="G56" s="8">
        <v>32.9</v>
      </c>
    </row>
    <row r="57" spans="2:7" x14ac:dyDescent="0.3">
      <c r="B57" s="1" t="s">
        <v>98</v>
      </c>
      <c r="C57" t="s">
        <v>96</v>
      </c>
      <c r="D57" s="1" t="s">
        <v>4</v>
      </c>
      <c r="E57" t="s">
        <v>12</v>
      </c>
      <c r="F57" s="1">
        <v>48</v>
      </c>
      <c r="G57" s="8">
        <v>32.9</v>
      </c>
    </row>
    <row r="58" spans="2:7" x14ac:dyDescent="0.3">
      <c r="B58" s="1" t="s">
        <v>99</v>
      </c>
      <c r="C58" t="s">
        <v>100</v>
      </c>
      <c r="D58" s="1" t="s">
        <v>2</v>
      </c>
      <c r="E58" t="s">
        <v>12</v>
      </c>
      <c r="F58" s="1">
        <v>35</v>
      </c>
      <c r="G58" s="8">
        <v>49.9</v>
      </c>
    </row>
    <row r="59" spans="2:7" x14ac:dyDescent="0.3">
      <c r="B59" s="1" t="s">
        <v>101</v>
      </c>
      <c r="C59" t="s">
        <v>100</v>
      </c>
      <c r="D59" s="1" t="s">
        <v>3</v>
      </c>
      <c r="E59" t="s">
        <v>12</v>
      </c>
      <c r="F59" s="1">
        <v>40</v>
      </c>
      <c r="G59" s="8">
        <v>49.9</v>
      </c>
    </row>
    <row r="60" spans="2:7" x14ac:dyDescent="0.3">
      <c r="B60" s="1" t="s">
        <v>102</v>
      </c>
      <c r="C60" t="s">
        <v>100</v>
      </c>
      <c r="D60" s="1" t="s">
        <v>4</v>
      </c>
      <c r="E60" t="s">
        <v>12</v>
      </c>
      <c r="F60" s="1">
        <v>18</v>
      </c>
      <c r="G60" s="8">
        <v>49.9</v>
      </c>
    </row>
    <row r="61" spans="2:7" x14ac:dyDescent="0.3">
      <c r="B61" s="1" t="s">
        <v>103</v>
      </c>
      <c r="C61" t="s">
        <v>105</v>
      </c>
      <c r="D61" s="1">
        <v>35</v>
      </c>
      <c r="E61" t="s">
        <v>14</v>
      </c>
      <c r="F61" s="1">
        <v>48</v>
      </c>
      <c r="G61" s="8">
        <v>89.9</v>
      </c>
    </row>
    <row r="62" spans="2:7" x14ac:dyDescent="0.3">
      <c r="B62" s="1" t="s">
        <v>104</v>
      </c>
      <c r="C62" t="s">
        <v>105</v>
      </c>
      <c r="D62" s="1">
        <v>36</v>
      </c>
      <c r="E62" t="s">
        <v>14</v>
      </c>
      <c r="F62" s="1">
        <v>38</v>
      </c>
      <c r="G62" s="2">
        <v>89.9</v>
      </c>
    </row>
    <row r="63" spans="2:7" x14ac:dyDescent="0.3">
      <c r="B63" s="1" t="s">
        <v>106</v>
      </c>
      <c r="C63" t="s">
        <v>105</v>
      </c>
      <c r="D63" s="1">
        <v>37</v>
      </c>
      <c r="E63" t="s">
        <v>14</v>
      </c>
      <c r="F63" s="1">
        <v>45</v>
      </c>
      <c r="G63" s="2">
        <v>89.9</v>
      </c>
    </row>
    <row r="64" spans="2:7" x14ac:dyDescent="0.3">
      <c r="B64" s="1" t="s">
        <v>107</v>
      </c>
      <c r="C64" t="s">
        <v>109</v>
      </c>
      <c r="D64" s="1" t="s">
        <v>2</v>
      </c>
      <c r="E64" t="s">
        <v>12</v>
      </c>
      <c r="F64" s="1">
        <v>40</v>
      </c>
      <c r="G64" s="2">
        <v>180</v>
      </c>
    </row>
    <row r="65" spans="2:7" x14ac:dyDescent="0.3">
      <c r="B65" s="1" t="s">
        <v>110</v>
      </c>
      <c r="C65" t="s">
        <v>109</v>
      </c>
      <c r="D65" s="1" t="s">
        <v>3</v>
      </c>
      <c r="E65" t="s">
        <v>12</v>
      </c>
      <c r="F65" s="1">
        <v>35</v>
      </c>
      <c r="G65" s="2">
        <v>180</v>
      </c>
    </row>
    <row r="66" spans="2:7" x14ac:dyDescent="0.3">
      <c r="B66" s="1" t="s">
        <v>111</v>
      </c>
      <c r="C66" t="s">
        <v>109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13" customFormat="1" ht="40.200000000000003" customHeight="1" x14ac:dyDescent="0.85">
      <c r="A1" s="16"/>
      <c r="B1" s="64" t="s">
        <v>83</v>
      </c>
      <c r="C1" s="64"/>
      <c r="D1" s="18"/>
      <c r="E1" s="18"/>
    </row>
    <row r="2" spans="1:5" s="14" customFormat="1" ht="4.5" customHeight="1" x14ac:dyDescent="0.4">
      <c r="A2" s="17"/>
      <c r="B2" s="17"/>
    </row>
    <row r="3" spans="1:5" ht="4.5" customHeight="1" thickBot="1" x14ac:dyDescent="0.45">
      <c r="A3" s="15"/>
      <c r="B3" s="15"/>
    </row>
    <row r="4" spans="1:5" ht="21.6" x14ac:dyDescent="0.5">
      <c r="A4" s="25" t="s">
        <v>30</v>
      </c>
      <c r="B4" s="31" t="s">
        <v>73</v>
      </c>
      <c r="C4" s="31" t="s">
        <v>133</v>
      </c>
      <c r="D4" s="26" t="s">
        <v>134</v>
      </c>
    </row>
    <row r="5" spans="1:5" ht="22.5" customHeight="1" x14ac:dyDescent="0.4">
      <c r="A5" s="37" t="s">
        <v>114</v>
      </c>
      <c r="B5" s="30" t="s">
        <v>72</v>
      </c>
      <c r="C5" s="30" t="s">
        <v>135</v>
      </c>
      <c r="D5" s="40">
        <v>0.2</v>
      </c>
    </row>
    <row r="6" spans="1:5" ht="22.5" customHeight="1" x14ac:dyDescent="0.4">
      <c r="A6" s="37" t="s">
        <v>115</v>
      </c>
      <c r="B6" s="30" t="s">
        <v>74</v>
      </c>
      <c r="C6" s="30" t="s">
        <v>136</v>
      </c>
      <c r="D6" s="40">
        <v>0.15</v>
      </c>
    </row>
    <row r="7" spans="1:5" ht="22.5" customHeight="1" x14ac:dyDescent="0.4">
      <c r="A7" s="37" t="s">
        <v>116</v>
      </c>
      <c r="B7" s="30" t="s">
        <v>71</v>
      </c>
      <c r="C7" s="30" t="s">
        <v>137</v>
      </c>
      <c r="D7" s="40">
        <v>0.1</v>
      </c>
    </row>
    <row r="8" spans="1:5" ht="22.5" customHeight="1" x14ac:dyDescent="0.4">
      <c r="A8" s="37" t="s">
        <v>117</v>
      </c>
      <c r="B8" s="30" t="s">
        <v>119</v>
      </c>
      <c r="C8" s="30" t="s">
        <v>138</v>
      </c>
      <c r="D8" s="40">
        <v>0.2</v>
      </c>
    </row>
    <row r="9" spans="1:5" ht="22.5" customHeight="1" thickBot="1" x14ac:dyDescent="0.45">
      <c r="A9" s="38" t="s">
        <v>118</v>
      </c>
      <c r="B9" s="39" t="s">
        <v>120</v>
      </c>
      <c r="C9" s="39" t="s">
        <v>139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B1" zoomScaleNormal="100" workbookViewId="0">
      <pane ySplit="1" topLeftCell="A2" activePane="bottomLeft" state="frozen"/>
      <selection activeCell="B1" sqref="B1"/>
      <selection pane="bottomLeft" activeCell="G15" sqref="G15"/>
    </sheetView>
  </sheetViews>
  <sheetFormatPr defaultRowHeight="14.4" x14ac:dyDescent="0.3"/>
  <cols>
    <col min="1" max="1" width="8.88671875" style="1" hidden="1" customWidth="1"/>
    <col min="2" max="2" width="8.88671875" style="1" customWidth="1"/>
    <col min="3" max="3" width="11.5546875" style="1" bestFit="1" customWidth="1"/>
    <col min="4" max="4" width="11.5546875" style="1" customWidth="1"/>
    <col min="5" max="5" width="16.6640625" style="1" customWidth="1"/>
    <col min="6" max="6" width="10.109375" bestFit="1" customWidth="1"/>
    <col min="7" max="7" width="18.6640625" customWidth="1"/>
    <col min="8" max="8" width="13.109375" bestFit="1" customWidth="1"/>
    <col min="9" max="10" width="16" customWidth="1"/>
    <col min="11" max="12" width="17" customWidth="1"/>
    <col min="13" max="13" width="20.33203125" customWidth="1"/>
    <col min="14" max="14" width="17" bestFit="1" customWidth="1"/>
  </cols>
  <sheetData>
    <row r="1" spans="1:14" s="13" customFormat="1" ht="40.200000000000003" customHeight="1" x14ac:dyDescent="0.85">
      <c r="A1" s="16"/>
      <c r="C1" s="20" t="s">
        <v>122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s="14" customFormat="1" ht="4.5" customHeight="1" x14ac:dyDescent="0.4">
      <c r="A2" s="17"/>
      <c r="B2" s="17"/>
      <c r="C2" s="17"/>
      <c r="D2" s="17"/>
      <c r="E2" s="17"/>
      <c r="F2" s="17"/>
    </row>
    <row r="3" spans="1:14" ht="4.5" customHeight="1" x14ac:dyDescent="0.4">
      <c r="A3" s="15"/>
      <c r="B3" s="15"/>
      <c r="C3" s="15"/>
      <c r="D3" s="15"/>
      <c r="E3" s="15"/>
      <c r="F3" s="15"/>
    </row>
    <row r="4" spans="1:14" s="60" customFormat="1" ht="36" x14ac:dyDescent="0.3">
      <c r="A4" s="57" t="s">
        <v>113</v>
      </c>
      <c r="B4" s="58" t="s">
        <v>31</v>
      </c>
      <c r="C4" s="58" t="s">
        <v>75</v>
      </c>
      <c r="D4" s="58" t="s">
        <v>30</v>
      </c>
      <c r="E4" s="58" t="s">
        <v>10</v>
      </c>
      <c r="F4" s="58" t="s">
        <v>15</v>
      </c>
      <c r="G4" s="58" t="s">
        <v>11</v>
      </c>
      <c r="H4" s="58" t="s">
        <v>156</v>
      </c>
      <c r="I4" s="61" t="s">
        <v>157</v>
      </c>
      <c r="J4" s="61" t="s">
        <v>158</v>
      </c>
      <c r="K4" s="61" t="s">
        <v>159</v>
      </c>
      <c r="L4" s="58" t="s">
        <v>160</v>
      </c>
      <c r="M4" s="59" t="s">
        <v>16</v>
      </c>
      <c r="N4" s="58" t="s">
        <v>73</v>
      </c>
    </row>
    <row r="5" spans="1:14" x14ac:dyDescent="0.3">
      <c r="A5" s="4">
        <f>MONTH(TB_Vendas[[#This Row],[Data]])</f>
        <v>1</v>
      </c>
      <c r="B5" s="4" t="str">
        <f>PROPER(TEXT(DATE(,TB_Vendas[[#This Row],[Nº]],1),"Mmm"))</f>
        <v>Jan</v>
      </c>
      <c r="C5" s="3">
        <v>44931</v>
      </c>
      <c r="D5" s="4" t="s">
        <v>37</v>
      </c>
      <c r="E5" s="4" t="str">
        <f>_xlfn.XLOOKUP(TB_Vendas[[#This Row],[Código]],TB_Produtos[Código],TB_Produtos[Categoria])</f>
        <v>Acessórios</v>
      </c>
      <c r="F5" s="1">
        <v>1</v>
      </c>
      <c r="G5" s="7">
        <f>VLOOKUP(TB_Vendas[[#This Row],[Código]],Produtos!$B$6:$G$66,6,0)</f>
        <v>39.9</v>
      </c>
      <c r="H5" s="1">
        <f>_xlfn.XMATCH(TB_Vendas[[#This Row],[Categoria]],Desc_Categorias,0)</f>
        <v>2</v>
      </c>
      <c r="I5" s="43">
        <f>VLOOKUP(TB_Vendas[[#This Row],[Qtd]],Desc_TabelaToda,TB_Vendas[[#This Row],[Indice]],TRUE)</f>
        <v>0</v>
      </c>
      <c r="J5" s="43" cm="1">
        <f t="array" ref="J5">INDEX(Desc_TabelaToda,MATCH(TB_Vendas[[#This Row],[Qtd]],Desc_Quantidades,1),MATCH(_xlfn.XLOOKUP(TB_Vendas[[#This Row],[Código]],TB_Produtos[[#All],[Código]],TB_Produtos[[#All],[Categoria]]),Desc_Categorias,0))</f>
        <v>0</v>
      </c>
      <c r="K5" s="43">
        <f>_xlfn.XLOOKUP(TB_Vendas[[#This Row],[Vendedor]],Vendedores!$A$5:$A$9,Vendedores!$D$5:$D$9)</f>
        <v>0.15</v>
      </c>
      <c r="L5" s="43">
        <f>IF(TB_Vendas[[#This Row],[Desconto 
(Diretão)]]&lt;=TB_Vendas[[#This Row],[Desconto 
(Vendedor)]],TB_Vendas[[#This Row],[Desconto 
(Diretão)]],TB_Vendas[[#This Row],[Desconto 
(Vendedor)]])</f>
        <v>0</v>
      </c>
      <c r="M5" s="2">
        <f>TB_Vendas[[#This Row],[Preço Unitário]]*TB_Vendas[[#This Row],[Qtd]]</f>
        <v>39.9</v>
      </c>
      <c r="N5" s="1" t="s">
        <v>115</v>
      </c>
    </row>
    <row r="6" spans="1:14" x14ac:dyDescent="0.3">
      <c r="A6" s="4">
        <f>MONTH(TB_Vendas[[#This Row],[Data]])</f>
        <v>1</v>
      </c>
      <c r="B6" s="4" t="str">
        <f>PROPER(TEXT(DATE(,TB_Vendas[[#This Row],[Nº]],1),"Mmm"))</f>
        <v>Jan</v>
      </c>
      <c r="C6" s="3">
        <v>44932</v>
      </c>
      <c r="D6" s="4" t="s">
        <v>36</v>
      </c>
      <c r="E6" s="4" t="str">
        <f>_xlfn.XLOOKUP(TB_Vendas[[#This Row],[Código]],TB_Produtos[Código],TB_Produtos[Categoria])</f>
        <v>Acessórios</v>
      </c>
      <c r="F6" s="1">
        <v>1</v>
      </c>
      <c r="G6" s="7">
        <f>VLOOKUP(TB_Vendas[[#This Row],[Código]],Produtos!$B$6:$G$66,6,0)</f>
        <v>259.89999999999998</v>
      </c>
      <c r="H6" s="1">
        <f>_xlfn.XMATCH(TB_Vendas[[#This Row],[Categoria]],Desc_Categorias,0)</f>
        <v>2</v>
      </c>
      <c r="I6" s="43">
        <f>VLOOKUP(TB_Vendas[[#This Row],[Qtd]],Desc_TabelaToda,TB_Vendas[[#This Row],[Indice]],TRUE)</f>
        <v>0</v>
      </c>
      <c r="J6" s="43" cm="1">
        <f t="array" ref="J6">INDEX(Desc_TabelaToda,MATCH(TB_Vendas[[#This Row],[Qtd]],Desc_Quantidades,1),MATCH(_xlfn.XLOOKUP(TB_Vendas[[#This Row],[Código]],TB_Produtos[[#All],[Código]],TB_Produtos[[#All],[Categoria]]),Desc_Categorias,0))</f>
        <v>0</v>
      </c>
      <c r="K6" s="43">
        <f>_xlfn.XLOOKUP(TB_Vendas[[#This Row],[Vendedor]],Vendedores!$A$5:$A$9,Vendedores!$D$5:$D$9)</f>
        <v>0.15</v>
      </c>
      <c r="L6" s="43">
        <f>IF(TB_Vendas[[#This Row],[Desconto 
(Diretão)]]&lt;=TB_Vendas[[#This Row],[Desconto 
(Vendedor)]],TB_Vendas[[#This Row],[Desconto 
(Diretão)]],TB_Vendas[[#This Row],[Desconto 
(Vendedor)]])</f>
        <v>0</v>
      </c>
      <c r="M6" s="2">
        <f>TB_Vendas[[#This Row],[Preço Unitário]]*TB_Vendas[[#This Row],[Qtd]]</f>
        <v>259.89999999999998</v>
      </c>
      <c r="N6" s="1" t="s">
        <v>115</v>
      </c>
    </row>
    <row r="7" spans="1:14" x14ac:dyDescent="0.3">
      <c r="A7" s="4">
        <f>MONTH(TB_Vendas[[#This Row],[Data]])</f>
        <v>1</v>
      </c>
      <c r="B7" s="4" t="str">
        <f>PROPER(TEXT(DATE(,TB_Vendas[[#This Row],[Nº]],1),"Mmm"))</f>
        <v>Jan</v>
      </c>
      <c r="C7" s="3">
        <v>44933</v>
      </c>
      <c r="D7" s="4" t="s">
        <v>98</v>
      </c>
      <c r="E7" s="4" t="str">
        <f>_xlfn.XLOOKUP(TB_Vendas[[#This Row],[Código]],TB_Produtos[Código],TB_Produtos[Categoria])</f>
        <v>Vestuário</v>
      </c>
      <c r="F7" s="1">
        <v>2</v>
      </c>
      <c r="G7" s="7">
        <f>VLOOKUP(TB_Vendas[[#This Row],[Código]],Produtos!$B$6:$G$66,6,0)</f>
        <v>32.9</v>
      </c>
      <c r="H7" s="1">
        <f>_xlfn.XMATCH(TB_Vendas[[#This Row],[Categoria]],Desc_Categorias,0)</f>
        <v>3</v>
      </c>
      <c r="I7" s="43">
        <f>VLOOKUP(TB_Vendas[[#This Row],[Qtd]],Desc_TabelaToda,TB_Vendas[[#This Row],[Indice]],TRUE)</f>
        <v>0.15</v>
      </c>
      <c r="J7" s="43" cm="1">
        <f t="array" ref="J7">INDEX(Desc_TabelaToda,MATCH(TB_Vendas[[#This Row],[Qtd]],Desc_Quantidades,1),MATCH(_xlfn.XLOOKUP(TB_Vendas[[#This Row],[Código]],TB_Produtos[[#All],[Código]],TB_Produtos[[#All],[Categoria]]),Desc_Categorias,0))</f>
        <v>0.15</v>
      </c>
      <c r="K7" s="43">
        <f>_xlfn.XLOOKUP(TB_Vendas[[#This Row],[Vendedor]],Vendedores!$A$5:$A$9,Vendedores!$D$5:$D$9)</f>
        <v>0.2</v>
      </c>
      <c r="L7" s="43">
        <f>IF(TB_Vendas[[#This Row],[Desconto 
(Diretão)]]&lt;=TB_Vendas[[#This Row],[Desconto 
(Vendedor)]],TB_Vendas[[#This Row],[Desconto 
(Diretão)]],TB_Vendas[[#This Row],[Desconto 
(Vendedor)]])</f>
        <v>0.15</v>
      </c>
      <c r="M7" s="2">
        <f>TB_Vendas[[#This Row],[Preço Unitário]]*TB_Vendas[[#This Row],[Qtd]]</f>
        <v>65.8</v>
      </c>
      <c r="N7" s="1" t="s">
        <v>114</v>
      </c>
    </row>
    <row r="8" spans="1:14" x14ac:dyDescent="0.3">
      <c r="A8" s="4">
        <f>MONTH(TB_Vendas[[#This Row],[Data]])</f>
        <v>1</v>
      </c>
      <c r="B8" s="4" t="str">
        <f>PROPER(TEXT(DATE(,TB_Vendas[[#This Row],[Nº]],1),"Mmm"))</f>
        <v>Jan</v>
      </c>
      <c r="C8" s="3">
        <v>44938</v>
      </c>
      <c r="D8" s="4" t="s">
        <v>42</v>
      </c>
      <c r="E8" s="4" t="str">
        <f>_xlfn.XLOOKUP(TB_Vendas[[#This Row],[Código]],TB_Produtos[Código],TB_Produtos[Categoria])</f>
        <v>Vestuário</v>
      </c>
      <c r="F8" s="1">
        <v>1</v>
      </c>
      <c r="G8" s="7">
        <f>VLOOKUP(TB_Vendas[[#This Row],[Código]],Produtos!$B$6:$G$66,6,0)</f>
        <v>46.9</v>
      </c>
      <c r="H8" s="1">
        <f>_xlfn.XMATCH(TB_Vendas[[#This Row],[Categoria]],Desc_Categorias,0)</f>
        <v>3</v>
      </c>
      <c r="I8" s="43">
        <f>VLOOKUP(TB_Vendas[[#This Row],[Qtd]],Desc_TabelaToda,TB_Vendas[[#This Row],[Indice]],TRUE)</f>
        <v>0.1</v>
      </c>
      <c r="J8" s="43" cm="1">
        <f t="array" ref="J8">INDEX(Desc_TabelaToda,MATCH(TB_Vendas[[#This Row],[Qtd]],Desc_Quantidades,1),MATCH(_xlfn.XLOOKUP(TB_Vendas[[#This Row],[Código]],TB_Produtos[[#All],[Código]],TB_Produtos[[#All],[Categoria]]),Desc_Categorias,0))</f>
        <v>0.1</v>
      </c>
      <c r="K8" s="43">
        <f>_xlfn.XLOOKUP(TB_Vendas[[#This Row],[Vendedor]],Vendedores!$A$5:$A$9,Vendedores!$D$5:$D$9)</f>
        <v>0.15</v>
      </c>
      <c r="L8" s="43">
        <f>IF(TB_Vendas[[#This Row],[Desconto 
(Diretão)]]&lt;=TB_Vendas[[#This Row],[Desconto 
(Vendedor)]],TB_Vendas[[#This Row],[Desconto 
(Diretão)]],TB_Vendas[[#This Row],[Desconto 
(Vendedor)]])</f>
        <v>0.1</v>
      </c>
      <c r="M8" s="2">
        <f>TB_Vendas[[#This Row],[Preço Unitário]]*TB_Vendas[[#This Row],[Qtd]]</f>
        <v>46.9</v>
      </c>
      <c r="N8" s="1" t="s">
        <v>118</v>
      </c>
    </row>
    <row r="9" spans="1:14" x14ac:dyDescent="0.3">
      <c r="A9" s="4">
        <f>MONTH(TB_Vendas[[#This Row],[Data]])</f>
        <v>1</v>
      </c>
      <c r="B9" s="4" t="str">
        <f>PROPER(TEXT(DATE(,TB_Vendas[[#This Row],[Nº]],1),"Mmm"))</f>
        <v>Jan</v>
      </c>
      <c r="C9" s="3">
        <v>44939</v>
      </c>
      <c r="D9" s="4" t="s">
        <v>48</v>
      </c>
      <c r="E9" s="4" t="str">
        <f>_xlfn.XLOOKUP(TB_Vendas[[#This Row],[Código]],TB_Produtos[Código],TB_Produtos[Categoria])</f>
        <v>Vestuário</v>
      </c>
      <c r="F9" s="1">
        <v>1</v>
      </c>
      <c r="G9" s="7">
        <f>VLOOKUP(TB_Vendas[[#This Row],[Código]],Produtos!$B$6:$G$66,6,0)</f>
        <v>29.9</v>
      </c>
      <c r="H9" s="1">
        <f>_xlfn.XMATCH(TB_Vendas[[#This Row],[Categoria]],Desc_Categorias,0)</f>
        <v>3</v>
      </c>
      <c r="I9" s="43">
        <f>VLOOKUP(TB_Vendas[[#This Row],[Qtd]],Desc_TabelaToda,TB_Vendas[[#This Row],[Indice]],TRUE)</f>
        <v>0.1</v>
      </c>
      <c r="J9" s="43" cm="1">
        <f t="array" ref="J9">INDEX(Desc_TabelaToda,MATCH(TB_Vendas[[#This Row],[Qtd]],Desc_Quantidades,1),MATCH(_xlfn.XLOOKUP(TB_Vendas[[#This Row],[Código]],TB_Produtos[[#All],[Código]],TB_Produtos[[#All],[Categoria]]),Desc_Categorias,0))</f>
        <v>0.1</v>
      </c>
      <c r="K9" s="43">
        <f>_xlfn.XLOOKUP(TB_Vendas[[#This Row],[Vendedor]],Vendedores!$A$5:$A$9,Vendedores!$D$5:$D$9)</f>
        <v>0.15</v>
      </c>
      <c r="L9" s="43">
        <f>IF(TB_Vendas[[#This Row],[Desconto 
(Diretão)]]&lt;=TB_Vendas[[#This Row],[Desconto 
(Vendedor)]],TB_Vendas[[#This Row],[Desconto 
(Diretão)]],TB_Vendas[[#This Row],[Desconto 
(Vendedor)]])</f>
        <v>0.1</v>
      </c>
      <c r="M9" s="2">
        <f>TB_Vendas[[#This Row],[Preço Unitário]]*TB_Vendas[[#This Row],[Qtd]]</f>
        <v>29.9</v>
      </c>
      <c r="N9" s="1" t="s">
        <v>115</v>
      </c>
    </row>
    <row r="10" spans="1:14" x14ac:dyDescent="0.3">
      <c r="A10" s="4">
        <f>MONTH(TB_Vendas[[#This Row],[Data]])</f>
        <v>1</v>
      </c>
      <c r="B10" s="4" t="str">
        <f>PROPER(TEXT(DATE(,TB_Vendas[[#This Row],[Nº]],1),"Mmm"))</f>
        <v>Jan</v>
      </c>
      <c r="C10" s="3">
        <v>44943</v>
      </c>
      <c r="D10" s="4" t="s">
        <v>56</v>
      </c>
      <c r="E10" s="4" t="str">
        <f>_xlfn.XLOOKUP(TB_Vendas[[#This Row],[Código]],TB_Produtos[Código],TB_Produtos[Categoria])</f>
        <v>Vestuário</v>
      </c>
      <c r="F10" s="1">
        <v>1</v>
      </c>
      <c r="G10" s="7">
        <f>VLOOKUP(TB_Vendas[[#This Row],[Código]],Produtos!$B$6:$G$66,6,0)</f>
        <v>299.89999999999998</v>
      </c>
      <c r="H10" s="1">
        <f>_xlfn.XMATCH(TB_Vendas[[#This Row],[Categoria]],Desc_Categorias,0)</f>
        <v>3</v>
      </c>
      <c r="I10" s="43">
        <f>VLOOKUP(TB_Vendas[[#This Row],[Qtd]],Desc_TabelaToda,TB_Vendas[[#This Row],[Indice]],TRUE)</f>
        <v>0.1</v>
      </c>
      <c r="J10" s="43" cm="1">
        <f t="array" ref="J10">INDEX(Desc_TabelaToda,MATCH(TB_Vendas[[#This Row],[Qtd]],Desc_Quantidades,1),MATCH(_xlfn.XLOOKUP(TB_Vendas[[#This Row],[Código]],TB_Produtos[[#All],[Código]],TB_Produtos[[#All],[Categoria]]),Desc_Categorias,0))</f>
        <v>0.1</v>
      </c>
      <c r="K10" s="43">
        <f>_xlfn.XLOOKUP(TB_Vendas[[#This Row],[Vendedor]],Vendedores!$A$5:$A$9,Vendedores!$D$5:$D$9)</f>
        <v>0.15</v>
      </c>
      <c r="L10" s="43">
        <f>IF(TB_Vendas[[#This Row],[Desconto 
(Diretão)]]&lt;=TB_Vendas[[#This Row],[Desconto 
(Vendedor)]],TB_Vendas[[#This Row],[Desconto 
(Diretão)]],TB_Vendas[[#This Row],[Desconto 
(Vendedor)]])</f>
        <v>0.1</v>
      </c>
      <c r="M10" s="2">
        <f>TB_Vendas[[#This Row],[Preço Unitário]]*TB_Vendas[[#This Row],[Qtd]]</f>
        <v>299.89999999999998</v>
      </c>
      <c r="N10" s="1" t="s">
        <v>118</v>
      </c>
    </row>
    <row r="11" spans="1:14" x14ac:dyDescent="0.3">
      <c r="A11" s="4">
        <f>MONTH(TB_Vendas[[#This Row],[Data]])</f>
        <v>1</v>
      </c>
      <c r="B11" s="4" t="str">
        <f>PROPER(TEXT(DATE(,TB_Vendas[[#This Row],[Nº]],1),"Mmm"))</f>
        <v>Jan</v>
      </c>
      <c r="C11" s="3">
        <v>44949</v>
      </c>
      <c r="D11" s="4" t="s">
        <v>70</v>
      </c>
      <c r="E11" s="4" t="str">
        <f>_xlfn.XLOOKUP(TB_Vendas[[#This Row],[Código]],TB_Produtos[Código],TB_Produtos[Categoria])</f>
        <v>Vestuário</v>
      </c>
      <c r="F11" s="1">
        <v>1</v>
      </c>
      <c r="G11" s="7">
        <f>VLOOKUP(TB_Vendas[[#This Row],[Código]],Produtos!$B$6:$G$66,6,0)</f>
        <v>146</v>
      </c>
      <c r="H11" s="1">
        <f>_xlfn.XMATCH(TB_Vendas[[#This Row],[Categoria]],Desc_Categorias,0)</f>
        <v>3</v>
      </c>
      <c r="I11" s="43">
        <f>VLOOKUP(TB_Vendas[[#This Row],[Qtd]],Desc_TabelaToda,TB_Vendas[[#This Row],[Indice]],TRUE)</f>
        <v>0.1</v>
      </c>
      <c r="J11" s="43" cm="1">
        <f t="array" ref="J11">INDEX(Desc_TabelaToda,MATCH(TB_Vendas[[#This Row],[Qtd]],Desc_Quantidades,1),MATCH(_xlfn.XLOOKUP(TB_Vendas[[#This Row],[Código]],TB_Produtos[[#All],[Código]],TB_Produtos[[#All],[Categoria]]),Desc_Categorias,0))</f>
        <v>0.1</v>
      </c>
      <c r="K11" s="43">
        <f>_xlfn.XLOOKUP(TB_Vendas[[#This Row],[Vendedor]],Vendedores!$A$5:$A$9,Vendedores!$D$5:$D$9)</f>
        <v>0.1</v>
      </c>
      <c r="L11" s="43">
        <f>IF(TB_Vendas[[#This Row],[Desconto 
(Diretão)]]&lt;=TB_Vendas[[#This Row],[Desconto 
(Vendedor)]],TB_Vendas[[#This Row],[Desconto 
(Diretão)]],TB_Vendas[[#This Row],[Desconto 
(Vendedor)]])</f>
        <v>0.1</v>
      </c>
      <c r="M11" s="2">
        <f>TB_Vendas[[#This Row],[Preço Unitário]]*TB_Vendas[[#This Row],[Qtd]]</f>
        <v>146</v>
      </c>
      <c r="N11" s="1" t="s">
        <v>116</v>
      </c>
    </row>
    <row r="12" spans="1:14" x14ac:dyDescent="0.3">
      <c r="A12" s="4">
        <f>MONTH(TB_Vendas[[#This Row],[Data]])</f>
        <v>1</v>
      </c>
      <c r="B12" s="4" t="str">
        <f>PROPER(TEXT(DATE(,TB_Vendas[[#This Row],[Nº]],1),"Mmm"))</f>
        <v>Jan</v>
      </c>
      <c r="C12" s="3">
        <v>44952</v>
      </c>
      <c r="D12" s="4" t="s">
        <v>65</v>
      </c>
      <c r="E12" s="4" t="str">
        <f>_xlfn.XLOOKUP(TB_Vendas[[#This Row],[Código]],TB_Produtos[Código],TB_Produtos[Categoria])</f>
        <v>Vestuário</v>
      </c>
      <c r="F12" s="1">
        <v>2</v>
      </c>
      <c r="G12" s="7">
        <f>VLOOKUP(TB_Vendas[[#This Row],[Código]],Produtos!$B$6:$G$66,6,0)</f>
        <v>89.9</v>
      </c>
      <c r="H12" s="1">
        <f>_xlfn.XMATCH(TB_Vendas[[#This Row],[Categoria]],Desc_Categorias,0)</f>
        <v>3</v>
      </c>
      <c r="I12" s="43">
        <f>VLOOKUP(TB_Vendas[[#This Row],[Qtd]],Desc_TabelaToda,TB_Vendas[[#This Row],[Indice]],TRUE)</f>
        <v>0.15</v>
      </c>
      <c r="J12" s="43" cm="1">
        <f t="array" ref="J12">INDEX(Desc_TabelaToda,MATCH(TB_Vendas[[#This Row],[Qtd]],Desc_Quantidades,1),MATCH(_xlfn.XLOOKUP(TB_Vendas[[#This Row],[Código]],TB_Produtos[[#All],[Código]],TB_Produtos[[#All],[Categoria]]),Desc_Categorias,0))</f>
        <v>0.15</v>
      </c>
      <c r="K12" s="43">
        <f>_xlfn.XLOOKUP(TB_Vendas[[#This Row],[Vendedor]],Vendedores!$A$5:$A$9,Vendedores!$D$5:$D$9)</f>
        <v>0.1</v>
      </c>
      <c r="L12" s="43">
        <f>IF(TB_Vendas[[#This Row],[Desconto 
(Diretão)]]&lt;=TB_Vendas[[#This Row],[Desconto 
(Vendedor)]],TB_Vendas[[#This Row],[Desconto 
(Diretão)]],TB_Vendas[[#This Row],[Desconto 
(Vendedor)]])</f>
        <v>0.1</v>
      </c>
      <c r="M12" s="2">
        <f>TB_Vendas[[#This Row],[Preço Unitário]]*TB_Vendas[[#This Row],[Qtd]]</f>
        <v>179.8</v>
      </c>
      <c r="N12" s="1" t="s">
        <v>116</v>
      </c>
    </row>
    <row r="13" spans="1:14" x14ac:dyDescent="0.3">
      <c r="A13" s="4">
        <f>MONTH(TB_Vendas[[#This Row],[Data]])</f>
        <v>1</v>
      </c>
      <c r="B13" s="4" t="str">
        <f>PROPER(TEXT(DATE(,TB_Vendas[[#This Row],[Nº]],1),"Mmm"))</f>
        <v>Jan</v>
      </c>
      <c r="C13" s="3">
        <v>44954</v>
      </c>
      <c r="D13" s="4" t="s">
        <v>63</v>
      </c>
      <c r="E13" s="4" t="str">
        <f>_xlfn.XLOOKUP(TB_Vendas[[#This Row],[Código]],TB_Produtos[Código],TB_Produtos[Categoria])</f>
        <v>Calçado</v>
      </c>
      <c r="F13" s="1">
        <v>2</v>
      </c>
      <c r="G13" s="7">
        <f>VLOOKUP(TB_Vendas[[#This Row],[Código]],Produtos!$B$6:$G$66,6,0)</f>
        <v>250</v>
      </c>
      <c r="H13" s="1">
        <f>_xlfn.XMATCH(TB_Vendas[[#This Row],[Categoria]],Desc_Categorias,0)</f>
        <v>4</v>
      </c>
      <c r="I13" s="43">
        <f>VLOOKUP(TB_Vendas[[#This Row],[Qtd]],Desc_TabelaToda,TB_Vendas[[#This Row],[Indice]],TRUE)</f>
        <v>0.1</v>
      </c>
      <c r="J13" s="43" cm="1">
        <f t="array" ref="J13">INDEX(Desc_TabelaToda,MATCH(TB_Vendas[[#This Row],[Qtd]],Desc_Quantidades,1),MATCH(_xlfn.XLOOKUP(TB_Vendas[[#This Row],[Código]],TB_Produtos[[#All],[Código]],TB_Produtos[[#All],[Categoria]]),Desc_Categorias,0))</f>
        <v>0.1</v>
      </c>
      <c r="K13" s="43">
        <f>_xlfn.XLOOKUP(TB_Vendas[[#This Row],[Vendedor]],Vendedores!$A$5:$A$9,Vendedores!$D$5:$D$9)</f>
        <v>0.15</v>
      </c>
      <c r="L13" s="43">
        <f>IF(TB_Vendas[[#This Row],[Desconto 
(Diretão)]]&lt;=TB_Vendas[[#This Row],[Desconto 
(Vendedor)]],TB_Vendas[[#This Row],[Desconto 
(Diretão)]],TB_Vendas[[#This Row],[Desconto 
(Vendedor)]])</f>
        <v>0.1</v>
      </c>
      <c r="M13" s="2">
        <f>TB_Vendas[[#This Row],[Preço Unitário]]*TB_Vendas[[#This Row],[Qtd]]</f>
        <v>500</v>
      </c>
      <c r="N13" s="1" t="s">
        <v>115</v>
      </c>
    </row>
    <row r="14" spans="1:14" x14ac:dyDescent="0.3">
      <c r="A14" s="4">
        <f>MONTH(TB_Vendas[[#This Row],[Data]])</f>
        <v>1</v>
      </c>
      <c r="B14" s="4" t="str">
        <f>PROPER(TEXT(DATE(,TB_Vendas[[#This Row],[Nº]],1),"Mmm"))</f>
        <v>Jan</v>
      </c>
      <c r="C14" s="3">
        <v>44955</v>
      </c>
      <c r="D14" s="4" t="s">
        <v>44</v>
      </c>
      <c r="E14" s="4" t="str">
        <f>_xlfn.XLOOKUP(TB_Vendas[[#This Row],[Código]],TB_Produtos[Código],TB_Produtos[Categoria])</f>
        <v>Vestuário</v>
      </c>
      <c r="F14" s="1">
        <v>1</v>
      </c>
      <c r="G14" s="7">
        <f>VLOOKUP(TB_Vendas[[#This Row],[Código]],Produtos!$B$6:$G$66,6,0)</f>
        <v>39.9</v>
      </c>
      <c r="H14" s="1">
        <f>_xlfn.XMATCH(TB_Vendas[[#This Row],[Categoria]],Desc_Categorias,0)</f>
        <v>3</v>
      </c>
      <c r="I14" s="43">
        <f>VLOOKUP(TB_Vendas[[#This Row],[Qtd]],Desc_TabelaToda,TB_Vendas[[#This Row],[Indice]],TRUE)</f>
        <v>0.1</v>
      </c>
      <c r="J14" s="43" cm="1">
        <f t="array" ref="J14">INDEX(Desc_TabelaToda,MATCH(TB_Vendas[[#This Row],[Qtd]],Desc_Quantidades,1),MATCH(_xlfn.XLOOKUP(TB_Vendas[[#This Row],[Código]],TB_Produtos[[#All],[Código]],TB_Produtos[[#All],[Categoria]]),Desc_Categorias,0))</f>
        <v>0.1</v>
      </c>
      <c r="K14" s="43">
        <f>_xlfn.XLOOKUP(TB_Vendas[[#This Row],[Vendedor]],Vendedores!$A$5:$A$9,Vendedores!$D$5:$D$9)</f>
        <v>0.15</v>
      </c>
      <c r="L14" s="43">
        <f>IF(TB_Vendas[[#This Row],[Desconto 
(Diretão)]]&lt;=TB_Vendas[[#This Row],[Desconto 
(Vendedor)]],TB_Vendas[[#This Row],[Desconto 
(Diretão)]],TB_Vendas[[#This Row],[Desconto 
(Vendedor)]])</f>
        <v>0.1</v>
      </c>
      <c r="M14" s="2">
        <f>TB_Vendas[[#This Row],[Preço Unitário]]*TB_Vendas[[#This Row],[Qtd]]</f>
        <v>39.9</v>
      </c>
      <c r="N14" s="1" t="s">
        <v>115</v>
      </c>
    </row>
    <row r="15" spans="1:14" x14ac:dyDescent="0.3">
      <c r="A15" s="4">
        <f>MONTH(TB_Vendas[[#This Row],[Data]])</f>
        <v>1</v>
      </c>
      <c r="B15" s="4" t="str">
        <f>PROPER(TEXT(DATE(,TB_Vendas[[#This Row],[Nº]],1),"Mmm"))</f>
        <v>Jan</v>
      </c>
      <c r="C15" s="3">
        <v>44956</v>
      </c>
      <c r="D15" s="4" t="s">
        <v>69</v>
      </c>
      <c r="E15" s="4" t="str">
        <f>_xlfn.XLOOKUP(TB_Vendas[[#This Row],[Código]],TB_Produtos[Código],TB_Produtos[Categoria])</f>
        <v>Vestuário</v>
      </c>
      <c r="F15" s="1">
        <v>1</v>
      </c>
      <c r="G15" s="7">
        <f>VLOOKUP(TB_Vendas[[#This Row],[Código]],Produtos!$B$6:$G$66,6,0)</f>
        <v>142.9</v>
      </c>
      <c r="H15" s="1">
        <f>_xlfn.XMATCH(TB_Vendas[[#This Row],[Categoria]],Desc_Categorias,0)</f>
        <v>3</v>
      </c>
      <c r="I15" s="43">
        <f>VLOOKUP(TB_Vendas[[#This Row],[Qtd]],Desc_TabelaToda,TB_Vendas[[#This Row],[Indice]],TRUE)</f>
        <v>0.1</v>
      </c>
      <c r="J15" s="43" cm="1">
        <f t="array" ref="J15">INDEX(Desc_TabelaToda,MATCH(TB_Vendas[[#This Row],[Qtd]],Desc_Quantidades,1),MATCH(_xlfn.XLOOKUP(TB_Vendas[[#This Row],[Código]],TB_Produtos[[#All],[Código]],TB_Produtos[[#All],[Categoria]]),Desc_Categorias,0))</f>
        <v>0.1</v>
      </c>
      <c r="K15" s="43">
        <f>_xlfn.XLOOKUP(TB_Vendas[[#This Row],[Vendedor]],Vendedores!$A$5:$A$9,Vendedores!$D$5:$D$9)</f>
        <v>0.2</v>
      </c>
      <c r="L15" s="43">
        <f>IF(TB_Vendas[[#This Row],[Desconto 
(Diretão)]]&lt;=TB_Vendas[[#This Row],[Desconto 
(Vendedor)]],TB_Vendas[[#This Row],[Desconto 
(Diretão)]],TB_Vendas[[#This Row],[Desconto 
(Vendedor)]])</f>
        <v>0.1</v>
      </c>
      <c r="M15" s="2">
        <f>TB_Vendas[[#This Row],[Preço Unitário]]*TB_Vendas[[#This Row],[Qtd]]</f>
        <v>142.9</v>
      </c>
      <c r="N15" s="1" t="s">
        <v>117</v>
      </c>
    </row>
    <row r="16" spans="1:14" x14ac:dyDescent="0.3">
      <c r="A16" s="4">
        <f>MONTH(TB_Vendas[[#This Row],[Data]])</f>
        <v>2</v>
      </c>
      <c r="B16" s="4" t="str">
        <f>PROPER(TEXT(DATE(,TB_Vendas[[#This Row],[Nº]],1),"Mmm"))</f>
        <v>Fev</v>
      </c>
      <c r="C16" s="3">
        <v>44960</v>
      </c>
      <c r="D16" s="4" t="s">
        <v>53</v>
      </c>
      <c r="E16" s="4" t="str">
        <f>_xlfn.XLOOKUP(TB_Vendas[[#This Row],[Código]],TB_Produtos[Código],TB_Produtos[Categoria])</f>
        <v>Vestuário</v>
      </c>
      <c r="F16" s="1">
        <v>1</v>
      </c>
      <c r="G16" s="7">
        <f>VLOOKUP(TB_Vendas[[#This Row],[Código]],Produtos!$B$6:$G$66,6,0)</f>
        <v>300</v>
      </c>
      <c r="H16" s="1">
        <f>_xlfn.XMATCH(TB_Vendas[[#This Row],[Categoria]],Desc_Categorias,0)</f>
        <v>3</v>
      </c>
      <c r="I16" s="43">
        <f>VLOOKUP(TB_Vendas[[#This Row],[Qtd]],Desc_TabelaToda,TB_Vendas[[#This Row],[Indice]],TRUE)</f>
        <v>0.1</v>
      </c>
      <c r="J16" s="43" cm="1">
        <f t="array" ref="J16">INDEX(Desc_TabelaToda,MATCH(TB_Vendas[[#This Row],[Qtd]],Desc_Quantidades,1),MATCH(_xlfn.XLOOKUP(TB_Vendas[[#This Row],[Código]],TB_Produtos[[#All],[Código]],TB_Produtos[[#All],[Categoria]]),Desc_Categorias,0))</f>
        <v>0.1</v>
      </c>
      <c r="K16" s="43">
        <f>_xlfn.XLOOKUP(TB_Vendas[[#This Row],[Vendedor]],Vendedores!$A$5:$A$9,Vendedores!$D$5:$D$9)</f>
        <v>0.1</v>
      </c>
      <c r="L16" s="43">
        <f>IF(TB_Vendas[[#This Row],[Desconto 
(Diretão)]]&lt;=TB_Vendas[[#This Row],[Desconto 
(Vendedor)]],TB_Vendas[[#This Row],[Desconto 
(Diretão)]],TB_Vendas[[#This Row],[Desconto 
(Vendedor)]])</f>
        <v>0.1</v>
      </c>
      <c r="M16" s="2">
        <f>TB_Vendas[[#This Row],[Preço Unitário]]*TB_Vendas[[#This Row],[Qtd]]</f>
        <v>300</v>
      </c>
      <c r="N16" s="1" t="s">
        <v>116</v>
      </c>
    </row>
    <row r="17" spans="1:14" x14ac:dyDescent="0.3">
      <c r="A17" s="4">
        <f>MONTH(TB_Vendas[[#This Row],[Data]])</f>
        <v>2</v>
      </c>
      <c r="B17" s="4" t="str">
        <f>PROPER(TEXT(DATE(,TB_Vendas[[#This Row],[Nº]],1),"Mmm"))</f>
        <v>Fev</v>
      </c>
      <c r="C17" s="3">
        <v>44962</v>
      </c>
      <c r="D17" s="4" t="s">
        <v>94</v>
      </c>
      <c r="E17" s="4" t="str">
        <f>_xlfn.XLOOKUP(TB_Vendas[[#This Row],[Código]],TB_Produtos[Código],TB_Produtos[Categoria])</f>
        <v>Vestuário</v>
      </c>
      <c r="F17" s="1">
        <v>2</v>
      </c>
      <c r="G17" s="7">
        <f>VLOOKUP(TB_Vendas[[#This Row],[Código]],Produtos!$B$6:$G$66,6,0)</f>
        <v>289.89999999999998</v>
      </c>
      <c r="H17" s="1">
        <f>_xlfn.XMATCH(TB_Vendas[[#This Row],[Categoria]],Desc_Categorias,0)</f>
        <v>3</v>
      </c>
      <c r="I17" s="43">
        <f>VLOOKUP(TB_Vendas[[#This Row],[Qtd]],Desc_TabelaToda,TB_Vendas[[#This Row],[Indice]],TRUE)</f>
        <v>0.15</v>
      </c>
      <c r="J17" s="43" cm="1">
        <f t="array" ref="J17">INDEX(Desc_TabelaToda,MATCH(TB_Vendas[[#This Row],[Qtd]],Desc_Quantidades,1),MATCH(_xlfn.XLOOKUP(TB_Vendas[[#This Row],[Código]],TB_Produtos[[#All],[Código]],TB_Produtos[[#All],[Categoria]]),Desc_Categorias,0))</f>
        <v>0.15</v>
      </c>
      <c r="K17" s="43">
        <f>_xlfn.XLOOKUP(TB_Vendas[[#This Row],[Vendedor]],Vendedores!$A$5:$A$9,Vendedores!$D$5:$D$9)</f>
        <v>0.2</v>
      </c>
      <c r="L17" s="43">
        <f>IF(TB_Vendas[[#This Row],[Desconto 
(Diretão)]]&lt;=TB_Vendas[[#This Row],[Desconto 
(Vendedor)]],TB_Vendas[[#This Row],[Desconto 
(Diretão)]],TB_Vendas[[#This Row],[Desconto 
(Vendedor)]])</f>
        <v>0.15</v>
      </c>
      <c r="M17" s="2">
        <f>TB_Vendas[[#This Row],[Preço Unitário]]*TB_Vendas[[#This Row],[Qtd]]</f>
        <v>579.79999999999995</v>
      </c>
      <c r="N17" s="1" t="s">
        <v>117</v>
      </c>
    </row>
    <row r="18" spans="1:14" x14ac:dyDescent="0.3">
      <c r="A18" s="4">
        <f>MONTH(TB_Vendas[[#This Row],[Data]])</f>
        <v>2</v>
      </c>
      <c r="B18" s="4" t="str">
        <f>PROPER(TEXT(DATE(,TB_Vendas[[#This Row],[Nº]],1),"Mmm"))</f>
        <v>Fev</v>
      </c>
      <c r="C18" s="3">
        <v>44975</v>
      </c>
      <c r="D18" s="4" t="s">
        <v>59</v>
      </c>
      <c r="E18" s="4" t="str">
        <f>_xlfn.XLOOKUP(TB_Vendas[[#This Row],[Código]],TB_Produtos[Código],TB_Produtos[Categoria])</f>
        <v>Calçado</v>
      </c>
      <c r="F18" s="1">
        <v>1</v>
      </c>
      <c r="G18" s="7">
        <f>VLOOKUP(TB_Vendas[[#This Row],[Código]],Produtos!$B$6:$G$66,6,0)</f>
        <v>249.9</v>
      </c>
      <c r="H18" s="1">
        <f>_xlfn.XMATCH(TB_Vendas[[#This Row],[Categoria]],Desc_Categorias,0)</f>
        <v>4</v>
      </c>
      <c r="I18" s="43">
        <f>VLOOKUP(TB_Vendas[[#This Row],[Qtd]],Desc_TabelaToda,TB_Vendas[[#This Row],[Indice]],TRUE)</f>
        <v>0</v>
      </c>
      <c r="J18" s="43" cm="1">
        <f t="array" ref="J18">INDEX(Desc_TabelaToda,MATCH(TB_Vendas[[#This Row],[Qtd]],Desc_Quantidades,1),MATCH(_xlfn.XLOOKUP(TB_Vendas[[#This Row],[Código]],TB_Produtos[[#All],[Código]],TB_Produtos[[#All],[Categoria]]),Desc_Categorias,0))</f>
        <v>0</v>
      </c>
      <c r="K18" s="43">
        <f>_xlfn.XLOOKUP(TB_Vendas[[#This Row],[Vendedor]],Vendedores!$A$5:$A$9,Vendedores!$D$5:$D$9)</f>
        <v>0.2</v>
      </c>
      <c r="L18" s="43">
        <f>IF(TB_Vendas[[#This Row],[Desconto 
(Diretão)]]&lt;=TB_Vendas[[#This Row],[Desconto 
(Vendedor)]],TB_Vendas[[#This Row],[Desconto 
(Diretão)]],TB_Vendas[[#This Row],[Desconto 
(Vendedor)]])</f>
        <v>0</v>
      </c>
      <c r="M18" s="2">
        <f>TB_Vendas[[#This Row],[Preço Unitário]]*TB_Vendas[[#This Row],[Qtd]]</f>
        <v>249.9</v>
      </c>
      <c r="N18" s="1" t="s">
        <v>117</v>
      </c>
    </row>
    <row r="19" spans="1:14" x14ac:dyDescent="0.3">
      <c r="A19" s="4">
        <f>MONTH(TB_Vendas[[#This Row],[Data]])</f>
        <v>2</v>
      </c>
      <c r="B19" s="4" t="str">
        <f>PROPER(TEXT(DATE(,TB_Vendas[[#This Row],[Nº]],1),"Mmm"))</f>
        <v>Fev</v>
      </c>
      <c r="C19" s="3">
        <v>44978</v>
      </c>
      <c r="D19" s="4" t="s">
        <v>44</v>
      </c>
      <c r="E19" s="4" t="str">
        <f>_xlfn.XLOOKUP(TB_Vendas[[#This Row],[Código]],TB_Produtos[Código],TB_Produtos[Categoria])</f>
        <v>Vestuário</v>
      </c>
      <c r="F19" s="1">
        <v>2</v>
      </c>
      <c r="G19" s="7">
        <f>VLOOKUP(TB_Vendas[[#This Row],[Código]],Produtos!$B$6:$G$66,6,0)</f>
        <v>39.9</v>
      </c>
      <c r="H19" s="1">
        <f>_xlfn.XMATCH(TB_Vendas[[#This Row],[Categoria]],Desc_Categorias,0)</f>
        <v>3</v>
      </c>
      <c r="I19" s="43">
        <f>VLOOKUP(TB_Vendas[[#This Row],[Qtd]],Desc_TabelaToda,TB_Vendas[[#This Row],[Indice]],TRUE)</f>
        <v>0.15</v>
      </c>
      <c r="J19" s="43" cm="1">
        <f t="array" ref="J19">INDEX(Desc_TabelaToda,MATCH(TB_Vendas[[#This Row],[Qtd]],Desc_Quantidades,1),MATCH(_xlfn.XLOOKUP(TB_Vendas[[#This Row],[Código]],TB_Produtos[[#All],[Código]],TB_Produtos[[#All],[Categoria]]),Desc_Categorias,0))</f>
        <v>0.15</v>
      </c>
      <c r="K19" s="43">
        <f>_xlfn.XLOOKUP(TB_Vendas[[#This Row],[Vendedor]],Vendedores!$A$5:$A$9,Vendedores!$D$5:$D$9)</f>
        <v>0.2</v>
      </c>
      <c r="L19" s="43">
        <f>IF(TB_Vendas[[#This Row],[Desconto 
(Diretão)]]&lt;=TB_Vendas[[#This Row],[Desconto 
(Vendedor)]],TB_Vendas[[#This Row],[Desconto 
(Diretão)]],TB_Vendas[[#This Row],[Desconto 
(Vendedor)]])</f>
        <v>0.15</v>
      </c>
      <c r="M19" s="2">
        <f>TB_Vendas[[#This Row],[Preço Unitário]]*TB_Vendas[[#This Row],[Qtd]]</f>
        <v>79.8</v>
      </c>
      <c r="N19" s="1" t="s">
        <v>117</v>
      </c>
    </row>
    <row r="20" spans="1:14" x14ac:dyDescent="0.3">
      <c r="A20" s="4">
        <f>MONTH(TB_Vendas[[#This Row],[Data]])</f>
        <v>2</v>
      </c>
      <c r="B20" s="4" t="str">
        <f>PROPER(TEXT(DATE(,TB_Vendas[[#This Row],[Nº]],1),"Mmm"))</f>
        <v>Fev</v>
      </c>
      <c r="C20" s="3">
        <v>44981</v>
      </c>
      <c r="D20" s="4" t="s">
        <v>91</v>
      </c>
      <c r="E20" s="4" t="str">
        <f>_xlfn.XLOOKUP(TB_Vendas[[#This Row],[Código]],TB_Produtos[Código],TB_Produtos[Categoria])</f>
        <v>Vestuário</v>
      </c>
      <c r="F20" s="1">
        <v>4</v>
      </c>
      <c r="G20" s="7">
        <f>VLOOKUP(TB_Vendas[[#This Row],[Código]],Produtos!$B$6:$G$66,6,0)</f>
        <v>289.89999999999998</v>
      </c>
      <c r="H20" s="1">
        <f>_xlfn.XMATCH(TB_Vendas[[#This Row],[Categoria]],Desc_Categorias,0)</f>
        <v>3</v>
      </c>
      <c r="I20" s="43">
        <f>VLOOKUP(TB_Vendas[[#This Row],[Qtd]],Desc_TabelaToda,TB_Vendas[[#This Row],[Indice]],TRUE)</f>
        <v>0.2</v>
      </c>
      <c r="J20" s="43" cm="1">
        <f t="array" ref="J20">INDEX(Desc_TabelaToda,MATCH(TB_Vendas[[#This Row],[Qtd]],Desc_Quantidades,1),MATCH(_xlfn.XLOOKUP(TB_Vendas[[#This Row],[Código]],TB_Produtos[[#All],[Código]],TB_Produtos[[#All],[Categoria]]),Desc_Categorias,0))</f>
        <v>0.2</v>
      </c>
      <c r="K20" s="43">
        <f>_xlfn.XLOOKUP(TB_Vendas[[#This Row],[Vendedor]],Vendedores!$A$5:$A$9,Vendedores!$D$5:$D$9)</f>
        <v>0.2</v>
      </c>
      <c r="L20" s="43">
        <f>IF(TB_Vendas[[#This Row],[Desconto 
(Diretão)]]&lt;=TB_Vendas[[#This Row],[Desconto 
(Vendedor)]],TB_Vendas[[#This Row],[Desconto 
(Diretão)]],TB_Vendas[[#This Row],[Desconto 
(Vendedor)]])</f>
        <v>0.2</v>
      </c>
      <c r="M20" s="2">
        <f>TB_Vendas[[#This Row],[Preço Unitário]]*TB_Vendas[[#This Row],[Qtd]]</f>
        <v>1159.5999999999999</v>
      </c>
      <c r="N20" s="1" t="s">
        <v>117</v>
      </c>
    </row>
    <row r="21" spans="1:14" x14ac:dyDescent="0.3">
      <c r="A21" s="4">
        <f>MONTH(TB_Vendas[[#This Row],[Data]])</f>
        <v>2</v>
      </c>
      <c r="B21" s="4" t="str">
        <f>PROPER(TEXT(DATE(,TB_Vendas[[#This Row],[Nº]],1),"Mmm"))</f>
        <v>Fev</v>
      </c>
      <c r="C21" s="3">
        <v>44982</v>
      </c>
      <c r="D21" s="4" t="s">
        <v>111</v>
      </c>
      <c r="E21" s="4" t="str">
        <f>_xlfn.XLOOKUP(TB_Vendas[[#This Row],[Código]],TB_Produtos[Código],TB_Produtos[Categoria])</f>
        <v>Vestuário</v>
      </c>
      <c r="F21" s="1">
        <v>3</v>
      </c>
      <c r="G21" s="7">
        <f>VLOOKUP(TB_Vendas[[#This Row],[Código]],Produtos!$B$6:$G$66,6,0)</f>
        <v>180</v>
      </c>
      <c r="H21" s="1">
        <f>_xlfn.XMATCH(TB_Vendas[[#This Row],[Categoria]],Desc_Categorias,0)</f>
        <v>3</v>
      </c>
      <c r="I21" s="43">
        <f>VLOOKUP(TB_Vendas[[#This Row],[Qtd]],Desc_TabelaToda,TB_Vendas[[#This Row],[Indice]],TRUE)</f>
        <v>0.2</v>
      </c>
      <c r="J21" s="43" cm="1">
        <f t="array" ref="J21">INDEX(Desc_TabelaToda,MATCH(TB_Vendas[[#This Row],[Qtd]],Desc_Quantidades,1),MATCH(_xlfn.XLOOKUP(TB_Vendas[[#This Row],[Código]],TB_Produtos[[#All],[Código]],TB_Produtos[[#All],[Categoria]]),Desc_Categorias,0))</f>
        <v>0.2</v>
      </c>
      <c r="K21" s="43">
        <f>_xlfn.XLOOKUP(TB_Vendas[[#This Row],[Vendedor]],Vendedores!$A$5:$A$9,Vendedores!$D$5:$D$9)</f>
        <v>0.15</v>
      </c>
      <c r="L21" s="43">
        <f>IF(TB_Vendas[[#This Row],[Desconto 
(Diretão)]]&lt;=TB_Vendas[[#This Row],[Desconto 
(Vendedor)]],TB_Vendas[[#This Row],[Desconto 
(Diretão)]],TB_Vendas[[#This Row],[Desconto 
(Vendedor)]])</f>
        <v>0.15</v>
      </c>
      <c r="M21" s="2">
        <f>TB_Vendas[[#This Row],[Preço Unitário]]*TB_Vendas[[#This Row],[Qtd]]</f>
        <v>540</v>
      </c>
      <c r="N21" s="1" t="s">
        <v>115</v>
      </c>
    </row>
    <row r="22" spans="1:14" x14ac:dyDescent="0.3">
      <c r="A22" s="4">
        <f>MONTH(TB_Vendas[[#This Row],[Data]])</f>
        <v>2</v>
      </c>
      <c r="B22" s="4" t="str">
        <f>PROPER(TEXT(DATE(,TB_Vendas[[#This Row],[Nº]],1),"Mmm"))</f>
        <v>Fev</v>
      </c>
      <c r="C22" s="3">
        <v>44983</v>
      </c>
      <c r="D22" s="4" t="s">
        <v>97</v>
      </c>
      <c r="E22" s="4" t="str">
        <f>_xlfn.XLOOKUP(TB_Vendas[[#This Row],[Código]],TB_Produtos[Código],TB_Produtos[Categoria])</f>
        <v>Vestuário</v>
      </c>
      <c r="F22" s="1">
        <v>2</v>
      </c>
      <c r="G22" s="7">
        <f>VLOOKUP(TB_Vendas[[#This Row],[Código]],Produtos!$B$6:$G$66,6,0)</f>
        <v>32.9</v>
      </c>
      <c r="H22" s="1">
        <f>_xlfn.XMATCH(TB_Vendas[[#This Row],[Categoria]],Desc_Categorias,0)</f>
        <v>3</v>
      </c>
      <c r="I22" s="43">
        <f>VLOOKUP(TB_Vendas[[#This Row],[Qtd]],Desc_TabelaToda,TB_Vendas[[#This Row],[Indice]],TRUE)</f>
        <v>0.15</v>
      </c>
      <c r="J22" s="43" cm="1">
        <f t="array" ref="J22">INDEX(Desc_TabelaToda,MATCH(TB_Vendas[[#This Row],[Qtd]],Desc_Quantidades,1),MATCH(_xlfn.XLOOKUP(TB_Vendas[[#This Row],[Código]],TB_Produtos[[#All],[Código]],TB_Produtos[[#All],[Categoria]]),Desc_Categorias,0))</f>
        <v>0.15</v>
      </c>
      <c r="K22" s="43">
        <f>_xlfn.XLOOKUP(TB_Vendas[[#This Row],[Vendedor]],Vendedores!$A$5:$A$9,Vendedores!$D$5:$D$9)</f>
        <v>0.2</v>
      </c>
      <c r="L22" s="43">
        <f>IF(TB_Vendas[[#This Row],[Desconto 
(Diretão)]]&lt;=TB_Vendas[[#This Row],[Desconto 
(Vendedor)]],TB_Vendas[[#This Row],[Desconto 
(Diretão)]],TB_Vendas[[#This Row],[Desconto 
(Vendedor)]])</f>
        <v>0.15</v>
      </c>
      <c r="M22" s="2">
        <f>TB_Vendas[[#This Row],[Preço Unitário]]*TB_Vendas[[#This Row],[Qtd]]</f>
        <v>65.8</v>
      </c>
      <c r="N22" s="1" t="s">
        <v>114</v>
      </c>
    </row>
    <row r="23" spans="1:14" x14ac:dyDescent="0.3">
      <c r="A23" s="4">
        <f>MONTH(TB_Vendas[[#This Row],[Data]])</f>
        <v>3</v>
      </c>
      <c r="B23" s="4" t="str">
        <f>PROPER(TEXT(DATE(,TB_Vendas[[#This Row],[Nº]],1),"Mmm"))</f>
        <v>Mar</v>
      </c>
      <c r="C23" s="3">
        <v>44986</v>
      </c>
      <c r="D23" s="4" t="s">
        <v>60</v>
      </c>
      <c r="E23" s="4" t="str">
        <f>_xlfn.XLOOKUP(TB_Vendas[[#This Row],[Código]],TB_Produtos[Código],TB_Produtos[Categoria])</f>
        <v>Calçado</v>
      </c>
      <c r="F23" s="1">
        <v>3</v>
      </c>
      <c r="G23" s="7">
        <f>VLOOKUP(TB_Vendas[[#This Row],[Código]],Produtos!$B$6:$G$66,6,0)</f>
        <v>255</v>
      </c>
      <c r="H23" s="1">
        <f>_xlfn.XMATCH(TB_Vendas[[#This Row],[Categoria]],Desc_Categorias,0)</f>
        <v>4</v>
      </c>
      <c r="I23" s="43">
        <f>VLOOKUP(TB_Vendas[[#This Row],[Qtd]],Desc_TabelaToda,TB_Vendas[[#This Row],[Indice]],TRUE)</f>
        <v>0.15</v>
      </c>
      <c r="J23" s="43" cm="1">
        <f t="array" ref="J23">INDEX(Desc_TabelaToda,MATCH(TB_Vendas[[#This Row],[Qtd]],Desc_Quantidades,1),MATCH(_xlfn.XLOOKUP(TB_Vendas[[#This Row],[Código]],TB_Produtos[[#All],[Código]],TB_Produtos[[#All],[Categoria]]),Desc_Categorias,0))</f>
        <v>0.15</v>
      </c>
      <c r="K23" s="43">
        <f>_xlfn.XLOOKUP(TB_Vendas[[#This Row],[Vendedor]],Vendedores!$A$5:$A$9,Vendedores!$D$5:$D$9)</f>
        <v>0.2</v>
      </c>
      <c r="L23" s="43">
        <f>IF(TB_Vendas[[#This Row],[Desconto 
(Diretão)]]&lt;=TB_Vendas[[#This Row],[Desconto 
(Vendedor)]],TB_Vendas[[#This Row],[Desconto 
(Diretão)]],TB_Vendas[[#This Row],[Desconto 
(Vendedor)]])</f>
        <v>0.15</v>
      </c>
      <c r="M23" s="2">
        <f>TB_Vendas[[#This Row],[Preço Unitário]]*TB_Vendas[[#This Row],[Qtd]]</f>
        <v>765</v>
      </c>
      <c r="N23" s="1" t="s">
        <v>117</v>
      </c>
    </row>
    <row r="24" spans="1:14" x14ac:dyDescent="0.3">
      <c r="A24" s="4">
        <f>MONTH(TB_Vendas[[#This Row],[Data]])</f>
        <v>3</v>
      </c>
      <c r="B24" s="4" t="str">
        <f>PROPER(TEXT(DATE(,TB_Vendas[[#This Row],[Nº]],1),"Mmm"))</f>
        <v>Mar</v>
      </c>
      <c r="C24" s="3">
        <v>44986</v>
      </c>
      <c r="D24" s="4" t="s">
        <v>69</v>
      </c>
      <c r="E24" s="4" t="str">
        <f>_xlfn.XLOOKUP(TB_Vendas[[#This Row],[Código]],TB_Produtos[Código],TB_Produtos[Categoria])</f>
        <v>Vestuário</v>
      </c>
      <c r="F24" s="1">
        <v>1</v>
      </c>
      <c r="G24" s="7">
        <f>VLOOKUP(TB_Vendas[[#This Row],[Código]],Produtos!$B$6:$G$66,6,0)</f>
        <v>142.9</v>
      </c>
      <c r="H24" s="1">
        <f>_xlfn.XMATCH(TB_Vendas[[#This Row],[Categoria]],Desc_Categorias,0)</f>
        <v>3</v>
      </c>
      <c r="I24" s="43">
        <f>VLOOKUP(TB_Vendas[[#This Row],[Qtd]],Desc_TabelaToda,TB_Vendas[[#This Row],[Indice]],TRUE)</f>
        <v>0.1</v>
      </c>
      <c r="J24" s="43" cm="1">
        <f t="array" ref="J24">INDEX(Desc_TabelaToda,MATCH(TB_Vendas[[#This Row],[Qtd]],Desc_Quantidades,1),MATCH(_xlfn.XLOOKUP(TB_Vendas[[#This Row],[Código]],TB_Produtos[[#All],[Código]],TB_Produtos[[#All],[Categoria]]),Desc_Categorias,0))</f>
        <v>0.1</v>
      </c>
      <c r="K24" s="43">
        <f>_xlfn.XLOOKUP(TB_Vendas[[#This Row],[Vendedor]],Vendedores!$A$5:$A$9,Vendedores!$D$5:$D$9)</f>
        <v>0.2</v>
      </c>
      <c r="L24" s="43">
        <f>IF(TB_Vendas[[#This Row],[Desconto 
(Diretão)]]&lt;=TB_Vendas[[#This Row],[Desconto 
(Vendedor)]],TB_Vendas[[#This Row],[Desconto 
(Diretão)]],TB_Vendas[[#This Row],[Desconto 
(Vendedor)]])</f>
        <v>0.1</v>
      </c>
      <c r="M24" s="2">
        <f>TB_Vendas[[#This Row],[Preço Unitário]]*TB_Vendas[[#This Row],[Qtd]]</f>
        <v>142.9</v>
      </c>
      <c r="N24" s="1" t="s">
        <v>114</v>
      </c>
    </row>
    <row r="25" spans="1:14" x14ac:dyDescent="0.3">
      <c r="A25" s="4">
        <f>MONTH(TB_Vendas[[#This Row],[Data]])</f>
        <v>3</v>
      </c>
      <c r="B25" s="4" t="str">
        <f>PROPER(TEXT(DATE(,TB_Vendas[[#This Row],[Nº]],1),"Mmm"))</f>
        <v>Mar</v>
      </c>
      <c r="C25" s="3">
        <v>44987</v>
      </c>
      <c r="D25" s="4" t="s">
        <v>40</v>
      </c>
      <c r="E25" s="4" t="str">
        <f>_xlfn.XLOOKUP(TB_Vendas[[#This Row],[Código]],TB_Produtos[Código],TB_Produtos[Categoria])</f>
        <v>Vestuário</v>
      </c>
      <c r="F25" s="1">
        <v>4</v>
      </c>
      <c r="G25" s="7">
        <f>VLOOKUP(TB_Vendas[[#This Row],[Código]],Produtos!$B$6:$G$66,6,0)</f>
        <v>92.9</v>
      </c>
      <c r="H25" s="1">
        <f>_xlfn.XMATCH(TB_Vendas[[#This Row],[Categoria]],Desc_Categorias,0)</f>
        <v>3</v>
      </c>
      <c r="I25" s="43">
        <f>VLOOKUP(TB_Vendas[[#This Row],[Qtd]],Desc_TabelaToda,TB_Vendas[[#This Row],[Indice]],TRUE)</f>
        <v>0.2</v>
      </c>
      <c r="J25" s="43" cm="1">
        <f t="array" ref="J25">INDEX(Desc_TabelaToda,MATCH(TB_Vendas[[#This Row],[Qtd]],Desc_Quantidades,1),MATCH(_xlfn.XLOOKUP(TB_Vendas[[#This Row],[Código]],TB_Produtos[[#All],[Código]],TB_Produtos[[#All],[Categoria]]),Desc_Categorias,0))</f>
        <v>0.2</v>
      </c>
      <c r="K25" s="43">
        <f>_xlfn.XLOOKUP(TB_Vendas[[#This Row],[Vendedor]],Vendedores!$A$5:$A$9,Vendedores!$D$5:$D$9)</f>
        <v>0.1</v>
      </c>
      <c r="L25" s="43">
        <f>IF(TB_Vendas[[#This Row],[Desconto 
(Diretão)]]&lt;=TB_Vendas[[#This Row],[Desconto 
(Vendedor)]],TB_Vendas[[#This Row],[Desconto 
(Diretão)]],TB_Vendas[[#This Row],[Desconto 
(Vendedor)]])</f>
        <v>0.1</v>
      </c>
      <c r="M25" s="2">
        <f>TB_Vendas[[#This Row],[Preço Unitário]]*TB_Vendas[[#This Row],[Qtd]]</f>
        <v>371.6</v>
      </c>
      <c r="N25" s="1" t="s">
        <v>116</v>
      </c>
    </row>
    <row r="26" spans="1:14" x14ac:dyDescent="0.3">
      <c r="A26" s="4">
        <f>MONTH(TB_Vendas[[#This Row],[Data]])</f>
        <v>3</v>
      </c>
      <c r="B26" s="4" t="str">
        <f>PROPER(TEXT(DATE(,TB_Vendas[[#This Row],[Nº]],1),"Mmm"))</f>
        <v>Mar</v>
      </c>
      <c r="C26" s="3">
        <v>44988</v>
      </c>
      <c r="D26" s="4" t="s">
        <v>86</v>
      </c>
      <c r="E26" s="4" t="str">
        <f>_xlfn.XLOOKUP(TB_Vendas[[#This Row],[Código]],TB_Produtos[Código],TB_Produtos[Categoria])</f>
        <v>Vestuário</v>
      </c>
      <c r="F26" s="1">
        <v>2</v>
      </c>
      <c r="G26" s="7">
        <f>VLOOKUP(TB_Vendas[[#This Row],[Código]],Produtos!$B$6:$G$66,6,0)</f>
        <v>54.9</v>
      </c>
      <c r="H26" s="1">
        <f>_xlfn.XMATCH(TB_Vendas[[#This Row],[Categoria]],Desc_Categorias,0)</f>
        <v>3</v>
      </c>
      <c r="I26" s="43">
        <f>VLOOKUP(TB_Vendas[[#This Row],[Qtd]],Desc_TabelaToda,TB_Vendas[[#This Row],[Indice]],TRUE)</f>
        <v>0.15</v>
      </c>
      <c r="J26" s="43" cm="1">
        <f t="array" ref="J26">INDEX(Desc_TabelaToda,MATCH(TB_Vendas[[#This Row],[Qtd]],Desc_Quantidades,1),MATCH(_xlfn.XLOOKUP(TB_Vendas[[#This Row],[Código]],TB_Produtos[[#All],[Código]],TB_Produtos[[#All],[Categoria]]),Desc_Categorias,0))</f>
        <v>0.15</v>
      </c>
      <c r="K26" s="43">
        <f>_xlfn.XLOOKUP(TB_Vendas[[#This Row],[Vendedor]],Vendedores!$A$5:$A$9,Vendedores!$D$5:$D$9)</f>
        <v>0.2</v>
      </c>
      <c r="L26" s="43">
        <f>IF(TB_Vendas[[#This Row],[Desconto 
(Diretão)]]&lt;=TB_Vendas[[#This Row],[Desconto 
(Vendedor)]],TB_Vendas[[#This Row],[Desconto 
(Diretão)]],TB_Vendas[[#This Row],[Desconto 
(Vendedor)]])</f>
        <v>0.15</v>
      </c>
      <c r="M26" s="2">
        <f>TB_Vendas[[#This Row],[Preço Unitário]]*TB_Vendas[[#This Row],[Qtd]]</f>
        <v>109.8</v>
      </c>
      <c r="N26" s="1" t="s">
        <v>114</v>
      </c>
    </row>
    <row r="27" spans="1:14" x14ac:dyDescent="0.3">
      <c r="A27" s="4">
        <f>MONTH(TB_Vendas[[#This Row],[Data]])</f>
        <v>3</v>
      </c>
      <c r="B27" s="4" t="str">
        <f>PROPER(TEXT(DATE(,TB_Vendas[[#This Row],[Nº]],1),"Mmm"))</f>
        <v>Mar</v>
      </c>
      <c r="C27" s="3">
        <v>44989</v>
      </c>
      <c r="D27" s="4" t="s">
        <v>69</v>
      </c>
      <c r="E27" s="4" t="str">
        <f>_xlfn.XLOOKUP(TB_Vendas[[#This Row],[Código]],TB_Produtos[Código],TB_Produtos[Categoria])</f>
        <v>Vestuário</v>
      </c>
      <c r="F27" s="1">
        <v>3</v>
      </c>
      <c r="G27" s="7">
        <f>VLOOKUP(TB_Vendas[[#This Row],[Código]],Produtos!$B$6:$G$66,6,0)</f>
        <v>142.9</v>
      </c>
      <c r="H27" s="1">
        <f>_xlfn.XMATCH(TB_Vendas[[#This Row],[Categoria]],Desc_Categorias,0)</f>
        <v>3</v>
      </c>
      <c r="I27" s="43">
        <f>VLOOKUP(TB_Vendas[[#This Row],[Qtd]],Desc_TabelaToda,TB_Vendas[[#This Row],[Indice]],TRUE)</f>
        <v>0.2</v>
      </c>
      <c r="J27" s="43" cm="1">
        <f t="array" ref="J27">INDEX(Desc_TabelaToda,MATCH(TB_Vendas[[#This Row],[Qtd]],Desc_Quantidades,1),MATCH(_xlfn.XLOOKUP(TB_Vendas[[#This Row],[Código]],TB_Produtos[[#All],[Código]],TB_Produtos[[#All],[Categoria]]),Desc_Categorias,0))</f>
        <v>0.2</v>
      </c>
      <c r="K27" s="43">
        <f>_xlfn.XLOOKUP(TB_Vendas[[#This Row],[Vendedor]],Vendedores!$A$5:$A$9,Vendedores!$D$5:$D$9)</f>
        <v>0.15</v>
      </c>
      <c r="L27" s="43">
        <f>IF(TB_Vendas[[#This Row],[Desconto 
(Diretão)]]&lt;=TB_Vendas[[#This Row],[Desconto 
(Vendedor)]],TB_Vendas[[#This Row],[Desconto 
(Diretão)]],TB_Vendas[[#This Row],[Desconto 
(Vendedor)]])</f>
        <v>0.15</v>
      </c>
      <c r="M27" s="2">
        <f>TB_Vendas[[#This Row],[Preço Unitário]]*TB_Vendas[[#This Row],[Qtd]]</f>
        <v>428.70000000000005</v>
      </c>
      <c r="N27" s="1" t="s">
        <v>115</v>
      </c>
    </row>
    <row r="28" spans="1:14" x14ac:dyDescent="0.3">
      <c r="A28" s="4">
        <f>MONTH(TB_Vendas[[#This Row],[Data]])</f>
        <v>3</v>
      </c>
      <c r="B28" s="4" t="str">
        <f>PROPER(TEXT(DATE(,TB_Vendas[[#This Row],[Nº]],1),"Mmm"))</f>
        <v>Mar</v>
      </c>
      <c r="C28" s="3">
        <v>44994</v>
      </c>
      <c r="D28" s="4" t="s">
        <v>58</v>
      </c>
      <c r="E28" s="4" t="str">
        <f>_xlfn.XLOOKUP(TB_Vendas[[#This Row],[Código]],TB_Produtos[Código],TB_Produtos[Categoria])</f>
        <v>Acessórios</v>
      </c>
      <c r="F28" s="1">
        <v>2</v>
      </c>
      <c r="G28" s="7">
        <f>VLOOKUP(TB_Vendas[[#This Row],[Código]],Produtos!$B$6:$G$66,6,0)</f>
        <v>120</v>
      </c>
      <c r="H28" s="1">
        <f>_xlfn.XMATCH(TB_Vendas[[#This Row],[Categoria]],Desc_Categorias,0)</f>
        <v>2</v>
      </c>
      <c r="I28" s="43">
        <f>VLOOKUP(TB_Vendas[[#This Row],[Qtd]],Desc_TabelaToda,TB_Vendas[[#This Row],[Indice]],TRUE)</f>
        <v>0.05</v>
      </c>
      <c r="J28" s="43" cm="1">
        <f t="array" ref="J28">INDEX(Desc_TabelaToda,MATCH(TB_Vendas[[#This Row],[Qtd]],Desc_Quantidades,1),MATCH(_xlfn.XLOOKUP(TB_Vendas[[#This Row],[Código]],TB_Produtos[[#All],[Código]],TB_Produtos[[#All],[Categoria]]),Desc_Categorias,0))</f>
        <v>0.05</v>
      </c>
      <c r="K28" s="43">
        <f>_xlfn.XLOOKUP(TB_Vendas[[#This Row],[Vendedor]],Vendedores!$A$5:$A$9,Vendedores!$D$5:$D$9)</f>
        <v>0.15</v>
      </c>
      <c r="L28" s="43">
        <f>IF(TB_Vendas[[#This Row],[Desconto 
(Diretão)]]&lt;=TB_Vendas[[#This Row],[Desconto 
(Vendedor)]],TB_Vendas[[#This Row],[Desconto 
(Diretão)]],TB_Vendas[[#This Row],[Desconto 
(Vendedor)]])</f>
        <v>0.05</v>
      </c>
      <c r="M28" s="2">
        <f>TB_Vendas[[#This Row],[Preço Unitário]]*TB_Vendas[[#This Row],[Qtd]]</f>
        <v>240</v>
      </c>
      <c r="N28" s="1" t="s">
        <v>115</v>
      </c>
    </row>
    <row r="29" spans="1:14" x14ac:dyDescent="0.3">
      <c r="A29" s="4">
        <f>MONTH(TB_Vendas[[#This Row],[Data]])</f>
        <v>3</v>
      </c>
      <c r="B29" s="4" t="str">
        <f>PROPER(TEXT(DATE(,TB_Vendas[[#This Row],[Nº]],1),"Mmm"))</f>
        <v>Mar</v>
      </c>
      <c r="C29" s="3">
        <v>44999</v>
      </c>
      <c r="D29" s="4" t="s">
        <v>32</v>
      </c>
      <c r="E29" s="4" t="str">
        <f>_xlfn.XLOOKUP(TB_Vendas[[#This Row],[Código]],TB_Produtos[Código],TB_Produtos[Categoria])</f>
        <v>Vestuário</v>
      </c>
      <c r="F29" s="1">
        <v>1</v>
      </c>
      <c r="G29" s="7">
        <f>VLOOKUP(TB_Vendas[[#This Row],[Código]],Produtos!$B$6:$G$66,6,0)</f>
        <v>65.900000000000006</v>
      </c>
      <c r="H29" s="1">
        <f>_xlfn.XMATCH(TB_Vendas[[#This Row],[Categoria]],Desc_Categorias,0)</f>
        <v>3</v>
      </c>
      <c r="I29" s="43">
        <f>VLOOKUP(TB_Vendas[[#This Row],[Qtd]],Desc_TabelaToda,TB_Vendas[[#This Row],[Indice]],TRUE)</f>
        <v>0.1</v>
      </c>
      <c r="J29" s="43" cm="1">
        <f t="array" ref="J29">INDEX(Desc_TabelaToda,MATCH(TB_Vendas[[#This Row],[Qtd]],Desc_Quantidades,1),MATCH(_xlfn.XLOOKUP(TB_Vendas[[#This Row],[Código]],TB_Produtos[[#All],[Código]],TB_Produtos[[#All],[Categoria]]),Desc_Categorias,0))</f>
        <v>0.1</v>
      </c>
      <c r="K29" s="43">
        <f>_xlfn.XLOOKUP(TB_Vendas[[#This Row],[Vendedor]],Vendedores!$A$5:$A$9,Vendedores!$D$5:$D$9)</f>
        <v>0.2</v>
      </c>
      <c r="L29" s="43">
        <f>IF(TB_Vendas[[#This Row],[Desconto 
(Diretão)]]&lt;=TB_Vendas[[#This Row],[Desconto 
(Vendedor)]],TB_Vendas[[#This Row],[Desconto 
(Diretão)]],TB_Vendas[[#This Row],[Desconto 
(Vendedor)]])</f>
        <v>0.1</v>
      </c>
      <c r="M29" s="2">
        <f>TB_Vendas[[#This Row],[Preço Unitário]]*TB_Vendas[[#This Row],[Qtd]]</f>
        <v>65.900000000000006</v>
      </c>
      <c r="N29" s="1" t="s">
        <v>117</v>
      </c>
    </row>
    <row r="30" spans="1:14" x14ac:dyDescent="0.3">
      <c r="A30" s="4">
        <f>MONTH(TB_Vendas[[#This Row],[Data]])</f>
        <v>3</v>
      </c>
      <c r="B30" s="4" t="str">
        <f>PROPER(TEXT(DATE(,TB_Vendas[[#This Row],[Nº]],1),"Mmm"))</f>
        <v>Mar</v>
      </c>
      <c r="C30" s="3">
        <v>45004</v>
      </c>
      <c r="D30" s="4" t="s">
        <v>95</v>
      </c>
      <c r="E30" s="4" t="str">
        <f>_xlfn.XLOOKUP(TB_Vendas[[#This Row],[Código]],TB_Produtos[Código],TB_Produtos[Categoria])</f>
        <v>Vestuário</v>
      </c>
      <c r="F30" s="1">
        <v>5</v>
      </c>
      <c r="G30" s="7">
        <f>VLOOKUP(TB_Vendas[[#This Row],[Código]],Produtos!$B$6:$G$66,6,0)</f>
        <v>32.9</v>
      </c>
      <c r="H30" s="1">
        <f>_xlfn.XMATCH(TB_Vendas[[#This Row],[Categoria]],Desc_Categorias,0)</f>
        <v>3</v>
      </c>
      <c r="I30" s="43">
        <f>VLOOKUP(TB_Vendas[[#This Row],[Qtd]],Desc_TabelaToda,TB_Vendas[[#This Row],[Indice]],TRUE)</f>
        <v>0.25</v>
      </c>
      <c r="J30" s="43" cm="1">
        <f t="array" ref="J30">INDEX(Desc_TabelaToda,MATCH(TB_Vendas[[#This Row],[Qtd]],Desc_Quantidades,1),MATCH(_xlfn.XLOOKUP(TB_Vendas[[#This Row],[Código]],TB_Produtos[[#All],[Código]],TB_Produtos[[#All],[Categoria]]),Desc_Categorias,0))</f>
        <v>0.25</v>
      </c>
      <c r="K30" s="43">
        <f>_xlfn.XLOOKUP(TB_Vendas[[#This Row],[Vendedor]],Vendedores!$A$5:$A$9,Vendedores!$D$5:$D$9)</f>
        <v>0.15</v>
      </c>
      <c r="L30" s="43">
        <f>IF(TB_Vendas[[#This Row],[Desconto 
(Diretão)]]&lt;=TB_Vendas[[#This Row],[Desconto 
(Vendedor)]],TB_Vendas[[#This Row],[Desconto 
(Diretão)]],TB_Vendas[[#This Row],[Desconto 
(Vendedor)]])</f>
        <v>0.15</v>
      </c>
      <c r="M30" s="2">
        <f>TB_Vendas[[#This Row],[Preço Unitário]]*TB_Vendas[[#This Row],[Qtd]]</f>
        <v>164.5</v>
      </c>
      <c r="N30" s="1" t="s">
        <v>118</v>
      </c>
    </row>
    <row r="31" spans="1:14" x14ac:dyDescent="0.3">
      <c r="A31" s="4">
        <f>MONTH(TB_Vendas[[#This Row],[Data]])</f>
        <v>3</v>
      </c>
      <c r="B31" s="4" t="str">
        <f>PROPER(TEXT(DATE(,TB_Vendas[[#This Row],[Nº]],1),"Mmm"))</f>
        <v>Mar</v>
      </c>
      <c r="C31" s="3">
        <v>45006</v>
      </c>
      <c r="D31" s="4" t="s">
        <v>110</v>
      </c>
      <c r="E31" s="4" t="str">
        <f>_xlfn.XLOOKUP(TB_Vendas[[#This Row],[Código]],TB_Produtos[Código],TB_Produtos[Categoria])</f>
        <v>Vestuário</v>
      </c>
      <c r="F31" s="1">
        <v>2</v>
      </c>
      <c r="G31" s="7">
        <f>VLOOKUP(TB_Vendas[[#This Row],[Código]],Produtos!$B$6:$G$66,6,0)</f>
        <v>180</v>
      </c>
      <c r="H31" s="1">
        <f>_xlfn.XMATCH(TB_Vendas[[#This Row],[Categoria]],Desc_Categorias,0)</f>
        <v>3</v>
      </c>
      <c r="I31" s="43">
        <f>VLOOKUP(TB_Vendas[[#This Row],[Qtd]],Desc_TabelaToda,TB_Vendas[[#This Row],[Indice]],TRUE)</f>
        <v>0.15</v>
      </c>
      <c r="J31" s="43" cm="1">
        <f t="array" ref="J31">INDEX(Desc_TabelaToda,MATCH(TB_Vendas[[#This Row],[Qtd]],Desc_Quantidades,1),MATCH(_xlfn.XLOOKUP(TB_Vendas[[#This Row],[Código]],TB_Produtos[[#All],[Código]],TB_Produtos[[#All],[Categoria]]),Desc_Categorias,0))</f>
        <v>0.15</v>
      </c>
      <c r="K31" s="43">
        <f>_xlfn.XLOOKUP(TB_Vendas[[#This Row],[Vendedor]],Vendedores!$A$5:$A$9,Vendedores!$D$5:$D$9)</f>
        <v>0.15</v>
      </c>
      <c r="L31" s="43">
        <f>IF(TB_Vendas[[#This Row],[Desconto 
(Diretão)]]&lt;=TB_Vendas[[#This Row],[Desconto 
(Vendedor)]],TB_Vendas[[#This Row],[Desconto 
(Diretão)]],TB_Vendas[[#This Row],[Desconto 
(Vendedor)]])</f>
        <v>0.15</v>
      </c>
      <c r="M31" s="2">
        <f>TB_Vendas[[#This Row],[Preço Unitário]]*TB_Vendas[[#This Row],[Qtd]]</f>
        <v>360</v>
      </c>
      <c r="N31" s="1" t="s">
        <v>115</v>
      </c>
    </row>
    <row r="32" spans="1:14" x14ac:dyDescent="0.3">
      <c r="A32" s="4">
        <f>MONTH(TB_Vendas[[#This Row],[Data]])</f>
        <v>3</v>
      </c>
      <c r="B32" s="4" t="str">
        <f>PROPER(TEXT(DATE(,TB_Vendas[[#This Row],[Nº]],1),"Mmm"))</f>
        <v>Mar</v>
      </c>
      <c r="C32" s="3">
        <v>45010</v>
      </c>
      <c r="D32" s="4" t="s">
        <v>57</v>
      </c>
      <c r="E32" s="4" t="str">
        <f>_xlfn.XLOOKUP(TB_Vendas[[#This Row],[Código]],TB_Produtos[Código],TB_Produtos[Categoria])</f>
        <v>Acessórios</v>
      </c>
      <c r="F32" s="1">
        <v>3</v>
      </c>
      <c r="G32" s="7">
        <f>VLOOKUP(TB_Vendas[[#This Row],[Código]],Produtos!$B$6:$G$66,6,0)</f>
        <v>349.9</v>
      </c>
      <c r="H32" s="1">
        <f>_xlfn.XMATCH(TB_Vendas[[#This Row],[Categoria]],Desc_Categorias,0)</f>
        <v>2</v>
      </c>
      <c r="I32" s="43">
        <f>VLOOKUP(TB_Vendas[[#This Row],[Qtd]],Desc_TabelaToda,TB_Vendas[[#This Row],[Indice]],TRUE)</f>
        <v>0.15</v>
      </c>
      <c r="J32" s="43" cm="1">
        <f t="array" ref="J32">INDEX(Desc_TabelaToda,MATCH(TB_Vendas[[#This Row],[Qtd]],Desc_Quantidades,1),MATCH(_xlfn.XLOOKUP(TB_Vendas[[#This Row],[Código]],TB_Produtos[[#All],[Código]],TB_Produtos[[#All],[Categoria]]),Desc_Categorias,0))</f>
        <v>0.15</v>
      </c>
      <c r="K32" s="43">
        <f>_xlfn.XLOOKUP(TB_Vendas[[#This Row],[Vendedor]],Vendedores!$A$5:$A$9,Vendedores!$D$5:$D$9)</f>
        <v>0.2</v>
      </c>
      <c r="L32" s="43">
        <f>IF(TB_Vendas[[#This Row],[Desconto 
(Diretão)]]&lt;=TB_Vendas[[#This Row],[Desconto 
(Vendedor)]],TB_Vendas[[#This Row],[Desconto 
(Diretão)]],TB_Vendas[[#This Row],[Desconto 
(Vendedor)]])</f>
        <v>0.15</v>
      </c>
      <c r="M32" s="2">
        <f>TB_Vendas[[#This Row],[Preço Unitário]]*TB_Vendas[[#This Row],[Qtd]]</f>
        <v>1049.6999999999998</v>
      </c>
      <c r="N32" s="1" t="s">
        <v>114</v>
      </c>
    </row>
    <row r="33" spans="1:14" x14ac:dyDescent="0.3">
      <c r="A33" s="4">
        <f>MONTH(TB_Vendas[[#This Row],[Data]])</f>
        <v>4</v>
      </c>
      <c r="B33" s="4" t="str">
        <f>PROPER(TEXT(DATE(,TB_Vendas[[#This Row],[Nº]],1),"Mmm"))</f>
        <v>Abr</v>
      </c>
      <c r="C33" s="3">
        <v>45018</v>
      </c>
      <c r="D33" s="4" t="s">
        <v>89</v>
      </c>
      <c r="E33" s="4" t="str">
        <f>_xlfn.XLOOKUP(TB_Vendas[[#This Row],[Código]],TB_Produtos[Código],TB_Produtos[Categoria])</f>
        <v>Vestuário</v>
      </c>
      <c r="F33" s="1">
        <v>1</v>
      </c>
      <c r="G33" s="7">
        <f>VLOOKUP(TB_Vendas[[#This Row],[Código]],Produtos!$B$6:$G$66,6,0)</f>
        <v>72.5</v>
      </c>
      <c r="H33" s="1">
        <f>_xlfn.XMATCH(TB_Vendas[[#This Row],[Categoria]],Desc_Categorias,0)</f>
        <v>3</v>
      </c>
      <c r="I33" s="43">
        <f>VLOOKUP(TB_Vendas[[#This Row],[Qtd]],Desc_TabelaToda,TB_Vendas[[#This Row],[Indice]],TRUE)</f>
        <v>0.1</v>
      </c>
      <c r="J33" s="43" cm="1">
        <f t="array" ref="J33">INDEX(Desc_TabelaToda,MATCH(TB_Vendas[[#This Row],[Qtd]],Desc_Quantidades,1),MATCH(_xlfn.XLOOKUP(TB_Vendas[[#This Row],[Código]],TB_Produtos[[#All],[Código]],TB_Produtos[[#All],[Categoria]]),Desc_Categorias,0))</f>
        <v>0.1</v>
      </c>
      <c r="K33" s="43">
        <f>_xlfn.XLOOKUP(TB_Vendas[[#This Row],[Vendedor]],Vendedores!$A$5:$A$9,Vendedores!$D$5:$D$9)</f>
        <v>0.1</v>
      </c>
      <c r="L33" s="43">
        <f>IF(TB_Vendas[[#This Row],[Desconto 
(Diretão)]]&lt;=TB_Vendas[[#This Row],[Desconto 
(Vendedor)]],TB_Vendas[[#This Row],[Desconto 
(Diretão)]],TB_Vendas[[#This Row],[Desconto 
(Vendedor)]])</f>
        <v>0.1</v>
      </c>
      <c r="M33" s="2">
        <f>TB_Vendas[[#This Row],[Preço Unitário]]*TB_Vendas[[#This Row],[Qtd]]</f>
        <v>72.5</v>
      </c>
      <c r="N33" s="1" t="s">
        <v>116</v>
      </c>
    </row>
    <row r="34" spans="1:14" x14ac:dyDescent="0.3">
      <c r="A34" s="4">
        <f>MONTH(TB_Vendas[[#This Row],[Data]])</f>
        <v>4</v>
      </c>
      <c r="B34" s="4" t="str">
        <f>PROPER(TEXT(DATE(,TB_Vendas[[#This Row],[Nº]],1),"Mmm"))</f>
        <v>Abr</v>
      </c>
      <c r="C34" s="3">
        <v>45020</v>
      </c>
      <c r="D34" s="4" t="s">
        <v>55</v>
      </c>
      <c r="E34" s="4" t="str">
        <f>_xlfn.XLOOKUP(TB_Vendas[[#This Row],[Código]],TB_Produtos[Código],TB_Produtos[Categoria])</f>
        <v>Vestuário</v>
      </c>
      <c r="F34" s="1">
        <v>4</v>
      </c>
      <c r="G34" s="7">
        <f>VLOOKUP(TB_Vendas[[#This Row],[Código]],Produtos!$B$6:$G$66,6,0)</f>
        <v>259.89999999999998</v>
      </c>
      <c r="H34" s="1">
        <f>_xlfn.XMATCH(TB_Vendas[[#This Row],[Categoria]],Desc_Categorias,0)</f>
        <v>3</v>
      </c>
      <c r="I34" s="43">
        <f>VLOOKUP(TB_Vendas[[#This Row],[Qtd]],Desc_TabelaToda,TB_Vendas[[#This Row],[Indice]],TRUE)</f>
        <v>0.2</v>
      </c>
      <c r="J34" s="43" cm="1">
        <f t="array" ref="J34">INDEX(Desc_TabelaToda,MATCH(TB_Vendas[[#This Row],[Qtd]],Desc_Quantidades,1),MATCH(_xlfn.XLOOKUP(TB_Vendas[[#This Row],[Código]],TB_Produtos[[#All],[Código]],TB_Produtos[[#All],[Categoria]]),Desc_Categorias,0))</f>
        <v>0.2</v>
      </c>
      <c r="K34" s="43">
        <f>_xlfn.XLOOKUP(TB_Vendas[[#This Row],[Vendedor]],Vendedores!$A$5:$A$9,Vendedores!$D$5:$D$9)</f>
        <v>0.2</v>
      </c>
      <c r="L34" s="43">
        <f>IF(TB_Vendas[[#This Row],[Desconto 
(Diretão)]]&lt;=TB_Vendas[[#This Row],[Desconto 
(Vendedor)]],TB_Vendas[[#This Row],[Desconto 
(Diretão)]],TB_Vendas[[#This Row],[Desconto 
(Vendedor)]])</f>
        <v>0.2</v>
      </c>
      <c r="M34" s="2">
        <f>TB_Vendas[[#This Row],[Preço Unitário]]*TB_Vendas[[#This Row],[Qtd]]</f>
        <v>1039.5999999999999</v>
      </c>
      <c r="N34" s="1" t="s">
        <v>114</v>
      </c>
    </row>
    <row r="35" spans="1:14" x14ac:dyDescent="0.3">
      <c r="A35" s="4">
        <f>MONTH(TB_Vendas[[#This Row],[Data]])</f>
        <v>4</v>
      </c>
      <c r="B35" s="4" t="str">
        <f>PROPER(TEXT(DATE(,TB_Vendas[[#This Row],[Nº]],1),"Mmm"))</f>
        <v>Abr</v>
      </c>
      <c r="C35" s="3">
        <v>45024</v>
      </c>
      <c r="D35" s="4" t="s">
        <v>47</v>
      </c>
      <c r="E35" s="4" t="str">
        <f>_xlfn.XLOOKUP(TB_Vendas[[#This Row],[Código]],TB_Produtos[Código],TB_Produtos[Categoria])</f>
        <v>Vestuário</v>
      </c>
      <c r="F35" s="1">
        <v>3</v>
      </c>
      <c r="G35" s="7">
        <f>VLOOKUP(TB_Vendas[[#This Row],[Código]],Produtos!$B$6:$G$66,6,0)</f>
        <v>25.9</v>
      </c>
      <c r="H35" s="1">
        <f>_xlfn.XMATCH(TB_Vendas[[#This Row],[Categoria]],Desc_Categorias,0)</f>
        <v>3</v>
      </c>
      <c r="I35" s="43">
        <f>VLOOKUP(TB_Vendas[[#This Row],[Qtd]],Desc_TabelaToda,TB_Vendas[[#This Row],[Indice]],TRUE)</f>
        <v>0.2</v>
      </c>
      <c r="J35" s="43" cm="1">
        <f t="array" ref="J35">INDEX(Desc_TabelaToda,MATCH(TB_Vendas[[#This Row],[Qtd]],Desc_Quantidades,1),MATCH(_xlfn.XLOOKUP(TB_Vendas[[#This Row],[Código]],TB_Produtos[[#All],[Código]],TB_Produtos[[#All],[Categoria]]),Desc_Categorias,0))</f>
        <v>0.2</v>
      </c>
      <c r="K35" s="43">
        <f>_xlfn.XLOOKUP(TB_Vendas[[#This Row],[Vendedor]],Vendedores!$A$5:$A$9,Vendedores!$D$5:$D$9)</f>
        <v>0.15</v>
      </c>
      <c r="L35" s="43">
        <f>IF(TB_Vendas[[#This Row],[Desconto 
(Diretão)]]&lt;=TB_Vendas[[#This Row],[Desconto 
(Vendedor)]],TB_Vendas[[#This Row],[Desconto 
(Diretão)]],TB_Vendas[[#This Row],[Desconto 
(Vendedor)]])</f>
        <v>0.15</v>
      </c>
      <c r="M35" s="2">
        <f>TB_Vendas[[#This Row],[Preço Unitário]]*TB_Vendas[[#This Row],[Qtd]]</f>
        <v>77.699999999999989</v>
      </c>
      <c r="N35" s="1" t="s">
        <v>115</v>
      </c>
    </row>
    <row r="36" spans="1:14" x14ac:dyDescent="0.3">
      <c r="A36" s="4">
        <f>MONTH(TB_Vendas[[#This Row],[Data]])</f>
        <v>4</v>
      </c>
      <c r="B36" s="4" t="str">
        <f>PROPER(TEXT(DATE(,TB_Vendas[[#This Row],[Nº]],1),"Mmm"))</f>
        <v>Abr</v>
      </c>
      <c r="C36" s="3">
        <v>45027</v>
      </c>
      <c r="D36" s="4" t="s">
        <v>35</v>
      </c>
      <c r="E36" s="4" t="str">
        <f>_xlfn.XLOOKUP(TB_Vendas[[#This Row],[Código]],TB_Produtos[Código],TB_Produtos[Categoria])</f>
        <v>Acessórios</v>
      </c>
      <c r="F36" s="1">
        <v>2</v>
      </c>
      <c r="G36" s="7">
        <f>VLOOKUP(TB_Vendas[[#This Row],[Código]],Produtos!$B$6:$G$66,6,0)</f>
        <v>145</v>
      </c>
      <c r="H36" s="1">
        <f>_xlfn.XMATCH(TB_Vendas[[#This Row],[Categoria]],Desc_Categorias,0)</f>
        <v>2</v>
      </c>
      <c r="I36" s="43">
        <f>VLOOKUP(TB_Vendas[[#This Row],[Qtd]],Desc_TabelaToda,TB_Vendas[[#This Row],[Indice]],TRUE)</f>
        <v>0.05</v>
      </c>
      <c r="J36" s="43" cm="1">
        <f t="array" ref="J36">INDEX(Desc_TabelaToda,MATCH(TB_Vendas[[#This Row],[Qtd]],Desc_Quantidades,1),MATCH(_xlfn.XLOOKUP(TB_Vendas[[#This Row],[Código]],TB_Produtos[[#All],[Código]],TB_Produtos[[#All],[Categoria]]),Desc_Categorias,0))</f>
        <v>0.05</v>
      </c>
      <c r="K36" s="43">
        <f>_xlfn.XLOOKUP(TB_Vendas[[#This Row],[Vendedor]],Vendedores!$A$5:$A$9,Vendedores!$D$5:$D$9)</f>
        <v>0.2</v>
      </c>
      <c r="L36" s="43">
        <f>IF(TB_Vendas[[#This Row],[Desconto 
(Diretão)]]&lt;=TB_Vendas[[#This Row],[Desconto 
(Vendedor)]],TB_Vendas[[#This Row],[Desconto 
(Diretão)]],TB_Vendas[[#This Row],[Desconto 
(Vendedor)]])</f>
        <v>0.05</v>
      </c>
      <c r="M36" s="2">
        <f>TB_Vendas[[#This Row],[Preço Unitário]]*TB_Vendas[[#This Row],[Qtd]]</f>
        <v>290</v>
      </c>
      <c r="N36" s="1" t="s">
        <v>114</v>
      </c>
    </row>
    <row r="37" spans="1:14" x14ac:dyDescent="0.3">
      <c r="A37" s="4">
        <f>MONTH(TB_Vendas[[#This Row],[Data]])</f>
        <v>4</v>
      </c>
      <c r="B37" s="4" t="str">
        <f>PROPER(TEXT(DATE(,TB_Vendas[[#This Row],[Nº]],1),"Mmm"))</f>
        <v>Abr</v>
      </c>
      <c r="C37" s="3">
        <v>45028</v>
      </c>
      <c r="D37" s="4" t="s">
        <v>37</v>
      </c>
      <c r="E37" s="4" t="str">
        <f>_xlfn.XLOOKUP(TB_Vendas[[#This Row],[Código]],TB_Produtos[Código],TB_Produtos[Categoria])</f>
        <v>Acessórios</v>
      </c>
      <c r="F37" s="1">
        <v>1</v>
      </c>
      <c r="G37" s="7">
        <f>VLOOKUP(TB_Vendas[[#This Row],[Código]],Produtos!$B$6:$G$66,6,0)</f>
        <v>39.9</v>
      </c>
      <c r="H37" s="1">
        <f>_xlfn.XMATCH(TB_Vendas[[#This Row],[Categoria]],Desc_Categorias,0)</f>
        <v>2</v>
      </c>
      <c r="I37" s="43">
        <f>VLOOKUP(TB_Vendas[[#This Row],[Qtd]],Desc_TabelaToda,TB_Vendas[[#This Row],[Indice]],TRUE)</f>
        <v>0</v>
      </c>
      <c r="J37" s="43" cm="1">
        <f t="array" ref="J37">INDEX(Desc_TabelaToda,MATCH(TB_Vendas[[#This Row],[Qtd]],Desc_Quantidades,1),MATCH(_xlfn.XLOOKUP(TB_Vendas[[#This Row],[Código]],TB_Produtos[[#All],[Código]],TB_Produtos[[#All],[Categoria]]),Desc_Categorias,0))</f>
        <v>0</v>
      </c>
      <c r="K37" s="43">
        <f>_xlfn.XLOOKUP(TB_Vendas[[#This Row],[Vendedor]],Vendedores!$A$5:$A$9,Vendedores!$D$5:$D$9)</f>
        <v>0.15</v>
      </c>
      <c r="L37" s="43">
        <f>IF(TB_Vendas[[#This Row],[Desconto 
(Diretão)]]&lt;=TB_Vendas[[#This Row],[Desconto 
(Vendedor)]],TB_Vendas[[#This Row],[Desconto 
(Diretão)]],TB_Vendas[[#This Row],[Desconto 
(Vendedor)]])</f>
        <v>0</v>
      </c>
      <c r="M37" s="2">
        <f>TB_Vendas[[#This Row],[Preço Unitário]]*TB_Vendas[[#This Row],[Qtd]]</f>
        <v>39.9</v>
      </c>
      <c r="N37" s="1" t="s">
        <v>115</v>
      </c>
    </row>
    <row r="38" spans="1:14" x14ac:dyDescent="0.3">
      <c r="A38" s="4">
        <f>MONTH(TB_Vendas[[#This Row],[Data]])</f>
        <v>4</v>
      </c>
      <c r="B38" s="4" t="str">
        <f>PROPER(TEXT(DATE(,TB_Vendas[[#This Row],[Nº]],1),"Mmm"))</f>
        <v>Abr</v>
      </c>
      <c r="C38" s="3">
        <v>45029</v>
      </c>
      <c r="D38" s="4" t="s">
        <v>57</v>
      </c>
      <c r="E38" s="4" t="str">
        <f>_xlfn.XLOOKUP(TB_Vendas[[#This Row],[Código]],TB_Produtos[Código],TB_Produtos[Categoria])</f>
        <v>Acessórios</v>
      </c>
      <c r="F38" s="1">
        <v>3</v>
      </c>
      <c r="G38" s="7">
        <f>VLOOKUP(TB_Vendas[[#This Row],[Código]],Produtos!$B$6:$G$66,6,0)</f>
        <v>349.9</v>
      </c>
      <c r="H38" s="1">
        <f>_xlfn.XMATCH(TB_Vendas[[#This Row],[Categoria]],Desc_Categorias,0)</f>
        <v>2</v>
      </c>
      <c r="I38" s="43">
        <f>VLOOKUP(TB_Vendas[[#This Row],[Qtd]],Desc_TabelaToda,TB_Vendas[[#This Row],[Indice]],TRUE)</f>
        <v>0.15</v>
      </c>
      <c r="J38" s="43" cm="1">
        <f t="array" ref="J38">INDEX(Desc_TabelaToda,MATCH(TB_Vendas[[#This Row],[Qtd]],Desc_Quantidades,1),MATCH(_xlfn.XLOOKUP(TB_Vendas[[#This Row],[Código]],TB_Produtos[[#All],[Código]],TB_Produtos[[#All],[Categoria]]),Desc_Categorias,0))</f>
        <v>0.15</v>
      </c>
      <c r="K38" s="43">
        <f>_xlfn.XLOOKUP(TB_Vendas[[#This Row],[Vendedor]],Vendedores!$A$5:$A$9,Vendedores!$D$5:$D$9)</f>
        <v>0.2</v>
      </c>
      <c r="L38" s="43">
        <f>IF(TB_Vendas[[#This Row],[Desconto 
(Diretão)]]&lt;=TB_Vendas[[#This Row],[Desconto 
(Vendedor)]],TB_Vendas[[#This Row],[Desconto 
(Diretão)]],TB_Vendas[[#This Row],[Desconto 
(Vendedor)]])</f>
        <v>0.15</v>
      </c>
      <c r="M38" s="2">
        <f>TB_Vendas[[#This Row],[Preço Unitário]]*TB_Vendas[[#This Row],[Qtd]]</f>
        <v>1049.6999999999998</v>
      </c>
      <c r="N38" s="1" t="s">
        <v>117</v>
      </c>
    </row>
    <row r="39" spans="1:14" x14ac:dyDescent="0.3">
      <c r="A39" s="4">
        <f>MONTH(TB_Vendas[[#This Row],[Data]])</f>
        <v>4</v>
      </c>
      <c r="B39" s="4" t="str">
        <f>PROPER(TEXT(DATE(,TB_Vendas[[#This Row],[Nº]],1),"Mmm"))</f>
        <v>Abr</v>
      </c>
      <c r="C39" s="3">
        <v>45031</v>
      </c>
      <c r="D39" s="4" t="s">
        <v>106</v>
      </c>
      <c r="E39" s="4" t="str">
        <f>_xlfn.XLOOKUP(TB_Vendas[[#This Row],[Código]],TB_Produtos[Código],TB_Produtos[Categoria])</f>
        <v>Calçado</v>
      </c>
      <c r="F39" s="1">
        <v>4</v>
      </c>
      <c r="G39" s="7">
        <f>VLOOKUP(TB_Vendas[[#This Row],[Código]],Produtos!$B$6:$G$66,6,0)</f>
        <v>89.9</v>
      </c>
      <c r="H39" s="1">
        <f>_xlfn.XMATCH(TB_Vendas[[#This Row],[Categoria]],Desc_Categorias,0)</f>
        <v>4</v>
      </c>
      <c r="I39" s="43">
        <f>VLOOKUP(TB_Vendas[[#This Row],[Qtd]],Desc_TabelaToda,TB_Vendas[[#This Row],[Indice]],TRUE)</f>
        <v>0.15</v>
      </c>
      <c r="J39" s="43" cm="1">
        <f t="array" ref="J39">INDEX(Desc_TabelaToda,MATCH(TB_Vendas[[#This Row],[Qtd]],Desc_Quantidades,1),MATCH(_xlfn.XLOOKUP(TB_Vendas[[#This Row],[Código]],TB_Produtos[[#All],[Código]],TB_Produtos[[#All],[Categoria]]),Desc_Categorias,0))</f>
        <v>0.15</v>
      </c>
      <c r="K39" s="43">
        <f>_xlfn.XLOOKUP(TB_Vendas[[#This Row],[Vendedor]],Vendedores!$A$5:$A$9,Vendedores!$D$5:$D$9)</f>
        <v>0.2</v>
      </c>
      <c r="L39" s="43">
        <f>IF(TB_Vendas[[#This Row],[Desconto 
(Diretão)]]&lt;=TB_Vendas[[#This Row],[Desconto 
(Vendedor)]],TB_Vendas[[#This Row],[Desconto 
(Diretão)]],TB_Vendas[[#This Row],[Desconto 
(Vendedor)]])</f>
        <v>0.15</v>
      </c>
      <c r="M39" s="2">
        <f>TB_Vendas[[#This Row],[Preço Unitário]]*TB_Vendas[[#This Row],[Qtd]]</f>
        <v>359.6</v>
      </c>
      <c r="N39" s="1" t="s">
        <v>114</v>
      </c>
    </row>
    <row r="40" spans="1:14" x14ac:dyDescent="0.3">
      <c r="A40" s="4">
        <f>MONTH(TB_Vendas[[#This Row],[Data]])</f>
        <v>4</v>
      </c>
      <c r="B40" s="4" t="str">
        <f>PROPER(TEXT(DATE(,TB_Vendas[[#This Row],[Nº]],1),"Mmm"))</f>
        <v>Abr</v>
      </c>
      <c r="C40" s="3">
        <v>45038</v>
      </c>
      <c r="D40" s="4" t="s">
        <v>103</v>
      </c>
      <c r="E40" s="4" t="str">
        <f>_xlfn.XLOOKUP(TB_Vendas[[#This Row],[Código]],TB_Produtos[Código],TB_Produtos[Categoria])</f>
        <v>Calçado</v>
      </c>
      <c r="F40" s="1">
        <v>2</v>
      </c>
      <c r="G40" s="7">
        <f>VLOOKUP(TB_Vendas[[#This Row],[Código]],Produtos!$B$6:$G$66,6,0)</f>
        <v>89.9</v>
      </c>
      <c r="H40" s="1">
        <f>_xlfn.XMATCH(TB_Vendas[[#This Row],[Categoria]],Desc_Categorias,0)</f>
        <v>4</v>
      </c>
      <c r="I40" s="43">
        <f>VLOOKUP(TB_Vendas[[#This Row],[Qtd]],Desc_TabelaToda,TB_Vendas[[#This Row],[Indice]],TRUE)</f>
        <v>0.1</v>
      </c>
      <c r="J40" s="43" cm="1">
        <f t="array" ref="J40">INDEX(Desc_TabelaToda,MATCH(TB_Vendas[[#This Row],[Qtd]],Desc_Quantidades,1),MATCH(_xlfn.XLOOKUP(TB_Vendas[[#This Row],[Código]],TB_Produtos[[#All],[Código]],TB_Produtos[[#All],[Categoria]]),Desc_Categorias,0))</f>
        <v>0.1</v>
      </c>
      <c r="K40" s="43">
        <f>_xlfn.XLOOKUP(TB_Vendas[[#This Row],[Vendedor]],Vendedores!$A$5:$A$9,Vendedores!$D$5:$D$9)</f>
        <v>0.2</v>
      </c>
      <c r="L40" s="43">
        <f>IF(TB_Vendas[[#This Row],[Desconto 
(Diretão)]]&lt;=TB_Vendas[[#This Row],[Desconto 
(Vendedor)]],TB_Vendas[[#This Row],[Desconto 
(Diretão)]],TB_Vendas[[#This Row],[Desconto 
(Vendedor)]])</f>
        <v>0.1</v>
      </c>
      <c r="M40" s="2">
        <f>TB_Vendas[[#This Row],[Preço Unitário]]*TB_Vendas[[#This Row],[Qtd]]</f>
        <v>179.8</v>
      </c>
      <c r="N40" s="1" t="s">
        <v>117</v>
      </c>
    </row>
    <row r="41" spans="1:14" x14ac:dyDescent="0.3">
      <c r="A41" s="4">
        <f>MONTH(TB_Vendas[[#This Row],[Data]])</f>
        <v>4</v>
      </c>
      <c r="B41" s="4" t="str">
        <f>PROPER(TEXT(DATE(,TB_Vendas[[#This Row],[Nº]],1),"Mmm"))</f>
        <v>Abr</v>
      </c>
      <c r="C41" s="3">
        <v>45039</v>
      </c>
      <c r="D41" s="4" t="s">
        <v>33</v>
      </c>
      <c r="E41" s="4" t="str">
        <f>_xlfn.XLOOKUP(TB_Vendas[[#This Row],[Código]],TB_Produtos[Código],TB_Produtos[Categoria])</f>
        <v>Vestuário</v>
      </c>
      <c r="F41" s="1">
        <v>3</v>
      </c>
      <c r="G41" s="7">
        <f>VLOOKUP(TB_Vendas[[#This Row],[Código]],Produtos!$B$6:$G$66,6,0)</f>
        <v>69.900000000000006</v>
      </c>
      <c r="H41" s="1">
        <f>_xlfn.XMATCH(TB_Vendas[[#This Row],[Categoria]],Desc_Categorias,0)</f>
        <v>3</v>
      </c>
      <c r="I41" s="43">
        <f>VLOOKUP(TB_Vendas[[#This Row],[Qtd]],Desc_TabelaToda,TB_Vendas[[#This Row],[Indice]],TRUE)</f>
        <v>0.2</v>
      </c>
      <c r="J41" s="43" cm="1">
        <f t="array" ref="J41">INDEX(Desc_TabelaToda,MATCH(TB_Vendas[[#This Row],[Qtd]],Desc_Quantidades,1),MATCH(_xlfn.XLOOKUP(TB_Vendas[[#This Row],[Código]],TB_Produtos[[#All],[Código]],TB_Produtos[[#All],[Categoria]]),Desc_Categorias,0))</f>
        <v>0.2</v>
      </c>
      <c r="K41" s="43">
        <f>_xlfn.XLOOKUP(TB_Vendas[[#This Row],[Vendedor]],Vendedores!$A$5:$A$9,Vendedores!$D$5:$D$9)</f>
        <v>0.2</v>
      </c>
      <c r="L41" s="43">
        <f>IF(TB_Vendas[[#This Row],[Desconto 
(Diretão)]]&lt;=TB_Vendas[[#This Row],[Desconto 
(Vendedor)]],TB_Vendas[[#This Row],[Desconto 
(Diretão)]],TB_Vendas[[#This Row],[Desconto 
(Vendedor)]])</f>
        <v>0.2</v>
      </c>
      <c r="M41" s="2">
        <f>TB_Vendas[[#This Row],[Preço Unitário]]*TB_Vendas[[#This Row],[Qtd]]</f>
        <v>209.70000000000002</v>
      </c>
      <c r="N41" s="1" t="s">
        <v>114</v>
      </c>
    </row>
    <row r="42" spans="1:14" x14ac:dyDescent="0.3">
      <c r="A42" s="4">
        <f>MONTH(TB_Vendas[[#This Row],[Data]])</f>
        <v>4</v>
      </c>
      <c r="B42" s="4" t="str">
        <f>PROPER(TEXT(DATE(,TB_Vendas[[#This Row],[Nº]],1),"Mmm"))</f>
        <v>Abr</v>
      </c>
      <c r="C42" s="3">
        <v>45042</v>
      </c>
      <c r="D42" s="4" t="s">
        <v>35</v>
      </c>
      <c r="E42" s="4" t="str">
        <f>_xlfn.XLOOKUP(TB_Vendas[[#This Row],[Código]],TB_Produtos[Código],TB_Produtos[Categoria])</f>
        <v>Acessórios</v>
      </c>
      <c r="F42" s="1">
        <v>1</v>
      </c>
      <c r="G42" s="7">
        <f>VLOOKUP(TB_Vendas[[#This Row],[Código]],Produtos!$B$6:$G$66,6,0)</f>
        <v>145</v>
      </c>
      <c r="H42" s="1">
        <f>_xlfn.XMATCH(TB_Vendas[[#This Row],[Categoria]],Desc_Categorias,0)</f>
        <v>2</v>
      </c>
      <c r="I42" s="43">
        <f>VLOOKUP(TB_Vendas[[#This Row],[Qtd]],Desc_TabelaToda,TB_Vendas[[#This Row],[Indice]],TRUE)</f>
        <v>0</v>
      </c>
      <c r="J42" s="43" cm="1">
        <f t="array" ref="J42">INDEX(Desc_TabelaToda,MATCH(TB_Vendas[[#This Row],[Qtd]],Desc_Quantidades,1),MATCH(_xlfn.XLOOKUP(TB_Vendas[[#This Row],[Código]],TB_Produtos[[#All],[Código]],TB_Produtos[[#All],[Categoria]]),Desc_Categorias,0))</f>
        <v>0</v>
      </c>
      <c r="K42" s="43">
        <f>_xlfn.XLOOKUP(TB_Vendas[[#This Row],[Vendedor]],Vendedores!$A$5:$A$9,Vendedores!$D$5:$D$9)</f>
        <v>0.15</v>
      </c>
      <c r="L42" s="43">
        <f>IF(TB_Vendas[[#This Row],[Desconto 
(Diretão)]]&lt;=TB_Vendas[[#This Row],[Desconto 
(Vendedor)]],TB_Vendas[[#This Row],[Desconto 
(Diretão)]],TB_Vendas[[#This Row],[Desconto 
(Vendedor)]])</f>
        <v>0</v>
      </c>
      <c r="M42" s="2">
        <f>TB_Vendas[[#This Row],[Preço Unitário]]*TB_Vendas[[#This Row],[Qtd]]</f>
        <v>145</v>
      </c>
      <c r="N42" s="1" t="s">
        <v>118</v>
      </c>
    </row>
    <row r="43" spans="1:14" x14ac:dyDescent="0.3">
      <c r="A43" s="4">
        <f>MONTH(TB_Vendas[[#This Row],[Data]])</f>
        <v>4</v>
      </c>
      <c r="B43" s="4" t="str">
        <f>PROPER(TEXT(DATE(,TB_Vendas[[#This Row],[Nº]],1),"Mmm"))</f>
        <v>Abr</v>
      </c>
      <c r="C43" s="3">
        <v>45043</v>
      </c>
      <c r="D43" s="4" t="s">
        <v>42</v>
      </c>
      <c r="E43" s="4" t="str">
        <f>_xlfn.XLOOKUP(TB_Vendas[[#This Row],[Código]],TB_Produtos[Código],TB_Produtos[Categoria])</f>
        <v>Vestuário</v>
      </c>
      <c r="F43" s="1">
        <v>4</v>
      </c>
      <c r="G43" s="7">
        <f>VLOOKUP(TB_Vendas[[#This Row],[Código]],Produtos!$B$6:$G$66,6,0)</f>
        <v>46.9</v>
      </c>
      <c r="H43" s="1">
        <f>_xlfn.XMATCH(TB_Vendas[[#This Row],[Categoria]],Desc_Categorias,0)</f>
        <v>3</v>
      </c>
      <c r="I43" s="43">
        <f>VLOOKUP(TB_Vendas[[#This Row],[Qtd]],Desc_TabelaToda,TB_Vendas[[#This Row],[Indice]],TRUE)</f>
        <v>0.2</v>
      </c>
      <c r="J43" s="43" cm="1">
        <f t="array" ref="J43">INDEX(Desc_TabelaToda,MATCH(TB_Vendas[[#This Row],[Qtd]],Desc_Quantidades,1),MATCH(_xlfn.XLOOKUP(TB_Vendas[[#This Row],[Código]],TB_Produtos[[#All],[Código]],TB_Produtos[[#All],[Categoria]]),Desc_Categorias,0))</f>
        <v>0.2</v>
      </c>
      <c r="K43" s="43">
        <f>_xlfn.XLOOKUP(TB_Vendas[[#This Row],[Vendedor]],Vendedores!$A$5:$A$9,Vendedores!$D$5:$D$9)</f>
        <v>0.2</v>
      </c>
      <c r="L43" s="43">
        <f>IF(TB_Vendas[[#This Row],[Desconto 
(Diretão)]]&lt;=TB_Vendas[[#This Row],[Desconto 
(Vendedor)]],TB_Vendas[[#This Row],[Desconto 
(Diretão)]],TB_Vendas[[#This Row],[Desconto 
(Vendedor)]])</f>
        <v>0.2</v>
      </c>
      <c r="M43" s="2">
        <f>TB_Vendas[[#This Row],[Preço Unitário]]*TB_Vendas[[#This Row],[Qtd]]</f>
        <v>187.6</v>
      </c>
      <c r="N43" s="1" t="s">
        <v>114</v>
      </c>
    </row>
    <row r="44" spans="1:14" x14ac:dyDescent="0.3">
      <c r="A44" s="4">
        <f>MONTH(TB_Vendas[[#This Row],[Data]])</f>
        <v>5</v>
      </c>
      <c r="B44" s="4" t="str">
        <f>PROPER(TEXT(DATE(,TB_Vendas[[#This Row],[Nº]],1),"Mmm"))</f>
        <v>Mai</v>
      </c>
      <c r="C44" s="3">
        <v>45054</v>
      </c>
      <c r="D44" s="4" t="s">
        <v>87</v>
      </c>
      <c r="E44" s="4" t="str">
        <f>_xlfn.XLOOKUP(TB_Vendas[[#This Row],[Código]],TB_Produtos[Código],TB_Produtos[Categoria])</f>
        <v>Vestuário</v>
      </c>
      <c r="F44" s="1">
        <v>2</v>
      </c>
      <c r="G44" s="7">
        <f>VLOOKUP(TB_Vendas[[#This Row],[Código]],Produtos!$B$6:$G$66,6,0)</f>
        <v>72.5</v>
      </c>
      <c r="H44" s="1">
        <f>_xlfn.XMATCH(TB_Vendas[[#This Row],[Categoria]],Desc_Categorias,0)</f>
        <v>3</v>
      </c>
      <c r="I44" s="43">
        <f>VLOOKUP(TB_Vendas[[#This Row],[Qtd]],Desc_TabelaToda,TB_Vendas[[#This Row],[Indice]],TRUE)</f>
        <v>0.15</v>
      </c>
      <c r="J44" s="43" cm="1">
        <f t="array" ref="J44">INDEX(Desc_TabelaToda,MATCH(TB_Vendas[[#This Row],[Qtd]],Desc_Quantidades,1),MATCH(_xlfn.XLOOKUP(TB_Vendas[[#This Row],[Código]],TB_Produtos[[#All],[Código]],TB_Produtos[[#All],[Categoria]]),Desc_Categorias,0))</f>
        <v>0.15</v>
      </c>
      <c r="K44" s="43">
        <f>_xlfn.XLOOKUP(TB_Vendas[[#This Row],[Vendedor]],Vendedores!$A$5:$A$9,Vendedores!$D$5:$D$9)</f>
        <v>0.15</v>
      </c>
      <c r="L44" s="43">
        <f>IF(TB_Vendas[[#This Row],[Desconto 
(Diretão)]]&lt;=TB_Vendas[[#This Row],[Desconto 
(Vendedor)]],TB_Vendas[[#This Row],[Desconto 
(Diretão)]],TB_Vendas[[#This Row],[Desconto 
(Vendedor)]])</f>
        <v>0.15</v>
      </c>
      <c r="M44" s="2">
        <f>TB_Vendas[[#This Row],[Preço Unitário]]*TB_Vendas[[#This Row],[Qtd]]</f>
        <v>145</v>
      </c>
      <c r="N44" s="1" t="s">
        <v>118</v>
      </c>
    </row>
    <row r="45" spans="1:14" x14ac:dyDescent="0.3">
      <c r="A45" s="4">
        <f>MONTH(TB_Vendas[[#This Row],[Data]])</f>
        <v>5</v>
      </c>
      <c r="B45" s="4" t="str">
        <f>PROPER(TEXT(DATE(,TB_Vendas[[#This Row],[Nº]],1),"Mmm"))</f>
        <v>Mai</v>
      </c>
      <c r="C45" s="3">
        <v>45055</v>
      </c>
      <c r="D45" s="4" t="s">
        <v>68</v>
      </c>
      <c r="E45" s="4" t="str">
        <f>_xlfn.XLOOKUP(TB_Vendas[[#This Row],[Código]],TB_Produtos[Código],TB_Produtos[Categoria])</f>
        <v>Vestuário</v>
      </c>
      <c r="F45" s="1">
        <v>3</v>
      </c>
      <c r="G45" s="7">
        <f>VLOOKUP(TB_Vendas[[#This Row],[Código]],Produtos!$B$6:$G$66,6,0)</f>
        <v>140</v>
      </c>
      <c r="H45" s="1">
        <f>_xlfn.XMATCH(TB_Vendas[[#This Row],[Categoria]],Desc_Categorias,0)</f>
        <v>3</v>
      </c>
      <c r="I45" s="43">
        <f>VLOOKUP(TB_Vendas[[#This Row],[Qtd]],Desc_TabelaToda,TB_Vendas[[#This Row],[Indice]],TRUE)</f>
        <v>0.2</v>
      </c>
      <c r="J45" s="43" cm="1">
        <f t="array" ref="J45">INDEX(Desc_TabelaToda,MATCH(TB_Vendas[[#This Row],[Qtd]],Desc_Quantidades,1),MATCH(_xlfn.XLOOKUP(TB_Vendas[[#This Row],[Código]],TB_Produtos[[#All],[Código]],TB_Produtos[[#All],[Categoria]]),Desc_Categorias,0))</f>
        <v>0.2</v>
      </c>
      <c r="K45" s="43">
        <f>_xlfn.XLOOKUP(TB_Vendas[[#This Row],[Vendedor]],Vendedores!$A$5:$A$9,Vendedores!$D$5:$D$9)</f>
        <v>0.2</v>
      </c>
      <c r="L45" s="43">
        <f>IF(TB_Vendas[[#This Row],[Desconto 
(Diretão)]]&lt;=TB_Vendas[[#This Row],[Desconto 
(Vendedor)]],TB_Vendas[[#This Row],[Desconto 
(Diretão)]],TB_Vendas[[#This Row],[Desconto 
(Vendedor)]])</f>
        <v>0.2</v>
      </c>
      <c r="M45" s="2">
        <f>TB_Vendas[[#This Row],[Preço Unitário]]*TB_Vendas[[#This Row],[Qtd]]</f>
        <v>420</v>
      </c>
      <c r="N45" s="1" t="s">
        <v>117</v>
      </c>
    </row>
    <row r="46" spans="1:14" x14ac:dyDescent="0.3">
      <c r="A46" s="4">
        <f>MONTH(TB_Vendas[[#This Row],[Data]])</f>
        <v>5</v>
      </c>
      <c r="B46" s="4" t="str">
        <f>PROPER(TEXT(DATE(,TB_Vendas[[#This Row],[Nº]],1),"Mmm"))</f>
        <v>Mai</v>
      </c>
      <c r="C46" s="3">
        <v>45056</v>
      </c>
      <c r="D46" s="4" t="s">
        <v>66</v>
      </c>
      <c r="E46" s="4" t="str">
        <f>_xlfn.XLOOKUP(TB_Vendas[[#This Row],[Código]],TB_Produtos[Código],TB_Produtos[Categoria])</f>
        <v>Vestuário</v>
      </c>
      <c r="F46" s="1">
        <v>1</v>
      </c>
      <c r="G46" s="7">
        <f>VLOOKUP(TB_Vendas[[#This Row],[Código]],Produtos!$B$6:$G$66,6,0)</f>
        <v>91.4</v>
      </c>
      <c r="H46" s="1">
        <f>_xlfn.XMATCH(TB_Vendas[[#This Row],[Categoria]],Desc_Categorias,0)</f>
        <v>3</v>
      </c>
      <c r="I46" s="43">
        <f>VLOOKUP(TB_Vendas[[#This Row],[Qtd]],Desc_TabelaToda,TB_Vendas[[#This Row],[Indice]],TRUE)</f>
        <v>0.1</v>
      </c>
      <c r="J46" s="43" cm="1">
        <f t="array" ref="J46">INDEX(Desc_TabelaToda,MATCH(TB_Vendas[[#This Row],[Qtd]],Desc_Quantidades,1),MATCH(_xlfn.XLOOKUP(TB_Vendas[[#This Row],[Código]],TB_Produtos[[#All],[Código]],TB_Produtos[[#All],[Categoria]]),Desc_Categorias,0))</f>
        <v>0.1</v>
      </c>
      <c r="K46" s="43">
        <f>_xlfn.XLOOKUP(TB_Vendas[[#This Row],[Vendedor]],Vendedores!$A$5:$A$9,Vendedores!$D$5:$D$9)</f>
        <v>0.15</v>
      </c>
      <c r="L46" s="43">
        <f>IF(TB_Vendas[[#This Row],[Desconto 
(Diretão)]]&lt;=TB_Vendas[[#This Row],[Desconto 
(Vendedor)]],TB_Vendas[[#This Row],[Desconto 
(Diretão)]],TB_Vendas[[#This Row],[Desconto 
(Vendedor)]])</f>
        <v>0.1</v>
      </c>
      <c r="M46" s="2">
        <f>TB_Vendas[[#This Row],[Preço Unitário]]*TB_Vendas[[#This Row],[Qtd]]</f>
        <v>91.4</v>
      </c>
      <c r="N46" s="1" t="s">
        <v>115</v>
      </c>
    </row>
    <row r="47" spans="1:14" x14ac:dyDescent="0.3">
      <c r="A47" s="4">
        <f>MONTH(TB_Vendas[[#This Row],[Data]])</f>
        <v>5</v>
      </c>
      <c r="B47" s="4" t="str">
        <f>PROPER(TEXT(DATE(,TB_Vendas[[#This Row],[Nº]],1),"Mmm"))</f>
        <v>Mai</v>
      </c>
      <c r="C47" s="3">
        <v>45057</v>
      </c>
      <c r="D47" s="4" t="s">
        <v>57</v>
      </c>
      <c r="E47" s="4" t="str">
        <f>_xlfn.XLOOKUP(TB_Vendas[[#This Row],[Código]],TB_Produtos[Código],TB_Produtos[Categoria])</f>
        <v>Acessórios</v>
      </c>
      <c r="F47" s="1">
        <v>2</v>
      </c>
      <c r="G47" s="7">
        <f>VLOOKUP(TB_Vendas[[#This Row],[Código]],Produtos!$B$6:$G$66,6,0)</f>
        <v>349.9</v>
      </c>
      <c r="H47" s="1">
        <f>_xlfn.XMATCH(TB_Vendas[[#This Row],[Categoria]],Desc_Categorias,0)</f>
        <v>2</v>
      </c>
      <c r="I47" s="43">
        <f>VLOOKUP(TB_Vendas[[#This Row],[Qtd]],Desc_TabelaToda,TB_Vendas[[#This Row],[Indice]],TRUE)</f>
        <v>0.05</v>
      </c>
      <c r="J47" s="43" cm="1">
        <f t="array" ref="J47">INDEX(Desc_TabelaToda,MATCH(TB_Vendas[[#This Row],[Qtd]],Desc_Quantidades,1),MATCH(_xlfn.XLOOKUP(TB_Vendas[[#This Row],[Código]],TB_Produtos[[#All],[Código]],TB_Produtos[[#All],[Categoria]]),Desc_Categorias,0))</f>
        <v>0.05</v>
      </c>
      <c r="K47" s="43">
        <f>_xlfn.XLOOKUP(TB_Vendas[[#This Row],[Vendedor]],Vendedores!$A$5:$A$9,Vendedores!$D$5:$D$9)</f>
        <v>0.2</v>
      </c>
      <c r="L47" s="43">
        <f>IF(TB_Vendas[[#This Row],[Desconto 
(Diretão)]]&lt;=TB_Vendas[[#This Row],[Desconto 
(Vendedor)]],TB_Vendas[[#This Row],[Desconto 
(Diretão)]],TB_Vendas[[#This Row],[Desconto 
(Vendedor)]])</f>
        <v>0.05</v>
      </c>
      <c r="M47" s="2">
        <f>TB_Vendas[[#This Row],[Preço Unitário]]*TB_Vendas[[#This Row],[Qtd]]</f>
        <v>699.8</v>
      </c>
      <c r="N47" s="1" t="s">
        <v>117</v>
      </c>
    </row>
    <row r="48" spans="1:14" x14ac:dyDescent="0.3">
      <c r="A48" s="4">
        <f>MONTH(TB_Vendas[[#This Row],[Data]])</f>
        <v>5</v>
      </c>
      <c r="B48" s="4" t="str">
        <f>PROPER(TEXT(DATE(,TB_Vendas[[#This Row],[Nº]],1),"Mmm"))</f>
        <v>Mai</v>
      </c>
      <c r="C48" s="3">
        <v>45058</v>
      </c>
      <c r="D48" s="4" t="s">
        <v>32</v>
      </c>
      <c r="E48" s="4" t="str">
        <f>_xlfn.XLOOKUP(TB_Vendas[[#This Row],[Código]],TB_Produtos[Código],TB_Produtos[Categoria])</f>
        <v>Vestuário</v>
      </c>
      <c r="F48" s="1">
        <v>3</v>
      </c>
      <c r="G48" s="7">
        <f>VLOOKUP(TB_Vendas[[#This Row],[Código]],Produtos!$B$6:$G$66,6,0)</f>
        <v>65.900000000000006</v>
      </c>
      <c r="H48" s="1">
        <f>_xlfn.XMATCH(TB_Vendas[[#This Row],[Categoria]],Desc_Categorias,0)</f>
        <v>3</v>
      </c>
      <c r="I48" s="43">
        <f>VLOOKUP(TB_Vendas[[#This Row],[Qtd]],Desc_TabelaToda,TB_Vendas[[#This Row],[Indice]],TRUE)</f>
        <v>0.2</v>
      </c>
      <c r="J48" s="43" cm="1">
        <f t="array" ref="J48">INDEX(Desc_TabelaToda,MATCH(TB_Vendas[[#This Row],[Qtd]],Desc_Quantidades,1),MATCH(_xlfn.XLOOKUP(TB_Vendas[[#This Row],[Código]],TB_Produtos[[#All],[Código]],TB_Produtos[[#All],[Categoria]]),Desc_Categorias,0))</f>
        <v>0.2</v>
      </c>
      <c r="K48" s="43">
        <f>_xlfn.XLOOKUP(TB_Vendas[[#This Row],[Vendedor]],Vendedores!$A$5:$A$9,Vendedores!$D$5:$D$9)</f>
        <v>0.15</v>
      </c>
      <c r="L48" s="43">
        <f>IF(TB_Vendas[[#This Row],[Desconto 
(Diretão)]]&lt;=TB_Vendas[[#This Row],[Desconto 
(Vendedor)]],TB_Vendas[[#This Row],[Desconto 
(Diretão)]],TB_Vendas[[#This Row],[Desconto 
(Vendedor)]])</f>
        <v>0.15</v>
      </c>
      <c r="M48" s="2">
        <f>TB_Vendas[[#This Row],[Preço Unitário]]*TB_Vendas[[#This Row],[Qtd]]</f>
        <v>197.70000000000002</v>
      </c>
      <c r="N48" s="1" t="s">
        <v>115</v>
      </c>
    </row>
    <row r="49" spans="1:14" x14ac:dyDescent="0.3">
      <c r="A49" s="4">
        <f>MONTH(TB_Vendas[[#This Row],[Data]])</f>
        <v>5</v>
      </c>
      <c r="B49" s="4" t="str">
        <f>PROPER(TEXT(DATE(,TB_Vendas[[#This Row],[Nº]],1),"Mmm"))</f>
        <v>Mai</v>
      </c>
      <c r="C49" s="3">
        <v>45061</v>
      </c>
      <c r="D49" s="4" t="s">
        <v>66</v>
      </c>
      <c r="E49" s="4" t="str">
        <f>_xlfn.XLOOKUP(TB_Vendas[[#This Row],[Código]],TB_Produtos[Código],TB_Produtos[Categoria])</f>
        <v>Vestuário</v>
      </c>
      <c r="F49" s="1">
        <v>2</v>
      </c>
      <c r="G49" s="7">
        <f>VLOOKUP(TB_Vendas[[#This Row],[Código]],Produtos!$B$6:$G$66,6,0)</f>
        <v>91.4</v>
      </c>
      <c r="H49" s="1">
        <f>_xlfn.XMATCH(TB_Vendas[[#This Row],[Categoria]],Desc_Categorias,0)</f>
        <v>3</v>
      </c>
      <c r="I49" s="43">
        <f>VLOOKUP(TB_Vendas[[#This Row],[Qtd]],Desc_TabelaToda,TB_Vendas[[#This Row],[Indice]],TRUE)</f>
        <v>0.15</v>
      </c>
      <c r="J49" s="43" cm="1">
        <f t="array" ref="J49">INDEX(Desc_TabelaToda,MATCH(TB_Vendas[[#This Row],[Qtd]],Desc_Quantidades,1),MATCH(_xlfn.XLOOKUP(TB_Vendas[[#This Row],[Código]],TB_Produtos[[#All],[Código]],TB_Produtos[[#All],[Categoria]]),Desc_Categorias,0))</f>
        <v>0.15</v>
      </c>
      <c r="K49" s="43">
        <f>_xlfn.XLOOKUP(TB_Vendas[[#This Row],[Vendedor]],Vendedores!$A$5:$A$9,Vendedores!$D$5:$D$9)</f>
        <v>0.2</v>
      </c>
      <c r="L49" s="43">
        <f>IF(TB_Vendas[[#This Row],[Desconto 
(Diretão)]]&lt;=TB_Vendas[[#This Row],[Desconto 
(Vendedor)]],TB_Vendas[[#This Row],[Desconto 
(Diretão)]],TB_Vendas[[#This Row],[Desconto 
(Vendedor)]])</f>
        <v>0.15</v>
      </c>
      <c r="M49" s="2">
        <f>TB_Vendas[[#This Row],[Preço Unitário]]*TB_Vendas[[#This Row],[Qtd]]</f>
        <v>182.8</v>
      </c>
      <c r="N49" s="1" t="s">
        <v>114</v>
      </c>
    </row>
    <row r="50" spans="1:14" x14ac:dyDescent="0.3">
      <c r="A50" s="4">
        <f>MONTH(TB_Vendas[[#This Row],[Data]])</f>
        <v>5</v>
      </c>
      <c r="B50" s="4" t="str">
        <f>PROPER(TEXT(DATE(,TB_Vendas[[#This Row],[Nº]],1),"Mmm"))</f>
        <v>Mai</v>
      </c>
      <c r="C50" s="3">
        <v>45064</v>
      </c>
      <c r="D50" s="4" t="s">
        <v>36</v>
      </c>
      <c r="E50" s="4" t="str">
        <f>_xlfn.XLOOKUP(TB_Vendas[[#This Row],[Código]],TB_Produtos[Código],TB_Produtos[Categoria])</f>
        <v>Acessórios</v>
      </c>
      <c r="F50" s="1">
        <v>4</v>
      </c>
      <c r="G50" s="7">
        <f>VLOOKUP(TB_Vendas[[#This Row],[Código]],Produtos!$B$6:$G$66,6,0)</f>
        <v>259.89999999999998</v>
      </c>
      <c r="H50" s="1">
        <f>_xlfn.XMATCH(TB_Vendas[[#This Row],[Categoria]],Desc_Categorias,0)</f>
        <v>2</v>
      </c>
      <c r="I50" s="43">
        <f>VLOOKUP(TB_Vendas[[#This Row],[Qtd]],Desc_TabelaToda,TB_Vendas[[#This Row],[Indice]],TRUE)</f>
        <v>0.15</v>
      </c>
      <c r="J50" s="43" cm="1">
        <f t="array" ref="J50">INDEX(Desc_TabelaToda,MATCH(TB_Vendas[[#This Row],[Qtd]],Desc_Quantidades,1),MATCH(_xlfn.XLOOKUP(TB_Vendas[[#This Row],[Código]],TB_Produtos[[#All],[Código]],TB_Produtos[[#All],[Categoria]]),Desc_Categorias,0))</f>
        <v>0.15</v>
      </c>
      <c r="K50" s="43">
        <f>_xlfn.XLOOKUP(TB_Vendas[[#This Row],[Vendedor]],Vendedores!$A$5:$A$9,Vendedores!$D$5:$D$9)</f>
        <v>0.15</v>
      </c>
      <c r="L50" s="43">
        <f>IF(TB_Vendas[[#This Row],[Desconto 
(Diretão)]]&lt;=TB_Vendas[[#This Row],[Desconto 
(Vendedor)]],TB_Vendas[[#This Row],[Desconto 
(Diretão)]],TB_Vendas[[#This Row],[Desconto 
(Vendedor)]])</f>
        <v>0.15</v>
      </c>
      <c r="M50" s="2">
        <f>TB_Vendas[[#This Row],[Preço Unitário]]*TB_Vendas[[#This Row],[Qtd]]</f>
        <v>1039.5999999999999</v>
      </c>
      <c r="N50" s="1" t="s">
        <v>115</v>
      </c>
    </row>
    <row r="51" spans="1:14" x14ac:dyDescent="0.3">
      <c r="A51" s="4">
        <f>MONTH(TB_Vendas[[#This Row],[Data]])</f>
        <v>6</v>
      </c>
      <c r="B51" s="4" t="str">
        <f>PROPER(TEXT(DATE(,TB_Vendas[[#This Row],[Nº]],1),"Mmm"))</f>
        <v>Jun</v>
      </c>
      <c r="C51" s="3">
        <v>45084</v>
      </c>
      <c r="D51" s="4" t="s">
        <v>35</v>
      </c>
      <c r="E51" s="4" t="str">
        <f>_xlfn.XLOOKUP(TB_Vendas[[#This Row],[Código]],TB_Produtos[Código],TB_Produtos[Categoria])</f>
        <v>Acessórios</v>
      </c>
      <c r="F51" s="1">
        <v>3</v>
      </c>
      <c r="G51" s="7">
        <f>VLOOKUP(TB_Vendas[[#This Row],[Código]],Produtos!$B$6:$G$66,6,0)</f>
        <v>145</v>
      </c>
      <c r="H51" s="1">
        <f>_xlfn.XMATCH(TB_Vendas[[#This Row],[Categoria]],Desc_Categorias,0)</f>
        <v>2</v>
      </c>
      <c r="I51" s="43">
        <f>VLOOKUP(TB_Vendas[[#This Row],[Qtd]],Desc_TabelaToda,TB_Vendas[[#This Row],[Indice]],TRUE)</f>
        <v>0.15</v>
      </c>
      <c r="J51" s="43" cm="1">
        <f t="array" ref="J51">INDEX(Desc_TabelaToda,MATCH(TB_Vendas[[#This Row],[Qtd]],Desc_Quantidades,1),MATCH(_xlfn.XLOOKUP(TB_Vendas[[#This Row],[Código]],TB_Produtos[[#All],[Código]],TB_Produtos[[#All],[Categoria]]),Desc_Categorias,0))</f>
        <v>0.15</v>
      </c>
      <c r="K51" s="43">
        <f>_xlfn.XLOOKUP(TB_Vendas[[#This Row],[Vendedor]],Vendedores!$A$5:$A$9,Vendedores!$D$5:$D$9)</f>
        <v>0.2</v>
      </c>
      <c r="L51" s="43">
        <f>IF(TB_Vendas[[#This Row],[Desconto 
(Diretão)]]&lt;=TB_Vendas[[#This Row],[Desconto 
(Vendedor)]],TB_Vendas[[#This Row],[Desconto 
(Diretão)]],TB_Vendas[[#This Row],[Desconto 
(Vendedor)]])</f>
        <v>0.15</v>
      </c>
      <c r="M51" s="2">
        <f>TB_Vendas[[#This Row],[Preço Unitário]]*TB_Vendas[[#This Row],[Qtd]]</f>
        <v>435</v>
      </c>
      <c r="N51" s="1" t="s">
        <v>114</v>
      </c>
    </row>
    <row r="52" spans="1:14" x14ac:dyDescent="0.3">
      <c r="A52" s="4">
        <f>MONTH(TB_Vendas[[#This Row],[Data]])</f>
        <v>6</v>
      </c>
      <c r="B52" s="4" t="str">
        <f>PROPER(TEXT(DATE(,TB_Vendas[[#This Row],[Nº]],1),"Mmm"))</f>
        <v>Jun</v>
      </c>
      <c r="C52" s="3">
        <v>45084</v>
      </c>
      <c r="D52" s="4" t="s">
        <v>69</v>
      </c>
      <c r="E52" s="4" t="str">
        <f>_xlfn.XLOOKUP(TB_Vendas[[#This Row],[Código]],TB_Produtos[Código],TB_Produtos[Categoria])</f>
        <v>Vestuário</v>
      </c>
      <c r="F52" s="1">
        <v>2</v>
      </c>
      <c r="G52" s="7">
        <f>VLOOKUP(TB_Vendas[[#This Row],[Código]],Produtos!$B$6:$G$66,6,0)</f>
        <v>142.9</v>
      </c>
      <c r="H52" s="1">
        <f>_xlfn.XMATCH(TB_Vendas[[#This Row],[Categoria]],Desc_Categorias,0)</f>
        <v>3</v>
      </c>
      <c r="I52" s="43">
        <f>VLOOKUP(TB_Vendas[[#This Row],[Qtd]],Desc_TabelaToda,TB_Vendas[[#This Row],[Indice]],TRUE)</f>
        <v>0.15</v>
      </c>
      <c r="J52" s="43" cm="1">
        <f t="array" ref="J52">INDEX(Desc_TabelaToda,MATCH(TB_Vendas[[#This Row],[Qtd]],Desc_Quantidades,1),MATCH(_xlfn.XLOOKUP(TB_Vendas[[#This Row],[Código]],TB_Produtos[[#All],[Código]],TB_Produtos[[#All],[Categoria]]),Desc_Categorias,0))</f>
        <v>0.15</v>
      </c>
      <c r="K52" s="43">
        <f>_xlfn.XLOOKUP(TB_Vendas[[#This Row],[Vendedor]],Vendedores!$A$5:$A$9,Vendedores!$D$5:$D$9)</f>
        <v>0.1</v>
      </c>
      <c r="L52" s="43">
        <f>IF(TB_Vendas[[#This Row],[Desconto 
(Diretão)]]&lt;=TB_Vendas[[#This Row],[Desconto 
(Vendedor)]],TB_Vendas[[#This Row],[Desconto 
(Diretão)]],TB_Vendas[[#This Row],[Desconto 
(Vendedor)]])</f>
        <v>0.1</v>
      </c>
      <c r="M52" s="2">
        <f>TB_Vendas[[#This Row],[Preço Unitário]]*TB_Vendas[[#This Row],[Qtd]]</f>
        <v>285.8</v>
      </c>
      <c r="N52" s="1" t="s">
        <v>116</v>
      </c>
    </row>
    <row r="53" spans="1:14" x14ac:dyDescent="0.3">
      <c r="A53" s="4">
        <f>MONTH(TB_Vendas[[#This Row],[Data]])</f>
        <v>6</v>
      </c>
      <c r="B53" s="4" t="str">
        <f>PROPER(TEXT(DATE(,TB_Vendas[[#This Row],[Nº]],1),"Mmm"))</f>
        <v>Jun</v>
      </c>
      <c r="C53" s="3">
        <v>45086</v>
      </c>
      <c r="D53" s="4" t="s">
        <v>110</v>
      </c>
      <c r="E53" s="4" t="str">
        <f>_xlfn.XLOOKUP(TB_Vendas[[#This Row],[Código]],TB_Produtos[Código],TB_Produtos[Categoria])</f>
        <v>Vestuário</v>
      </c>
      <c r="F53" s="1">
        <v>2</v>
      </c>
      <c r="G53" s="7">
        <f>VLOOKUP(TB_Vendas[[#This Row],[Código]],Produtos!$B$6:$G$66,6,0)</f>
        <v>180</v>
      </c>
      <c r="H53" s="1">
        <f>_xlfn.XMATCH(TB_Vendas[[#This Row],[Categoria]],Desc_Categorias,0)</f>
        <v>3</v>
      </c>
      <c r="I53" s="43">
        <f>VLOOKUP(TB_Vendas[[#This Row],[Qtd]],Desc_TabelaToda,TB_Vendas[[#This Row],[Indice]],TRUE)</f>
        <v>0.15</v>
      </c>
      <c r="J53" s="43" cm="1">
        <f t="array" ref="J53">INDEX(Desc_TabelaToda,MATCH(TB_Vendas[[#This Row],[Qtd]],Desc_Quantidades,1),MATCH(_xlfn.XLOOKUP(TB_Vendas[[#This Row],[Código]],TB_Produtos[[#All],[Código]],TB_Produtos[[#All],[Categoria]]),Desc_Categorias,0))</f>
        <v>0.15</v>
      </c>
      <c r="K53" s="43">
        <f>_xlfn.XLOOKUP(TB_Vendas[[#This Row],[Vendedor]],Vendedores!$A$5:$A$9,Vendedores!$D$5:$D$9)</f>
        <v>0.2</v>
      </c>
      <c r="L53" s="43">
        <f>IF(TB_Vendas[[#This Row],[Desconto 
(Diretão)]]&lt;=TB_Vendas[[#This Row],[Desconto 
(Vendedor)]],TB_Vendas[[#This Row],[Desconto 
(Diretão)]],TB_Vendas[[#This Row],[Desconto 
(Vendedor)]])</f>
        <v>0.15</v>
      </c>
      <c r="M53" s="2">
        <f>TB_Vendas[[#This Row],[Preço Unitário]]*TB_Vendas[[#This Row],[Qtd]]</f>
        <v>360</v>
      </c>
      <c r="N53" s="1" t="s">
        <v>114</v>
      </c>
    </row>
    <row r="54" spans="1:14" x14ac:dyDescent="0.3">
      <c r="A54" s="4">
        <f>MONTH(TB_Vendas[[#This Row],[Data]])</f>
        <v>6</v>
      </c>
      <c r="B54" s="4" t="str">
        <f>PROPER(TEXT(DATE(,TB_Vendas[[#This Row],[Nº]],1),"Mmm"))</f>
        <v>Jun</v>
      </c>
      <c r="C54" s="3">
        <v>45086</v>
      </c>
      <c r="D54" s="4" t="s">
        <v>46</v>
      </c>
      <c r="E54" s="4" t="str">
        <f>_xlfn.XLOOKUP(TB_Vendas[[#This Row],[Código]],TB_Produtos[Código],TB_Produtos[Categoria])</f>
        <v>Vestuário</v>
      </c>
      <c r="F54" s="1">
        <v>2</v>
      </c>
      <c r="G54" s="7">
        <f>VLOOKUP(TB_Vendas[[#This Row],[Código]],Produtos!$B$6:$G$66,6,0)</f>
        <v>42.5</v>
      </c>
      <c r="H54" s="1">
        <f>_xlfn.XMATCH(TB_Vendas[[#This Row],[Categoria]],Desc_Categorias,0)</f>
        <v>3</v>
      </c>
      <c r="I54" s="43">
        <f>VLOOKUP(TB_Vendas[[#This Row],[Qtd]],Desc_TabelaToda,TB_Vendas[[#This Row],[Indice]],TRUE)</f>
        <v>0.15</v>
      </c>
      <c r="J54" s="43" cm="1">
        <f t="array" ref="J54">INDEX(Desc_TabelaToda,MATCH(TB_Vendas[[#This Row],[Qtd]],Desc_Quantidades,1),MATCH(_xlfn.XLOOKUP(TB_Vendas[[#This Row],[Código]],TB_Produtos[[#All],[Código]],TB_Produtos[[#All],[Categoria]]),Desc_Categorias,0))</f>
        <v>0.15</v>
      </c>
      <c r="K54" s="43">
        <f>_xlfn.XLOOKUP(TB_Vendas[[#This Row],[Vendedor]],Vendedores!$A$5:$A$9,Vendedores!$D$5:$D$9)</f>
        <v>0.1</v>
      </c>
      <c r="L54" s="43">
        <f>IF(TB_Vendas[[#This Row],[Desconto 
(Diretão)]]&lt;=TB_Vendas[[#This Row],[Desconto 
(Vendedor)]],TB_Vendas[[#This Row],[Desconto 
(Diretão)]],TB_Vendas[[#This Row],[Desconto 
(Vendedor)]])</f>
        <v>0.1</v>
      </c>
      <c r="M54" s="2">
        <f>TB_Vendas[[#This Row],[Preço Unitário]]*TB_Vendas[[#This Row],[Qtd]]</f>
        <v>85</v>
      </c>
      <c r="N54" s="1" t="s">
        <v>116</v>
      </c>
    </row>
    <row r="55" spans="1:14" x14ac:dyDescent="0.3">
      <c r="A55" s="4">
        <f>MONTH(TB_Vendas[[#This Row],[Data]])</f>
        <v>6</v>
      </c>
      <c r="B55" s="4" t="str">
        <f>PROPER(TEXT(DATE(,TB_Vendas[[#This Row],[Nº]],1),"Mmm"))</f>
        <v>Jun</v>
      </c>
      <c r="C55" s="3">
        <v>45088</v>
      </c>
      <c r="D55" s="4" t="s">
        <v>32</v>
      </c>
      <c r="E55" s="4" t="str">
        <f>_xlfn.XLOOKUP(TB_Vendas[[#This Row],[Código]],TB_Produtos[Código],TB_Produtos[Categoria])</f>
        <v>Vestuário</v>
      </c>
      <c r="F55" s="1">
        <v>1</v>
      </c>
      <c r="G55" s="7">
        <f>VLOOKUP(TB_Vendas[[#This Row],[Código]],Produtos!$B$6:$G$66,6,0)</f>
        <v>65.900000000000006</v>
      </c>
      <c r="H55" s="1">
        <f>_xlfn.XMATCH(TB_Vendas[[#This Row],[Categoria]],Desc_Categorias,0)</f>
        <v>3</v>
      </c>
      <c r="I55" s="43">
        <f>VLOOKUP(TB_Vendas[[#This Row],[Qtd]],Desc_TabelaToda,TB_Vendas[[#This Row],[Indice]],TRUE)</f>
        <v>0.1</v>
      </c>
      <c r="J55" s="43" cm="1">
        <f t="array" ref="J55">INDEX(Desc_TabelaToda,MATCH(TB_Vendas[[#This Row],[Qtd]],Desc_Quantidades,1),MATCH(_xlfn.XLOOKUP(TB_Vendas[[#This Row],[Código]],TB_Produtos[[#All],[Código]],TB_Produtos[[#All],[Categoria]]),Desc_Categorias,0))</f>
        <v>0.1</v>
      </c>
      <c r="K55" s="43">
        <f>_xlfn.XLOOKUP(TB_Vendas[[#This Row],[Vendedor]],Vendedores!$A$5:$A$9,Vendedores!$D$5:$D$9)</f>
        <v>0.15</v>
      </c>
      <c r="L55" s="43">
        <f>IF(TB_Vendas[[#This Row],[Desconto 
(Diretão)]]&lt;=TB_Vendas[[#This Row],[Desconto 
(Vendedor)]],TB_Vendas[[#This Row],[Desconto 
(Diretão)]],TB_Vendas[[#This Row],[Desconto 
(Vendedor)]])</f>
        <v>0.1</v>
      </c>
      <c r="M55" s="2">
        <f>TB_Vendas[[#This Row],[Preço Unitário]]*TB_Vendas[[#This Row],[Qtd]]</f>
        <v>65.900000000000006</v>
      </c>
      <c r="N55" s="1" t="s">
        <v>115</v>
      </c>
    </row>
    <row r="56" spans="1:14" x14ac:dyDescent="0.3">
      <c r="A56" s="4">
        <f>MONTH(TB_Vendas[[#This Row],[Data]])</f>
        <v>6</v>
      </c>
      <c r="B56" s="4" t="str">
        <f>PROPER(TEXT(DATE(,TB_Vendas[[#This Row],[Nº]],1),"Mmm"))</f>
        <v>Jun</v>
      </c>
      <c r="C56" s="3">
        <v>45090</v>
      </c>
      <c r="D56" s="4" t="s">
        <v>107</v>
      </c>
      <c r="E56" s="4" t="str">
        <f>_xlfn.XLOOKUP(TB_Vendas[[#This Row],[Código]],TB_Produtos[Código],TB_Produtos[Categoria])</f>
        <v>Vestuário</v>
      </c>
      <c r="F56" s="1">
        <v>1</v>
      </c>
      <c r="G56" s="7">
        <f>VLOOKUP(TB_Vendas[[#This Row],[Código]],Produtos!$B$6:$G$66,6,0)</f>
        <v>180</v>
      </c>
      <c r="H56" s="1">
        <f>_xlfn.XMATCH(TB_Vendas[[#This Row],[Categoria]],Desc_Categorias,0)</f>
        <v>3</v>
      </c>
      <c r="I56" s="43">
        <f>VLOOKUP(TB_Vendas[[#This Row],[Qtd]],Desc_TabelaToda,TB_Vendas[[#This Row],[Indice]],TRUE)</f>
        <v>0.1</v>
      </c>
      <c r="J56" s="43" cm="1">
        <f t="array" ref="J56">INDEX(Desc_TabelaToda,MATCH(TB_Vendas[[#This Row],[Qtd]],Desc_Quantidades,1),MATCH(_xlfn.XLOOKUP(TB_Vendas[[#This Row],[Código]],TB_Produtos[[#All],[Código]],TB_Produtos[[#All],[Categoria]]),Desc_Categorias,0))</f>
        <v>0.1</v>
      </c>
      <c r="K56" s="43">
        <f>_xlfn.XLOOKUP(TB_Vendas[[#This Row],[Vendedor]],Vendedores!$A$5:$A$9,Vendedores!$D$5:$D$9)</f>
        <v>0.1</v>
      </c>
      <c r="L56" s="43">
        <f>IF(TB_Vendas[[#This Row],[Desconto 
(Diretão)]]&lt;=TB_Vendas[[#This Row],[Desconto 
(Vendedor)]],TB_Vendas[[#This Row],[Desconto 
(Diretão)]],TB_Vendas[[#This Row],[Desconto 
(Vendedor)]])</f>
        <v>0.1</v>
      </c>
      <c r="M56" s="2">
        <f>TB_Vendas[[#This Row],[Preço Unitário]]*TB_Vendas[[#This Row],[Qtd]]</f>
        <v>180</v>
      </c>
      <c r="N56" s="1" t="s">
        <v>116</v>
      </c>
    </row>
    <row r="57" spans="1:14" x14ac:dyDescent="0.3">
      <c r="A57" s="4">
        <f>MONTH(TB_Vendas[[#This Row],[Data]])</f>
        <v>6</v>
      </c>
      <c r="B57" s="4" t="str">
        <f>PROPER(TEXT(DATE(,TB_Vendas[[#This Row],[Nº]],1),"Mmm"))</f>
        <v>Jun</v>
      </c>
      <c r="C57" s="3">
        <v>45093</v>
      </c>
      <c r="D57" s="4" t="s">
        <v>97</v>
      </c>
      <c r="E57" s="4" t="str">
        <f>_xlfn.XLOOKUP(TB_Vendas[[#This Row],[Código]],TB_Produtos[Código],TB_Produtos[Categoria])</f>
        <v>Vestuário</v>
      </c>
      <c r="F57" s="1">
        <v>3</v>
      </c>
      <c r="G57" s="7">
        <f>VLOOKUP(TB_Vendas[[#This Row],[Código]],Produtos!$B$6:$G$66,6,0)</f>
        <v>32.9</v>
      </c>
      <c r="H57" s="1">
        <f>_xlfn.XMATCH(TB_Vendas[[#This Row],[Categoria]],Desc_Categorias,0)</f>
        <v>3</v>
      </c>
      <c r="I57" s="43">
        <f>VLOOKUP(TB_Vendas[[#This Row],[Qtd]],Desc_TabelaToda,TB_Vendas[[#This Row],[Indice]],TRUE)</f>
        <v>0.2</v>
      </c>
      <c r="J57" s="43" cm="1">
        <f t="array" ref="J57">INDEX(Desc_TabelaToda,MATCH(TB_Vendas[[#This Row],[Qtd]],Desc_Quantidades,1),MATCH(_xlfn.XLOOKUP(TB_Vendas[[#This Row],[Código]],TB_Produtos[[#All],[Código]],TB_Produtos[[#All],[Categoria]]),Desc_Categorias,0))</f>
        <v>0.2</v>
      </c>
      <c r="K57" s="43">
        <f>_xlfn.XLOOKUP(TB_Vendas[[#This Row],[Vendedor]],Vendedores!$A$5:$A$9,Vendedores!$D$5:$D$9)</f>
        <v>0.15</v>
      </c>
      <c r="L57" s="43">
        <f>IF(TB_Vendas[[#This Row],[Desconto 
(Diretão)]]&lt;=TB_Vendas[[#This Row],[Desconto 
(Vendedor)]],TB_Vendas[[#This Row],[Desconto 
(Diretão)]],TB_Vendas[[#This Row],[Desconto 
(Vendedor)]])</f>
        <v>0.15</v>
      </c>
      <c r="M57" s="2">
        <f>TB_Vendas[[#This Row],[Preço Unitário]]*TB_Vendas[[#This Row],[Qtd]]</f>
        <v>98.699999999999989</v>
      </c>
      <c r="N57" s="1" t="s">
        <v>115</v>
      </c>
    </row>
    <row r="58" spans="1:14" x14ac:dyDescent="0.3">
      <c r="A58" s="4">
        <f>MONTH(TB_Vendas[[#This Row],[Data]])</f>
        <v>6</v>
      </c>
      <c r="B58" s="4" t="str">
        <f>PROPER(TEXT(DATE(,TB_Vendas[[#This Row],[Nº]],1),"Mmm"))</f>
        <v>Jun</v>
      </c>
      <c r="C58" s="3">
        <v>45093</v>
      </c>
      <c r="D58" s="4" t="s">
        <v>40</v>
      </c>
      <c r="E58" s="4" t="str">
        <f>_xlfn.XLOOKUP(TB_Vendas[[#This Row],[Código]],TB_Produtos[Código],TB_Produtos[Categoria])</f>
        <v>Vestuário</v>
      </c>
      <c r="F58" s="1">
        <v>4</v>
      </c>
      <c r="G58" s="7">
        <f>VLOOKUP(TB_Vendas[[#This Row],[Código]],Produtos!$B$6:$G$66,6,0)</f>
        <v>92.9</v>
      </c>
      <c r="H58" s="1">
        <f>_xlfn.XMATCH(TB_Vendas[[#This Row],[Categoria]],Desc_Categorias,0)</f>
        <v>3</v>
      </c>
      <c r="I58" s="43">
        <f>VLOOKUP(TB_Vendas[[#This Row],[Qtd]],Desc_TabelaToda,TB_Vendas[[#This Row],[Indice]],TRUE)</f>
        <v>0.2</v>
      </c>
      <c r="J58" s="43" cm="1">
        <f t="array" ref="J58">INDEX(Desc_TabelaToda,MATCH(TB_Vendas[[#This Row],[Qtd]],Desc_Quantidades,1),MATCH(_xlfn.XLOOKUP(TB_Vendas[[#This Row],[Código]],TB_Produtos[[#All],[Código]],TB_Produtos[[#All],[Categoria]]),Desc_Categorias,0))</f>
        <v>0.2</v>
      </c>
      <c r="K58" s="43">
        <f>_xlfn.XLOOKUP(TB_Vendas[[#This Row],[Vendedor]],Vendedores!$A$5:$A$9,Vendedores!$D$5:$D$9)</f>
        <v>0.2</v>
      </c>
      <c r="L58" s="43">
        <f>IF(TB_Vendas[[#This Row],[Desconto 
(Diretão)]]&lt;=TB_Vendas[[#This Row],[Desconto 
(Vendedor)]],TB_Vendas[[#This Row],[Desconto 
(Diretão)]],TB_Vendas[[#This Row],[Desconto 
(Vendedor)]])</f>
        <v>0.2</v>
      </c>
      <c r="M58" s="2">
        <f>TB_Vendas[[#This Row],[Preço Unitário]]*TB_Vendas[[#This Row],[Qtd]]</f>
        <v>371.6</v>
      </c>
      <c r="N58" s="1" t="s">
        <v>114</v>
      </c>
    </row>
    <row r="59" spans="1:14" x14ac:dyDescent="0.3">
      <c r="A59" s="4">
        <f>MONTH(TB_Vendas[[#This Row],[Data]])</f>
        <v>6</v>
      </c>
      <c r="B59" s="4" t="str">
        <f>PROPER(TEXT(DATE(,TB_Vendas[[#This Row],[Nº]],1),"Mmm"))</f>
        <v>Jun</v>
      </c>
      <c r="C59" s="3">
        <v>45094</v>
      </c>
      <c r="D59" s="4" t="s">
        <v>64</v>
      </c>
      <c r="E59" s="4" t="str">
        <f>_xlfn.XLOOKUP(TB_Vendas[[#This Row],[Código]],TB_Produtos[Código],TB_Produtos[Categoria])</f>
        <v>Calçado</v>
      </c>
      <c r="F59" s="1">
        <v>2</v>
      </c>
      <c r="G59" s="7">
        <f>VLOOKUP(TB_Vendas[[#This Row],[Código]],Produtos!$B$6:$G$66,6,0)</f>
        <v>259.89999999999998</v>
      </c>
      <c r="H59" s="1">
        <f>_xlfn.XMATCH(TB_Vendas[[#This Row],[Categoria]],Desc_Categorias,0)</f>
        <v>4</v>
      </c>
      <c r="I59" s="43">
        <f>VLOOKUP(TB_Vendas[[#This Row],[Qtd]],Desc_TabelaToda,TB_Vendas[[#This Row],[Indice]],TRUE)</f>
        <v>0.1</v>
      </c>
      <c r="J59" s="43" cm="1">
        <f t="array" ref="J59">INDEX(Desc_TabelaToda,MATCH(TB_Vendas[[#This Row],[Qtd]],Desc_Quantidades,1),MATCH(_xlfn.XLOOKUP(TB_Vendas[[#This Row],[Código]],TB_Produtos[[#All],[Código]],TB_Produtos[[#All],[Categoria]]),Desc_Categorias,0))</f>
        <v>0.1</v>
      </c>
      <c r="K59" s="43">
        <f>_xlfn.XLOOKUP(TB_Vendas[[#This Row],[Vendedor]],Vendedores!$A$5:$A$9,Vendedores!$D$5:$D$9)</f>
        <v>0.1</v>
      </c>
      <c r="L59" s="43">
        <f>IF(TB_Vendas[[#This Row],[Desconto 
(Diretão)]]&lt;=TB_Vendas[[#This Row],[Desconto 
(Vendedor)]],TB_Vendas[[#This Row],[Desconto 
(Diretão)]],TB_Vendas[[#This Row],[Desconto 
(Vendedor)]])</f>
        <v>0.1</v>
      </c>
      <c r="M59" s="2">
        <f>TB_Vendas[[#This Row],[Preço Unitário]]*TB_Vendas[[#This Row],[Qtd]]</f>
        <v>519.79999999999995</v>
      </c>
      <c r="N59" s="1" t="s">
        <v>116</v>
      </c>
    </row>
    <row r="60" spans="1:14" x14ac:dyDescent="0.3">
      <c r="A60" s="4">
        <f>MONTH(TB_Vendas[[#This Row],[Data]])</f>
        <v>6</v>
      </c>
      <c r="B60" s="4" t="str">
        <f>PROPER(TEXT(DATE(,TB_Vendas[[#This Row],[Nº]],1),"Mmm"))</f>
        <v>Jun</v>
      </c>
      <c r="C60" s="3">
        <v>45097</v>
      </c>
      <c r="D60" s="4" t="s">
        <v>55</v>
      </c>
      <c r="E60" s="4" t="str">
        <f>_xlfn.XLOOKUP(TB_Vendas[[#This Row],[Código]],TB_Produtos[Código],TB_Produtos[Categoria])</f>
        <v>Vestuário</v>
      </c>
      <c r="F60" s="1">
        <v>1</v>
      </c>
      <c r="G60" s="7">
        <f>VLOOKUP(TB_Vendas[[#This Row],[Código]],Produtos!$B$6:$G$66,6,0)</f>
        <v>259.89999999999998</v>
      </c>
      <c r="H60" s="1">
        <f>_xlfn.XMATCH(TB_Vendas[[#This Row],[Categoria]],Desc_Categorias,0)</f>
        <v>3</v>
      </c>
      <c r="I60" s="43">
        <f>VLOOKUP(TB_Vendas[[#This Row],[Qtd]],Desc_TabelaToda,TB_Vendas[[#This Row],[Indice]],TRUE)</f>
        <v>0.1</v>
      </c>
      <c r="J60" s="43" cm="1">
        <f t="array" ref="J60">INDEX(Desc_TabelaToda,MATCH(TB_Vendas[[#This Row],[Qtd]],Desc_Quantidades,1),MATCH(_xlfn.XLOOKUP(TB_Vendas[[#This Row],[Código]],TB_Produtos[[#All],[Código]],TB_Produtos[[#All],[Categoria]]),Desc_Categorias,0))</f>
        <v>0.1</v>
      </c>
      <c r="K60" s="43">
        <f>_xlfn.XLOOKUP(TB_Vendas[[#This Row],[Vendedor]],Vendedores!$A$5:$A$9,Vendedores!$D$5:$D$9)</f>
        <v>0.15</v>
      </c>
      <c r="L60" s="43">
        <f>IF(TB_Vendas[[#This Row],[Desconto 
(Diretão)]]&lt;=TB_Vendas[[#This Row],[Desconto 
(Vendedor)]],TB_Vendas[[#This Row],[Desconto 
(Diretão)]],TB_Vendas[[#This Row],[Desconto 
(Vendedor)]])</f>
        <v>0.1</v>
      </c>
      <c r="M60" s="2">
        <f>TB_Vendas[[#This Row],[Preço Unitário]]*TB_Vendas[[#This Row],[Qtd]]</f>
        <v>259.89999999999998</v>
      </c>
      <c r="N60" s="1" t="s">
        <v>118</v>
      </c>
    </row>
    <row r="61" spans="1:14" x14ac:dyDescent="0.3">
      <c r="A61" s="4">
        <f>MONTH(TB_Vendas[[#This Row],[Data]])</f>
        <v>6</v>
      </c>
      <c r="B61" s="4" t="str">
        <f>PROPER(TEXT(DATE(,TB_Vendas[[#This Row],[Nº]],1),"Mmm"))</f>
        <v>Jun</v>
      </c>
      <c r="C61" s="3">
        <v>45105</v>
      </c>
      <c r="D61" s="4" t="s">
        <v>46</v>
      </c>
      <c r="E61" s="4" t="str">
        <f>_xlfn.XLOOKUP(TB_Vendas[[#This Row],[Código]],TB_Produtos[Código],TB_Produtos[Categoria])</f>
        <v>Vestuário</v>
      </c>
      <c r="F61" s="1">
        <v>5</v>
      </c>
      <c r="G61" s="7">
        <f>VLOOKUP(TB_Vendas[[#This Row],[Código]],Produtos!$B$6:$G$66,6,0)</f>
        <v>42.5</v>
      </c>
      <c r="H61" s="1">
        <f>_xlfn.XMATCH(TB_Vendas[[#This Row],[Categoria]],Desc_Categorias,0)</f>
        <v>3</v>
      </c>
      <c r="I61" s="43">
        <f>VLOOKUP(TB_Vendas[[#This Row],[Qtd]],Desc_TabelaToda,TB_Vendas[[#This Row],[Indice]],TRUE)</f>
        <v>0.25</v>
      </c>
      <c r="J61" s="43" cm="1">
        <f t="array" ref="J61">INDEX(Desc_TabelaToda,MATCH(TB_Vendas[[#This Row],[Qtd]],Desc_Quantidades,1),MATCH(_xlfn.XLOOKUP(TB_Vendas[[#This Row],[Código]],TB_Produtos[[#All],[Código]],TB_Produtos[[#All],[Categoria]]),Desc_Categorias,0))</f>
        <v>0.25</v>
      </c>
      <c r="K61" s="43">
        <f>_xlfn.XLOOKUP(TB_Vendas[[#This Row],[Vendedor]],Vendedores!$A$5:$A$9,Vendedores!$D$5:$D$9)</f>
        <v>0.15</v>
      </c>
      <c r="L61" s="43">
        <f>IF(TB_Vendas[[#This Row],[Desconto 
(Diretão)]]&lt;=TB_Vendas[[#This Row],[Desconto 
(Vendedor)]],TB_Vendas[[#This Row],[Desconto 
(Diretão)]],TB_Vendas[[#This Row],[Desconto 
(Vendedor)]])</f>
        <v>0.15</v>
      </c>
      <c r="M61" s="2">
        <f>TB_Vendas[[#This Row],[Preço Unitário]]*TB_Vendas[[#This Row],[Qtd]]</f>
        <v>212.5</v>
      </c>
      <c r="N61" s="1" t="s">
        <v>118</v>
      </c>
    </row>
    <row r="62" spans="1:14" x14ac:dyDescent="0.3">
      <c r="A62" s="4">
        <f>MONTH(TB_Vendas[[#This Row],[Data]])</f>
        <v>6</v>
      </c>
      <c r="B62" s="4" t="str">
        <f>PROPER(TEXT(DATE(,TB_Vendas[[#This Row],[Nº]],1),"Mmm"))</f>
        <v>Jun</v>
      </c>
      <c r="C62" s="3">
        <v>45105</v>
      </c>
      <c r="D62" s="4" t="s">
        <v>97</v>
      </c>
      <c r="E62" s="4" t="str">
        <f>_xlfn.XLOOKUP(TB_Vendas[[#This Row],[Código]],TB_Produtos[Código],TB_Produtos[Categoria])</f>
        <v>Vestuário</v>
      </c>
      <c r="F62" s="1">
        <v>2</v>
      </c>
      <c r="G62" s="7">
        <f>VLOOKUP(TB_Vendas[[#This Row],[Código]],Produtos!$B$6:$G$66,6,0)</f>
        <v>32.9</v>
      </c>
      <c r="H62" s="1">
        <f>_xlfn.XMATCH(TB_Vendas[[#This Row],[Categoria]],Desc_Categorias,0)</f>
        <v>3</v>
      </c>
      <c r="I62" s="43">
        <f>VLOOKUP(TB_Vendas[[#This Row],[Qtd]],Desc_TabelaToda,TB_Vendas[[#This Row],[Indice]],TRUE)</f>
        <v>0.15</v>
      </c>
      <c r="J62" s="43" cm="1">
        <f t="array" ref="J62">INDEX(Desc_TabelaToda,MATCH(TB_Vendas[[#This Row],[Qtd]],Desc_Quantidades,1),MATCH(_xlfn.XLOOKUP(TB_Vendas[[#This Row],[Código]],TB_Produtos[[#All],[Código]],TB_Produtos[[#All],[Categoria]]),Desc_Categorias,0))</f>
        <v>0.15</v>
      </c>
      <c r="K62" s="43">
        <f>_xlfn.XLOOKUP(TB_Vendas[[#This Row],[Vendedor]],Vendedores!$A$5:$A$9,Vendedores!$D$5:$D$9)</f>
        <v>0.15</v>
      </c>
      <c r="L62" s="43">
        <f>IF(TB_Vendas[[#This Row],[Desconto 
(Diretão)]]&lt;=TB_Vendas[[#This Row],[Desconto 
(Vendedor)]],TB_Vendas[[#This Row],[Desconto 
(Diretão)]],TB_Vendas[[#This Row],[Desconto 
(Vendedor)]])</f>
        <v>0.15</v>
      </c>
      <c r="M62" s="2">
        <f>TB_Vendas[[#This Row],[Preço Unitário]]*TB_Vendas[[#This Row],[Qtd]]</f>
        <v>65.8</v>
      </c>
      <c r="N62" s="1" t="s">
        <v>118</v>
      </c>
    </row>
    <row r="63" spans="1:14" x14ac:dyDescent="0.3">
      <c r="A63" s="4">
        <f>MONTH(TB_Vendas[[#This Row],[Data]])</f>
        <v>6</v>
      </c>
      <c r="B63" s="4" t="str">
        <f>PROPER(TEXT(DATE(,TB_Vendas[[#This Row],[Nº]],1),"Mmm"))</f>
        <v>Jun</v>
      </c>
      <c r="C63" s="3">
        <v>45106</v>
      </c>
      <c r="D63" s="4" t="s">
        <v>40</v>
      </c>
      <c r="E63" s="4" t="str">
        <f>_xlfn.XLOOKUP(TB_Vendas[[#This Row],[Código]],TB_Produtos[Código],TB_Produtos[Categoria])</f>
        <v>Vestuário</v>
      </c>
      <c r="F63" s="1">
        <v>3</v>
      </c>
      <c r="G63" s="7">
        <f>VLOOKUP(TB_Vendas[[#This Row],[Código]],Produtos!$B$6:$G$66,6,0)</f>
        <v>92.9</v>
      </c>
      <c r="H63" s="1">
        <f>_xlfn.XMATCH(TB_Vendas[[#This Row],[Categoria]],Desc_Categorias,0)</f>
        <v>3</v>
      </c>
      <c r="I63" s="43">
        <f>VLOOKUP(TB_Vendas[[#This Row],[Qtd]],Desc_TabelaToda,TB_Vendas[[#This Row],[Indice]],TRUE)</f>
        <v>0.2</v>
      </c>
      <c r="J63" s="43" cm="1">
        <f t="array" ref="J63">INDEX(Desc_TabelaToda,MATCH(TB_Vendas[[#This Row],[Qtd]],Desc_Quantidades,1),MATCH(_xlfn.XLOOKUP(TB_Vendas[[#This Row],[Código]],TB_Produtos[[#All],[Código]],TB_Produtos[[#All],[Categoria]]),Desc_Categorias,0))</f>
        <v>0.2</v>
      </c>
      <c r="K63" s="43">
        <f>_xlfn.XLOOKUP(TB_Vendas[[#This Row],[Vendedor]],Vendedores!$A$5:$A$9,Vendedores!$D$5:$D$9)</f>
        <v>0.2</v>
      </c>
      <c r="L63" s="43">
        <f>IF(TB_Vendas[[#This Row],[Desconto 
(Diretão)]]&lt;=TB_Vendas[[#This Row],[Desconto 
(Vendedor)]],TB_Vendas[[#This Row],[Desconto 
(Diretão)]],TB_Vendas[[#This Row],[Desconto 
(Vendedor)]])</f>
        <v>0.2</v>
      </c>
      <c r="M63" s="2">
        <f>TB_Vendas[[#This Row],[Preço Unitário]]*TB_Vendas[[#This Row],[Qtd]]</f>
        <v>278.70000000000005</v>
      </c>
      <c r="N63" s="1" t="s">
        <v>114</v>
      </c>
    </row>
    <row r="64" spans="1:14" x14ac:dyDescent="0.3">
      <c r="A64" s="1">
        <f>MONTH(TB_Vendas[[#This Row],[Data]])</f>
        <v>6</v>
      </c>
      <c r="B64" s="4" t="str">
        <f>PROPER(TEXT(DATE(,TB_Vendas[[#This Row],[Nº]],1),"Mmm"))</f>
        <v>Jun</v>
      </c>
      <c r="C64" s="3">
        <v>45107</v>
      </c>
      <c r="D64" s="4" t="s">
        <v>47</v>
      </c>
      <c r="E64" s="4" t="str">
        <f>_xlfn.XLOOKUP(TB_Vendas[[#This Row],[Código]],TB_Produtos[Código],TB_Produtos[Categoria])</f>
        <v>Vestuário</v>
      </c>
      <c r="F64" s="1">
        <v>10</v>
      </c>
      <c r="G64" s="7">
        <f>VLOOKUP(TB_Vendas[[#This Row],[Código]],Produtos!$B$6:$G$66,6,0)</f>
        <v>25.9</v>
      </c>
      <c r="H64" s="1">
        <f>_xlfn.XMATCH(TB_Vendas[[#This Row],[Categoria]],Desc_Categorias,0)</f>
        <v>3</v>
      </c>
      <c r="I64" s="43">
        <f>VLOOKUP(TB_Vendas[[#This Row],[Qtd]],Desc_TabelaToda,TB_Vendas[[#This Row],[Indice]],TRUE)</f>
        <v>0.3</v>
      </c>
      <c r="J64" s="43" cm="1">
        <f t="array" ref="J64">INDEX(Desc_TabelaToda,MATCH(TB_Vendas[[#This Row],[Qtd]],Desc_Quantidades,1),MATCH(_xlfn.XLOOKUP(TB_Vendas[[#This Row],[Código]],TB_Produtos[[#All],[Código]],TB_Produtos[[#All],[Categoria]]),Desc_Categorias,0))</f>
        <v>0.3</v>
      </c>
      <c r="K64" s="43">
        <f>_xlfn.XLOOKUP(TB_Vendas[[#This Row],[Vendedor]],Vendedores!$A$5:$A$9,Vendedores!$D$5:$D$9)</f>
        <v>0.2</v>
      </c>
      <c r="L64" s="43">
        <f>IF(TB_Vendas[[#This Row],[Desconto 
(Diretão)]]&lt;=TB_Vendas[[#This Row],[Desconto 
(Vendedor)]],TB_Vendas[[#This Row],[Desconto 
(Diretão)]],TB_Vendas[[#This Row],[Desconto 
(Vendedor)]])</f>
        <v>0.2</v>
      </c>
      <c r="M64" s="2">
        <f>TB_Vendas[[#This Row],[Preço Unitário]]*TB_Vendas[[#This Row],[Qtd]]</f>
        <v>259</v>
      </c>
      <c r="N64" s="1" t="s">
        <v>114</v>
      </c>
    </row>
    <row r="65" spans="1:14" x14ac:dyDescent="0.3">
      <c r="A65" s="1">
        <f>MONTH(TB_Vendas[[#This Row],[Data]])</f>
        <v>7</v>
      </c>
      <c r="B65" s="4" t="str">
        <f>PROPER(TEXT(DATE(,TB_Vendas[[#This Row],[Nº]],1),"Mmm"))</f>
        <v>Jul</v>
      </c>
      <c r="C65" s="3">
        <v>45112</v>
      </c>
      <c r="D65" s="4" t="s">
        <v>89</v>
      </c>
      <c r="E65" s="4" t="str">
        <f>_xlfn.XLOOKUP(TB_Vendas[[#This Row],[Código]],TB_Produtos[Código],TB_Produtos[Categoria])</f>
        <v>Vestuário</v>
      </c>
      <c r="F65" s="1">
        <v>1</v>
      </c>
      <c r="G65" s="7">
        <f>VLOOKUP(TB_Vendas[[#This Row],[Código]],Produtos!$B$6:$G$66,6,0)</f>
        <v>72.5</v>
      </c>
      <c r="H65" s="1">
        <f>_xlfn.XMATCH(TB_Vendas[[#This Row],[Categoria]],Desc_Categorias,0)</f>
        <v>3</v>
      </c>
      <c r="I65" s="43">
        <f>VLOOKUP(TB_Vendas[[#This Row],[Qtd]],Desc_TabelaToda,TB_Vendas[[#This Row],[Indice]],TRUE)</f>
        <v>0.1</v>
      </c>
      <c r="J65" s="43" cm="1">
        <f t="array" ref="J65">INDEX(Desc_TabelaToda,MATCH(TB_Vendas[[#This Row],[Qtd]],Desc_Quantidades,1),MATCH(_xlfn.XLOOKUP(TB_Vendas[[#This Row],[Código]],TB_Produtos[[#All],[Código]],TB_Produtos[[#All],[Categoria]]),Desc_Categorias,0))</f>
        <v>0.1</v>
      </c>
      <c r="K65" s="43">
        <f>_xlfn.XLOOKUP(TB_Vendas[[#This Row],[Vendedor]],Vendedores!$A$5:$A$9,Vendedores!$D$5:$D$9)</f>
        <v>0.15</v>
      </c>
      <c r="L65" s="43">
        <f>IF(TB_Vendas[[#This Row],[Desconto 
(Diretão)]]&lt;=TB_Vendas[[#This Row],[Desconto 
(Vendedor)]],TB_Vendas[[#This Row],[Desconto 
(Diretão)]],TB_Vendas[[#This Row],[Desconto 
(Vendedor)]])</f>
        <v>0.1</v>
      </c>
      <c r="M65" s="2">
        <f>TB_Vendas[[#This Row],[Preço Unitário]]*TB_Vendas[[#This Row],[Qtd]]</f>
        <v>72.5</v>
      </c>
      <c r="N65" s="1" t="s">
        <v>115</v>
      </c>
    </row>
    <row r="66" spans="1:14" x14ac:dyDescent="0.3">
      <c r="A66" s="1">
        <f>MONTH(TB_Vendas[[#This Row],[Data]])</f>
        <v>7</v>
      </c>
      <c r="B66" s="4" t="str">
        <f>PROPER(TEXT(DATE(,TB_Vendas[[#This Row],[Nº]],1),"Mmm"))</f>
        <v>Jul</v>
      </c>
      <c r="C66" s="3">
        <v>45113</v>
      </c>
      <c r="D66" s="4" t="s">
        <v>52</v>
      </c>
      <c r="E66" s="4" t="str">
        <f>_xlfn.XLOOKUP(TB_Vendas[[#This Row],[Código]],TB_Produtos[Código],TB_Produtos[Categoria])</f>
        <v>Vestuário</v>
      </c>
      <c r="F66" s="1">
        <v>4</v>
      </c>
      <c r="G66" s="7">
        <f>VLOOKUP(TB_Vendas[[#This Row],[Código]],Produtos!$B$6:$G$66,6,0)</f>
        <v>302.89999999999998</v>
      </c>
      <c r="H66" s="1">
        <f>_xlfn.XMATCH(TB_Vendas[[#This Row],[Categoria]],Desc_Categorias,0)</f>
        <v>3</v>
      </c>
      <c r="I66" s="43">
        <f>VLOOKUP(TB_Vendas[[#This Row],[Qtd]],Desc_TabelaToda,TB_Vendas[[#This Row],[Indice]],TRUE)</f>
        <v>0.2</v>
      </c>
      <c r="J66" s="43" cm="1">
        <f t="array" ref="J66">INDEX(Desc_TabelaToda,MATCH(TB_Vendas[[#This Row],[Qtd]],Desc_Quantidades,1),MATCH(_xlfn.XLOOKUP(TB_Vendas[[#This Row],[Código]],TB_Produtos[[#All],[Código]],TB_Produtos[[#All],[Categoria]]),Desc_Categorias,0))</f>
        <v>0.2</v>
      </c>
      <c r="K66" s="43">
        <f>_xlfn.XLOOKUP(TB_Vendas[[#This Row],[Vendedor]],Vendedores!$A$5:$A$9,Vendedores!$D$5:$D$9)</f>
        <v>0.15</v>
      </c>
      <c r="L66" s="43">
        <f>IF(TB_Vendas[[#This Row],[Desconto 
(Diretão)]]&lt;=TB_Vendas[[#This Row],[Desconto 
(Vendedor)]],TB_Vendas[[#This Row],[Desconto 
(Diretão)]],TB_Vendas[[#This Row],[Desconto 
(Vendedor)]])</f>
        <v>0.15</v>
      </c>
      <c r="M66" s="2">
        <f>TB_Vendas[[#This Row],[Preço Unitário]]*TB_Vendas[[#This Row],[Qtd]]</f>
        <v>1211.5999999999999</v>
      </c>
      <c r="N66" s="1" t="s">
        <v>118</v>
      </c>
    </row>
    <row r="67" spans="1:14" x14ac:dyDescent="0.3">
      <c r="A67" s="1">
        <f>MONTH(TB_Vendas[[#This Row],[Data]])</f>
        <v>7</v>
      </c>
      <c r="B67" s="4" t="str">
        <f>PROPER(TEXT(DATE(,TB_Vendas[[#This Row],[Nº]],1),"Mmm"))</f>
        <v>Jul</v>
      </c>
      <c r="C67" s="3">
        <v>45114</v>
      </c>
      <c r="D67" s="4" t="s">
        <v>94</v>
      </c>
      <c r="E67" s="4" t="str">
        <f>_xlfn.XLOOKUP(TB_Vendas[[#This Row],[Código]],TB_Produtos[Código],TB_Produtos[Categoria])</f>
        <v>Vestuário</v>
      </c>
      <c r="F67" s="1">
        <v>8</v>
      </c>
      <c r="G67" s="7">
        <f>VLOOKUP(TB_Vendas[[#This Row],[Código]],Produtos!$B$6:$G$66,6,0)</f>
        <v>289.89999999999998</v>
      </c>
      <c r="H67" s="1">
        <f>_xlfn.XMATCH(TB_Vendas[[#This Row],[Categoria]],Desc_Categorias,0)</f>
        <v>3</v>
      </c>
      <c r="I67" s="43">
        <f>VLOOKUP(TB_Vendas[[#This Row],[Qtd]],Desc_TabelaToda,TB_Vendas[[#This Row],[Indice]],TRUE)</f>
        <v>0.25</v>
      </c>
      <c r="J67" s="43" cm="1">
        <f t="array" ref="J67">INDEX(Desc_TabelaToda,MATCH(TB_Vendas[[#This Row],[Qtd]],Desc_Quantidades,1),MATCH(_xlfn.XLOOKUP(TB_Vendas[[#This Row],[Código]],TB_Produtos[[#All],[Código]],TB_Produtos[[#All],[Categoria]]),Desc_Categorias,0))</f>
        <v>0.25</v>
      </c>
      <c r="K67" s="43">
        <f>_xlfn.XLOOKUP(TB_Vendas[[#This Row],[Vendedor]],Vendedores!$A$5:$A$9,Vendedores!$D$5:$D$9)</f>
        <v>0.2</v>
      </c>
      <c r="L67" s="43">
        <f>IF(TB_Vendas[[#This Row],[Desconto 
(Diretão)]]&lt;=TB_Vendas[[#This Row],[Desconto 
(Vendedor)]],TB_Vendas[[#This Row],[Desconto 
(Diretão)]],TB_Vendas[[#This Row],[Desconto 
(Vendedor)]])</f>
        <v>0.2</v>
      </c>
      <c r="M67" s="2">
        <f>TB_Vendas[[#This Row],[Preço Unitário]]*TB_Vendas[[#This Row],[Qtd]]</f>
        <v>2319.1999999999998</v>
      </c>
      <c r="N67" s="1" t="s">
        <v>114</v>
      </c>
    </row>
    <row r="68" spans="1:14" x14ac:dyDescent="0.3">
      <c r="A68" s="1">
        <f>MONTH(TB_Vendas[[#This Row],[Data]])</f>
        <v>7</v>
      </c>
      <c r="B68" s="4" t="str">
        <f>PROPER(TEXT(DATE(,TB_Vendas[[#This Row],[Nº]],1),"Mmm"))</f>
        <v>Jul</v>
      </c>
      <c r="C68" s="3">
        <v>45119</v>
      </c>
      <c r="D68" s="4" t="s">
        <v>85</v>
      </c>
      <c r="E68" s="4" t="str">
        <f>_xlfn.XLOOKUP(TB_Vendas[[#This Row],[Código]],TB_Produtos[Código],TB_Produtos[Categoria])</f>
        <v>Vestuário</v>
      </c>
      <c r="F68" s="1">
        <v>2</v>
      </c>
      <c r="G68" s="7">
        <f>VLOOKUP(TB_Vendas[[#This Row],[Código]],Produtos!$B$6:$G$66,6,0)</f>
        <v>54.9</v>
      </c>
      <c r="H68" s="1">
        <f>_xlfn.XMATCH(TB_Vendas[[#This Row],[Categoria]],Desc_Categorias,0)</f>
        <v>3</v>
      </c>
      <c r="I68" s="43">
        <f>VLOOKUP(TB_Vendas[[#This Row],[Qtd]],Desc_TabelaToda,TB_Vendas[[#This Row],[Indice]],TRUE)</f>
        <v>0.15</v>
      </c>
      <c r="J68" s="43" cm="1">
        <f t="array" ref="J68">INDEX(Desc_TabelaToda,MATCH(TB_Vendas[[#This Row],[Qtd]],Desc_Quantidades,1),MATCH(_xlfn.XLOOKUP(TB_Vendas[[#This Row],[Código]],TB_Produtos[[#All],[Código]],TB_Produtos[[#All],[Categoria]]),Desc_Categorias,0))</f>
        <v>0.15</v>
      </c>
      <c r="K68" s="43">
        <f>_xlfn.XLOOKUP(TB_Vendas[[#This Row],[Vendedor]],Vendedores!$A$5:$A$9,Vendedores!$D$5:$D$9)</f>
        <v>0.2</v>
      </c>
      <c r="L68" s="43">
        <f>IF(TB_Vendas[[#This Row],[Desconto 
(Diretão)]]&lt;=TB_Vendas[[#This Row],[Desconto 
(Vendedor)]],TB_Vendas[[#This Row],[Desconto 
(Diretão)]],TB_Vendas[[#This Row],[Desconto 
(Vendedor)]])</f>
        <v>0.15</v>
      </c>
      <c r="M68" s="2">
        <f>TB_Vendas[[#This Row],[Preço Unitário]]*TB_Vendas[[#This Row],[Qtd]]</f>
        <v>109.8</v>
      </c>
      <c r="N68" s="1" t="s">
        <v>114</v>
      </c>
    </row>
    <row r="69" spans="1:14" x14ac:dyDescent="0.3">
      <c r="A69" s="1">
        <f>MONTH(TB_Vendas[[#This Row],[Data]])</f>
        <v>7</v>
      </c>
      <c r="B69" s="4" t="str">
        <f>PROPER(TEXT(DATE(,TB_Vendas[[#This Row],[Nº]],1),"Mmm"))</f>
        <v>Jul</v>
      </c>
      <c r="C69" s="3">
        <v>45120</v>
      </c>
      <c r="D69" s="4" t="s">
        <v>45</v>
      </c>
      <c r="E69" s="4" t="str">
        <f>_xlfn.XLOOKUP(TB_Vendas[[#This Row],[Código]],TB_Produtos[Código],TB_Produtos[Categoria])</f>
        <v>Vestuário</v>
      </c>
      <c r="F69" s="1">
        <v>2</v>
      </c>
      <c r="G69" s="7">
        <f>VLOOKUP(TB_Vendas[[#This Row],[Código]],Produtos!$B$6:$G$66,6,0)</f>
        <v>39.9</v>
      </c>
      <c r="H69" s="1">
        <f>_xlfn.XMATCH(TB_Vendas[[#This Row],[Categoria]],Desc_Categorias,0)</f>
        <v>3</v>
      </c>
      <c r="I69" s="43">
        <f>VLOOKUP(TB_Vendas[[#This Row],[Qtd]],Desc_TabelaToda,TB_Vendas[[#This Row],[Indice]],TRUE)</f>
        <v>0.15</v>
      </c>
      <c r="J69" s="43" cm="1">
        <f t="array" ref="J69">INDEX(Desc_TabelaToda,MATCH(TB_Vendas[[#This Row],[Qtd]],Desc_Quantidades,1),MATCH(_xlfn.XLOOKUP(TB_Vendas[[#This Row],[Código]],TB_Produtos[[#All],[Código]],TB_Produtos[[#All],[Categoria]]),Desc_Categorias,0))</f>
        <v>0.15</v>
      </c>
      <c r="K69" s="43">
        <f>_xlfn.XLOOKUP(TB_Vendas[[#This Row],[Vendedor]],Vendedores!$A$5:$A$9,Vendedores!$D$5:$D$9)</f>
        <v>0.15</v>
      </c>
      <c r="L69" s="43">
        <f>IF(TB_Vendas[[#This Row],[Desconto 
(Diretão)]]&lt;=TB_Vendas[[#This Row],[Desconto 
(Vendedor)]],TB_Vendas[[#This Row],[Desconto 
(Diretão)]],TB_Vendas[[#This Row],[Desconto 
(Vendedor)]])</f>
        <v>0.15</v>
      </c>
      <c r="M69" s="2">
        <f>TB_Vendas[[#This Row],[Preço Unitário]]*TB_Vendas[[#This Row],[Qtd]]</f>
        <v>79.8</v>
      </c>
      <c r="N69" s="1" t="s">
        <v>118</v>
      </c>
    </row>
    <row r="70" spans="1:14" x14ac:dyDescent="0.3">
      <c r="A70" s="1">
        <f>MONTH(TB_Vendas[[#This Row],[Data]])</f>
        <v>7</v>
      </c>
      <c r="B70" s="4" t="str">
        <f>PROPER(TEXT(DATE(,TB_Vendas[[#This Row],[Nº]],1),"Mmm"))</f>
        <v>Jul</v>
      </c>
      <c r="C70" s="3">
        <v>45124</v>
      </c>
      <c r="D70" s="4" t="s">
        <v>86</v>
      </c>
      <c r="E70" s="4" t="str">
        <f>_xlfn.XLOOKUP(TB_Vendas[[#This Row],[Código]],TB_Produtos[Código],TB_Produtos[Categoria])</f>
        <v>Vestuário</v>
      </c>
      <c r="F70" s="1">
        <v>7</v>
      </c>
      <c r="G70" s="7">
        <f>VLOOKUP(TB_Vendas[[#This Row],[Código]],Produtos!$B$6:$G$66,6,0)</f>
        <v>54.9</v>
      </c>
      <c r="H70" s="1">
        <f>_xlfn.XMATCH(TB_Vendas[[#This Row],[Categoria]],Desc_Categorias,0)</f>
        <v>3</v>
      </c>
      <c r="I70" s="43">
        <f>VLOOKUP(TB_Vendas[[#This Row],[Qtd]],Desc_TabelaToda,TB_Vendas[[#This Row],[Indice]],TRUE)</f>
        <v>0.25</v>
      </c>
      <c r="J70" s="43" cm="1">
        <f t="array" ref="J70">INDEX(Desc_TabelaToda,MATCH(TB_Vendas[[#This Row],[Qtd]],Desc_Quantidades,1),MATCH(_xlfn.XLOOKUP(TB_Vendas[[#This Row],[Código]],TB_Produtos[[#All],[Código]],TB_Produtos[[#All],[Categoria]]),Desc_Categorias,0))</f>
        <v>0.25</v>
      </c>
      <c r="K70" s="43">
        <f>_xlfn.XLOOKUP(TB_Vendas[[#This Row],[Vendedor]],Vendedores!$A$5:$A$9,Vendedores!$D$5:$D$9)</f>
        <v>0.2</v>
      </c>
      <c r="L70" s="43">
        <f>IF(TB_Vendas[[#This Row],[Desconto 
(Diretão)]]&lt;=TB_Vendas[[#This Row],[Desconto 
(Vendedor)]],TB_Vendas[[#This Row],[Desconto 
(Diretão)]],TB_Vendas[[#This Row],[Desconto 
(Vendedor)]])</f>
        <v>0.2</v>
      </c>
      <c r="M70" s="2">
        <f>TB_Vendas[[#This Row],[Preço Unitário]]*TB_Vendas[[#This Row],[Qtd]]</f>
        <v>384.3</v>
      </c>
      <c r="N70" s="1" t="s">
        <v>117</v>
      </c>
    </row>
    <row r="71" spans="1:14" x14ac:dyDescent="0.3">
      <c r="A71" s="1">
        <f>MONTH(TB_Vendas[[#This Row],[Data]])</f>
        <v>7</v>
      </c>
      <c r="B71" s="4" t="str">
        <f>PROPER(TEXT(DATE(,TB_Vendas[[#This Row],[Nº]],1),"Mmm"))</f>
        <v>Jul</v>
      </c>
      <c r="C71" s="3">
        <v>45130</v>
      </c>
      <c r="D71" s="4" t="s">
        <v>51</v>
      </c>
      <c r="E71" s="4" t="str">
        <f>_xlfn.XLOOKUP(TB_Vendas[[#This Row],[Código]],TB_Produtos[Código],TB_Produtos[Categoria])</f>
        <v>Vestuário</v>
      </c>
      <c r="F71" s="1">
        <v>4</v>
      </c>
      <c r="G71" s="7">
        <f>VLOOKUP(TB_Vendas[[#This Row],[Código]],Produtos!$B$6:$G$66,6,0)</f>
        <v>299.89999999999998</v>
      </c>
      <c r="H71" s="1">
        <f>_xlfn.XMATCH(TB_Vendas[[#This Row],[Categoria]],Desc_Categorias,0)</f>
        <v>3</v>
      </c>
      <c r="I71" s="43">
        <f>VLOOKUP(TB_Vendas[[#This Row],[Qtd]],Desc_TabelaToda,TB_Vendas[[#This Row],[Indice]],TRUE)</f>
        <v>0.2</v>
      </c>
      <c r="J71" s="43" cm="1">
        <f t="array" ref="J71">INDEX(Desc_TabelaToda,MATCH(TB_Vendas[[#This Row],[Qtd]],Desc_Quantidades,1),MATCH(_xlfn.XLOOKUP(TB_Vendas[[#This Row],[Código]],TB_Produtos[[#All],[Código]],TB_Produtos[[#All],[Categoria]]),Desc_Categorias,0))</f>
        <v>0.2</v>
      </c>
      <c r="K71" s="43">
        <f>_xlfn.XLOOKUP(TB_Vendas[[#This Row],[Vendedor]],Vendedores!$A$5:$A$9,Vendedores!$D$5:$D$9)</f>
        <v>0.15</v>
      </c>
      <c r="L71" s="43">
        <f>IF(TB_Vendas[[#This Row],[Desconto 
(Diretão)]]&lt;=TB_Vendas[[#This Row],[Desconto 
(Vendedor)]],TB_Vendas[[#This Row],[Desconto 
(Diretão)]],TB_Vendas[[#This Row],[Desconto 
(Vendedor)]])</f>
        <v>0.15</v>
      </c>
      <c r="M71" s="2">
        <f>TB_Vendas[[#This Row],[Preço Unitário]]*TB_Vendas[[#This Row],[Qtd]]</f>
        <v>1199.5999999999999</v>
      </c>
      <c r="N71" s="1" t="s">
        <v>118</v>
      </c>
    </row>
    <row r="72" spans="1:14" x14ac:dyDescent="0.3">
      <c r="A72" s="1">
        <f>MONTH(TB_Vendas[[#This Row],[Data]])</f>
        <v>7</v>
      </c>
      <c r="B72" s="4" t="str">
        <f>PROPER(TEXT(DATE(,TB_Vendas[[#This Row],[Nº]],1),"Mmm"))</f>
        <v>Jul</v>
      </c>
      <c r="C72" s="3">
        <v>45133</v>
      </c>
      <c r="D72" s="4" t="s">
        <v>55</v>
      </c>
      <c r="E72" s="4" t="str">
        <f>_xlfn.XLOOKUP(TB_Vendas[[#This Row],[Código]],TB_Produtos[Código],TB_Produtos[Categoria])</f>
        <v>Vestuário</v>
      </c>
      <c r="F72" s="1">
        <v>3</v>
      </c>
      <c r="G72" s="7">
        <f>VLOOKUP(TB_Vendas[[#This Row],[Código]],Produtos!$B$6:$G$66,6,0)</f>
        <v>259.89999999999998</v>
      </c>
      <c r="H72" s="1">
        <f>_xlfn.XMATCH(TB_Vendas[[#This Row],[Categoria]],Desc_Categorias,0)</f>
        <v>3</v>
      </c>
      <c r="I72" s="43">
        <f>VLOOKUP(TB_Vendas[[#This Row],[Qtd]],Desc_TabelaToda,TB_Vendas[[#This Row],[Indice]],TRUE)</f>
        <v>0.2</v>
      </c>
      <c r="J72" s="43" cm="1">
        <f t="array" ref="J72">INDEX(Desc_TabelaToda,MATCH(TB_Vendas[[#This Row],[Qtd]],Desc_Quantidades,1),MATCH(_xlfn.XLOOKUP(TB_Vendas[[#This Row],[Código]],TB_Produtos[[#All],[Código]],TB_Produtos[[#All],[Categoria]]),Desc_Categorias,0))</f>
        <v>0.2</v>
      </c>
      <c r="K72" s="43">
        <f>_xlfn.XLOOKUP(TB_Vendas[[#This Row],[Vendedor]],Vendedores!$A$5:$A$9,Vendedores!$D$5:$D$9)</f>
        <v>0.2</v>
      </c>
      <c r="L72" s="43">
        <f>IF(TB_Vendas[[#This Row],[Desconto 
(Diretão)]]&lt;=TB_Vendas[[#This Row],[Desconto 
(Vendedor)]],TB_Vendas[[#This Row],[Desconto 
(Diretão)]],TB_Vendas[[#This Row],[Desconto 
(Vendedor)]])</f>
        <v>0.2</v>
      </c>
      <c r="M72" s="2">
        <f>TB_Vendas[[#This Row],[Preço Unitário]]*TB_Vendas[[#This Row],[Qtd]]</f>
        <v>779.69999999999993</v>
      </c>
      <c r="N72" s="1" t="s">
        <v>117</v>
      </c>
    </row>
    <row r="73" spans="1:14" x14ac:dyDescent="0.3">
      <c r="A73" s="1">
        <f>MONTH(TB_Vendas[[#This Row],[Data]])</f>
        <v>7</v>
      </c>
      <c r="B73" s="4" t="str">
        <f>PROPER(TEXT(DATE(,TB_Vendas[[#This Row],[Nº]],1),"Mmm"))</f>
        <v>Jul</v>
      </c>
      <c r="C73" s="3">
        <v>45135</v>
      </c>
      <c r="D73" s="4" t="s">
        <v>89</v>
      </c>
      <c r="E73" s="4" t="str">
        <f>_xlfn.XLOOKUP(TB_Vendas[[#This Row],[Código]],TB_Produtos[Código],TB_Produtos[Categoria])</f>
        <v>Vestuário</v>
      </c>
      <c r="F73" s="1">
        <v>9</v>
      </c>
      <c r="G73" s="7">
        <f>VLOOKUP(TB_Vendas[[#This Row],[Código]],Produtos!$B$6:$G$66,6,0)</f>
        <v>72.5</v>
      </c>
      <c r="H73" s="1">
        <f>_xlfn.XMATCH(TB_Vendas[[#This Row],[Categoria]],Desc_Categorias,0)</f>
        <v>3</v>
      </c>
      <c r="I73" s="43">
        <f>VLOOKUP(TB_Vendas[[#This Row],[Qtd]],Desc_TabelaToda,TB_Vendas[[#This Row],[Indice]],TRUE)</f>
        <v>0.25</v>
      </c>
      <c r="J73" s="43" cm="1">
        <f t="array" ref="J73">INDEX(Desc_TabelaToda,MATCH(TB_Vendas[[#This Row],[Qtd]],Desc_Quantidades,1),MATCH(_xlfn.XLOOKUP(TB_Vendas[[#This Row],[Código]],TB_Produtos[[#All],[Código]],TB_Produtos[[#All],[Categoria]]),Desc_Categorias,0))</f>
        <v>0.25</v>
      </c>
      <c r="K73" s="43">
        <f>_xlfn.XLOOKUP(TB_Vendas[[#This Row],[Vendedor]],Vendedores!$A$5:$A$9,Vendedores!$D$5:$D$9)</f>
        <v>0.1</v>
      </c>
      <c r="L73" s="43">
        <f>IF(TB_Vendas[[#This Row],[Desconto 
(Diretão)]]&lt;=TB_Vendas[[#This Row],[Desconto 
(Vendedor)]],TB_Vendas[[#This Row],[Desconto 
(Diretão)]],TB_Vendas[[#This Row],[Desconto 
(Vendedor)]])</f>
        <v>0.1</v>
      </c>
      <c r="M73" s="2">
        <f>TB_Vendas[[#This Row],[Preço Unitário]]*TB_Vendas[[#This Row],[Qtd]]</f>
        <v>652.5</v>
      </c>
      <c r="N73" s="1" t="s">
        <v>116</v>
      </c>
    </row>
    <row r="74" spans="1:14" x14ac:dyDescent="0.3">
      <c r="A74" s="1">
        <f>MONTH(TB_Vendas[[#This Row],[Data]])</f>
        <v>7</v>
      </c>
      <c r="B74" s="4" t="str">
        <f>PROPER(TEXT(DATE(,TB_Vendas[[#This Row],[Nº]],1),"Mmm"))</f>
        <v>Jul</v>
      </c>
      <c r="C74" s="3">
        <v>45136</v>
      </c>
      <c r="D74" s="4" t="s">
        <v>53</v>
      </c>
      <c r="E74" s="4" t="str">
        <f>_xlfn.XLOOKUP(TB_Vendas[[#This Row],[Código]],TB_Produtos[Código],TB_Produtos[Categoria])</f>
        <v>Vestuário</v>
      </c>
      <c r="F74" s="1">
        <v>4</v>
      </c>
      <c r="G74" s="7">
        <f>VLOOKUP(TB_Vendas[[#This Row],[Código]],Produtos!$B$6:$G$66,6,0)</f>
        <v>300</v>
      </c>
      <c r="H74" s="1">
        <f>_xlfn.XMATCH(TB_Vendas[[#This Row],[Categoria]],Desc_Categorias,0)</f>
        <v>3</v>
      </c>
      <c r="I74" s="43">
        <f>VLOOKUP(TB_Vendas[[#This Row],[Qtd]],Desc_TabelaToda,TB_Vendas[[#This Row],[Indice]],TRUE)</f>
        <v>0.2</v>
      </c>
      <c r="J74" s="43" cm="1">
        <f t="array" ref="J74">INDEX(Desc_TabelaToda,MATCH(TB_Vendas[[#This Row],[Qtd]],Desc_Quantidades,1),MATCH(_xlfn.XLOOKUP(TB_Vendas[[#This Row],[Código]],TB_Produtos[[#All],[Código]],TB_Produtos[[#All],[Categoria]]),Desc_Categorias,0))</f>
        <v>0.2</v>
      </c>
      <c r="K74" s="43">
        <f>_xlfn.XLOOKUP(TB_Vendas[[#This Row],[Vendedor]],Vendedores!$A$5:$A$9,Vendedores!$D$5:$D$9)</f>
        <v>0.15</v>
      </c>
      <c r="L74" s="43">
        <f>IF(TB_Vendas[[#This Row],[Desconto 
(Diretão)]]&lt;=TB_Vendas[[#This Row],[Desconto 
(Vendedor)]],TB_Vendas[[#This Row],[Desconto 
(Diretão)]],TB_Vendas[[#This Row],[Desconto 
(Vendedor)]])</f>
        <v>0.15</v>
      </c>
      <c r="M74" s="2">
        <f>TB_Vendas[[#This Row],[Preço Unitário]]*TB_Vendas[[#This Row],[Qtd]]</f>
        <v>1200</v>
      </c>
      <c r="N74" s="1" t="s">
        <v>118</v>
      </c>
    </row>
    <row r="75" spans="1:14" x14ac:dyDescent="0.3">
      <c r="A75" s="1">
        <f>MONTH(TB_Vendas[[#This Row],[Data]])</f>
        <v>7</v>
      </c>
      <c r="B75" s="4" t="str">
        <f>PROPER(TEXT(DATE(,TB_Vendas[[#This Row],[Nº]],1),"Mmm"))</f>
        <v>Jul</v>
      </c>
      <c r="C75" s="3">
        <v>45137</v>
      </c>
      <c r="D75" s="4" t="s">
        <v>32</v>
      </c>
      <c r="E75" s="4" t="str">
        <f>_xlfn.XLOOKUP(TB_Vendas[[#This Row],[Código]],TB_Produtos[Código],TB_Produtos[Categoria])</f>
        <v>Vestuário</v>
      </c>
      <c r="F75" s="1">
        <v>9</v>
      </c>
      <c r="G75" s="7">
        <f>VLOOKUP(TB_Vendas[[#This Row],[Código]],Produtos!$B$6:$G$66,6,0)</f>
        <v>65.900000000000006</v>
      </c>
      <c r="H75" s="1">
        <f>_xlfn.XMATCH(TB_Vendas[[#This Row],[Categoria]],Desc_Categorias,0)</f>
        <v>3</v>
      </c>
      <c r="I75" s="43">
        <f>VLOOKUP(TB_Vendas[[#This Row],[Qtd]],Desc_TabelaToda,TB_Vendas[[#This Row],[Indice]],TRUE)</f>
        <v>0.25</v>
      </c>
      <c r="J75" s="43" cm="1">
        <f t="array" ref="J75">INDEX(Desc_TabelaToda,MATCH(TB_Vendas[[#This Row],[Qtd]],Desc_Quantidades,1),MATCH(_xlfn.XLOOKUP(TB_Vendas[[#This Row],[Código]],TB_Produtos[[#All],[Código]],TB_Produtos[[#All],[Categoria]]),Desc_Categorias,0))</f>
        <v>0.25</v>
      </c>
      <c r="K75" s="43">
        <f>_xlfn.XLOOKUP(TB_Vendas[[#This Row],[Vendedor]],Vendedores!$A$5:$A$9,Vendedores!$D$5:$D$9)</f>
        <v>0.15</v>
      </c>
      <c r="L75" s="43">
        <f>IF(TB_Vendas[[#This Row],[Desconto 
(Diretão)]]&lt;=TB_Vendas[[#This Row],[Desconto 
(Vendedor)]],TB_Vendas[[#This Row],[Desconto 
(Diretão)]],TB_Vendas[[#This Row],[Desconto 
(Vendedor)]])</f>
        <v>0.15</v>
      </c>
      <c r="M75" s="2">
        <f>TB_Vendas[[#This Row],[Preço Unitário]]*TB_Vendas[[#This Row],[Qtd]]</f>
        <v>593.1</v>
      </c>
      <c r="N75" s="1" t="s">
        <v>118</v>
      </c>
    </row>
    <row r="76" spans="1:14" x14ac:dyDescent="0.3">
      <c r="A76" s="1">
        <f>MONTH(TB_Vendas[[#This Row],[Data]])</f>
        <v>8</v>
      </c>
      <c r="B76" s="4" t="str">
        <f>PROPER(TEXT(DATE(,TB_Vendas[[#This Row],[Nº]],1),"Mmm"))</f>
        <v>Ago</v>
      </c>
      <c r="C76" s="3">
        <v>45143</v>
      </c>
      <c r="D76" s="4" t="s">
        <v>40</v>
      </c>
      <c r="E76" s="4" t="str">
        <f>_xlfn.XLOOKUP(TB_Vendas[[#This Row],[Código]],TB_Produtos[Código],TB_Produtos[Categoria])</f>
        <v>Vestuário</v>
      </c>
      <c r="F76" s="1">
        <v>10</v>
      </c>
      <c r="G76" s="7">
        <f>VLOOKUP(TB_Vendas[[#This Row],[Código]],Produtos!$B$6:$G$66,6,0)</f>
        <v>92.9</v>
      </c>
      <c r="H76" s="1">
        <f>_xlfn.XMATCH(TB_Vendas[[#This Row],[Categoria]],Desc_Categorias,0)</f>
        <v>3</v>
      </c>
      <c r="I76" s="43">
        <f>VLOOKUP(TB_Vendas[[#This Row],[Qtd]],Desc_TabelaToda,TB_Vendas[[#This Row],[Indice]],TRUE)</f>
        <v>0.3</v>
      </c>
      <c r="J76" s="43" cm="1">
        <f t="array" ref="J76">INDEX(Desc_TabelaToda,MATCH(TB_Vendas[[#This Row],[Qtd]],Desc_Quantidades,1),MATCH(_xlfn.XLOOKUP(TB_Vendas[[#This Row],[Código]],TB_Produtos[[#All],[Código]],TB_Produtos[[#All],[Categoria]]),Desc_Categorias,0))</f>
        <v>0.3</v>
      </c>
      <c r="K76" s="43">
        <f>_xlfn.XLOOKUP(TB_Vendas[[#This Row],[Vendedor]],Vendedores!$A$5:$A$9,Vendedores!$D$5:$D$9)</f>
        <v>0.15</v>
      </c>
      <c r="L76" s="43">
        <f>IF(TB_Vendas[[#This Row],[Desconto 
(Diretão)]]&lt;=TB_Vendas[[#This Row],[Desconto 
(Vendedor)]],TB_Vendas[[#This Row],[Desconto 
(Diretão)]],TB_Vendas[[#This Row],[Desconto 
(Vendedor)]])</f>
        <v>0.15</v>
      </c>
      <c r="M76" s="2">
        <f>TB_Vendas[[#This Row],[Preço Unitário]]*TB_Vendas[[#This Row],[Qtd]]</f>
        <v>929</v>
      </c>
      <c r="N76" s="1" t="s">
        <v>118</v>
      </c>
    </row>
    <row r="77" spans="1:14" x14ac:dyDescent="0.3">
      <c r="A77" s="1">
        <f>MONTH(TB_Vendas[[#This Row],[Data]])</f>
        <v>8</v>
      </c>
      <c r="B77" s="4" t="str">
        <f>PROPER(TEXT(DATE(,TB_Vendas[[#This Row],[Nº]],1),"Mmm"))</f>
        <v>Ago</v>
      </c>
      <c r="C77" s="3">
        <v>45144</v>
      </c>
      <c r="D77" s="4" t="s">
        <v>106</v>
      </c>
      <c r="E77" s="4" t="str">
        <f>_xlfn.XLOOKUP(TB_Vendas[[#This Row],[Código]],TB_Produtos[Código],TB_Produtos[Categoria])</f>
        <v>Calçado</v>
      </c>
      <c r="F77" s="1">
        <v>1</v>
      </c>
      <c r="G77" s="7">
        <f>VLOOKUP(TB_Vendas[[#This Row],[Código]],Produtos!$B$6:$G$66,6,0)</f>
        <v>89.9</v>
      </c>
      <c r="H77" s="1">
        <f>_xlfn.XMATCH(TB_Vendas[[#This Row],[Categoria]],Desc_Categorias,0)</f>
        <v>4</v>
      </c>
      <c r="I77" s="43">
        <f>VLOOKUP(TB_Vendas[[#This Row],[Qtd]],Desc_TabelaToda,TB_Vendas[[#This Row],[Indice]],TRUE)</f>
        <v>0</v>
      </c>
      <c r="J77" s="43" cm="1">
        <f t="array" ref="J77">INDEX(Desc_TabelaToda,MATCH(TB_Vendas[[#This Row],[Qtd]],Desc_Quantidades,1),MATCH(_xlfn.XLOOKUP(TB_Vendas[[#This Row],[Código]],TB_Produtos[[#All],[Código]],TB_Produtos[[#All],[Categoria]]),Desc_Categorias,0))</f>
        <v>0</v>
      </c>
      <c r="K77" s="43">
        <f>_xlfn.XLOOKUP(TB_Vendas[[#This Row],[Vendedor]],Vendedores!$A$5:$A$9,Vendedores!$D$5:$D$9)</f>
        <v>0.1</v>
      </c>
      <c r="L77" s="43">
        <f>IF(TB_Vendas[[#This Row],[Desconto 
(Diretão)]]&lt;=TB_Vendas[[#This Row],[Desconto 
(Vendedor)]],TB_Vendas[[#This Row],[Desconto 
(Diretão)]],TB_Vendas[[#This Row],[Desconto 
(Vendedor)]])</f>
        <v>0</v>
      </c>
      <c r="M77" s="2">
        <f>TB_Vendas[[#This Row],[Preço Unitário]]*TB_Vendas[[#This Row],[Qtd]]</f>
        <v>89.9</v>
      </c>
      <c r="N77" s="1" t="s">
        <v>116</v>
      </c>
    </row>
    <row r="78" spans="1:14" x14ac:dyDescent="0.3">
      <c r="A78" s="1">
        <f>MONTH(TB_Vendas[[#This Row],[Data]])</f>
        <v>8</v>
      </c>
      <c r="B78" s="4" t="str">
        <f>PROPER(TEXT(DATE(,TB_Vendas[[#This Row],[Nº]],1),"Mmm"))</f>
        <v>Ago</v>
      </c>
      <c r="C78" s="3">
        <v>45145</v>
      </c>
      <c r="D78" s="4" t="s">
        <v>99</v>
      </c>
      <c r="E78" s="4" t="str">
        <f>_xlfn.XLOOKUP(TB_Vendas[[#This Row],[Código]],TB_Produtos[Código],TB_Produtos[Categoria])</f>
        <v>Vestuário</v>
      </c>
      <c r="F78" s="1">
        <v>2</v>
      </c>
      <c r="G78" s="7">
        <f>VLOOKUP(TB_Vendas[[#This Row],[Código]],Produtos!$B$6:$G$66,6,0)</f>
        <v>49.9</v>
      </c>
      <c r="H78" s="1">
        <f>_xlfn.XMATCH(TB_Vendas[[#This Row],[Categoria]],Desc_Categorias,0)</f>
        <v>3</v>
      </c>
      <c r="I78" s="43">
        <f>VLOOKUP(TB_Vendas[[#This Row],[Qtd]],Desc_TabelaToda,TB_Vendas[[#This Row],[Indice]],TRUE)</f>
        <v>0.15</v>
      </c>
      <c r="J78" s="43" cm="1">
        <f t="array" ref="J78">INDEX(Desc_TabelaToda,MATCH(TB_Vendas[[#This Row],[Qtd]],Desc_Quantidades,1),MATCH(_xlfn.XLOOKUP(TB_Vendas[[#This Row],[Código]],TB_Produtos[[#All],[Código]],TB_Produtos[[#All],[Categoria]]),Desc_Categorias,0))</f>
        <v>0.15</v>
      </c>
      <c r="K78" s="43">
        <f>_xlfn.XLOOKUP(TB_Vendas[[#This Row],[Vendedor]],Vendedores!$A$5:$A$9,Vendedores!$D$5:$D$9)</f>
        <v>0.1</v>
      </c>
      <c r="L78" s="43">
        <f>IF(TB_Vendas[[#This Row],[Desconto 
(Diretão)]]&lt;=TB_Vendas[[#This Row],[Desconto 
(Vendedor)]],TB_Vendas[[#This Row],[Desconto 
(Diretão)]],TB_Vendas[[#This Row],[Desconto 
(Vendedor)]])</f>
        <v>0.1</v>
      </c>
      <c r="M78" s="2">
        <f>TB_Vendas[[#This Row],[Preço Unitário]]*TB_Vendas[[#This Row],[Qtd]]</f>
        <v>99.8</v>
      </c>
      <c r="N78" s="1" t="s">
        <v>116</v>
      </c>
    </row>
    <row r="79" spans="1:14" x14ac:dyDescent="0.3">
      <c r="A79" s="1">
        <f>MONTH(TB_Vendas[[#This Row],[Data]])</f>
        <v>8</v>
      </c>
      <c r="B79" s="4" t="str">
        <f>PROPER(TEXT(DATE(,TB_Vendas[[#This Row],[Nº]],1),"Mmm"))</f>
        <v>Ago</v>
      </c>
      <c r="C79" s="3">
        <v>45146</v>
      </c>
      <c r="D79" s="4" t="s">
        <v>84</v>
      </c>
      <c r="E79" s="4" t="str">
        <f>_xlfn.XLOOKUP(TB_Vendas[[#This Row],[Código]],TB_Produtos[Código],TB_Produtos[Categoria])</f>
        <v>Vestuário</v>
      </c>
      <c r="F79" s="1">
        <v>8</v>
      </c>
      <c r="G79" s="7">
        <f>VLOOKUP(TB_Vendas[[#This Row],[Código]],Produtos!$B$6:$G$66,6,0)</f>
        <v>70</v>
      </c>
      <c r="H79" s="1">
        <f>_xlfn.XMATCH(TB_Vendas[[#This Row],[Categoria]],Desc_Categorias,0)</f>
        <v>3</v>
      </c>
      <c r="I79" s="43">
        <f>VLOOKUP(TB_Vendas[[#This Row],[Qtd]],Desc_TabelaToda,TB_Vendas[[#This Row],[Indice]],TRUE)</f>
        <v>0.25</v>
      </c>
      <c r="J79" s="43" cm="1">
        <f t="array" ref="J79">INDEX(Desc_TabelaToda,MATCH(TB_Vendas[[#This Row],[Qtd]],Desc_Quantidades,1),MATCH(_xlfn.XLOOKUP(TB_Vendas[[#This Row],[Código]],TB_Produtos[[#All],[Código]],TB_Produtos[[#All],[Categoria]]),Desc_Categorias,0))</f>
        <v>0.25</v>
      </c>
      <c r="K79" s="43">
        <f>_xlfn.XLOOKUP(TB_Vendas[[#This Row],[Vendedor]],Vendedores!$A$5:$A$9,Vendedores!$D$5:$D$9)</f>
        <v>0.15</v>
      </c>
      <c r="L79" s="43">
        <f>IF(TB_Vendas[[#This Row],[Desconto 
(Diretão)]]&lt;=TB_Vendas[[#This Row],[Desconto 
(Vendedor)]],TB_Vendas[[#This Row],[Desconto 
(Diretão)]],TB_Vendas[[#This Row],[Desconto 
(Vendedor)]])</f>
        <v>0.15</v>
      </c>
      <c r="M79" s="2">
        <f>TB_Vendas[[#This Row],[Preço Unitário]]*TB_Vendas[[#This Row],[Qtd]]</f>
        <v>560</v>
      </c>
      <c r="N79" s="1" t="s">
        <v>115</v>
      </c>
    </row>
    <row r="80" spans="1:14" x14ac:dyDescent="0.3">
      <c r="A80" s="1">
        <f>MONTH(TB_Vendas[[#This Row],[Data]])</f>
        <v>8</v>
      </c>
      <c r="B80" s="4" t="str">
        <f>PROPER(TEXT(DATE(,TB_Vendas[[#This Row],[Nº]],1),"Mmm"))</f>
        <v>Ago</v>
      </c>
      <c r="C80" s="3">
        <v>45147</v>
      </c>
      <c r="D80" s="4" t="s">
        <v>42</v>
      </c>
      <c r="E80" s="4" t="str">
        <f>_xlfn.XLOOKUP(TB_Vendas[[#This Row],[Código]],TB_Produtos[Código],TB_Produtos[Categoria])</f>
        <v>Vestuário</v>
      </c>
      <c r="F80" s="1">
        <v>5</v>
      </c>
      <c r="G80" s="7">
        <f>VLOOKUP(TB_Vendas[[#This Row],[Código]],Produtos!$B$6:$G$66,6,0)</f>
        <v>46.9</v>
      </c>
      <c r="H80" s="1">
        <f>_xlfn.XMATCH(TB_Vendas[[#This Row],[Categoria]],Desc_Categorias,0)</f>
        <v>3</v>
      </c>
      <c r="I80" s="43">
        <f>VLOOKUP(TB_Vendas[[#This Row],[Qtd]],Desc_TabelaToda,TB_Vendas[[#This Row],[Indice]],TRUE)</f>
        <v>0.25</v>
      </c>
      <c r="J80" s="43" cm="1">
        <f t="array" ref="J80">INDEX(Desc_TabelaToda,MATCH(TB_Vendas[[#This Row],[Qtd]],Desc_Quantidades,1),MATCH(_xlfn.XLOOKUP(TB_Vendas[[#This Row],[Código]],TB_Produtos[[#All],[Código]],TB_Produtos[[#All],[Categoria]]),Desc_Categorias,0))</f>
        <v>0.25</v>
      </c>
      <c r="K80" s="43">
        <f>_xlfn.XLOOKUP(TB_Vendas[[#This Row],[Vendedor]],Vendedores!$A$5:$A$9,Vendedores!$D$5:$D$9)</f>
        <v>0.1</v>
      </c>
      <c r="L80" s="43">
        <f>IF(TB_Vendas[[#This Row],[Desconto 
(Diretão)]]&lt;=TB_Vendas[[#This Row],[Desconto 
(Vendedor)]],TB_Vendas[[#This Row],[Desconto 
(Diretão)]],TB_Vendas[[#This Row],[Desconto 
(Vendedor)]])</f>
        <v>0.1</v>
      </c>
      <c r="M80" s="2">
        <f>TB_Vendas[[#This Row],[Preço Unitário]]*TB_Vendas[[#This Row],[Qtd]]</f>
        <v>234.5</v>
      </c>
      <c r="N80" s="1" t="s">
        <v>116</v>
      </c>
    </row>
    <row r="81" spans="1:14" x14ac:dyDescent="0.3">
      <c r="A81" s="1">
        <f>MONTH(TB_Vendas[[#This Row],[Data]])</f>
        <v>8</v>
      </c>
      <c r="B81" s="4" t="str">
        <f>PROPER(TEXT(DATE(,TB_Vendas[[#This Row],[Nº]],1),"Mmm"))</f>
        <v>Ago</v>
      </c>
      <c r="C81" s="3">
        <v>45148</v>
      </c>
      <c r="D81" s="4" t="s">
        <v>93</v>
      </c>
      <c r="E81" s="4" t="str">
        <f>_xlfn.XLOOKUP(TB_Vendas[[#This Row],[Código]],TB_Produtos[Código],TB_Produtos[Categoria])</f>
        <v>Vestuário</v>
      </c>
      <c r="F81" s="1">
        <v>10</v>
      </c>
      <c r="G81" s="7">
        <f>VLOOKUP(TB_Vendas[[#This Row],[Código]],Produtos!$B$6:$G$66,6,0)</f>
        <v>289.89999999999998</v>
      </c>
      <c r="H81" s="1">
        <f>_xlfn.XMATCH(TB_Vendas[[#This Row],[Categoria]],Desc_Categorias,0)</f>
        <v>3</v>
      </c>
      <c r="I81" s="43">
        <f>VLOOKUP(TB_Vendas[[#This Row],[Qtd]],Desc_TabelaToda,TB_Vendas[[#This Row],[Indice]],TRUE)</f>
        <v>0.3</v>
      </c>
      <c r="J81" s="43" cm="1">
        <f t="array" ref="J81">INDEX(Desc_TabelaToda,MATCH(TB_Vendas[[#This Row],[Qtd]],Desc_Quantidades,1),MATCH(_xlfn.XLOOKUP(TB_Vendas[[#This Row],[Código]],TB_Produtos[[#All],[Código]],TB_Produtos[[#All],[Categoria]]),Desc_Categorias,0))</f>
        <v>0.3</v>
      </c>
      <c r="K81" s="43">
        <f>_xlfn.XLOOKUP(TB_Vendas[[#This Row],[Vendedor]],Vendedores!$A$5:$A$9,Vendedores!$D$5:$D$9)</f>
        <v>0.15</v>
      </c>
      <c r="L81" s="43">
        <f>IF(TB_Vendas[[#This Row],[Desconto 
(Diretão)]]&lt;=TB_Vendas[[#This Row],[Desconto 
(Vendedor)]],TB_Vendas[[#This Row],[Desconto 
(Diretão)]],TB_Vendas[[#This Row],[Desconto 
(Vendedor)]])</f>
        <v>0.15</v>
      </c>
      <c r="M81" s="2">
        <f>TB_Vendas[[#This Row],[Preço Unitário]]*TB_Vendas[[#This Row],[Qtd]]</f>
        <v>2899</v>
      </c>
      <c r="N81" s="1" t="s">
        <v>115</v>
      </c>
    </row>
    <row r="82" spans="1:14" x14ac:dyDescent="0.3">
      <c r="A82" s="1">
        <f>MONTH(TB_Vendas[[#This Row],[Data]])</f>
        <v>8</v>
      </c>
      <c r="B82" s="4" t="str">
        <f>PROPER(TEXT(DATE(,TB_Vendas[[#This Row],[Nº]],1),"Mmm"))</f>
        <v>Ago</v>
      </c>
      <c r="C82" s="3">
        <v>45149</v>
      </c>
      <c r="D82" s="4" t="s">
        <v>46</v>
      </c>
      <c r="E82" s="4" t="str">
        <f>_xlfn.XLOOKUP(TB_Vendas[[#This Row],[Código]],TB_Produtos[Código],TB_Produtos[Categoria])</f>
        <v>Vestuário</v>
      </c>
      <c r="F82" s="1">
        <v>1</v>
      </c>
      <c r="G82" s="7">
        <f>VLOOKUP(TB_Vendas[[#This Row],[Código]],Produtos!$B$6:$G$66,6,0)</f>
        <v>42.5</v>
      </c>
      <c r="H82" s="1">
        <f>_xlfn.XMATCH(TB_Vendas[[#This Row],[Categoria]],Desc_Categorias,0)</f>
        <v>3</v>
      </c>
      <c r="I82" s="43">
        <f>VLOOKUP(TB_Vendas[[#This Row],[Qtd]],Desc_TabelaToda,TB_Vendas[[#This Row],[Indice]],TRUE)</f>
        <v>0.1</v>
      </c>
      <c r="J82" s="43" cm="1">
        <f t="array" ref="J82">INDEX(Desc_TabelaToda,MATCH(TB_Vendas[[#This Row],[Qtd]],Desc_Quantidades,1),MATCH(_xlfn.XLOOKUP(TB_Vendas[[#This Row],[Código]],TB_Produtos[[#All],[Código]],TB_Produtos[[#All],[Categoria]]),Desc_Categorias,0))</f>
        <v>0.1</v>
      </c>
      <c r="K82" s="43">
        <f>_xlfn.XLOOKUP(TB_Vendas[[#This Row],[Vendedor]],Vendedores!$A$5:$A$9,Vendedores!$D$5:$D$9)</f>
        <v>0.1</v>
      </c>
      <c r="L82" s="43">
        <f>IF(TB_Vendas[[#This Row],[Desconto 
(Diretão)]]&lt;=TB_Vendas[[#This Row],[Desconto 
(Vendedor)]],TB_Vendas[[#This Row],[Desconto 
(Diretão)]],TB_Vendas[[#This Row],[Desconto 
(Vendedor)]])</f>
        <v>0.1</v>
      </c>
      <c r="M82" s="2">
        <f>TB_Vendas[[#This Row],[Preço Unitário]]*TB_Vendas[[#This Row],[Qtd]]</f>
        <v>42.5</v>
      </c>
      <c r="N82" s="1" t="s">
        <v>116</v>
      </c>
    </row>
    <row r="83" spans="1:14" x14ac:dyDescent="0.3">
      <c r="A83" s="1">
        <f>MONTH(TB_Vendas[[#This Row],[Data]])</f>
        <v>8</v>
      </c>
      <c r="B83" s="4" t="str">
        <f>PROPER(TEXT(DATE(,TB_Vendas[[#This Row],[Nº]],1),"Mmm"))</f>
        <v>Ago</v>
      </c>
      <c r="C83" s="3">
        <v>45150</v>
      </c>
      <c r="D83" s="4" t="s">
        <v>103</v>
      </c>
      <c r="E83" s="4" t="str">
        <f>_xlfn.XLOOKUP(TB_Vendas[[#This Row],[Código]],TB_Produtos[Código],TB_Produtos[Categoria])</f>
        <v>Calçado</v>
      </c>
      <c r="F83" s="1">
        <v>2</v>
      </c>
      <c r="G83" s="7">
        <f>VLOOKUP(TB_Vendas[[#This Row],[Código]],Produtos!$B$6:$G$66,6,0)</f>
        <v>89.9</v>
      </c>
      <c r="H83" s="1">
        <f>_xlfn.XMATCH(TB_Vendas[[#This Row],[Categoria]],Desc_Categorias,0)</f>
        <v>4</v>
      </c>
      <c r="I83" s="43">
        <f>VLOOKUP(TB_Vendas[[#This Row],[Qtd]],Desc_TabelaToda,TB_Vendas[[#This Row],[Indice]],TRUE)</f>
        <v>0.1</v>
      </c>
      <c r="J83" s="43" cm="1">
        <f t="array" ref="J83">INDEX(Desc_TabelaToda,MATCH(TB_Vendas[[#This Row],[Qtd]],Desc_Quantidades,1),MATCH(_xlfn.XLOOKUP(TB_Vendas[[#This Row],[Código]],TB_Produtos[[#All],[Código]],TB_Produtos[[#All],[Categoria]]),Desc_Categorias,0))</f>
        <v>0.1</v>
      </c>
      <c r="K83" s="43">
        <f>_xlfn.XLOOKUP(TB_Vendas[[#This Row],[Vendedor]],Vendedores!$A$5:$A$9,Vendedores!$D$5:$D$9)</f>
        <v>0.15</v>
      </c>
      <c r="L83" s="43">
        <f>IF(TB_Vendas[[#This Row],[Desconto 
(Diretão)]]&lt;=TB_Vendas[[#This Row],[Desconto 
(Vendedor)]],TB_Vendas[[#This Row],[Desconto 
(Diretão)]],TB_Vendas[[#This Row],[Desconto 
(Vendedor)]])</f>
        <v>0.1</v>
      </c>
      <c r="M83" s="2">
        <f>TB_Vendas[[#This Row],[Preço Unitário]]*TB_Vendas[[#This Row],[Qtd]]</f>
        <v>179.8</v>
      </c>
      <c r="N83" s="1" t="s">
        <v>115</v>
      </c>
    </row>
    <row r="84" spans="1:14" x14ac:dyDescent="0.3">
      <c r="A84" s="1">
        <f>MONTH(TB_Vendas[[#This Row],[Data]])</f>
        <v>8</v>
      </c>
      <c r="B84" s="4" t="str">
        <f>PROPER(TEXT(DATE(,TB_Vendas[[#This Row],[Nº]],1),"Mmm"))</f>
        <v>Ago</v>
      </c>
      <c r="C84" s="3">
        <v>45151</v>
      </c>
      <c r="D84" s="4" t="s">
        <v>60</v>
      </c>
      <c r="E84" s="4" t="str">
        <f>_xlfn.XLOOKUP(TB_Vendas[[#This Row],[Código]],TB_Produtos[Código],TB_Produtos[Categoria])</f>
        <v>Calçado</v>
      </c>
      <c r="F84" s="1">
        <v>3</v>
      </c>
      <c r="G84" s="7">
        <f>VLOOKUP(TB_Vendas[[#This Row],[Código]],Produtos!$B$6:$G$66,6,0)</f>
        <v>255</v>
      </c>
      <c r="H84" s="1">
        <f>_xlfn.XMATCH(TB_Vendas[[#This Row],[Categoria]],Desc_Categorias,0)</f>
        <v>4</v>
      </c>
      <c r="I84" s="43">
        <f>VLOOKUP(TB_Vendas[[#This Row],[Qtd]],Desc_TabelaToda,TB_Vendas[[#This Row],[Indice]],TRUE)</f>
        <v>0.15</v>
      </c>
      <c r="J84" s="43" cm="1">
        <f t="array" ref="J84">INDEX(Desc_TabelaToda,MATCH(TB_Vendas[[#This Row],[Qtd]],Desc_Quantidades,1),MATCH(_xlfn.XLOOKUP(TB_Vendas[[#This Row],[Código]],TB_Produtos[[#All],[Código]],TB_Produtos[[#All],[Categoria]]),Desc_Categorias,0))</f>
        <v>0.15</v>
      </c>
      <c r="K84" s="43">
        <f>_xlfn.XLOOKUP(TB_Vendas[[#This Row],[Vendedor]],Vendedores!$A$5:$A$9,Vendedores!$D$5:$D$9)</f>
        <v>0.2</v>
      </c>
      <c r="L84" s="43">
        <f>IF(TB_Vendas[[#This Row],[Desconto 
(Diretão)]]&lt;=TB_Vendas[[#This Row],[Desconto 
(Vendedor)]],TB_Vendas[[#This Row],[Desconto 
(Diretão)]],TB_Vendas[[#This Row],[Desconto 
(Vendedor)]])</f>
        <v>0.15</v>
      </c>
      <c r="M84" s="2">
        <f>TB_Vendas[[#This Row],[Preço Unitário]]*TB_Vendas[[#This Row],[Qtd]]</f>
        <v>765</v>
      </c>
      <c r="N84" s="1" t="s">
        <v>114</v>
      </c>
    </row>
    <row r="85" spans="1:14" x14ac:dyDescent="0.3">
      <c r="A85" s="1">
        <f>MONTH(TB_Vendas[[#This Row],[Data]])</f>
        <v>8</v>
      </c>
      <c r="B85" s="4" t="str">
        <f>PROPER(TEXT(DATE(,TB_Vendas[[#This Row],[Nº]],1),"Mmm"))</f>
        <v>Ago</v>
      </c>
      <c r="C85" s="3">
        <v>45152</v>
      </c>
      <c r="D85" s="4" t="s">
        <v>46</v>
      </c>
      <c r="E85" s="4" t="str">
        <f>_xlfn.XLOOKUP(TB_Vendas[[#This Row],[Código]],TB_Produtos[Código],TB_Produtos[Categoria])</f>
        <v>Vestuário</v>
      </c>
      <c r="F85" s="1">
        <v>6</v>
      </c>
      <c r="G85" s="7">
        <f>VLOOKUP(TB_Vendas[[#This Row],[Código]],Produtos!$B$6:$G$66,6,0)</f>
        <v>42.5</v>
      </c>
      <c r="H85" s="1">
        <f>_xlfn.XMATCH(TB_Vendas[[#This Row],[Categoria]],Desc_Categorias,0)</f>
        <v>3</v>
      </c>
      <c r="I85" s="43">
        <f>VLOOKUP(TB_Vendas[[#This Row],[Qtd]],Desc_TabelaToda,TB_Vendas[[#This Row],[Indice]],TRUE)</f>
        <v>0.25</v>
      </c>
      <c r="J85" s="43" cm="1">
        <f t="array" ref="J85">INDEX(Desc_TabelaToda,MATCH(TB_Vendas[[#This Row],[Qtd]],Desc_Quantidades,1),MATCH(_xlfn.XLOOKUP(TB_Vendas[[#This Row],[Código]],TB_Produtos[[#All],[Código]],TB_Produtos[[#All],[Categoria]]),Desc_Categorias,0))</f>
        <v>0.25</v>
      </c>
      <c r="K85" s="43">
        <f>_xlfn.XLOOKUP(TB_Vendas[[#This Row],[Vendedor]],Vendedores!$A$5:$A$9,Vendedores!$D$5:$D$9)</f>
        <v>0.2</v>
      </c>
      <c r="L85" s="43">
        <f>IF(TB_Vendas[[#This Row],[Desconto 
(Diretão)]]&lt;=TB_Vendas[[#This Row],[Desconto 
(Vendedor)]],TB_Vendas[[#This Row],[Desconto 
(Diretão)]],TB_Vendas[[#This Row],[Desconto 
(Vendedor)]])</f>
        <v>0.2</v>
      </c>
      <c r="M85" s="2">
        <f>TB_Vendas[[#This Row],[Preço Unitário]]*TB_Vendas[[#This Row],[Qtd]]</f>
        <v>255</v>
      </c>
      <c r="N85" s="1" t="s">
        <v>117</v>
      </c>
    </row>
    <row r="86" spans="1:14" x14ac:dyDescent="0.3">
      <c r="A86" s="1">
        <f>MONTH(TB_Vendas[[#This Row],[Data]])</f>
        <v>8</v>
      </c>
      <c r="B86" s="4" t="str">
        <f>PROPER(TEXT(DATE(,TB_Vendas[[#This Row],[Nº]],1),"Mmm"))</f>
        <v>Ago</v>
      </c>
      <c r="C86" s="3">
        <v>45153</v>
      </c>
      <c r="D86" s="4" t="s">
        <v>45</v>
      </c>
      <c r="E86" s="4" t="str">
        <f>_xlfn.XLOOKUP(TB_Vendas[[#This Row],[Código]],TB_Produtos[Código],TB_Produtos[Categoria])</f>
        <v>Vestuário</v>
      </c>
      <c r="F86" s="1">
        <v>8</v>
      </c>
      <c r="G86" s="7">
        <f>VLOOKUP(TB_Vendas[[#This Row],[Código]],Produtos!$B$6:$G$66,6,0)</f>
        <v>39.9</v>
      </c>
      <c r="H86" s="1">
        <f>_xlfn.XMATCH(TB_Vendas[[#This Row],[Categoria]],Desc_Categorias,0)</f>
        <v>3</v>
      </c>
      <c r="I86" s="43">
        <f>VLOOKUP(TB_Vendas[[#This Row],[Qtd]],Desc_TabelaToda,TB_Vendas[[#This Row],[Indice]],TRUE)</f>
        <v>0.25</v>
      </c>
      <c r="J86" s="43" cm="1">
        <f t="array" ref="J86">INDEX(Desc_TabelaToda,MATCH(TB_Vendas[[#This Row],[Qtd]],Desc_Quantidades,1),MATCH(_xlfn.XLOOKUP(TB_Vendas[[#This Row],[Código]],TB_Produtos[[#All],[Código]],TB_Produtos[[#All],[Categoria]]),Desc_Categorias,0))</f>
        <v>0.25</v>
      </c>
      <c r="K86" s="43">
        <f>_xlfn.XLOOKUP(TB_Vendas[[#This Row],[Vendedor]],Vendedores!$A$5:$A$9,Vendedores!$D$5:$D$9)</f>
        <v>0.15</v>
      </c>
      <c r="L86" s="43">
        <f>IF(TB_Vendas[[#This Row],[Desconto 
(Diretão)]]&lt;=TB_Vendas[[#This Row],[Desconto 
(Vendedor)]],TB_Vendas[[#This Row],[Desconto 
(Diretão)]],TB_Vendas[[#This Row],[Desconto 
(Vendedor)]])</f>
        <v>0.15</v>
      </c>
      <c r="M86" s="2">
        <f>TB_Vendas[[#This Row],[Preço Unitário]]*TB_Vendas[[#This Row],[Qtd]]</f>
        <v>319.2</v>
      </c>
      <c r="N86" s="1" t="s">
        <v>115</v>
      </c>
    </row>
  </sheetData>
  <phoneticPr fontId="11" type="noConversion"/>
  <conditionalFormatting sqref="F4:L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pane ySplit="1" topLeftCell="A2" activePane="bottomLeft" state="frozen"/>
      <selection pane="bottomLeft"/>
    </sheetView>
  </sheetViews>
  <sheetFormatPr defaultColWidth="8.88671875" defaultRowHeight="14.4" zeroHeight="1" x14ac:dyDescent="0.3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13" customFormat="1" ht="40.200000000000003" customHeight="1" x14ac:dyDescent="0.85">
      <c r="A1" s="16"/>
      <c r="B1" s="20" t="s">
        <v>132</v>
      </c>
      <c r="C1" s="18"/>
      <c r="D1" s="18"/>
      <c r="E1" s="18"/>
      <c r="F1" s="18"/>
      <c r="G1" s="18"/>
      <c r="H1" s="18"/>
      <c r="I1" s="18"/>
    </row>
    <row r="2" spans="1:9" s="14" customFormat="1" ht="4.5" customHeight="1" x14ac:dyDescent="0.4">
      <c r="A2" s="17"/>
      <c r="B2" s="17"/>
      <c r="C2" s="17"/>
      <c r="D2" s="17"/>
      <c r="E2" s="17"/>
      <c r="F2" s="17"/>
    </row>
    <row r="3" spans="1:9" ht="4.5" customHeight="1" x14ac:dyDescent="0.4">
      <c r="A3" s="15"/>
      <c r="B3" s="15"/>
      <c r="C3" s="15"/>
      <c r="D3" s="15"/>
      <c r="E3" s="15"/>
      <c r="F3" s="15"/>
    </row>
    <row r="4" spans="1:9" ht="23.25" customHeight="1" x14ac:dyDescent="0.4">
      <c r="A4" s="15"/>
      <c r="B4" s="65" t="s">
        <v>141</v>
      </c>
      <c r="C4" s="65"/>
      <c r="D4" s="15"/>
      <c r="E4" s="65" t="s">
        <v>148</v>
      </c>
      <c r="F4" s="65"/>
    </row>
    <row r="5" spans="1:9" ht="5.25" customHeight="1" thickBot="1" x14ac:dyDescent="0.35"/>
    <row r="6" spans="1:9" ht="24.6" customHeight="1" thickBot="1" x14ac:dyDescent="0.55000000000000004">
      <c r="B6" s="45" t="s">
        <v>142</v>
      </c>
      <c r="C6" s="44" t="s">
        <v>103</v>
      </c>
      <c r="E6" s="45" t="s">
        <v>147</v>
      </c>
      <c r="F6" s="49">
        <v>44949</v>
      </c>
    </row>
    <row r="7" spans="1:9" ht="24.6" customHeight="1" thickTop="1" thickBot="1" x14ac:dyDescent="0.55000000000000004">
      <c r="B7" s="45" t="s">
        <v>143</v>
      </c>
      <c r="C7" s="23" t="str">
        <f>IFERROR(VLOOKUP(C6,TB_Produtos[#All],2,FALSE),"")</f>
        <v>Sandália Rasteira</v>
      </c>
      <c r="E7" s="45" t="s">
        <v>150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 x14ac:dyDescent="0.45">
      <c r="B8" s="46" t="s">
        <v>144</v>
      </c>
      <c r="C8" s="21" cm="1">
        <f t="array" ref="C8">_xlfn.XLOOKUP(C6,TB_Produtos[[#All],[Código]],TB_Produtos[[#All],[Tamanho]],"")</f>
        <v>35</v>
      </c>
      <c r="E8" s="46" t="s">
        <v>151</v>
      </c>
      <c r="F8" s="50">
        <f>SUMIF(TB_Vendas[[#All],[Data]],Consultas!$F$6,TB_Vendas[[#All],[Total]])</f>
        <v>146</v>
      </c>
      <c r="G8" s="22"/>
    </row>
    <row r="9" spans="1:9" ht="24.6" customHeight="1" thickTop="1" thickBot="1" x14ac:dyDescent="0.45">
      <c r="B9" s="47" t="s">
        <v>145</v>
      </c>
      <c r="C9" s="21" t="str">
        <f>IFERROR(VLOOKUP($C$6,Produtos!$B$6:$G$66,4,0),"")</f>
        <v>Calçado</v>
      </c>
      <c r="E9" s="48" t="s">
        <v>149</v>
      </c>
      <c r="F9" s="24">
        <f>SUMIF(TB_Vendas[[#All],[Data]],Consultas!$F$6,TB_Vendas[[#All],[Qtd]])</f>
        <v>1</v>
      </c>
      <c r="G9" s="22"/>
    </row>
    <row r="10" spans="1:9" ht="24.6" customHeight="1" thickTop="1" thickBot="1" x14ac:dyDescent="0.45">
      <c r="B10" s="47" t="s">
        <v>152</v>
      </c>
      <c r="C10" s="50">
        <f>_xlfn.XLOOKUP($C$6,Produtos!$B$6:$B$66,Produtos!$G$6:$G$66,"")</f>
        <v>89.9</v>
      </c>
      <c r="G10" s="22"/>
    </row>
    <row r="11" spans="1:9" ht="24.6" customHeight="1" thickTop="1" thickBot="1" x14ac:dyDescent="0.45">
      <c r="B11" s="46" t="s">
        <v>146</v>
      </c>
      <c r="C11" s="21" cm="1">
        <f t="array" ref="C11">_xlfn.XLOOKUP($C$6,TB_Produtos[[#All],[Código]],TB_Produtos[[#All],[Estoque]],"")</f>
        <v>48</v>
      </c>
      <c r="G11" s="22"/>
    </row>
    <row r="12" spans="1:9" ht="22.8" thickTop="1" thickBot="1" x14ac:dyDescent="0.45">
      <c r="B12" s="47" t="s">
        <v>153</v>
      </c>
      <c r="C12" s="21" t="str" cm="1">
        <f t="array" ref="C12">_xlfn.IFS(C11=0,"Estoque Zerado",C11&gt;=C13,"Estoque OK",1,"Rever Estoque")</f>
        <v>Estoque OK</v>
      </c>
      <c r="E12" s="51"/>
    </row>
    <row r="13" spans="1:9" ht="24.6" thickTop="1" thickBot="1" x14ac:dyDescent="0.5">
      <c r="B13" s="48" t="s">
        <v>155</v>
      </c>
      <c r="C13" s="56">
        <f>_xlfn.XLOOKUP(C9,'Cadastros Auxiliares'!G9:G11,'Cadastros Auxiliares'!H9:H11)</f>
        <v>15</v>
      </c>
      <c r="E13" s="52"/>
    </row>
    <row r="14" spans="1:9" x14ac:dyDescent="0.3"/>
    <row r="15" spans="1:9" x14ac:dyDescent="0.3"/>
    <row r="16" spans="1:9" x14ac:dyDescent="0.3"/>
    <row r="17" x14ac:dyDescent="0.3"/>
    <row r="18" x14ac:dyDescent="0.3"/>
    <row r="19" x14ac:dyDescent="0.3"/>
    <row r="20" x14ac:dyDescent="0.3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4.4" x14ac:dyDescent="0.3"/>
  <cols>
    <col min="1" max="1" width="8" customWidth="1"/>
    <col min="2" max="2" width="30.88671875" customWidth="1"/>
    <col min="3" max="9" width="17.44140625" customWidth="1"/>
  </cols>
  <sheetData>
    <row r="1" spans="2:10" s="13" customFormat="1" ht="40.200000000000003" customHeight="1" x14ac:dyDescent="0.3">
      <c r="B1" s="36" t="s">
        <v>123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 x14ac:dyDescent="0.4">
      <c r="B2" s="17"/>
      <c r="C2" s="17"/>
      <c r="D2" s="17"/>
      <c r="E2" s="17"/>
      <c r="F2" s="17"/>
      <c r="G2" s="17"/>
    </row>
    <row r="3" spans="2:10" ht="4.5" customHeight="1" thickBot="1" x14ac:dyDescent="0.45">
      <c r="B3" s="15"/>
      <c r="C3" s="15"/>
      <c r="D3" s="15"/>
      <c r="E3" s="15"/>
      <c r="F3" s="15"/>
      <c r="G3" s="15"/>
    </row>
    <row r="4" spans="2:10" ht="22.2" thickBot="1" x14ac:dyDescent="0.55000000000000004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2" thickBot="1" x14ac:dyDescent="0.35">
      <c r="B5" s="27" t="s">
        <v>124</v>
      </c>
      <c r="C5" s="28" t="s">
        <v>125</v>
      </c>
      <c r="D5" s="28" t="s">
        <v>126</v>
      </c>
      <c r="E5" s="28" t="s">
        <v>127</v>
      </c>
      <c r="F5" s="28" t="s">
        <v>128</v>
      </c>
      <c r="G5" s="28" t="s">
        <v>129</v>
      </c>
      <c r="H5" s="28" t="s">
        <v>130</v>
      </c>
      <c r="I5" s="28" t="s">
        <v>131</v>
      </c>
    </row>
    <row r="7" spans="2:10" ht="15" thickBot="1" x14ac:dyDescent="0.35"/>
    <row r="8" spans="2:10" ht="43.8" thickBot="1" x14ac:dyDescent="0.35">
      <c r="B8" s="33" t="s">
        <v>140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154</v>
      </c>
    </row>
    <row r="9" spans="2:10" ht="17.399999999999999" thickBot="1" x14ac:dyDescent="0.35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7.399999999999999" thickBot="1" x14ac:dyDescent="0.35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7.399999999999999" thickBot="1" x14ac:dyDescent="0.35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7.399999999999999" thickBot="1" x14ac:dyDescent="0.35">
      <c r="B12" s="28">
        <v>5</v>
      </c>
      <c r="C12" s="32">
        <v>0.25</v>
      </c>
      <c r="D12" s="32">
        <v>0.25</v>
      </c>
      <c r="E12" s="35">
        <v>0.25</v>
      </c>
    </row>
    <row r="13" spans="2:10" ht="17.399999999999999" thickBot="1" x14ac:dyDescent="0.35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4" x14ac:dyDescent="0.45">
      <c r="B15" s="52"/>
      <c r="C15" s="52"/>
      <c r="D15" s="52"/>
      <c r="E15" s="52"/>
      <c r="F15" s="52"/>
    </row>
    <row r="16" spans="2:10" ht="23.4" x14ac:dyDescent="0.45">
      <c r="B16" s="52"/>
      <c r="C16" s="52"/>
      <c r="D16" s="52"/>
      <c r="E16" s="52"/>
      <c r="F16" s="52"/>
    </row>
    <row r="17" spans="2:6" ht="23.4" x14ac:dyDescent="0.45">
      <c r="B17" s="52"/>
      <c r="C17" s="52"/>
      <c r="D17" s="62"/>
      <c r="E17" s="52"/>
      <c r="F17" s="52"/>
    </row>
    <row r="18" spans="2:6" ht="23.4" x14ac:dyDescent="0.45">
      <c r="B18" s="52"/>
      <c r="C18" s="52"/>
      <c r="D18" s="52"/>
      <c r="E18" s="52"/>
      <c r="F18" s="62"/>
    </row>
    <row r="19" spans="2:6" ht="23.4" x14ac:dyDescent="0.45">
      <c r="B19" s="52"/>
      <c r="C19" s="52"/>
      <c r="D19" s="52"/>
      <c r="E19" s="52"/>
      <c r="F19" s="52"/>
    </row>
    <row r="20" spans="2:6" ht="23.4" x14ac:dyDescent="0.45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4" sqref="W4:AN7"/>
    </sheetView>
  </sheetViews>
  <sheetFormatPr defaultColWidth="2" defaultRowHeight="9.75" customHeight="1" x14ac:dyDescent="0.4"/>
  <cols>
    <col min="1" max="16384" width="2" style="5"/>
  </cols>
  <sheetData>
    <row r="1" spans="3:80" ht="9.75" customHeight="1" thickBot="1" x14ac:dyDescent="0.45"/>
    <row r="2" spans="3:80" ht="9.75" customHeight="1" x14ac:dyDescent="0.4">
      <c r="W2" s="66" t="s">
        <v>77</v>
      </c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  <c r="AQ2" s="66" t="s">
        <v>78</v>
      </c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8"/>
      <c r="BK2" s="66" t="s">
        <v>79</v>
      </c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8"/>
    </row>
    <row r="3" spans="3:80" ht="9.75" customHeight="1" thickBot="1" x14ac:dyDescent="0.45">
      <c r="W3" s="69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  <c r="AQ3" s="69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1"/>
      <c r="BK3" s="69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1"/>
    </row>
    <row r="4" spans="3:80" ht="9.75" customHeight="1" x14ac:dyDescent="0.4">
      <c r="W4" s="72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4"/>
      <c r="AQ4" s="72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4"/>
      <c r="BK4" s="81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3"/>
    </row>
    <row r="5" spans="3:80" ht="9.75" customHeight="1" x14ac:dyDescent="0.4">
      <c r="W5" s="75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7"/>
      <c r="AQ5" s="75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7"/>
      <c r="BK5" s="84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6"/>
    </row>
    <row r="6" spans="3:80" ht="9.75" customHeight="1" x14ac:dyDescent="0.4">
      <c r="W6" s="75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7"/>
      <c r="AQ6" s="75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7"/>
      <c r="BK6" s="84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6"/>
    </row>
    <row r="7" spans="3:80" ht="9.75" customHeight="1" thickBot="1" x14ac:dyDescent="0.45">
      <c r="W7" s="78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80"/>
      <c r="AQ7" s="78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80"/>
      <c r="BK7" s="87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9"/>
    </row>
    <row r="8" spans="3:80" ht="9.75" customHeight="1" thickBot="1" x14ac:dyDescent="0.45"/>
    <row r="9" spans="3:80" ht="9.75" customHeight="1" x14ac:dyDescent="0.4">
      <c r="C9" s="66" t="s">
        <v>80</v>
      </c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8"/>
    </row>
    <row r="10" spans="3:80" ht="9.75" customHeight="1" thickBot="1" x14ac:dyDescent="0.45">
      <c r="C10" s="69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1"/>
    </row>
    <row r="11" spans="3:80" ht="9.75" customHeight="1" x14ac:dyDescent="0.4">
      <c r="C11" s="90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2"/>
    </row>
    <row r="12" spans="3:80" ht="9.75" customHeight="1" x14ac:dyDescent="0.4">
      <c r="C12" s="93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5"/>
    </row>
    <row r="13" spans="3:80" ht="9.75" customHeight="1" x14ac:dyDescent="0.4">
      <c r="C13" s="93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5"/>
    </row>
    <row r="14" spans="3:80" ht="9.75" customHeight="1" x14ac:dyDescent="0.4">
      <c r="C14" s="93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5"/>
    </row>
    <row r="15" spans="3:80" ht="9.75" customHeight="1" x14ac:dyDescent="0.4">
      <c r="C15" s="93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5"/>
    </row>
    <row r="16" spans="3:80" ht="9.75" customHeight="1" x14ac:dyDescent="0.4">
      <c r="C16" s="93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5"/>
    </row>
    <row r="17" spans="3:80" ht="9.75" customHeight="1" x14ac:dyDescent="0.4">
      <c r="C17" s="93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5"/>
    </row>
    <row r="18" spans="3:80" ht="9.75" customHeight="1" x14ac:dyDescent="0.4">
      <c r="C18" s="93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5"/>
    </row>
    <row r="19" spans="3:80" ht="9.75" customHeight="1" x14ac:dyDescent="0.4">
      <c r="C19" s="93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5"/>
    </row>
    <row r="20" spans="3:80" ht="9.75" customHeight="1" x14ac:dyDescent="0.4">
      <c r="C20" s="93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5"/>
    </row>
    <row r="21" spans="3:80" ht="9.75" customHeight="1" x14ac:dyDescent="0.4">
      <c r="C21" s="93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5"/>
    </row>
    <row r="22" spans="3:80" ht="9.75" customHeight="1" x14ac:dyDescent="0.4">
      <c r="C22" s="93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5"/>
    </row>
    <row r="23" spans="3:80" ht="9.75" customHeight="1" x14ac:dyDescent="0.4">
      <c r="C23" s="93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5"/>
    </row>
    <row r="24" spans="3:80" ht="9.75" customHeight="1" thickBot="1" x14ac:dyDescent="0.45">
      <c r="C24" s="96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97"/>
      <c r="BZ24" s="97"/>
      <c r="CA24" s="97"/>
      <c r="CB24" s="98"/>
    </row>
    <row r="25" spans="3:80" ht="9.75" customHeight="1" thickBot="1" x14ac:dyDescent="0.45"/>
    <row r="26" spans="3:80" ht="9.75" customHeight="1" x14ac:dyDescent="0.55000000000000004">
      <c r="C26" s="66" t="s">
        <v>81</v>
      </c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8"/>
      <c r="AO26" s="6"/>
      <c r="AP26" s="6"/>
      <c r="AQ26" s="66" t="s">
        <v>82</v>
      </c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8"/>
    </row>
    <row r="27" spans="3:80" ht="9.75" customHeight="1" thickBot="1" x14ac:dyDescent="0.6">
      <c r="C27" s="69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1"/>
      <c r="AO27" s="6"/>
      <c r="AP27" s="6"/>
      <c r="AQ27" s="69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1"/>
    </row>
    <row r="28" spans="3:80" ht="9.75" customHeight="1" x14ac:dyDescent="0.4">
      <c r="C28" s="90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2"/>
      <c r="AQ28" s="90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1"/>
      <c r="BV28" s="91"/>
      <c r="BW28" s="91"/>
      <c r="BX28" s="91"/>
      <c r="BY28" s="91"/>
      <c r="BZ28" s="91"/>
      <c r="CA28" s="91"/>
      <c r="CB28" s="92"/>
    </row>
    <row r="29" spans="3:80" ht="9.75" customHeight="1" x14ac:dyDescent="0.4">
      <c r="C29" s="93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5"/>
      <c r="AQ29" s="93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5"/>
    </row>
    <row r="30" spans="3:80" ht="9.75" customHeight="1" x14ac:dyDescent="0.4">
      <c r="C30" s="93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5"/>
      <c r="AQ30" s="93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5"/>
    </row>
    <row r="31" spans="3:80" ht="9.75" customHeight="1" x14ac:dyDescent="0.4">
      <c r="C31" s="93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5"/>
      <c r="AQ31" s="93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5"/>
    </row>
    <row r="32" spans="3:80" ht="9.75" customHeight="1" x14ac:dyDescent="0.4">
      <c r="C32" s="93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5"/>
      <c r="AQ32" s="93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5"/>
    </row>
    <row r="33" spans="3:80" ht="9.75" customHeight="1" x14ac:dyDescent="0.4">
      <c r="C33" s="93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5"/>
      <c r="AQ33" s="93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5"/>
    </row>
    <row r="34" spans="3:80" ht="9.75" customHeight="1" x14ac:dyDescent="0.4">
      <c r="C34" s="93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5"/>
      <c r="AQ34" s="93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5"/>
    </row>
    <row r="35" spans="3:80" ht="9.75" customHeight="1" x14ac:dyDescent="0.4">
      <c r="C35" s="93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5"/>
      <c r="AQ35" s="93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5"/>
    </row>
    <row r="36" spans="3:80" ht="9.75" customHeight="1" x14ac:dyDescent="0.4">
      <c r="C36" s="93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5"/>
      <c r="AQ36" s="93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5"/>
    </row>
    <row r="37" spans="3:80" ht="9.75" customHeight="1" x14ac:dyDescent="0.4">
      <c r="C37" s="93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5"/>
      <c r="AQ37" s="93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5"/>
    </row>
    <row r="38" spans="3:80" ht="9.75" customHeight="1" x14ac:dyDescent="0.4">
      <c r="C38" s="93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5"/>
      <c r="AQ38" s="93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5"/>
    </row>
    <row r="39" spans="3:80" ht="9.75" customHeight="1" x14ac:dyDescent="0.4">
      <c r="C39" s="93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5"/>
      <c r="AQ39" s="93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5"/>
    </row>
    <row r="40" spans="3:80" ht="9.75" customHeight="1" x14ac:dyDescent="0.4">
      <c r="C40" s="93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5"/>
      <c r="AQ40" s="93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5"/>
    </row>
    <row r="41" spans="3:80" ht="9.75" customHeight="1" x14ac:dyDescent="0.4">
      <c r="C41" s="93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5"/>
      <c r="AQ41" s="93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5"/>
    </row>
    <row r="42" spans="3:80" ht="9.75" customHeight="1" x14ac:dyDescent="0.4">
      <c r="C42" s="93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5"/>
      <c r="AQ42" s="93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5"/>
    </row>
    <row r="43" spans="3:80" ht="9.75" customHeight="1" x14ac:dyDescent="0.4">
      <c r="C43" s="93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5"/>
      <c r="AQ43" s="93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5"/>
    </row>
    <row r="44" spans="3:80" ht="9.75" customHeight="1" x14ac:dyDescent="0.4">
      <c r="C44" s="93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5"/>
      <c r="AQ44" s="93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5"/>
    </row>
    <row r="45" spans="3:80" ht="9.75" customHeight="1" x14ac:dyDescent="0.4">
      <c r="C45" s="93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5"/>
      <c r="AQ45" s="93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5"/>
    </row>
    <row r="46" spans="3:80" ht="9.75" customHeight="1" thickBot="1" x14ac:dyDescent="0.45">
      <c r="C46" s="96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8"/>
      <c r="AQ46" s="96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7"/>
      <c r="BP46" s="97"/>
      <c r="BQ46" s="97"/>
      <c r="BR46" s="97"/>
      <c r="BS46" s="97"/>
      <c r="BT46" s="97"/>
      <c r="BU46" s="97"/>
      <c r="BV46" s="97"/>
      <c r="BW46" s="97"/>
      <c r="BX46" s="97"/>
      <c r="BY46" s="97"/>
      <c r="BZ46" s="97"/>
      <c r="CA46" s="97"/>
      <c r="CB46" s="98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3</vt:i4>
      </vt:variant>
    </vt:vector>
  </HeadingPairs>
  <TitlesOfParts>
    <vt:vector size="10" baseType="lpstr">
      <vt:lpstr>Menu</vt:lpstr>
      <vt:lpstr>Produtos</vt:lpstr>
      <vt:lpstr>Vendedores</vt:lpstr>
      <vt:lpstr>Vendas</vt:lpstr>
      <vt:lpstr>Consultas</vt:lpstr>
      <vt:lpstr>Cadastros Auxiliares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Samantha Faustino</cp:lastModifiedBy>
  <cp:lastPrinted>2023-06-07T14:57:58Z</cp:lastPrinted>
  <dcterms:created xsi:type="dcterms:W3CDTF">2023-06-02T17:54:12Z</dcterms:created>
  <dcterms:modified xsi:type="dcterms:W3CDTF">2023-12-05T14:02:22Z</dcterms:modified>
</cp:coreProperties>
</file>