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0.110\eletrodata\Dicom\SEGURO\"/>
    </mc:Choice>
  </mc:AlternateContent>
  <xr:revisionPtr revIDLastSave="0" documentId="13_ncr:1_{55473011-7799-41DF-B37F-516DF630D9DE}" xr6:coauthVersionLast="47" xr6:coauthVersionMax="47" xr10:uidLastSave="{00000000-0000-0000-0000-000000000000}"/>
  <bookViews>
    <workbookView xWindow="-120" yWindow="-120" windowWidth="20730" windowHeight="11160" tabRatio="795" xr2:uid="{00000000-000D-0000-FFFF-FFFF00000000}"/>
  </bookViews>
  <sheets>
    <sheet name="Apólices" sheetId="1" r:id="rId1"/>
    <sheet name="Boletos" sheetId="4" r:id="rId2"/>
    <sheet name="8241" sheetId="3" r:id="rId3"/>
    <sheet name="Credito Pottencial" sheetId="6" r:id="rId4"/>
    <sheet name="contatos" sheetId="2" r:id="rId5"/>
    <sheet name="Planilha1" sheetId="7" r:id="rId6"/>
    <sheet name="lev fat" sheetId="8" r:id="rId7"/>
  </sheets>
  <definedNames>
    <definedName name="_xlnm._FilterDatabase" localSheetId="0" hidden="1">Apólices!$A$4:$Q$246</definedName>
    <definedName name="_xlnm._FilterDatabase" localSheetId="1" hidden="1">Boletos!$A$3:$H$244</definedName>
    <definedName name="_xlnm._FilterDatabase" localSheetId="6" hidden="1">'lev fat'!$A$4:$C$34</definedName>
    <definedName name="_xlnm.Print_Area" localSheetId="2">'8241'!$A$1:$J$13</definedName>
    <definedName name="_xlnm.Print_Area" localSheetId="0">Apólices!$A$1:$Q$188</definedName>
    <definedName name="_xlnm.Print_Area" localSheetId="6">'lev fat'!$A$1:$C$38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4" i="1" l="1"/>
  <c r="H243" i="1"/>
  <c r="E39" i="1"/>
  <c r="H39" i="1" s="1"/>
  <c r="H238" i="1" l="1"/>
  <c r="H154" i="1"/>
  <c r="H88" i="1" l="1"/>
  <c r="H87" i="1" l="1"/>
  <c r="E24" i="1"/>
  <c r="E181" i="1" l="1"/>
  <c r="H230" i="1" l="1"/>
  <c r="H234" i="1"/>
  <c r="H72" i="1"/>
  <c r="H180" i="1"/>
  <c r="E129" i="1"/>
  <c r="H129" i="1" s="1"/>
  <c r="E38" i="1"/>
  <c r="H14" i="1" l="1"/>
  <c r="H15" i="1" s="1"/>
  <c r="H116" i="1"/>
  <c r="H219" i="1"/>
  <c r="E109" i="1"/>
  <c r="H109" i="1" s="1"/>
  <c r="H196" i="1"/>
  <c r="H197" i="1" s="1"/>
  <c r="H216" i="1"/>
  <c r="H178" i="1" l="1"/>
  <c r="H246" i="1"/>
  <c r="E128" i="1" l="1"/>
  <c r="K248" i="1"/>
  <c r="H23" i="1"/>
  <c r="E187" i="1"/>
  <c r="H187" i="1" s="1"/>
  <c r="H101" i="1"/>
  <c r="H59" i="1"/>
  <c r="H60" i="1" s="1"/>
  <c r="E215" i="1"/>
  <c r="H94" i="1"/>
  <c r="H194" i="1"/>
  <c r="H195" i="1" s="1"/>
  <c r="H201" i="1"/>
  <c r="H37" i="1"/>
  <c r="H38" i="1" s="1"/>
  <c r="H95" i="1" l="1"/>
  <c r="H96" i="1" s="1"/>
  <c r="H22" i="1"/>
  <c r="H242" i="1"/>
  <c r="H173" i="1"/>
  <c r="H174" i="1" s="1"/>
  <c r="E210" i="1" l="1"/>
  <c r="H167" i="1"/>
  <c r="H166" i="1"/>
  <c r="E113" i="1" l="1"/>
  <c r="H113" i="1" s="1"/>
  <c r="E114" i="1"/>
  <c r="H114" i="1" s="1"/>
  <c r="E134" i="1"/>
  <c r="H134" i="1" s="1"/>
  <c r="E135" i="1"/>
  <c r="H135" i="1" s="1"/>
  <c r="H137" i="1" s="1"/>
  <c r="H240" i="1"/>
  <c r="E35" i="1"/>
  <c r="H147" i="1" l="1"/>
  <c r="E127" i="1"/>
  <c r="E126" i="1"/>
  <c r="H127" i="1" l="1"/>
  <c r="A1" i="8"/>
  <c r="E214" i="1" l="1"/>
  <c r="H161" i="1"/>
  <c r="H162" i="1" s="1"/>
  <c r="E99" i="1"/>
  <c r="H99" i="1" s="1"/>
  <c r="H146" i="1"/>
  <c r="H148" i="1" s="1"/>
  <c r="H172" i="1"/>
  <c r="H13" i="1"/>
  <c r="H152" i="1"/>
  <c r="H153" i="1" s="1"/>
  <c r="E209" i="1"/>
  <c r="E12" i="1"/>
  <c r="E65" i="1" l="1"/>
  <c r="H84" i="1"/>
  <c r="E235" i="1"/>
  <c r="H85" i="1" l="1"/>
  <c r="H86" i="1" s="1"/>
  <c r="H235" i="1"/>
  <c r="H236" i="1" s="1"/>
  <c r="E208" i="1"/>
  <c r="H208" i="1" s="1"/>
  <c r="E213" i="1" l="1"/>
  <c r="H231" i="1"/>
  <c r="H224" i="1"/>
  <c r="H222" i="1"/>
  <c r="H223" i="1" s="1"/>
  <c r="H34" i="1"/>
  <c r="H232" i="1" l="1"/>
  <c r="H233" i="1" s="1"/>
  <c r="H225" i="1"/>
  <c r="H226" i="1" s="1"/>
  <c r="H125" i="1"/>
  <c r="H126" i="1" s="1"/>
  <c r="H227" i="1" l="1"/>
  <c r="H229" i="1" s="1"/>
  <c r="H217" i="1"/>
  <c r="H212" i="1" l="1"/>
  <c r="H213" i="1" l="1"/>
  <c r="H214" i="1" s="1"/>
  <c r="H215" i="1" s="1"/>
  <c r="D6" i="7"/>
  <c r="D5" i="7"/>
  <c r="D3" i="7"/>
  <c r="D2" i="7"/>
  <c r="D1" i="7"/>
  <c r="D7" i="7" s="1"/>
  <c r="D8" i="7" s="1"/>
  <c r="H211" i="1"/>
  <c r="H98" i="1"/>
  <c r="H106" i="1"/>
  <c r="H176" i="1" l="1"/>
  <c r="H177" i="1" s="1"/>
  <c r="R121" i="1" l="1"/>
  <c r="H33" i="1"/>
  <c r="H20" i="1" l="1"/>
  <c r="H207" i="1" l="1"/>
  <c r="H47" i="1"/>
  <c r="H48" i="1" s="1"/>
  <c r="H204" i="1"/>
  <c r="H191" i="1"/>
  <c r="H192" i="1" s="1"/>
  <c r="H46" i="1"/>
  <c r="H190" i="1"/>
  <c r="E151" i="1"/>
  <c r="E92" i="1"/>
  <c r="H92" i="1" s="1"/>
  <c r="H198" i="1"/>
  <c r="H32" i="1"/>
  <c r="H205" i="1" l="1"/>
  <c r="H206" i="1" s="1"/>
  <c r="H199" i="1"/>
  <c r="H200" i="1" s="1"/>
  <c r="H165" i="1" l="1"/>
  <c r="E164" i="1" l="1"/>
  <c r="H31" i="1" l="1"/>
  <c r="H188" i="1" l="1"/>
  <c r="H45" i="1" l="1"/>
  <c r="H143" i="1" l="1"/>
  <c r="H144" i="1" s="1"/>
  <c r="H160" i="1" l="1"/>
  <c r="E11" i="1" l="1"/>
  <c r="C2" i="6" l="1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H150" i="1" l="1"/>
  <c r="H151" i="1" s="1"/>
  <c r="D63" i="4" l="1"/>
  <c r="H83" i="1"/>
  <c r="D62" i="4" l="1"/>
  <c r="H121" i="1" l="1"/>
  <c r="D54" i="4" l="1"/>
  <c r="H182" i="1" l="1"/>
  <c r="H104" i="1" l="1"/>
  <c r="E8" i="1" l="1"/>
  <c r="H5" i="1"/>
  <c r="E7" i="1"/>
  <c r="H7" i="1" s="1"/>
  <c r="H16" i="1"/>
  <c r="H27" i="1"/>
  <c r="H25" i="1"/>
  <c r="H26" i="1" s="1"/>
  <c r="H28" i="1" l="1"/>
  <c r="H30" i="1" s="1"/>
  <c r="H40" i="1"/>
  <c r="H41" i="1" s="1"/>
  <c r="H43" i="1"/>
  <c r="H55" i="1"/>
  <c r="H50" i="1"/>
  <c r="E79" i="1"/>
  <c r="E78" i="1"/>
  <c r="E77" i="1"/>
  <c r="E76" i="1"/>
  <c r="H74" i="1" l="1"/>
  <c r="H75" i="1" s="1"/>
  <c r="E62" i="1"/>
  <c r="H61" i="1"/>
  <c r="H68" i="1"/>
  <c r="H89" i="1"/>
  <c r="E102" i="1"/>
  <c r="H102" i="1" s="1"/>
  <c r="H62" i="1" l="1"/>
  <c r="H63" i="1" s="1"/>
  <c r="H117" i="1"/>
  <c r="H119" i="1" s="1"/>
  <c r="H140" i="1"/>
  <c r="H141" i="1" s="1"/>
  <c r="H138" i="1"/>
  <c r="H139" i="1" s="1"/>
  <c r="H17" i="1"/>
  <c r="A1" i="1" l="1"/>
  <c r="G243" i="1" l="1"/>
  <c r="G244" i="1"/>
  <c r="G39" i="1"/>
  <c r="K39" i="1"/>
  <c r="G239" i="1"/>
  <c r="G238" i="1"/>
  <c r="K238" i="1"/>
  <c r="G154" i="1"/>
  <c r="K154" i="1"/>
  <c r="G202" i="1"/>
  <c r="K241" i="1"/>
  <c r="K219" i="1"/>
  <c r="K221" i="1"/>
  <c r="K220" i="1"/>
  <c r="K73" i="1"/>
  <c r="G219" i="1"/>
  <c r="G220" i="1"/>
  <c r="G221" i="1"/>
  <c r="G88" i="1"/>
  <c r="K88" i="1"/>
  <c r="K60" i="1"/>
  <c r="G73" i="1"/>
  <c r="K24" i="1"/>
  <c r="K96" i="1"/>
  <c r="G148" i="1"/>
  <c r="K148" i="1"/>
  <c r="K234" i="1"/>
  <c r="K87" i="1"/>
  <c r="G87" i="1"/>
  <c r="G96" i="1"/>
  <c r="G24" i="1"/>
  <c r="G241" i="1"/>
  <c r="K181" i="1"/>
  <c r="G60" i="1"/>
  <c r="G181" i="1"/>
  <c r="K230" i="1"/>
  <c r="G230" i="1"/>
  <c r="G234" i="1"/>
  <c r="K72" i="1"/>
  <c r="G130" i="1"/>
  <c r="G72" i="1"/>
  <c r="K174" i="1"/>
  <c r="G180" i="1"/>
  <c r="K180" i="1"/>
  <c r="G174" i="1"/>
  <c r="K206" i="1"/>
  <c r="K129" i="1"/>
  <c r="G206" i="1"/>
  <c r="K15" i="1"/>
  <c r="G129" i="1"/>
  <c r="K38" i="1"/>
  <c r="G15" i="1"/>
  <c r="K223" i="1"/>
  <c r="K67" i="1"/>
  <c r="K14" i="1"/>
  <c r="G223" i="1"/>
  <c r="G14" i="1"/>
  <c r="G38" i="1"/>
  <c r="K137" i="1"/>
  <c r="G67" i="1"/>
  <c r="K233" i="1"/>
  <c r="G233" i="1"/>
  <c r="G86" i="1"/>
  <c r="K86" i="1"/>
  <c r="K187" i="1"/>
  <c r="K128" i="1"/>
  <c r="K178" i="1"/>
  <c r="K109" i="1"/>
  <c r="G218" i="1"/>
  <c r="K218" i="1"/>
  <c r="K246" i="1"/>
  <c r="G109" i="1"/>
  <c r="G137" i="1"/>
  <c r="K216" i="1"/>
  <c r="K196" i="1"/>
  <c r="K229" i="1"/>
  <c r="G216" i="1"/>
  <c r="K195" i="1"/>
  <c r="G116" i="1"/>
  <c r="G195" i="1"/>
  <c r="G178" i="1"/>
  <c r="G229" i="1"/>
  <c r="K108" i="1"/>
  <c r="G245" i="1"/>
  <c r="G246" i="1"/>
  <c r="G128" i="1"/>
  <c r="G108" i="1"/>
  <c r="G23" i="1"/>
  <c r="K23" i="1"/>
  <c r="G186" i="1"/>
  <c r="K101" i="1"/>
  <c r="G187" i="1"/>
  <c r="G185" i="1"/>
  <c r="G95" i="1"/>
  <c r="K95" i="1"/>
  <c r="K66" i="1"/>
  <c r="G101" i="1"/>
  <c r="K227" i="1"/>
  <c r="G66" i="1"/>
  <c r="K194" i="1"/>
  <c r="G227" i="1"/>
  <c r="K59" i="1"/>
  <c r="K153" i="1"/>
  <c r="K94" i="1"/>
  <c r="K215" i="1"/>
  <c r="G153" i="1"/>
  <c r="G59" i="1"/>
  <c r="K37" i="1"/>
  <c r="G215" i="1"/>
  <c r="G37" i="1"/>
  <c r="G94" i="1"/>
  <c r="K85" i="1"/>
  <c r="G136" i="1"/>
  <c r="G201" i="1"/>
  <c r="K167" i="1"/>
  <c r="G85" i="1"/>
  <c r="K22" i="1"/>
  <c r="G237" i="1"/>
  <c r="K242" i="1"/>
  <c r="G236" i="1"/>
  <c r="G22" i="1"/>
  <c r="G200" i="1"/>
  <c r="G21" i="1"/>
  <c r="K173" i="1"/>
  <c r="G242" i="1"/>
  <c r="K210" i="1"/>
  <c r="K58" i="1"/>
  <c r="G173" i="1"/>
  <c r="K36" i="1"/>
  <c r="G210" i="1"/>
  <c r="G58" i="1"/>
  <c r="G166" i="1"/>
  <c r="G167" i="1"/>
  <c r="G36" i="1"/>
  <c r="G115" i="1"/>
  <c r="K135" i="1"/>
  <c r="K114" i="1"/>
  <c r="K162" i="1"/>
  <c r="K226" i="1"/>
  <c r="K240" i="1"/>
  <c r="K35" i="1"/>
  <c r="G226" i="1"/>
  <c r="G162" i="1"/>
  <c r="G114" i="1"/>
  <c r="G194" i="1"/>
  <c r="K147" i="1"/>
  <c r="G135" i="1"/>
  <c r="G35" i="1"/>
  <c r="G240" i="1"/>
  <c r="K113" i="1"/>
  <c r="G147" i="1"/>
  <c r="K100" i="1"/>
  <c r="K134" i="1"/>
  <c r="K225" i="1"/>
  <c r="K127" i="1"/>
  <c r="G127" i="1"/>
  <c r="G225" i="1"/>
  <c r="K126" i="1"/>
  <c r="K49" i="1"/>
  <c r="G126" i="1"/>
  <c r="K107" i="1"/>
  <c r="G134" i="1"/>
  <c r="G113" i="1"/>
  <c r="K214" i="1"/>
  <c r="G100" i="1"/>
  <c r="K99" i="1"/>
  <c r="G214" i="1"/>
  <c r="K161" i="1"/>
  <c r="K146" i="1"/>
  <c r="G99" i="1"/>
  <c r="G161" i="1"/>
  <c r="G107" i="1"/>
  <c r="G146" i="1"/>
  <c r="G172" i="1"/>
  <c r="K172" i="1"/>
  <c r="K13" i="1"/>
  <c r="K171" i="1"/>
  <c r="G13" i="1"/>
  <c r="K152" i="1"/>
  <c r="K209" i="1"/>
  <c r="G152" i="1"/>
  <c r="G171" i="1"/>
  <c r="G209" i="1"/>
  <c r="K12" i="1"/>
  <c r="K177" i="1"/>
  <c r="G12" i="1"/>
  <c r="K65" i="1"/>
  <c r="G65" i="1"/>
  <c r="K84" i="1"/>
  <c r="G84" i="1"/>
  <c r="K192" i="1"/>
  <c r="G199" i="1"/>
  <c r="K236" i="1"/>
  <c r="G192" i="1"/>
  <c r="G177" i="1"/>
  <c r="G235" i="1"/>
  <c r="K235" i="1"/>
  <c r="G232" i="1"/>
  <c r="K232" i="1"/>
  <c r="K213" i="1"/>
  <c r="K208" i="1"/>
  <c r="G213" i="1"/>
  <c r="G208" i="1"/>
  <c r="G48" i="1"/>
  <c r="K48" i="1"/>
  <c r="K231" i="1"/>
  <c r="K224" i="1"/>
  <c r="G231" i="1"/>
  <c r="K222" i="1"/>
  <c r="G222" i="1"/>
  <c r="G224" i="1"/>
  <c r="G34" i="1"/>
  <c r="K34" i="1"/>
  <c r="K125" i="1"/>
  <c r="G125" i="1"/>
  <c r="G217" i="1"/>
  <c r="K217" i="1"/>
  <c r="K212" i="1"/>
  <c r="G205" i="1"/>
  <c r="K106" i="1"/>
  <c r="G212" i="1"/>
  <c r="K98" i="1"/>
  <c r="G211" i="1"/>
  <c r="G106" i="1"/>
  <c r="G98" i="1"/>
  <c r="K33" i="1"/>
  <c r="K124" i="1"/>
  <c r="K133" i="1"/>
  <c r="K93" i="1"/>
  <c r="K112" i="1"/>
  <c r="K176" i="1"/>
  <c r="G133" i="1"/>
  <c r="G112" i="1"/>
  <c r="G176" i="1"/>
  <c r="G124" i="1"/>
  <c r="G33" i="1"/>
  <c r="G20" i="1"/>
  <c r="K20" i="1"/>
  <c r="G93" i="1"/>
  <c r="K145" i="1"/>
  <c r="K144" i="1"/>
  <c r="K170" i="1"/>
  <c r="K207" i="1"/>
  <c r="K71" i="1"/>
  <c r="G207" i="1"/>
  <c r="K204" i="1"/>
  <c r="G71" i="1"/>
  <c r="K47" i="1"/>
  <c r="G204" i="1"/>
  <c r="G144" i="1"/>
  <c r="G47" i="1"/>
  <c r="G170" i="1"/>
  <c r="K46" i="1"/>
  <c r="K191" i="1"/>
  <c r="G190" i="1"/>
  <c r="G191" i="1"/>
  <c r="K190" i="1"/>
  <c r="G46" i="1"/>
  <c r="K92" i="1"/>
  <c r="G151" i="1"/>
  <c r="K151" i="1"/>
  <c r="G92" i="1"/>
  <c r="G198" i="1"/>
  <c r="G203" i="1"/>
  <c r="G32" i="1"/>
  <c r="K32" i="1"/>
  <c r="K19" i="1"/>
  <c r="K165" i="1"/>
  <c r="K164" i="1"/>
  <c r="G164" i="1"/>
  <c r="G165" i="1"/>
  <c r="K31" i="1"/>
  <c r="G19" i="1"/>
  <c r="G31" i="1"/>
  <c r="G188" i="1"/>
  <c r="K188" i="1"/>
  <c r="K45" i="1"/>
  <c r="G45" i="1"/>
  <c r="K143" i="1"/>
  <c r="G143" i="1"/>
  <c r="K160" i="1"/>
  <c r="G57" i="1"/>
  <c r="G160" i="1"/>
  <c r="K11" i="1"/>
  <c r="G10" i="1"/>
  <c r="G11" i="1"/>
  <c r="K150" i="1"/>
  <c r="K83" i="1"/>
  <c r="G150" i="1"/>
  <c r="K91" i="1"/>
  <c r="G83" i="1"/>
  <c r="G184" i="1"/>
  <c r="G91" i="1"/>
  <c r="G123" i="1"/>
  <c r="G18" i="1"/>
  <c r="G169" i="1"/>
  <c r="K169" i="1"/>
  <c r="G105" i="1"/>
  <c r="K121" i="1"/>
  <c r="G183" i="1"/>
  <c r="G121" i="1"/>
  <c r="G120" i="1"/>
  <c r="K182" i="1"/>
  <c r="K104" i="1"/>
  <c r="G118" i="1"/>
  <c r="G182" i="1"/>
  <c r="G142" i="1"/>
  <c r="G159" i="1"/>
  <c r="G104" i="1"/>
  <c r="G158" i="1"/>
  <c r="G8" i="1"/>
  <c r="G9" i="1"/>
  <c r="G6" i="1"/>
  <c r="K6" i="1"/>
  <c r="G5" i="1"/>
  <c r="K5" i="1"/>
  <c r="K16" i="1"/>
  <c r="K7" i="1"/>
  <c r="G7" i="1"/>
  <c r="G29" i="1"/>
  <c r="G16" i="1"/>
  <c r="G28" i="1"/>
  <c r="K28" i="1"/>
  <c r="G27" i="1"/>
  <c r="K27" i="1"/>
  <c r="G26" i="1"/>
  <c r="K26" i="1"/>
  <c r="G25" i="1"/>
  <c r="K25" i="1"/>
  <c r="G42" i="1"/>
  <c r="G44" i="1"/>
  <c r="G41" i="1"/>
  <c r="K41" i="1"/>
  <c r="G40" i="1"/>
  <c r="K40" i="1"/>
  <c r="K43" i="1"/>
  <c r="G43" i="1"/>
  <c r="G54" i="1"/>
  <c r="G55" i="1"/>
  <c r="G53" i="1"/>
  <c r="G52" i="1"/>
  <c r="G51" i="1"/>
  <c r="G50" i="1"/>
  <c r="K52" i="1"/>
  <c r="K80" i="1"/>
  <c r="G79" i="1"/>
  <c r="G80" i="1"/>
  <c r="G77" i="1"/>
  <c r="G78" i="1"/>
  <c r="K75" i="1"/>
  <c r="G76" i="1"/>
  <c r="K74" i="1"/>
  <c r="G75" i="1"/>
  <c r="G74" i="1"/>
  <c r="G62" i="1"/>
  <c r="K62" i="1"/>
  <c r="K61" i="1"/>
  <c r="G61" i="1"/>
  <c r="K68" i="1"/>
  <c r="K89" i="1"/>
  <c r="G69" i="1"/>
  <c r="G68" i="1"/>
  <c r="G103" i="1"/>
  <c r="G89" i="1"/>
  <c r="K102" i="1"/>
  <c r="G102" i="1"/>
  <c r="G117" i="1"/>
  <c r="K117" i="1"/>
  <c r="G140" i="1"/>
  <c r="K140" i="1"/>
  <c r="G139" i="1"/>
  <c r="K139" i="1"/>
  <c r="G138" i="1"/>
  <c r="K138" i="1"/>
  <c r="K81" i="1"/>
  <c r="G81" i="1"/>
  <c r="K17" i="1"/>
  <c r="G17" i="1"/>
  <c r="G175" i="1"/>
  <c r="G179" i="1"/>
  <c r="G70" i="1"/>
  <c r="G90" i="1"/>
  <c r="G110" i="1"/>
  <c r="G149" i="1"/>
  <c r="G168" i="1"/>
  <c r="G56" i="1"/>
  <c r="G97" i="1"/>
  <c r="G119" i="1"/>
  <c r="G157" i="1"/>
  <c r="G30" i="1"/>
  <c r="G63" i="1"/>
  <c r="G82" i="1"/>
  <c r="G131" i="1"/>
  <c r="G163" i="1"/>
  <c r="G64" i="1"/>
  <c r="G141" i="1"/>
  <c r="K179" i="1"/>
  <c r="K163" i="1"/>
  <c r="K131" i="1"/>
  <c r="K56" i="1"/>
  <c r="K110" i="1"/>
  <c r="K64" i="1"/>
  <c r="K168" i="1"/>
  <c r="K63" i="1"/>
  <c r="K175" i="1"/>
  <c r="K157" i="1"/>
  <c r="K119" i="1"/>
  <c r="K97" i="1"/>
  <c r="K70" i="1"/>
  <c r="K149" i="1"/>
  <c r="K90" i="1"/>
  <c r="K30" i="1"/>
  <c r="K141" i="1"/>
  <c r="K82" i="1"/>
  <c r="H175" i="1"/>
  <c r="H64" i="1" l="1"/>
  <c r="E82" i="1"/>
  <c r="H82" i="1" s="1"/>
  <c r="H179" i="1"/>
  <c r="H168" i="1"/>
  <c r="H163" i="1"/>
  <c r="H164" i="1" s="1"/>
  <c r="H157" i="1"/>
  <c r="H149" i="1"/>
  <c r="H131" i="1"/>
  <c r="H133" i="1" s="1"/>
  <c r="H110" i="1"/>
  <c r="H112" i="1" s="1"/>
  <c r="H97" i="1"/>
  <c r="H90" i="1"/>
  <c r="H91" i="1" s="1"/>
  <c r="H70" i="1"/>
  <c r="H169" i="1" l="1"/>
  <c r="H170" i="1" s="1"/>
  <c r="H17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tc={53BF4E61-B69C-45BF-928D-C65484AA25D9}</author>
    <author>Eletrodata</author>
    <author>8101-ATC-CAROLINA</author>
    <author>tc={2D660414-6CA0-40EC-AE9A-C3905238C2DF}</author>
  </authors>
  <commentList>
    <comment ref="H6" authorId="0" shapeId="0" xr:uid="{53BF4E61-B69C-45BF-928D-C65484AA25D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ESTIPULADO PELO CLIENTE. A MENOR DO QUE OS 5% PADRÃO</t>
        </r>
      </text>
    </comment>
    <comment ref="E65" authorId="1" shapeId="0" xr:uid="{9D7AF72B-10FD-4AB6-8E4B-6D2D4DAE3EE9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só considerando o aumento do VA</t>
        </r>
      </text>
    </comment>
    <comment ref="Q98" authorId="1" shapeId="0" xr:uid="{37C2A86A-6890-4487-893C-FBB8FB476849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Há na pasta uma primeira apólice com periodo de inicio anterior e data do fim anterior, que suspendemos. </t>
        </r>
      </text>
    </comment>
    <comment ref="Q111" authorId="1" shapeId="0" xr:uid="{544DF24A-59FD-465C-8B8F-6A4DBC3FD77A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Só soube deste TA quando chegou o segundo, de forma que ficou sem o seguro garantia.</t>
        </r>
      </text>
    </comment>
    <comment ref="Q128" authorId="2" shapeId="0" xr:uid="{99053F57-7EE7-4B2F-9317-A7F5E200A01A}">
      <text>
        <r>
          <rPr>
            <b/>
            <sz val="9"/>
            <color indexed="81"/>
            <rFont val="Segoe UI"/>
            <family val="2"/>
          </rPr>
          <t>8101-ATC-CAROLINA:</t>
        </r>
        <r>
          <rPr>
            <sz val="9"/>
            <color indexed="81"/>
            <rFont val="Segoe UI"/>
            <family val="2"/>
          </rPr>
          <t xml:space="preserve">
Restituição de R$ 82,12</t>
        </r>
      </text>
    </comment>
    <comment ref="Q132" authorId="1" shapeId="0" xr:uid="{E91D212A-37F8-40E0-86FC-F0093B21DDFE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Só soube deste TA quando chegou o segundo, de forma que ficou sem o seguro garantia.</t>
        </r>
      </text>
    </comment>
    <comment ref="P133" authorId="1" shapeId="0" xr:uid="{7A2F6CDB-C533-4A07-A1EA-DDF1E41AABB2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As apólices do BB devem ser entregues em meio fisico em endereço do BB em BH</t>
        </r>
      </text>
    </comment>
    <comment ref="Q159" authorId="3" shapeId="0" xr:uid="{2D660414-6CA0-40EC-AE9A-C3905238C2D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apesar do TA ser de acrescimo, ainda não superou o valor inicial assegurado, não necessitando de outra apólice</t>
        </r>
      </text>
    </comment>
    <comment ref="E186" authorId="1" shapeId="0" xr:uid="{741B5FAD-B40B-4F87-B58D-B424E9A21CB2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só recebi este contrato em 17.08.22</t>
        </r>
      </text>
    </comment>
    <comment ref="N191" authorId="1" shapeId="0" xr:uid="{CA4529A9-F9DF-4287-BCEA-9D7B3DB91B6D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Restituição de valor por parte da seguradora por conta da redução do valor contratual</t>
        </r>
      </text>
    </comment>
    <comment ref="Q194" authorId="1" shapeId="0" xr:uid="{6EB512FA-A74F-4F95-BC0A-BF16B5C4723E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Apólice apenas para nos cobrir, pq o cliente não aceitou ainda e estamos em discussão</t>
        </r>
      </text>
    </comment>
    <comment ref="L200" authorId="1" shapeId="0" xr:uid="{9D6825B4-0EAF-4D08-AD4F-AA9EA8569218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Clinete informa que como o apostilamento vai sair perto da prorrogaçõ, que vai deixar a garantia para a prorrogação)
</t>
        </r>
      </text>
    </comment>
    <comment ref="H201" authorId="1" shapeId="0" xr:uid="{F5654794-6CE6-4E3F-A12B-D014A25F0B4A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5% da garantia menos o valor do extrato da conta caução.
</t>
        </r>
      </text>
    </comment>
    <comment ref="H209" authorId="1" shapeId="0" xr:uid="{256B7D39-BFB0-4027-9544-A6B6C984315F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Valor fornecido pelo cliente</t>
        </r>
      </text>
    </comment>
    <comment ref="B211" authorId="1" shapeId="0" xr:uid="{DEF934FB-C750-4660-BAAA-5766E0309D7A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Cliente, na pessoa de Dra. Maria Fernanda Paiva, dispensou o seguro garantia.
E-mail na pasta do contrato confirmando</t>
        </r>
      </text>
    </comment>
    <comment ref="Q237" authorId="1" shapeId="0" xr:uid="{A331569F-70EF-40A6-B1FC-02F2312BBF97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Contrato informa que não há necessidade de garantia, visto que esta coberto a maior.</t>
        </r>
      </text>
    </comment>
    <comment ref="M238" authorId="2" shapeId="0" xr:uid="{1E0BC65B-C679-4115-90EF-ADBA2C43AD03}">
      <text>
        <r>
          <rPr>
            <b/>
            <sz val="9"/>
            <color indexed="81"/>
            <rFont val="Segoe UI"/>
            <family val="2"/>
          </rPr>
          <t>8101-ATC-CAROLINA:</t>
        </r>
        <r>
          <rPr>
            <sz val="9"/>
            <color indexed="81"/>
            <rFont val="Segoe UI"/>
            <family val="2"/>
          </rPr>
          <t xml:space="preserve">
a mesma apólice cobre 2º e 3º TA, totalizando uma cobertuda de R$ 762.839,96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tc={CA025519-7A4F-408E-9154-8F3B806FC5A5}</author>
    <author>Eletrodata</author>
  </authors>
  <commentList>
    <comment ref="A85" authorId="0" shapeId="0" xr:uid="{CA025519-7A4F-408E-9154-8F3B806FC5A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APÓLICE CANCELADA</t>
        </r>
      </text>
    </comment>
    <comment ref="F96" authorId="1" shapeId="0" xr:uid="{1B4057F2-70D2-4839-8D23-FAA53A84F46A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BOLETO CANCELADO. APÓLICE NÃO ESTAVA EM CONFORMIDADE</t>
        </r>
      </text>
    </comment>
    <comment ref="F114" authorId="1" shapeId="0" xr:uid="{24F36319-1FA5-4C05-8150-6A10EF32F524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Boleto cancelado em razão de alteração na apólice a pedido do cliente</t>
        </r>
      </text>
    </comment>
    <comment ref="F119" authorId="1" shapeId="0" xr:uid="{656823BA-E930-44A5-B620-B3C2448572F6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Este boleto substituiu o emitido em 06/09, com vencimento em 19/9.
BOLETO CANCELADO. 
</t>
        </r>
      </text>
    </comment>
    <comment ref="F120" authorId="1" shapeId="0" xr:uid="{D168B35B-50F5-43CB-A8EA-EA3C35B52C4B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Boleto cancelado. Cliente pediu alteração da apólice</t>
        </r>
      </text>
    </comment>
    <comment ref="F123" authorId="1" shapeId="0" xr:uid="{DEAB40ED-8AC7-4369-B02C-AD13A5878491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Apólice cancelada a pedfido do cliente. Valor a ser restituido pela seguradora</t>
        </r>
      </text>
    </comment>
    <comment ref="H123" authorId="1" shapeId="0" xr:uid="{E08B00AE-FED8-4F1A-89D7-C476979058CB}">
      <text>
        <r>
          <rPr>
            <b/>
            <sz val="9"/>
            <color indexed="81"/>
            <rFont val="Segoe UI"/>
            <family val="2"/>
          </rPr>
          <t>Eletrodata:</t>
        </r>
        <r>
          <rPr>
            <sz val="9"/>
            <color indexed="81"/>
            <rFont val="Segoe UI"/>
            <family val="2"/>
          </rPr>
          <t xml:space="preserve">
VALOR RESTITUIDO. Comprovante enviado para financeiro em 27/10/21</t>
        </r>
      </text>
    </comment>
  </commentList>
</comments>
</file>

<file path=xl/sharedStrings.xml><?xml version="1.0" encoding="utf-8"?>
<sst xmlns="http://schemas.openxmlformats.org/spreadsheetml/2006/main" count="2042" uniqueCount="766">
  <si>
    <t>CC</t>
  </si>
  <si>
    <t>CLIENTE</t>
  </si>
  <si>
    <t>Nº CONTRATO</t>
  </si>
  <si>
    <t>VALIDADE</t>
  </si>
  <si>
    <t>CONTRATO</t>
  </si>
  <si>
    <t>ADITIVO</t>
  </si>
  <si>
    <t>VALOR</t>
  </si>
  <si>
    <t xml:space="preserve">INÍCIO </t>
  </si>
  <si>
    <t>FIM</t>
  </si>
  <si>
    <t>PRAZO P/ O FIM</t>
  </si>
  <si>
    <t>SEGURADORA</t>
  </si>
  <si>
    <t>VALOR APÓLICE</t>
  </si>
  <si>
    <t>GERENTE CIENTE</t>
  </si>
  <si>
    <t>CLIENTE CIENTE</t>
  </si>
  <si>
    <t>SEGURO</t>
  </si>
  <si>
    <t>Pottencial</t>
  </si>
  <si>
    <t>28/16</t>
  </si>
  <si>
    <t>2º</t>
  </si>
  <si>
    <t>OBS</t>
  </si>
  <si>
    <t>CEF - MANUTENÇÃO - RJ</t>
  </si>
  <si>
    <t>4º</t>
  </si>
  <si>
    <t>J. Malucelli</t>
  </si>
  <si>
    <t>TELEFONE</t>
  </si>
  <si>
    <t>CONTATO</t>
  </si>
  <si>
    <t>E-MAIL</t>
  </si>
  <si>
    <t>Finlândia</t>
  </si>
  <si>
    <t>3113-4488 ou 3113-4492 ou 99977-5195</t>
  </si>
  <si>
    <t>Antonelli</t>
  </si>
  <si>
    <t>jois.antonelli@finlandiaseguros.com.br</t>
  </si>
  <si>
    <t>3289-0376 ou 98112-5638 ou 99963-2408</t>
  </si>
  <si>
    <t>José Antônio</t>
  </si>
  <si>
    <t>josealvares53@gmail.com</t>
  </si>
  <si>
    <t>6º</t>
  </si>
  <si>
    <t>3º</t>
  </si>
  <si>
    <t>2620/17</t>
  </si>
  <si>
    <t>1º</t>
  </si>
  <si>
    <t>17/18</t>
  </si>
  <si>
    <t>HUCAM - EBSERH ES</t>
  </si>
  <si>
    <t>CEF AGENCIAS OSASCO E PINHEIROS</t>
  </si>
  <si>
    <t>CEF AGENCIAS RECIFE</t>
  </si>
  <si>
    <t>TJ RJ</t>
  </si>
  <si>
    <t>102/18</t>
  </si>
  <si>
    <t>Junto Seguros</t>
  </si>
  <si>
    <t>CEF AGENCIAS RIBEIRÃO</t>
  </si>
  <si>
    <t>13541/18</t>
  </si>
  <si>
    <t>7º</t>
  </si>
  <si>
    <t>CEF - Facilities - MG - Tupinambas</t>
  </si>
  <si>
    <t>106/2019</t>
  </si>
  <si>
    <t>5º</t>
  </si>
  <si>
    <t>Berkley</t>
  </si>
  <si>
    <t>Caução</t>
  </si>
  <si>
    <t>UNIVERSIDADE FEDERAL DE VIÇOSA</t>
  </si>
  <si>
    <t>BB SERET RJ</t>
  </si>
  <si>
    <t>2019-7421-6232</t>
  </si>
  <si>
    <t>Endosso de apólice</t>
  </si>
  <si>
    <t>Ebserh MS</t>
  </si>
  <si>
    <t>BB MANUTENÇÃO BAURU</t>
  </si>
  <si>
    <t>BB MANUTENÇÃO ARAÇATUBA</t>
  </si>
  <si>
    <t>9º</t>
  </si>
  <si>
    <t>Fiocruz RJ</t>
  </si>
  <si>
    <t>51-2019</t>
  </si>
  <si>
    <t>7937/2018</t>
  </si>
  <si>
    <t>CEF Brás Facilities SP</t>
  </si>
  <si>
    <t>CEF José de Alencar Facilities Bsb</t>
  </si>
  <si>
    <t>Ebserh MT</t>
  </si>
  <si>
    <t>8º</t>
  </si>
  <si>
    <t>Ebserh Pi - NOVO</t>
  </si>
  <si>
    <t>27-2020</t>
  </si>
  <si>
    <t>92-2019</t>
  </si>
  <si>
    <t>CEF Presidente Prudente</t>
  </si>
  <si>
    <t>Nº APÓLICE</t>
  </si>
  <si>
    <t>0306920189907750235351000</t>
  </si>
  <si>
    <t>0306920199907750258957000</t>
  </si>
  <si>
    <t>0306920199907750281411000</t>
  </si>
  <si>
    <t>0306920189907750238804000</t>
  </si>
  <si>
    <t>11º</t>
  </si>
  <si>
    <t>Data da assinatura</t>
  </si>
  <si>
    <t>Descrição</t>
  </si>
  <si>
    <t>Vigência</t>
  </si>
  <si>
    <t>Seguradora</t>
  </si>
  <si>
    <t>Modalidade</t>
  </si>
  <si>
    <t>Numeração</t>
  </si>
  <si>
    <t>Observação</t>
  </si>
  <si>
    <t>Contrato de manutenção predial Bacen x Eletrodata. CT 50265-2016</t>
  </si>
  <si>
    <t xml:space="preserve">Pottencial </t>
  </si>
  <si>
    <t>Carta fiança</t>
  </si>
  <si>
    <t>Verificar com Cláudia o que motivou a escolha da modalidade de seguro. Cláudia pede para consultar Leonardo.</t>
  </si>
  <si>
    <t>Apostilamento. Repactuação de valores</t>
  </si>
  <si>
    <t>Outra carta fiança que complementou o valor adicionado pelo apostilamento</t>
  </si>
  <si>
    <t>1º TA. Prorroga contrato, suprime APT</t>
  </si>
  <si>
    <t>J Malucelli</t>
  </si>
  <si>
    <t>Seguro Garantia</t>
  </si>
  <si>
    <t>05-0775-0212190</t>
  </si>
  <si>
    <t>Não vi questionamentos do banco a respeito desta alteração de modalidade</t>
  </si>
  <si>
    <t>2º Ta. Redução de postos no contrato</t>
  </si>
  <si>
    <t>Não localizei seguro garantia. Como se trata de redução e a apólice anterior cobria valor a maior, imagino que não teve devido a este fator.</t>
  </si>
  <si>
    <t>3º TA. Prorrogação contratual</t>
  </si>
  <si>
    <t>Banco Neon</t>
  </si>
  <si>
    <t>Ver histórico justificando o uso da carta fiança. Puxar Historico. Esta foi a carta fiança que o banco mandou substituir 2 x?</t>
  </si>
  <si>
    <t>Apostilamanto. Repactuação e reajuste</t>
  </si>
  <si>
    <t>0306920189907750230786000</t>
  </si>
  <si>
    <t>Ver no historico porque esta garantia tem o in[icio tão antes.</t>
  </si>
  <si>
    <t>4º TA. Prorrogação e acrécimo contratual</t>
  </si>
  <si>
    <t>5º TA. Redução de postos de trabalho</t>
  </si>
  <si>
    <t>Não há seguro garantia pois o valor do contrato esta a menor do que o valor do seguro vigente contratado</t>
  </si>
  <si>
    <t>6º TA. Acréscimo de postos de trabalho</t>
  </si>
  <si>
    <t>Não há seguro garantia pois o valor do contrato, apesar de ter sofrido um acréscimo, esta a menor do que o valor do seguro vigente contratado</t>
  </si>
  <si>
    <t>7º TA. Redução de postos de trabalho</t>
  </si>
  <si>
    <t>8º TA. Reáctuação e prorrogação contratual</t>
  </si>
  <si>
    <t>UFC</t>
  </si>
  <si>
    <t>INMETRO II</t>
  </si>
  <si>
    <t>0306920209907750422411000</t>
  </si>
  <si>
    <t>SEGURO GARANTIA</t>
  </si>
  <si>
    <t>RELAÇÃO DE BOLETOS ENVIADOS POR EMAIL</t>
  </si>
  <si>
    <t>DATA</t>
  </si>
  <si>
    <t>CENTRO DE CUSTOS</t>
  </si>
  <si>
    <t>Nº DA  APÓLICE</t>
  </si>
  <si>
    <t>CÓDIGO DE BARRA</t>
  </si>
  <si>
    <t>VENCIMENTO</t>
  </si>
  <si>
    <t>CEF ATA RJ</t>
  </si>
  <si>
    <t>23790.46507 50000.068119 57039.550009 8 82270000050386</t>
  </si>
  <si>
    <t>UNIFESP</t>
  </si>
  <si>
    <t>0306920209907750365989000</t>
  </si>
  <si>
    <t>23790.46507 50000.069117 20039.550007 1 82410000018000</t>
  </si>
  <si>
    <t>0306920209907750366068000</t>
  </si>
  <si>
    <t>23790.46507 50000.069125 22039.550003 3 82410000018000</t>
  </si>
  <si>
    <t>EBSERH MT</t>
  </si>
  <si>
    <t>0306920209907750366206000</t>
  </si>
  <si>
    <t>23790.46507 50000.069158 13039.550002 8 82410000045500</t>
  </si>
  <si>
    <t>23790.46507 50000.069158 14039.550000 1 82710000045500</t>
  </si>
  <si>
    <t>BACEN</t>
  </si>
  <si>
    <t>50265/16</t>
  </si>
  <si>
    <t>23790.46507 50000.069158 20039.550007 4 82410000037100</t>
  </si>
  <si>
    <t>23790.46507 50000.069158 21039.550005 6 82710000037100</t>
  </si>
  <si>
    <t>23790.46507 50000.069158 22039.550003 1 83020000037100</t>
  </si>
  <si>
    <t>23790.46507 50000.069158 23039.550001 3 83320000037100</t>
  </si>
  <si>
    <t>CEF PE</t>
  </si>
  <si>
    <t>9943/18</t>
  </si>
  <si>
    <t>0306920189907750237627000</t>
  </si>
  <si>
    <t>23790.46507 50000.069349 34039.550008 1 82460000019900</t>
  </si>
  <si>
    <t>PRESIDÊNCIA</t>
  </si>
  <si>
    <t>23790.46507 50000.070032 49039.550006 9 82560000059900</t>
  </si>
  <si>
    <t>23790.46507 50000.070032 50039.550004 1 82870000059900</t>
  </si>
  <si>
    <t>23790.46507 50000.070032 51039.550002 1 83170000059900</t>
  </si>
  <si>
    <t>23790.46507 50000.070032 52039.550000 9 83480000059900</t>
  </si>
  <si>
    <t>CEF Fac BSB</t>
  </si>
  <si>
    <t>02-0775-02-0172738</t>
  </si>
  <si>
    <t>23790.46507 50000.070081 76039.550009 8 82590000040500</t>
  </si>
  <si>
    <t>23790.46507 50000.070081 77039.550007 5 82900000040500</t>
  </si>
  <si>
    <t>CEFET</t>
  </si>
  <si>
    <t>008/16</t>
  </si>
  <si>
    <t>06-0775-02-0141104</t>
  </si>
  <si>
    <t>23790.46507 50000.070800 42039.550001 2 82770000018000</t>
  </si>
  <si>
    <t>FIOCRUZ</t>
  </si>
  <si>
    <t>51/2019</t>
  </si>
  <si>
    <t>0306920199907750340710000</t>
  </si>
  <si>
    <t>23790.46507 50000.071634 66039.550000 9 82770000018180</t>
  </si>
  <si>
    <t>CEF Osasco</t>
  </si>
  <si>
    <t>0306920189907750229193000</t>
  </si>
  <si>
    <t>23790.46507 50000.071691 02039.550005 4 82900000037300</t>
  </si>
  <si>
    <t>23790.46507 50000.071691 03039.550003 4 83200000037300</t>
  </si>
  <si>
    <t>23790.46507 50000.071691 04039.550001 1 83510000037300</t>
  </si>
  <si>
    <t>Ebserh PI Novo</t>
  </si>
  <si>
    <t>27-20</t>
  </si>
  <si>
    <t>0306920209907750388964000</t>
  </si>
  <si>
    <t>23790.46507 50000.071956 81039.550009 7 83010000061300</t>
  </si>
  <si>
    <t>23790.46507 50000.071956 82039.550007 9 83310000061300</t>
  </si>
  <si>
    <t>23790.46507 50000.071956 83039.550005 6 83620000061300</t>
  </si>
  <si>
    <t>23790.46507 50000.071956 84039.550003 3 83930000061300</t>
  </si>
  <si>
    <t>79-2017</t>
  </si>
  <si>
    <t>0306920209907750352515000</t>
  </si>
  <si>
    <t>23790.46507 50000.072228 30039.550006 7 83120000018000</t>
  </si>
  <si>
    <t>23790.46507 50000.072665 14039.550000 1 83170000106000</t>
  </si>
  <si>
    <t>23790.46507 50000.072665 15039.550007 7 83480000106000</t>
  </si>
  <si>
    <t>23790.46507 50000.072665 16039.550005 4 83790000106000</t>
  </si>
  <si>
    <t>23790.46507 50000.072665 17039.550003 4 84090000106000</t>
  </si>
  <si>
    <t>CEF Tupinambas</t>
  </si>
  <si>
    <t>23790.46507 50000.073291 33039.550000 5 83220000018000</t>
  </si>
  <si>
    <t>HUCAM</t>
  </si>
  <si>
    <t>29/2018</t>
  </si>
  <si>
    <t>0306920199907750297501000</t>
  </si>
  <si>
    <t>23790.46507 50000.073200 80039.550001 8 83220000059900</t>
  </si>
  <si>
    <t>cef ribeirão</t>
  </si>
  <si>
    <t>0306920189907750253525000</t>
  </si>
  <si>
    <t>23790.46507 50000.073408 57039.550009 5 83330000131200</t>
  </si>
  <si>
    <t>23790.46507 50000.073408 58039.550007 7 83630000131200</t>
  </si>
  <si>
    <t>23790.46507 50000.073408 59039.550005 9 83930000131200</t>
  </si>
  <si>
    <t>23790.46507 50000.073408 60039.550003 4 84230000131200</t>
  </si>
  <si>
    <t>Presidencia</t>
  </si>
  <si>
    <t>23790.46507 50000.073390 45039.550004 3 83200000018000</t>
  </si>
  <si>
    <t>23790.46507 50000.074117 60039.550003 8 83430000066800</t>
  </si>
  <si>
    <t>UFV</t>
  </si>
  <si>
    <t>0306920199907750305399000</t>
  </si>
  <si>
    <t>23790.46507 50000.074315 88039.550004 7 83430000077800</t>
  </si>
  <si>
    <t>ebserh MS</t>
  </si>
  <si>
    <t>22-2019</t>
  </si>
  <si>
    <t>0306920209907750405799000</t>
  </si>
  <si>
    <t>23790.46507 50000.074307 86039.550008 9 83330000018000</t>
  </si>
  <si>
    <t>CEF PP</t>
  </si>
  <si>
    <t>14197-2020</t>
  </si>
  <si>
    <t>0306920209907750415988000</t>
  </si>
  <si>
    <t>23790.46507 50000.076179 65039.550002 1 83830000125300</t>
  </si>
  <si>
    <t>23790.46507 50000.076179 66039.550000 1 84130000125300</t>
  </si>
  <si>
    <t>Delcossa</t>
  </si>
  <si>
    <t>(11) 5070-0041 / (11) 5070-0040 /  (11) 98901-7378</t>
  </si>
  <si>
    <t>Fabiana Santo</t>
  </si>
  <si>
    <t>suporte4@delcossa.com.br</t>
  </si>
  <si>
    <t>0306920189907750213456000</t>
  </si>
  <si>
    <t>Redução de valor</t>
  </si>
  <si>
    <t>10º</t>
  </si>
  <si>
    <t>Prorrogação contratual</t>
  </si>
  <si>
    <t>37-2020</t>
  </si>
  <si>
    <t>0306920209907750426238000</t>
  </si>
  <si>
    <t>23790.46507 50000.078159 95039.550009 1 84120000130000</t>
  </si>
  <si>
    <t>2247-2016</t>
  </si>
  <si>
    <t>28-2016</t>
  </si>
  <si>
    <t>947-2017</t>
  </si>
  <si>
    <t>7937-2018</t>
  </si>
  <si>
    <t>9943-2018</t>
  </si>
  <si>
    <t>003.538-2018</t>
  </si>
  <si>
    <t>13541-2018</t>
  </si>
  <si>
    <t>106-2019</t>
  </si>
  <si>
    <t>3031-2020</t>
  </si>
  <si>
    <t>008-2020</t>
  </si>
  <si>
    <t>22-2020</t>
  </si>
  <si>
    <t>3297-2017</t>
  </si>
  <si>
    <t>29-2018</t>
  </si>
  <si>
    <t>Apostilamento</t>
  </si>
  <si>
    <t>0306920209907750357855000</t>
  </si>
  <si>
    <t>0306920209907750355490000</t>
  </si>
  <si>
    <t>0306920199907750332377000</t>
  </si>
  <si>
    <t>0306920199907750316416000</t>
  </si>
  <si>
    <t>009-2019</t>
  </si>
  <si>
    <t>014142019000407750120235</t>
  </si>
  <si>
    <t>0306920199907750308270000</t>
  </si>
  <si>
    <t>030692018990775025325000</t>
  </si>
  <si>
    <t>Reti-rati sem impacto em valor ou prazo</t>
  </si>
  <si>
    <t xml:space="preserve">1º </t>
  </si>
  <si>
    <t>12.697.288,08</t>
  </si>
  <si>
    <t>05-0775-0229085</t>
  </si>
  <si>
    <t>05-0775-0240830</t>
  </si>
  <si>
    <t>030692019997750297501000</t>
  </si>
  <si>
    <t>Apost</t>
  </si>
  <si>
    <t>030692017990775176900000</t>
  </si>
  <si>
    <t>014142019000407750111017</t>
  </si>
  <si>
    <t>05-0775-0210191</t>
  </si>
  <si>
    <t>0306920189907750210721000</t>
  </si>
  <si>
    <t>05-0775-0238010</t>
  </si>
  <si>
    <t>Repactuação, porém sem valor atingir teto da apólice anterior</t>
  </si>
  <si>
    <t>CEF Rio Ata II</t>
  </si>
  <si>
    <t>Apólice de seguro de risco de engenharia</t>
  </si>
  <si>
    <t>0306920209901670002679000</t>
  </si>
  <si>
    <t>CORRETORA</t>
  </si>
  <si>
    <t>014142019000407750115110</t>
  </si>
  <si>
    <t>Inmetro</t>
  </si>
  <si>
    <t>24-2014</t>
  </si>
  <si>
    <t>10499.31288 62006.100044 00080.134067 9 84190000017000</t>
  </si>
  <si>
    <t>EM</t>
  </si>
  <si>
    <t>Nivania</t>
  </si>
  <si>
    <t>Ct 007</t>
  </si>
  <si>
    <t>23790.46507 50000.078795 99039.550001 1 84260000027802</t>
  </si>
  <si>
    <t>007-2020</t>
  </si>
  <si>
    <t>5070-2020</t>
  </si>
  <si>
    <t>PGR-RJ - Pr. Geral da República</t>
  </si>
  <si>
    <t>Acréscimo e reequilibrio</t>
  </si>
  <si>
    <t>37-20</t>
  </si>
  <si>
    <t>23790.46507 50000.080387 71039.550000 2 84400000010000</t>
  </si>
  <si>
    <t>NIVANIA</t>
  </si>
  <si>
    <t>Ministério Público Rio de Janeiro</t>
  </si>
  <si>
    <t>caução</t>
  </si>
  <si>
    <t>10499.31288 62006.100044 00082.502030 1 84410000017000</t>
  </si>
  <si>
    <t>PGR- RJ</t>
  </si>
  <si>
    <t>CT009-2019</t>
  </si>
  <si>
    <t>Alteração de CNPJ</t>
  </si>
  <si>
    <t>2º TA</t>
  </si>
  <si>
    <t>014142019000407750123516</t>
  </si>
  <si>
    <t>014142019000407750126870</t>
  </si>
  <si>
    <t>BMG</t>
  </si>
  <si>
    <t>017412020000107750023519</t>
  </si>
  <si>
    <t>MP RJ</t>
  </si>
  <si>
    <t>Liberty</t>
  </si>
  <si>
    <t>67-07-424.830</t>
  </si>
  <si>
    <t>RIOGALEAO</t>
  </si>
  <si>
    <t>03399.83678 04307.900029 20359.601018 8 84730000112281</t>
  </si>
  <si>
    <t>03399.83686 65107.900022 20360.001018 4 85040000112277</t>
  </si>
  <si>
    <t>187-2020</t>
  </si>
  <si>
    <t>FILIAL RJ</t>
  </si>
  <si>
    <t>18-07-610.818</t>
  </si>
  <si>
    <t>03399.83678 04307.900029 21467.901019 4 84910000027002</t>
  </si>
  <si>
    <t>23790.46507 50000.088570 48039.550008 3 84700000083539</t>
  </si>
  <si>
    <t>0306920209907750452793000</t>
  </si>
  <si>
    <t>Unifesp</t>
  </si>
  <si>
    <t>23790.46507 50000.089008 61039.550001 2 84780000018000</t>
  </si>
  <si>
    <t>EBSERH PI OBRA</t>
  </si>
  <si>
    <t>02-0775-0589314</t>
  </si>
  <si>
    <t>80-20</t>
  </si>
  <si>
    <t>03399.89543 38000.000034 68654.001012 9 84800000019000</t>
  </si>
  <si>
    <t>0306920209907750458414000</t>
  </si>
  <si>
    <t>23790.46507 50000.089792 92039.550006 4 85010000043807</t>
  </si>
  <si>
    <t>e-mail</t>
  </si>
  <si>
    <t>Ebserh PI</t>
  </si>
  <si>
    <t>03399.83678 04307.900029 28643.201016 7 85150000051887</t>
  </si>
  <si>
    <t>3º TA</t>
  </si>
  <si>
    <t xml:space="preserve">2º </t>
  </si>
  <si>
    <t>23790.46507 50000.092101 34039.550008 1 85190000020000</t>
  </si>
  <si>
    <t>Acréscimo de valor</t>
  </si>
  <si>
    <t>23790.46507 50000.092648 76039.550009 1 85280000092788</t>
  </si>
  <si>
    <t xml:space="preserve">em </t>
  </si>
  <si>
    <t>REPACTUAÇÃO 19. Redução de valor</t>
  </si>
  <si>
    <t>prorrogação de prazo</t>
  </si>
  <si>
    <t>02-0775-0602292</t>
  </si>
  <si>
    <t>03399.89543 38000.000034 98380.301014 4 85430000019000</t>
  </si>
  <si>
    <t>CEF Brás</t>
  </si>
  <si>
    <t>23790.46507 50000.094420 12039.550004 4 85630000087400</t>
  </si>
  <si>
    <t>23790.46507 50000.094420 13039.550002 1 85940000087400</t>
  </si>
  <si>
    <t>CRÉDITO</t>
  </si>
  <si>
    <t>Apólice CEF Brás</t>
  </si>
  <si>
    <t>Saldo</t>
  </si>
  <si>
    <t>1º Apost</t>
  </si>
  <si>
    <t>PRORROGAÇÃO</t>
  </si>
  <si>
    <t>0306920219907750483502000</t>
  </si>
  <si>
    <t>Apólice Cef Edf Criticos RJ</t>
  </si>
  <si>
    <t>23790.46507 50000.095047 44039.550007 9 85750000111500</t>
  </si>
  <si>
    <t>CEF RJ EDF CRIT</t>
  </si>
  <si>
    <t>CEF DF José de Alencar</t>
  </si>
  <si>
    <t>23790.46507 50000.096169 25039.550006 9 85910000153000</t>
  </si>
  <si>
    <t>0306920219907750493958000</t>
  </si>
  <si>
    <t>MFBA</t>
  </si>
  <si>
    <t>nº 006-2016</t>
  </si>
  <si>
    <t>23790.46507 50000.097142 57039.550009 1 85920000016000</t>
  </si>
  <si>
    <t>23790.46507 50000.098033 79039.550003 9 86060000016000</t>
  </si>
  <si>
    <t>Endosso apólice MFBA</t>
  </si>
  <si>
    <t>nº 006-2017</t>
  </si>
  <si>
    <t>em</t>
  </si>
  <si>
    <t>23790.46507 50000.098215 91039.550008 9 86120000016000</t>
  </si>
  <si>
    <t>em nivan</t>
  </si>
  <si>
    <t>Endosso apólice Presidencia</t>
  </si>
  <si>
    <t>51-19</t>
  </si>
  <si>
    <t>23790.46507 50000.098397 73039.550006 6 86060000129400</t>
  </si>
  <si>
    <t>23790.46507 50000.098397 74039.550004 8 86360000129400</t>
  </si>
  <si>
    <t>23790.46507 50000.098397 75039.550001 5 86670000129400</t>
  </si>
  <si>
    <t>23790.46507 50000.098397 76039.550009 7 86970000129400</t>
  </si>
  <si>
    <t>Repactuação</t>
  </si>
  <si>
    <t>CEF FACILITIES PR</t>
  </si>
  <si>
    <t>23790.46507 50000.098421 45039.550004 6 86110000018000</t>
  </si>
  <si>
    <t>Endosso cef PR</t>
  </si>
  <si>
    <t>Fiocruz</t>
  </si>
  <si>
    <t>Repactuação contratual</t>
  </si>
  <si>
    <t>23790.46507 50000.098579 66039.550000 7 86160000062250</t>
  </si>
  <si>
    <t>23790.46507 50000.098579 67039.550008 4 86470000062250</t>
  </si>
  <si>
    <t>23790.46507 50000.099361 74039.550004 5 86110000016000</t>
  </si>
  <si>
    <t>CEF OSASCO E PINHEIROS</t>
  </si>
  <si>
    <t>MINISTÉRIO DA ECONOMIA GOIÁS ME-GO</t>
  </si>
  <si>
    <t>001-2021</t>
  </si>
  <si>
    <t>0306920219907750507860000</t>
  </si>
  <si>
    <t>ME GO</t>
  </si>
  <si>
    <t>23790.46507 50000.100003 88039.550004 8 86250000091100</t>
  </si>
  <si>
    <t>23790.46507 50000.100003 89039.550002 5 86560000091100</t>
  </si>
  <si>
    <t>23790.46507 50000.100003 90039.550000 2 86860000091100</t>
  </si>
  <si>
    <t>23790.46507 50000.100003 91039.550008 8 87170000091100</t>
  </si>
  <si>
    <t>0306920219907750508834000</t>
  </si>
  <si>
    <t>23790.46507 50000.100284 10039.550008 5 86240000018000</t>
  </si>
  <si>
    <t>Unifes´p</t>
  </si>
  <si>
    <t>23790.46507 50000.100342 03039.550003 9 86250000023000</t>
  </si>
  <si>
    <t>endosso de apólice alteração de beneficiário</t>
  </si>
  <si>
    <t>23790.46507 50000.100888 60039.550003 8 86550000049900</t>
  </si>
  <si>
    <t>Wilma</t>
  </si>
  <si>
    <t>23790.46507 50000.100987 27039.550002 7 86440000018000</t>
  </si>
  <si>
    <t>23790.46507 50000.101282 87039.550006 2 86540000016000</t>
  </si>
  <si>
    <t>23790.46507 50000.102108 48039.550008 3 86510000016000</t>
  </si>
  <si>
    <t>014142019000407750111017 - ENDOSSO 0000001</t>
  </si>
  <si>
    <t>10499.31288 62006.100044 00100.532746 2 86550000017000</t>
  </si>
  <si>
    <t>CEF FACILITIES SP</t>
  </si>
  <si>
    <t>23790.46507 50000.102181 56039.550001 7 86670000074400</t>
  </si>
  <si>
    <t>Prorrogação ebserh mt</t>
  </si>
  <si>
    <t>0306920219907750525595000</t>
  </si>
  <si>
    <t>Licitação</t>
  </si>
  <si>
    <t>23790.46507 50000.102744 68039.550006 8 86570000018000</t>
  </si>
  <si>
    <t>Prorrogação</t>
  </si>
  <si>
    <t>23790.46507 50000.103312 90039.550000 1 86790000033500</t>
  </si>
  <si>
    <t>008-2021</t>
  </si>
  <si>
    <t>1006700041597</t>
  </si>
  <si>
    <t>BERKLEY</t>
  </si>
  <si>
    <t>Apólice Risco de Engenharia</t>
  </si>
  <si>
    <t>10499.31288 62006.100044 00103.522553 9 87150000254239</t>
  </si>
  <si>
    <t>10499.31288 62006.100044 00103.522470 1 86840000254239</t>
  </si>
  <si>
    <t>RIOGALEÃO - portão de apoio</t>
  </si>
  <si>
    <t>RIO GALEÃO - PORTÃO DE APOIO</t>
  </si>
  <si>
    <t>1007507000846</t>
  </si>
  <si>
    <t>SRRF Recife</t>
  </si>
  <si>
    <t>34191.09602 00112.320205 41818.200002 1 86920000062639</t>
  </si>
  <si>
    <t>CANCELADA</t>
  </si>
  <si>
    <t>Endosso de apólice. 
Acréscimo de serviços</t>
  </si>
  <si>
    <t>CEF FACILITIES BRÁS</t>
  </si>
  <si>
    <t>23790.46507 50000.104823 10039.550008 7 86970000016000</t>
  </si>
  <si>
    <t>CEF BRAS</t>
  </si>
  <si>
    <t>23790.46507 50000.104948 15039.550007 9 87060000093000</t>
  </si>
  <si>
    <t>Caução bancária</t>
  </si>
  <si>
    <t>23790.46507 50000.105812 95039.550009 6 87130000099800</t>
  </si>
  <si>
    <t>CEF AG OSASCO E PINHEIROS</t>
  </si>
  <si>
    <t>endosso de apólice - redução de valor de contrato</t>
  </si>
  <si>
    <t>Justiça Federal RJ NOVO</t>
  </si>
  <si>
    <t>15-2021</t>
  </si>
  <si>
    <t>23790.46507 50000.108063 22039.550003 8 87280000016000</t>
  </si>
  <si>
    <t>Taissa</t>
  </si>
  <si>
    <t>2º Apost</t>
  </si>
  <si>
    <t>Apost 1-21</t>
  </si>
  <si>
    <t>0306920219907750557183000</t>
  </si>
  <si>
    <t>15/21</t>
  </si>
  <si>
    <t>23790.46507 50000.108667 23039.550001 1 87280000058350</t>
  </si>
  <si>
    <t>23790.46507 50000.108667 24039.550009 8 87590000058350</t>
  </si>
  <si>
    <t>23790.46507 50000.108667 25039.550006 1 87890000058350</t>
  </si>
  <si>
    <t>23790.46507 50000.108667 26039.550004 5 88200000058350</t>
  </si>
  <si>
    <t>JUSTIÇA FEDERAL</t>
  </si>
  <si>
    <t>Repactuação ate jan 20</t>
  </si>
  <si>
    <t>CEF RIBEIRÃO</t>
  </si>
  <si>
    <t>23790.46507 50000.108816 76039.550009 6 87390000026800</t>
  </si>
  <si>
    <t>ABIN</t>
  </si>
  <si>
    <t>544-21</t>
  </si>
  <si>
    <t>0306920219907750559658000</t>
  </si>
  <si>
    <t>23790.46507 50000.109061 74039.550004 7 87480000067000</t>
  </si>
  <si>
    <t>23790.46507 50000.109194 30039.550006 1 87400000064700</t>
  </si>
  <si>
    <t>23790.46507 50000.109194 31039.550004 8 87710000064700</t>
  </si>
  <si>
    <t>23790.46507 50000.109384 89039.550002 7 87400000018000</t>
  </si>
  <si>
    <t>0306920219907750561998000</t>
  </si>
  <si>
    <t>Repactuação até SM 2021</t>
  </si>
  <si>
    <t>ebserh pi</t>
  </si>
  <si>
    <t>23790.46507 50000.109467 58039.550007 2 87440000016000</t>
  </si>
  <si>
    <t>CEF - FACILITIES BELA CINTRA - SP</t>
  </si>
  <si>
    <t>23790.46507 50000.109624 71039.550000 3 87400000016000</t>
  </si>
  <si>
    <t>0306920219907750564658000</t>
  </si>
  <si>
    <t>CEF Facilities Bela Cintra</t>
  </si>
  <si>
    <t>23790.46507 50000.109871 97039.550005 5 87440000085600</t>
  </si>
  <si>
    <t>cef facilities bela cintra</t>
  </si>
  <si>
    <t>3º apostilamento</t>
  </si>
  <si>
    <t>Repactuação 2021</t>
  </si>
  <si>
    <t>2019-7421-6492</t>
  </si>
  <si>
    <t>1º TA</t>
  </si>
  <si>
    <t>Prorrogação e repactuação</t>
  </si>
  <si>
    <t>2019-7421-9304</t>
  </si>
  <si>
    <t>0306920219907750567273000</t>
  </si>
  <si>
    <t>EBSERH MS</t>
  </si>
  <si>
    <t>23790.46507 50000.110481 36039.550003 7 87440000016000</t>
  </si>
  <si>
    <t>BB BAURU</t>
  </si>
  <si>
    <t>23790.46507 50000.110556 04039.550001 6 87480000018000</t>
  </si>
  <si>
    <t>23790.46507 50000.110580 06039.550006 3 87590000076900</t>
  </si>
  <si>
    <t>Reti-rati sem impacto em $ ou prazo</t>
  </si>
  <si>
    <t>23790.46507 50000.110648 57039.550009 6 87590000018000</t>
  </si>
  <si>
    <t>BB ARAÇATUBA</t>
  </si>
  <si>
    <t>24.063,29,</t>
  </si>
  <si>
    <t>23790.46507 50000.110648 29039.550008 7 87600000016000</t>
  </si>
  <si>
    <t>Hucam</t>
  </si>
  <si>
    <t>23790.46507 50000.110663 64039.550005 1 87460000016000</t>
  </si>
  <si>
    <t>REPACTUAÇÃO 2020</t>
  </si>
  <si>
    <t>23790.46507 50000.110846 03039.550003 3 87600000018000</t>
  </si>
  <si>
    <t>23790.46507 50000.110937 98039.550003 4 87590000016000</t>
  </si>
  <si>
    <t>BB seret rj</t>
  </si>
  <si>
    <t>23790.46507 50000.110937 97039.550005 2 87670000018800</t>
  </si>
  <si>
    <t>MINISTÉRIO PÚBLICO RJ ENGENHEIROS</t>
  </si>
  <si>
    <t>10499.31288 62006.100044 00111.121505 4 87640000017000</t>
  </si>
  <si>
    <t>PGR RJ</t>
  </si>
  <si>
    <t>9 2019</t>
  </si>
  <si>
    <t>1º apost</t>
  </si>
  <si>
    <t>2º apost</t>
  </si>
  <si>
    <t>ME PE</t>
  </si>
  <si>
    <t>ARCOS DOURADOS</t>
  </si>
  <si>
    <t>ITAU</t>
  </si>
  <si>
    <t>S/N AINDA</t>
  </si>
  <si>
    <t>MÊS</t>
  </si>
  <si>
    <t>ANO</t>
  </si>
  <si>
    <t>23790.46507 50000.112164 46039.550002 3 87640000016000</t>
  </si>
  <si>
    <t>ME BA</t>
  </si>
  <si>
    <t>006-2021</t>
  </si>
  <si>
    <t>0306920219907750578830000</t>
  </si>
  <si>
    <t>23790.46507 50000.112495 58039.550007 1 87870000029300</t>
  </si>
  <si>
    <t>JF RJ Novo</t>
  </si>
  <si>
    <t>23790.46507 50000.112917 30039.550006 1 87770000016000</t>
  </si>
  <si>
    <t>6686-2021</t>
  </si>
  <si>
    <t>CEF RJ CEGAP</t>
  </si>
  <si>
    <t>0306920219907750582097000</t>
  </si>
  <si>
    <t>23790.46507 50000.113055 41039.550003 5 87890000087800</t>
  </si>
  <si>
    <t>cef cegap rj</t>
  </si>
  <si>
    <t>23790.46507 50000.113451 65039.550002 1 88080000049800</t>
  </si>
  <si>
    <t>Valor restituido</t>
  </si>
  <si>
    <t>23790.46507 50000.117080 77039.550007 6 88200000018000</t>
  </si>
  <si>
    <t>4º TA</t>
  </si>
  <si>
    <t>23790.46507 50000.117817 52039.550000 3 88260000016000</t>
  </si>
  <si>
    <t>0306920219907750602137000</t>
  </si>
  <si>
    <t>23790.46507 50000.118047 52039.550000 2 88370000051500</t>
  </si>
  <si>
    <t>SEG PREDIAL</t>
  </si>
  <si>
    <t>5177202144180110925</t>
  </si>
  <si>
    <t>03399.79320 23500.003597 84493.601011 3 88230000022439</t>
  </si>
  <si>
    <t>ARQUIVO NACIONAL</t>
  </si>
  <si>
    <t>prorrogação</t>
  </si>
  <si>
    <t>23790.46507 50000.119151 68039.550006 3 88360000025800</t>
  </si>
  <si>
    <t>hucam</t>
  </si>
  <si>
    <t>Presidencia da República Novo</t>
  </si>
  <si>
    <t>32-2021</t>
  </si>
  <si>
    <t>CT UFRJ</t>
  </si>
  <si>
    <t>0306920219907750608381000</t>
  </si>
  <si>
    <t>ARQ NAC</t>
  </si>
  <si>
    <t>23790.46507 50000.119227 67039.550008 2 88520000088400</t>
  </si>
  <si>
    <t>0306920219907750609467000</t>
  </si>
  <si>
    <t>23790.46507 50000.119433 41039.550003 1 88500000152800</t>
  </si>
  <si>
    <t>Presidencia novo</t>
  </si>
  <si>
    <t>23790.46507 50000.119961 79039.550003 1 88520000018900</t>
  </si>
  <si>
    <t>003-2021</t>
  </si>
  <si>
    <t>0306920219907750612764000</t>
  </si>
  <si>
    <t>23790.46507 50000.120118 80039.550001 2 88360000070200</t>
  </si>
  <si>
    <t xml:space="preserve">8º </t>
  </si>
  <si>
    <t>23790.46507 50000.121231 80039.550001 2 88620000014000</t>
  </si>
  <si>
    <t>MEBA</t>
  </si>
  <si>
    <t>23790.46507 50000.122452 41039.550003 2 88700000016000</t>
  </si>
  <si>
    <t>abin</t>
  </si>
  <si>
    <t>23790.46507 50000.122478 63039.550007 1 88690000016000</t>
  </si>
  <si>
    <t>apostilamento</t>
  </si>
  <si>
    <t>23790.46507 50000.123856 38039.550009 9 88920000016000</t>
  </si>
  <si>
    <t>0306920229907750633652000</t>
  </si>
  <si>
    <t>CEF BAURU</t>
  </si>
  <si>
    <t>23790.46507 50000.124680 81039.550009 1 89000000048700</t>
  </si>
  <si>
    <t>23790.46507 50000.124680 82039.550007 1 89280000048700</t>
  </si>
  <si>
    <t>23790.46507 50000.124680 83039.550005 9 89590000048700</t>
  </si>
  <si>
    <t>23790.46507 50000.124680 84039.550003 1 89890000048700</t>
  </si>
  <si>
    <t>688-2022</t>
  </si>
  <si>
    <t>ajuste de valor</t>
  </si>
  <si>
    <t>endosso de apólice</t>
  </si>
  <si>
    <t>23790.46507 50000.124995 62039.550009 4 89010000016000</t>
  </si>
  <si>
    <t>cef bauru</t>
  </si>
  <si>
    <t>Complementação do valor da caução</t>
  </si>
  <si>
    <t>668-2022</t>
  </si>
  <si>
    <t>23790.46507 50000.125174 88039.550004 1 89020000016000</t>
  </si>
  <si>
    <t>23790.46507 50000.125307 49039.550006 4 89130000065800</t>
  </si>
  <si>
    <t>23790.46507 50000.125448 24039.550009 6 89100000016000</t>
  </si>
  <si>
    <t>reajuste VA</t>
  </si>
  <si>
    <t>23790.46507 50000.125430 34039.550008 4 89130000036800</t>
  </si>
  <si>
    <t>TJRJ</t>
  </si>
  <si>
    <t>23790.46507 50000.125661 79039.550003 1 89110000018000</t>
  </si>
  <si>
    <t>CEF RJ ED CRITICOS</t>
  </si>
  <si>
    <t>23790.46507 50000.125851 88039.550004 1 89080000016000</t>
  </si>
  <si>
    <t xml:space="preserve">EM </t>
  </si>
  <si>
    <t>redução de valor de contrato</t>
  </si>
  <si>
    <t>Repactuação ate jan 22</t>
  </si>
  <si>
    <t>544-2021</t>
  </si>
  <si>
    <t>23790.46507 50000.126644 64039.550005 5 89200000016000</t>
  </si>
  <si>
    <t>3º apost</t>
  </si>
  <si>
    <t>Reti-rati</t>
  </si>
  <si>
    <t>23790.46507 50000.127725 44039.550007 9 89320000072400</t>
  </si>
  <si>
    <t>23790.46507 50000.127725 45039.550004 6 89630000072400</t>
  </si>
  <si>
    <t>CER RIO ED CRITICPS</t>
  </si>
  <si>
    <t>23790.46507 50000.127774 75039.550001 7 89280000079700</t>
  </si>
  <si>
    <t>4º Apost</t>
  </si>
  <si>
    <t>0306920229907750649171000</t>
  </si>
  <si>
    <t>Reajuste material</t>
  </si>
  <si>
    <t>EBSERH PI</t>
  </si>
  <si>
    <t>23790.46507 50000.128004 82039.550007 2 89270000016000</t>
  </si>
  <si>
    <t>0306920229907750651230000</t>
  </si>
  <si>
    <t>23790.46507 50000.128400 40039.550005 6 89320000016000</t>
  </si>
  <si>
    <t>1º Apost 2022</t>
  </si>
  <si>
    <t>não fui cientificada deste TA</t>
  </si>
  <si>
    <t>23790.46507 50000.129481 00039.550009 1 89520000076300</t>
  </si>
  <si>
    <t>CEF JOSÉ DE ALENCAR</t>
  </si>
  <si>
    <t>23790.46507 50000.129481 01039.550007 1 89820000076300</t>
  </si>
  <si>
    <t>23790.46507 50000.129499 13039.550002 5 89520000139400</t>
  </si>
  <si>
    <t>23790.46507 50000.129499 14039.550000 7 89820000139400</t>
  </si>
  <si>
    <t>23790.46507 50000.129499 15039.550007 9 90130000139400</t>
  </si>
  <si>
    <t>23790.46507 50000.129523 30039.550006 6 89380000093815</t>
  </si>
  <si>
    <t>3º Apost 2022</t>
  </si>
  <si>
    <t>1º Apost 2021</t>
  </si>
  <si>
    <t>me ba</t>
  </si>
  <si>
    <t>23790.46507 50000.130117 35039.550005 5 89610000016000</t>
  </si>
  <si>
    <t>Repactuação até SM 2022</t>
  </si>
  <si>
    <t>5º TA</t>
  </si>
  <si>
    <t>10499.31288 62006.100044 00129.772950 7 89590000017000</t>
  </si>
  <si>
    <t>ACRÉSCIMO CONTRATUAL</t>
  </si>
  <si>
    <t>23790.46507 50000.130935 25039.550006 2 89570000016000</t>
  </si>
  <si>
    <t>CEF osasco e pinheiros</t>
  </si>
  <si>
    <t>23790.46507 50000.131420 82039.550007 9 89600000016000</t>
  </si>
  <si>
    <t>4º apostilamento</t>
  </si>
  <si>
    <t>1º apostilamento</t>
  </si>
  <si>
    <t>PRESIDENCIA</t>
  </si>
  <si>
    <t>23790.46507 50000.131693 34039.550008 1 89610000016000</t>
  </si>
  <si>
    <t>23790.46507 50000.132147 52039.550000 5 89650000016000</t>
  </si>
  <si>
    <t>Repactuação 2022</t>
  </si>
  <si>
    <t>23790.46507 50000.132287 84039.550003 9 89860000016000</t>
  </si>
  <si>
    <t>23790.46507 50000.132428 19039.550009 3 89680000016000</t>
  </si>
  <si>
    <t>bb araçatuba</t>
  </si>
  <si>
    <t>bb bauru</t>
  </si>
  <si>
    <t>23790.46507 50000.132428 20039.550007 7 89680000016000</t>
  </si>
  <si>
    <t>Acréscimo de material</t>
  </si>
  <si>
    <t>UNIFESP NOVO</t>
  </si>
  <si>
    <t>44-2022</t>
  </si>
  <si>
    <t>23790.46507 50000.134424 50039.550004 1 89870000018000</t>
  </si>
  <si>
    <t>Repactuação ate SM 2021</t>
  </si>
  <si>
    <t>0306920229907750684631000</t>
  </si>
  <si>
    <t>23790.46507 50000.136015 58039.550007 1 90080000053600</t>
  </si>
  <si>
    <t>Repactuação ate SM 2022</t>
  </si>
  <si>
    <t>23790.46507 50000.135991 42039.550001 8 90140000018000</t>
  </si>
  <si>
    <t>REPACTUAÇÃO Ate 31/03/22</t>
  </si>
  <si>
    <t>23790.46507 50000.136031 76039.550009 6 90080000077400</t>
  </si>
  <si>
    <t>23790.46507 50000.136031 70039.550002 1 90030000016000</t>
  </si>
  <si>
    <t>23790.46507 50000.136445 17039.550003 2 90140000090500</t>
  </si>
  <si>
    <t>23790.46507 50000.136445 15039.550007 8 90130000053100</t>
  </si>
  <si>
    <t>23790.46507 50000.136445 16039.550005 5 90440000053100</t>
  </si>
  <si>
    <t>Reti sem impacto no valor ou prazo</t>
  </si>
  <si>
    <t>Repactuação insalubridade e periculosidade</t>
  </si>
  <si>
    <t>3º Apost</t>
  </si>
  <si>
    <t>Repactuação 2020 e 2021</t>
  </si>
  <si>
    <t>23790.46507 50000.138250 91039.550008 9 90290000016000</t>
  </si>
  <si>
    <t>Repactuação sticmb df 2022</t>
  </si>
  <si>
    <t>23790.46507 50000.138284 88039.550004 1 90350000018000</t>
  </si>
  <si>
    <t>REPACTUAÇÃO 2021</t>
  </si>
  <si>
    <t>CEF AG PE</t>
  </si>
  <si>
    <t>23790.46507 50000.138334 87039.550006 4 90330000018000</t>
  </si>
  <si>
    <t>0306920229907750694800000</t>
  </si>
  <si>
    <t>23790.46507 50000.138441 08039.550002 7 90320000128000</t>
  </si>
  <si>
    <t>23790.46507 50000.138441 09039.550000 9 90620000128000</t>
  </si>
  <si>
    <t>53/2022</t>
  </si>
  <si>
    <t>Supressão</t>
  </si>
  <si>
    <t>67-07-2022.0428351</t>
  </si>
  <si>
    <t>03399.83678 04307.900037 15995.701016 1 90520000204592</t>
  </si>
  <si>
    <t>03399.83686 65107.900030 15996.501019 9 90830000204594</t>
  </si>
  <si>
    <t>686-2021</t>
  </si>
  <si>
    <t>redução de valor</t>
  </si>
  <si>
    <t>017412022000107750077664</t>
  </si>
  <si>
    <t>53-2022</t>
  </si>
  <si>
    <t>34191.09008 70897.301894 60087.920009 1 90430000015000</t>
  </si>
  <si>
    <t>Repactuação ate janeiro 2021</t>
  </si>
  <si>
    <t>Repactuação até setembro 2021</t>
  </si>
  <si>
    <t>23790.46507 50000.139936 71039.550000 7 90510000076033</t>
  </si>
  <si>
    <t>Ebserh mt</t>
  </si>
  <si>
    <t>23790.46507 50000.140405 99039.550001 4 90420000031700</t>
  </si>
  <si>
    <t>Prorrogação contratrual</t>
  </si>
  <si>
    <t>Repactuação até 2020</t>
  </si>
  <si>
    <t>23790.46507 50000.142807 21039.550005 3 90510000021500</t>
  </si>
  <si>
    <t>10º Apost 2022</t>
  </si>
  <si>
    <t>23790.46507 50000.143474 26039.550004 1 90520000109700</t>
  </si>
  <si>
    <t>23790.46507 50000.143730 00039.550009 1 90660000018000</t>
  </si>
  <si>
    <t>23790.46507 50000.143714 91039.550008 7 90640000134800</t>
  </si>
  <si>
    <t>cef brás</t>
  </si>
  <si>
    <t>23790.46507 50000.143706 73039.550006 8 90660000096000</t>
  </si>
  <si>
    <t>bmg</t>
  </si>
  <si>
    <t>017412022000107750081112</t>
  </si>
  <si>
    <t>34191.09008 75086.221894 60087.920009 2 90710000146480</t>
  </si>
  <si>
    <t>34191.09008 75086.301894 60087.920009 7 90910000146480</t>
  </si>
  <si>
    <t>Repactuação ate SINDUSCON 22</t>
  </si>
  <si>
    <t>23790.46507 50000.145396 03039.550003 1 90770000018000</t>
  </si>
  <si>
    <t>Rpactuação 2020 e 2021</t>
  </si>
  <si>
    <t>23790.46507 50000.146428 20039.550007 5 90830000050500</t>
  </si>
  <si>
    <t>Retificação nome segurado</t>
  </si>
  <si>
    <t>23790.46507 50000.147392 72039.550008 1 90910000018000</t>
  </si>
  <si>
    <t>23790.46507 50000.148531 32039.550002 6 91020000018000</t>
  </si>
  <si>
    <t>CEF BELA CINTRA</t>
  </si>
  <si>
    <t>23790.46507 50000.148739 36039.550003 1 91040000069500</t>
  </si>
  <si>
    <t>UFRJ MACAÉ</t>
  </si>
  <si>
    <t>001-2022</t>
  </si>
  <si>
    <t>PGR</t>
  </si>
  <si>
    <t>10499.31288 62006.100044 00143.516102 9 91150000017000</t>
  </si>
  <si>
    <t>Adição de posto</t>
  </si>
  <si>
    <t>Repá</t>
  </si>
  <si>
    <t>MEGO</t>
  </si>
  <si>
    <t>0001-2021</t>
  </si>
  <si>
    <t>34191.09008 81910.481894 60087.920009 7 91210000015000</t>
  </si>
  <si>
    <t>23790.46507 50000.151550 14039.550000 1 91280000017000</t>
  </si>
  <si>
    <t>presidencia novo</t>
  </si>
  <si>
    <t>23790.46507 50000.152111 35039.550005 1 91350000032900</t>
  </si>
  <si>
    <t>0306920229907750755814000</t>
  </si>
  <si>
    <t>23790.46507 50000.152509 28039.550000 5 91370000027000</t>
  </si>
  <si>
    <t>Seguro de risco de engenharia</t>
  </si>
  <si>
    <t>23790.46507 50000.153614 83039.550005 7 91340000033800</t>
  </si>
  <si>
    <t>23790.46507 50000.153796 22039.550003 6 91430000092400</t>
  </si>
  <si>
    <t>Repactuação parc + prorrogação</t>
  </si>
  <si>
    <t>INMETRO</t>
  </si>
  <si>
    <t>Repactuação SINTAINDISTAL 22</t>
  </si>
  <si>
    <t>Berkey</t>
  </si>
  <si>
    <t>10499.31288 62006.100044 00145.318556 5 91380000017000</t>
  </si>
  <si>
    <t>MP</t>
  </si>
  <si>
    <t>34191.09008 85736.581894 60087.920009 1 91550000972513</t>
  </si>
  <si>
    <t>34191.09008 85736.661894 60087.920009 8 91850000972514</t>
  </si>
  <si>
    <t>34191.09008 85736.741894 60087.920009 5 92150000972514</t>
  </si>
  <si>
    <t>34191.09008 85736.821894 60087.920009 1 92460000972514</t>
  </si>
  <si>
    <t>Ebserh ms</t>
  </si>
  <si>
    <t>restituição</t>
  </si>
  <si>
    <t>12º</t>
  </si>
  <si>
    <t>Acrécimo de posto</t>
  </si>
  <si>
    <t>23790.46507 50000.156815 93039.550004 9 91600000022000</t>
  </si>
  <si>
    <t>Repac sinduscon 21 e db jan 22</t>
  </si>
  <si>
    <t>23790.46507 50000.156898 75039.550001 1 91740000018000</t>
  </si>
  <si>
    <t>23790.46507 50000.157003 91039.550008 5 91680000016000</t>
  </si>
  <si>
    <t>REPACTUAÇÃO 2022</t>
  </si>
  <si>
    <t>23790.46507 50000.157235 00039.550009 5 91670000018000</t>
  </si>
  <si>
    <t>Repactuação 2022 e prorrogação</t>
  </si>
  <si>
    <t>6º Apost</t>
  </si>
  <si>
    <t>CEF RJ EDF CRITICOS</t>
  </si>
  <si>
    <t>23790.46507 50000.157748 54039.550006 1 91710000018000</t>
  </si>
  <si>
    <t>23790.46507 50000.158084 88039.550004 6 91800000016000</t>
  </si>
  <si>
    <t>23790.46507 50000.158084 76039.550009 9 91730000203300</t>
  </si>
  <si>
    <t>23790.46507 50000.158084 77039.550007 9 92030000203300</t>
  </si>
  <si>
    <t>23790.46507 50000.158084 78039.550005 6 92340000203300</t>
  </si>
  <si>
    <t>23790.46507 50000.158084 79039.550003 3 92650000203300</t>
  </si>
  <si>
    <t>Repactuação SINDUSCON 2022</t>
  </si>
  <si>
    <t>23790.46507 50000.158381 86039.550008 1 91830000018000</t>
  </si>
  <si>
    <t>retirati</t>
  </si>
  <si>
    <t>Cef rj edf crificos</t>
  </si>
  <si>
    <t>23790.46507 50000.159298 70039.550002 2 91870000018000</t>
  </si>
  <si>
    <t>7º TA</t>
  </si>
  <si>
    <t>23790.46507 50000.159538 43039.550009 3 91950000056200</t>
  </si>
  <si>
    <t>5º apost</t>
  </si>
  <si>
    <t>justiça federal</t>
  </si>
  <si>
    <t>23790.46507 50000.160007 17039.550003 1 92000000018000</t>
  </si>
  <si>
    <t>cef pres prud</t>
  </si>
  <si>
    <t>23790.46507 50000.160494 17039.550003 9 92010000125400</t>
  </si>
  <si>
    <t>23790.46507 50000.160494 18039.550001 6 92320000125400</t>
  </si>
  <si>
    <t xml:space="preserve">4º </t>
  </si>
  <si>
    <t>Repactuação INCC</t>
  </si>
  <si>
    <t>ebseh pi</t>
  </si>
  <si>
    <t>23790.46507 50000.160767 59039.550005 7 92010000018000</t>
  </si>
  <si>
    <t>23790.46507 50000.161096 71039.550000 1 91950000138200</t>
  </si>
  <si>
    <t>Retificação de contrato LGPD</t>
  </si>
  <si>
    <t>Acréscimo</t>
  </si>
  <si>
    <t>23790.46507 50000.162029 51039.550002 4 92170000018000</t>
  </si>
  <si>
    <t xml:space="preserve">CEF BAURU - remanescente </t>
  </si>
  <si>
    <t>Repactuação ate 2022</t>
  </si>
  <si>
    <t>presidencia</t>
  </si>
  <si>
    <t>23790.46507 50000.163654 45039.550004 1 92260000147100</t>
  </si>
  <si>
    <t>CEF PRES PRUDENTE</t>
  </si>
  <si>
    <t>23790.46507 50000.163977 35039.550005 7 92260000055900</t>
  </si>
  <si>
    <t>R$ 10.937,11.</t>
  </si>
  <si>
    <t>repactuação ate maio 2022</t>
  </si>
  <si>
    <t>13º</t>
  </si>
  <si>
    <t>ACRÉSCIMO DE VALOR</t>
  </si>
  <si>
    <t>2º Apost 2022</t>
  </si>
  <si>
    <t>23790.46507 50000.164975 60039.550003 8 92350000071300</t>
  </si>
  <si>
    <t>23790.46507 50000.165071 43039.550009 5 92420000018000</t>
  </si>
  <si>
    <t>23790.46507 50000.165261 93039.550004 2 92410000028700</t>
  </si>
  <si>
    <t>23790.46507 50000.165238 83039.550005 4 92410000018000</t>
  </si>
  <si>
    <t>23790.46507 50000.165238 76039.550009 1 92410000018000</t>
  </si>
  <si>
    <t>23790.46507 50000.165238 72039.550008 9 92280000026300</t>
  </si>
  <si>
    <t>CEF AG RECIFE</t>
  </si>
  <si>
    <t>14º</t>
  </si>
  <si>
    <t xml:space="preserve">5º </t>
  </si>
  <si>
    <t>23790.46507 50000.165444 92039.550006 4 92440000084000</t>
  </si>
  <si>
    <t>23790.46507 50000.165451 11039.550006 1 92440000049900</t>
  </si>
  <si>
    <t>CAUÇÃO</t>
  </si>
  <si>
    <t>repactuação 2022</t>
  </si>
  <si>
    <t>UNIFESP 44</t>
  </si>
  <si>
    <t>23790.46507 50000.165733 04039.550001 5 92270000018000</t>
  </si>
  <si>
    <t>23790.46507 50000.166145 00039.550009 4 92460000018000</t>
  </si>
  <si>
    <t>CEF BRÁS</t>
  </si>
  <si>
    <t>23790.46507 50000.166822 26039.550004 6 92590000166000</t>
  </si>
  <si>
    <t>23790.46507 50000.166822 27039.550002 7 92870000166000</t>
  </si>
  <si>
    <t>23790.46507 50000.166822 28039.550000 2 93180000166000</t>
  </si>
  <si>
    <t>23790.46507 50000.166822 29039.550008 4 93480000166000</t>
  </si>
  <si>
    <t>POTTENCAL</t>
  </si>
  <si>
    <t>CEF BUPISO</t>
  </si>
  <si>
    <t>23790.46507 50000.166731 46039.550002 2 92570000121900</t>
  </si>
  <si>
    <t>23790.46507 50000.166731 47039.550000 3 92850000121900</t>
  </si>
  <si>
    <t>23790.46507 50000.166731 48039.550008 9 93160000121900</t>
  </si>
  <si>
    <t>23790.46507 50000.166731 49039.550006 1 93460000121900</t>
  </si>
  <si>
    <t>repactuação</t>
  </si>
  <si>
    <t>7º apost</t>
  </si>
  <si>
    <t>pott</t>
  </si>
  <si>
    <t>23790.46507 50000.168513 93039.550004 1 92760000018000</t>
  </si>
  <si>
    <t>185-2021</t>
  </si>
  <si>
    <t>MINISTÉRIO PÚBLICO RJ ENG</t>
  </si>
  <si>
    <t>ME-GO</t>
  </si>
  <si>
    <t>2º APOST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</si>
</sst>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sz val="11"/>
      <name val="Century Gothic"/>
      <family val="2"/>
    </font>
    <font>
      <u/>
      <sz val="11"/>
      <name val="Century Gothic"/>
      <family val="2"/>
    </font>
    <font>
      <b/>
      <sz val="11"/>
      <name val="Century Goth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theme="1"/>
      <name val="Century Gothic"/>
      <family val="2"/>
    </font>
    <font>
      <sz val="12"/>
      <color theme="1"/>
      <name val="Calibri"/>
      <family val="2"/>
      <scheme val="minor"/>
    </font>
    <font>
      <i/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b/>
      <i/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sz val="7"/>
      <color theme="1"/>
      <name val="Century Gothic"/>
      <family val="2"/>
    </font>
    <font>
      <i/>
      <sz val="12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5">
    <xf numFmtId="0" fontId="0" fillId="0" borderId="0" xfId="0"/>
    <xf numFmtId="0" fontId="2" fillId="0" borderId="0" xfId="0" applyFont="1"/>
    <xf numFmtId="43" fontId="2" fillId="0" borderId="0" xfId="1" applyFont="1"/>
    <xf numFmtId="0" fontId="4" fillId="0" borderId="0" xfId="0" applyFont="1"/>
    <xf numFmtId="43" fontId="4" fillId="0" borderId="0" xfId="1" applyFont="1"/>
    <xf numFmtId="43" fontId="4" fillId="0" borderId="0" xfId="0" applyNumberFormat="1" applyFo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0" xfId="0" applyFont="1"/>
    <xf numFmtId="165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right" vertical="center"/>
    </xf>
    <xf numFmtId="165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top" wrapText="1"/>
    </xf>
    <xf numFmtId="0" fontId="10" fillId="2" borderId="2" xfId="0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horizontal="right" vertical="center"/>
    </xf>
    <xf numFmtId="165" fontId="10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vertical="center"/>
    </xf>
    <xf numFmtId="165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Alignment="1">
      <alignment vertical="center"/>
    </xf>
    <xf numFmtId="0" fontId="10" fillId="0" borderId="0" xfId="0" applyFont="1" applyAlignment="1">
      <alignment wrapText="1"/>
    </xf>
    <xf numFmtId="0" fontId="12" fillId="3" borderId="2" xfId="0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4" fontId="12" fillId="3" borderId="2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165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44" fontId="16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4" fontId="15" fillId="0" borderId="2" xfId="0" applyNumberFormat="1" applyFont="1" applyBorder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3" fontId="12" fillId="3" borderId="2" xfId="1" applyFont="1" applyFill="1" applyBorder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2" fillId="5" borderId="0" xfId="0" applyFont="1" applyFill="1" applyAlignment="1">
      <alignment vertical="center"/>
    </xf>
    <xf numFmtId="43" fontId="2" fillId="5" borderId="0" xfId="1" applyFont="1" applyFill="1" applyAlignment="1">
      <alignment vertical="center"/>
    </xf>
    <xf numFmtId="43" fontId="2" fillId="0" borderId="0" xfId="1" applyFont="1" applyAlignment="1">
      <alignment vertical="center"/>
    </xf>
    <xf numFmtId="0" fontId="11" fillId="0" borderId="0" xfId="0" applyFont="1" applyAlignment="1">
      <alignment horizontal="center" vertical="center"/>
    </xf>
    <xf numFmtId="43" fontId="11" fillId="0" borderId="0" xfId="1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4" fontId="2" fillId="0" borderId="16" xfId="0" applyNumberFormat="1" applyFont="1" applyBorder="1" applyAlignment="1">
      <alignment horizontal="right" vertical="center"/>
    </xf>
    <xf numFmtId="165" fontId="2" fillId="0" borderId="16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3" fontId="2" fillId="0" borderId="16" xfId="1" applyFont="1" applyBorder="1" applyAlignment="1">
      <alignment horizontal="right" vertical="center"/>
    </xf>
    <xf numFmtId="165" fontId="2" fillId="0" borderId="16" xfId="0" applyNumberFormat="1" applyFont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vertical="center"/>
    </xf>
    <xf numFmtId="43" fontId="2" fillId="0" borderId="11" xfId="1" applyFont="1" applyBorder="1" applyAlignment="1">
      <alignment horizontal="right" vertical="center"/>
    </xf>
    <xf numFmtId="49" fontId="9" fillId="0" borderId="11" xfId="0" applyNumberFormat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65" fontId="2" fillId="0" borderId="11" xfId="0" applyNumberFormat="1" applyFont="1" applyBorder="1"/>
    <xf numFmtId="164" fontId="2" fillId="0" borderId="11" xfId="0" applyNumberFormat="1" applyFont="1" applyBorder="1"/>
    <xf numFmtId="4" fontId="2" fillId="0" borderId="11" xfId="0" applyNumberFormat="1" applyFont="1" applyBorder="1"/>
    <xf numFmtId="14" fontId="2" fillId="0" borderId="16" xfId="0" applyNumberFormat="1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" fontId="2" fillId="0" borderId="18" xfId="0" applyNumberFormat="1" applyFont="1" applyBorder="1" applyAlignment="1">
      <alignment horizontal="right" vertical="center"/>
    </xf>
    <xf numFmtId="165" fontId="2" fillId="0" borderId="18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3" fontId="2" fillId="0" borderId="18" xfId="1" applyFont="1" applyBorder="1" applyAlignment="1">
      <alignment horizontal="right" vertical="center"/>
    </xf>
    <xf numFmtId="43" fontId="2" fillId="0" borderId="18" xfId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17" fontId="15" fillId="0" borderId="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" fontId="2" fillId="0" borderId="16" xfId="0" applyNumberFormat="1" applyFont="1" applyBorder="1" applyAlignment="1">
      <alignment vertical="center"/>
    </xf>
    <xf numFmtId="43" fontId="2" fillId="0" borderId="16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5" fillId="0" borderId="2" xfId="0" applyFont="1" applyBorder="1" applyAlignment="1">
      <alignment wrapText="1"/>
    </xf>
    <xf numFmtId="0" fontId="19" fillId="0" borderId="0" xfId="0" applyFont="1"/>
    <xf numFmtId="43" fontId="19" fillId="0" borderId="0" xfId="1" applyFont="1"/>
    <xf numFmtId="43" fontId="19" fillId="0" borderId="0" xfId="0" applyNumberFormat="1" applyFont="1"/>
    <xf numFmtId="0" fontId="19" fillId="0" borderId="0" xfId="0" applyFont="1" applyAlignment="1">
      <alignment horizontal="center" vertical="center"/>
    </xf>
    <xf numFmtId="16" fontId="19" fillId="0" borderId="0" xfId="0" applyNumberFormat="1" applyFont="1"/>
    <xf numFmtId="165" fontId="15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center" vertical="center"/>
    </xf>
    <xf numFmtId="44" fontId="15" fillId="2" borderId="2" xfId="0" applyNumberFormat="1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7" fontId="15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4" fontId="15" fillId="0" borderId="6" xfId="0" applyNumberFormat="1" applyFont="1" applyBorder="1" applyAlignment="1">
      <alignment horizontal="center" vertical="center"/>
    </xf>
    <xf numFmtId="0" fontId="0" fillId="0" borderId="2" xfId="0" applyBorder="1"/>
    <xf numFmtId="4" fontId="0" fillId="0" borderId="2" xfId="0" applyNumberFormat="1" applyBorder="1"/>
    <xf numFmtId="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3" fontId="0" fillId="0" borderId="0" xfId="1" applyFont="1"/>
    <xf numFmtId="43" fontId="0" fillId="0" borderId="0" xfId="0" applyNumberFormat="1"/>
    <xf numFmtId="43" fontId="0" fillId="0" borderId="2" xfId="1" applyFont="1" applyBorder="1"/>
    <xf numFmtId="0" fontId="15" fillId="0" borderId="0" xfId="0" applyFont="1" applyAlignment="1">
      <alignment horizontal="left" vertical="center"/>
    </xf>
    <xf numFmtId="0" fontId="20" fillId="0" borderId="17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44" fontId="2" fillId="0" borderId="16" xfId="0" applyNumberFormat="1" applyFont="1" applyBorder="1" applyAlignment="1">
      <alignment vertical="center"/>
    </xf>
    <xf numFmtId="43" fontId="9" fillId="0" borderId="17" xfId="1" applyFont="1" applyBorder="1" applyAlignment="1">
      <alignment horizontal="center" vertical="center" wrapText="1"/>
    </xf>
    <xf numFmtId="43" fontId="9" fillId="0" borderId="14" xfId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4" fontId="0" fillId="0" borderId="0" xfId="0" applyNumberFormat="1"/>
    <xf numFmtId="165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3" fontId="2" fillId="0" borderId="30" xfId="1" applyFont="1" applyBorder="1" applyAlignment="1">
      <alignment horizontal="center" vertical="center"/>
    </xf>
    <xf numFmtId="49" fontId="9" fillId="0" borderId="30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165" fontId="2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43" fontId="2" fillId="0" borderId="30" xfId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7" fontId="15" fillId="0" borderId="2" xfId="0" applyNumberFormat="1" applyFont="1" applyBorder="1" applyAlignment="1">
      <alignment horizontal="center" vertical="center" wrapText="1"/>
    </xf>
    <xf numFmtId="4" fontId="2" fillId="0" borderId="30" xfId="0" applyNumberFormat="1" applyFont="1" applyBorder="1" applyAlignment="1">
      <alignment horizontal="right" vertical="center"/>
    </xf>
    <xf numFmtId="49" fontId="2" fillId="0" borderId="30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/>
    </xf>
    <xf numFmtId="4" fontId="2" fillId="0" borderId="25" xfId="0" applyNumberFormat="1" applyFont="1" applyBorder="1" applyAlignment="1">
      <alignment horizontal="right" vertical="center"/>
    </xf>
    <xf numFmtId="165" fontId="2" fillId="0" borderId="25" xfId="0" applyNumberFormat="1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43" fontId="2" fillId="0" borderId="25" xfId="1" applyFont="1" applyBorder="1" applyAlignment="1">
      <alignment horizontal="right" vertical="center"/>
    </xf>
    <xf numFmtId="49" fontId="2" fillId="0" borderId="25" xfId="0" applyNumberFormat="1" applyFont="1" applyBorder="1" applyAlignment="1">
      <alignment horizontal="center" vertical="center"/>
    </xf>
    <xf numFmtId="43" fontId="2" fillId="0" borderId="25" xfId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65" fontId="2" fillId="0" borderId="16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3" fontId="15" fillId="5" borderId="0" xfId="1" applyFont="1" applyFill="1" applyAlignment="1">
      <alignment vertical="center"/>
    </xf>
    <xf numFmtId="0" fontId="15" fillId="5" borderId="0" xfId="0" applyFont="1" applyFill="1" applyAlignment="1">
      <alignment vertical="center"/>
    </xf>
    <xf numFmtId="43" fontId="15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43" fontId="21" fillId="0" borderId="0" xfId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43" fontId="15" fillId="0" borderId="2" xfId="1" applyFont="1" applyBorder="1" applyAlignment="1">
      <alignment horizontal="left"/>
    </xf>
    <xf numFmtId="43" fontId="15" fillId="0" borderId="0" xfId="1" applyFont="1"/>
    <xf numFmtId="0" fontId="15" fillId="0" borderId="0" xfId="0" applyFont="1"/>
    <xf numFmtId="3" fontId="15" fillId="0" borderId="2" xfId="0" applyNumberFormat="1" applyFont="1" applyBorder="1" applyAlignment="1">
      <alignment horizontal="center"/>
    </xf>
    <xf numFmtId="17" fontId="15" fillId="0" borderId="2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3" fontId="15" fillId="0" borderId="0" xfId="1" applyFont="1" applyAlignment="1">
      <alignment horizontal="right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6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" fontId="2" fillId="0" borderId="11" xfId="0" applyNumberFormat="1" applyFont="1" applyBorder="1" applyAlignment="1">
      <alignment horizontal="center" vertical="center"/>
    </xf>
    <xf numFmtId="17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1" xfId="1" applyFont="1" applyBorder="1" applyAlignment="1">
      <alignment horizontal="left" vertical="center"/>
    </xf>
    <xf numFmtId="43" fontId="2" fillId="0" borderId="16" xfId="1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6" xfId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right" vertical="center"/>
    </xf>
    <xf numFmtId="14" fontId="2" fillId="5" borderId="0" xfId="0" applyNumberFormat="1" applyFont="1" applyFill="1" applyAlignment="1">
      <alignment vertical="center"/>
    </xf>
    <xf numFmtId="43" fontId="2" fillId="5" borderId="0" xfId="1" applyFont="1" applyFill="1" applyAlignment="1">
      <alignment horizontal="right" vertical="center"/>
    </xf>
    <xf numFmtId="43" fontId="2" fillId="5" borderId="0" xfId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4" fontId="2" fillId="5" borderId="8" xfId="0" applyNumberFormat="1" applyFont="1" applyFill="1" applyBorder="1" applyAlignment="1">
      <alignment horizontal="center" vertical="center"/>
    </xf>
    <xf numFmtId="4" fontId="2" fillId="5" borderId="8" xfId="0" applyNumberFormat="1" applyFont="1" applyFill="1" applyBorder="1" applyAlignment="1">
      <alignment horizontal="right" vertical="center"/>
    </xf>
    <xf numFmtId="14" fontId="2" fillId="5" borderId="8" xfId="0" applyNumberFormat="1" applyFont="1" applyFill="1" applyBorder="1" applyAlignment="1">
      <alignment vertical="center"/>
    </xf>
    <xf numFmtId="43" fontId="2" fillId="5" borderId="8" xfId="1" applyFont="1" applyFill="1" applyBorder="1" applyAlignment="1">
      <alignment horizontal="right" vertical="center"/>
    </xf>
    <xf numFmtId="43" fontId="2" fillId="5" borderId="8" xfId="1" applyFont="1" applyFill="1" applyBorder="1" applyAlignment="1">
      <alignment horizontal="center" vertical="center"/>
    </xf>
    <xf numFmtId="165" fontId="2" fillId="5" borderId="8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" fontId="13" fillId="4" borderId="2" xfId="0" applyNumberFormat="1" applyFont="1" applyFill="1" applyBorder="1" applyAlignment="1">
      <alignment horizontal="right" vertical="center"/>
    </xf>
    <xf numFmtId="0" fontId="13" fillId="4" borderId="2" xfId="0" applyFont="1" applyFill="1" applyBorder="1" applyAlignment="1">
      <alignment vertical="center"/>
    </xf>
    <xf numFmtId="43" fontId="13" fillId="4" borderId="2" xfId="1" applyFon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165" fontId="13" fillId="4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5" fontId="2" fillId="0" borderId="11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165" fontId="2" fillId="0" borderId="30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3" fontId="2" fillId="0" borderId="30" xfId="1" applyFont="1" applyBorder="1" applyAlignment="1">
      <alignment horizontal="center" vertical="center"/>
    </xf>
    <xf numFmtId="43" fontId="2" fillId="0" borderId="25" xfId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 wrapText="1"/>
    </xf>
    <xf numFmtId="17" fontId="15" fillId="0" borderId="2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4" fontId="15" fillId="5" borderId="0" xfId="0" applyNumberFormat="1" applyFont="1" applyFill="1" applyAlignment="1">
      <alignment horizontal="center" vertical="center"/>
    </xf>
    <xf numFmtId="14" fontId="15" fillId="5" borderId="8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4" fontId="2" fillId="0" borderId="0" xfId="0" applyNumberFormat="1" applyFont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ina" id="{CFB2B0D6-75B1-4F49-B0ED-571EAAE6504F}" userId="Carolina" providerId="None"/>
  <person displayName="Carolina Freitas" id="{D3F6A392-C8F3-4683-A1BC-B372F3F63D59}" userId="c8b64539fc7f7666" providerId="Windows Live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" dT="2020-10-02T14:27:11.82" personId="{CFB2B0D6-75B1-4F49-B0ED-571EAAE6504F}" id="{53BF4E61-B69C-45BF-928D-C65484AA25D9}">
    <text>VALOR ESTIPULADO PELO CLIENTE. A MENOR DO QUE OS 5% PADRÃO</text>
  </threadedComment>
  <threadedComment ref="Q157" dT="2020-10-26T13:24:53.84" personId="{CFB2B0D6-75B1-4F49-B0ED-571EAAE6504F}" id="{2D660414-6CA0-40EC-AE9A-C3905238C2DF}">
    <text>apesar do TA ser de acrescimo, ainda não superou o valor inicial assegurado, não necessitando de outra apólice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5" dT="2021-05-17T13:24:40.05" personId="{D3F6A392-C8F3-4683-A1BC-B372F3F63D59}" id="{CA025519-7A4F-408E-9154-8F3B806FC5A5}">
    <text>APÓLICE CANCELADA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osealvares53@gmail.com" TargetMode="External"/><Relationship Id="rId1" Type="http://schemas.openxmlformats.org/officeDocument/2006/relationships/hyperlink" Target="mailto:jois.antonelli@finlandiaseguros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8"/>
  <sheetViews>
    <sheetView tabSelected="1" zoomScaleNormal="100" workbookViewId="0">
      <pane xSplit="3" ySplit="4" topLeftCell="D82" activePane="bottomRight" state="frozen"/>
      <selection pane="topRight" activeCell="D1" sqref="D1"/>
      <selection pane="bottomLeft" activeCell="A12" sqref="A12"/>
      <selection pane="bottomRight" activeCell="I248" sqref="I248"/>
    </sheetView>
  </sheetViews>
  <sheetFormatPr defaultColWidth="9.140625" defaultRowHeight="13.5" x14ac:dyDescent="0.25"/>
  <cols>
    <col min="1" max="1" width="10.7109375" style="57" bestFit="1" customWidth="1"/>
    <col min="2" max="2" width="26.7109375" style="56" customWidth="1"/>
    <col min="3" max="3" width="14.85546875" style="57" customWidth="1"/>
    <col min="4" max="4" width="12.28515625" style="57" customWidth="1"/>
    <col min="5" max="5" width="16" style="68" bestFit="1" customWidth="1"/>
    <col min="6" max="6" width="10.7109375" style="62" customWidth="1"/>
    <col min="7" max="7" width="13.140625" style="56" customWidth="1"/>
    <col min="8" max="8" width="14.42578125" style="69" customWidth="1"/>
    <col min="9" max="10" width="10.7109375" style="62" customWidth="1"/>
    <col min="11" max="11" width="9.28515625" style="56" customWidth="1"/>
    <col min="12" max="12" width="13.85546875" style="57" customWidth="1"/>
    <col min="13" max="13" width="23.42578125" style="58" customWidth="1"/>
    <col min="14" max="14" width="12.7109375" style="60" customWidth="1"/>
    <col min="15" max="16" width="9.7109375" style="118" customWidth="1"/>
    <col min="17" max="17" width="29.7109375" style="70" bestFit="1" customWidth="1"/>
    <col min="18" max="18" width="9.140625" style="56"/>
    <col min="19" max="19" width="12.140625" style="65" bestFit="1" customWidth="1"/>
    <col min="20" max="22" width="9.140625" style="56"/>
    <col min="23" max="23" width="13.42578125" style="56" bestFit="1" customWidth="1"/>
    <col min="24" max="16384" width="9.140625" style="56"/>
  </cols>
  <sheetData>
    <row r="1" spans="1:19" s="63" customFormat="1" ht="39.950000000000003" hidden="1" customHeight="1" x14ac:dyDescent="0.25">
      <c r="A1" s="273">
        <f ca="1">TODAY()</f>
        <v>44957</v>
      </c>
      <c r="B1" s="273"/>
      <c r="C1" s="273"/>
      <c r="D1" s="273"/>
      <c r="E1" s="274"/>
      <c r="F1" s="275"/>
      <c r="G1" s="273"/>
      <c r="H1" s="276"/>
      <c r="I1" s="273"/>
      <c r="J1" s="275"/>
      <c r="K1" s="275"/>
      <c r="L1" s="273"/>
      <c r="M1" s="273"/>
      <c r="N1" s="277"/>
      <c r="O1" s="278"/>
      <c r="P1" s="278"/>
      <c r="Q1" s="273"/>
      <c r="S1" s="64"/>
    </row>
    <row r="2" spans="1:19" s="63" customFormat="1" ht="39.950000000000003" hidden="1" customHeight="1" x14ac:dyDescent="0.25">
      <c r="A2" s="279"/>
      <c r="B2" s="279"/>
      <c r="C2" s="279"/>
      <c r="D2" s="279"/>
      <c r="E2" s="280"/>
      <c r="F2" s="281"/>
      <c r="G2" s="279"/>
      <c r="H2" s="282"/>
      <c r="I2" s="279"/>
      <c r="J2" s="281"/>
      <c r="K2" s="281"/>
      <c r="L2" s="279"/>
      <c r="M2" s="279"/>
      <c r="N2" s="283"/>
      <c r="O2" s="284"/>
      <c r="P2" s="284"/>
      <c r="Q2" s="279"/>
      <c r="S2" s="64"/>
    </row>
    <row r="3" spans="1:19" ht="17.25" x14ac:dyDescent="0.25">
      <c r="A3" s="285" t="s">
        <v>4</v>
      </c>
      <c r="B3" s="285"/>
      <c r="C3" s="285"/>
      <c r="D3" s="285"/>
      <c r="E3" s="286"/>
      <c r="F3" s="287"/>
      <c r="G3" s="285"/>
      <c r="H3" s="288" t="s">
        <v>112</v>
      </c>
      <c r="I3" s="285"/>
      <c r="J3" s="285"/>
      <c r="K3" s="285"/>
      <c r="L3" s="285"/>
      <c r="M3" s="289"/>
      <c r="N3" s="288"/>
      <c r="O3" s="290"/>
      <c r="P3" s="290"/>
      <c r="Q3" s="291"/>
    </row>
    <row r="4" spans="1:19" s="66" customFormat="1" ht="26.25" thickBot="1" x14ac:dyDescent="0.3">
      <c r="A4" s="34" t="s">
        <v>0</v>
      </c>
      <c r="B4" s="34" t="s">
        <v>1</v>
      </c>
      <c r="C4" s="34" t="s">
        <v>2</v>
      </c>
      <c r="D4" s="34" t="s">
        <v>5</v>
      </c>
      <c r="E4" s="37" t="s">
        <v>6</v>
      </c>
      <c r="F4" s="61" t="s">
        <v>3</v>
      </c>
      <c r="G4" s="34" t="s">
        <v>9</v>
      </c>
      <c r="H4" s="59" t="s">
        <v>6</v>
      </c>
      <c r="I4" s="35" t="s">
        <v>7</v>
      </c>
      <c r="J4" s="35" t="s">
        <v>8</v>
      </c>
      <c r="K4" s="34" t="s">
        <v>9</v>
      </c>
      <c r="L4" s="34" t="s">
        <v>10</v>
      </c>
      <c r="M4" s="36" t="s">
        <v>70</v>
      </c>
      <c r="N4" s="59" t="s">
        <v>11</v>
      </c>
      <c r="O4" s="35" t="s">
        <v>12</v>
      </c>
      <c r="P4" s="35" t="s">
        <v>13</v>
      </c>
      <c r="Q4" s="34" t="s">
        <v>18</v>
      </c>
      <c r="S4" s="67"/>
    </row>
    <row r="5" spans="1:19" x14ac:dyDescent="0.25">
      <c r="A5" s="256">
        <v>8245</v>
      </c>
      <c r="B5" s="250" t="s">
        <v>19</v>
      </c>
      <c r="C5" s="250" t="s">
        <v>216</v>
      </c>
      <c r="D5" s="73"/>
      <c r="E5" s="92">
        <v>17099000</v>
      </c>
      <c r="F5" s="93">
        <v>43174</v>
      </c>
      <c r="G5" s="72">
        <f t="shared" ref="G5:G7" ca="1" si="0">F5-$A$1</f>
        <v>-1783</v>
      </c>
      <c r="H5" s="94">
        <f>E5*0.05</f>
        <v>854950</v>
      </c>
      <c r="I5" s="93">
        <v>42809</v>
      </c>
      <c r="J5" s="93">
        <v>43204</v>
      </c>
      <c r="K5" s="72">
        <f t="shared" ref="K5:K7" ca="1" si="1">J5-$A$1</f>
        <v>-1753</v>
      </c>
      <c r="L5" s="73" t="s">
        <v>90</v>
      </c>
      <c r="M5" s="95" t="s">
        <v>245</v>
      </c>
      <c r="N5" s="96">
        <v>5565.37</v>
      </c>
      <c r="O5" s="117"/>
      <c r="P5" s="117"/>
      <c r="Q5" s="97"/>
    </row>
    <row r="6" spans="1:19" ht="15" customHeight="1" x14ac:dyDescent="0.25">
      <c r="A6" s="260"/>
      <c r="B6" s="251"/>
      <c r="C6" s="251"/>
      <c r="D6" s="74" t="s">
        <v>35</v>
      </c>
      <c r="E6" s="71">
        <v>17721272.57</v>
      </c>
      <c r="F6" s="79">
        <v>43538</v>
      </c>
      <c r="G6" s="76">
        <f t="shared" ca="1" si="0"/>
        <v>-1419</v>
      </c>
      <c r="H6" s="77">
        <v>856943.96</v>
      </c>
      <c r="I6" s="79">
        <v>43174</v>
      </c>
      <c r="J6" s="79">
        <v>43569</v>
      </c>
      <c r="K6" s="76">
        <f t="shared" ca="1" si="1"/>
        <v>-1388</v>
      </c>
      <c r="L6" s="74" t="s">
        <v>15</v>
      </c>
      <c r="M6" s="80" t="s">
        <v>246</v>
      </c>
      <c r="N6" s="81">
        <v>4052</v>
      </c>
      <c r="O6" s="78"/>
      <c r="P6" s="78"/>
      <c r="Q6" s="82"/>
    </row>
    <row r="7" spans="1:19" ht="15" customHeight="1" x14ac:dyDescent="0.25">
      <c r="A7" s="260"/>
      <c r="B7" s="251"/>
      <c r="C7" s="251"/>
      <c r="D7" s="74" t="s">
        <v>17</v>
      </c>
      <c r="E7" s="71">
        <f>1428239.93*24</f>
        <v>34277758.32</v>
      </c>
      <c r="F7" s="79">
        <v>44269</v>
      </c>
      <c r="G7" s="76">
        <f t="shared" ca="1" si="0"/>
        <v>-688</v>
      </c>
      <c r="H7" s="77">
        <f>E7*5%</f>
        <v>1713887.9160000002</v>
      </c>
      <c r="I7" s="79">
        <v>43539</v>
      </c>
      <c r="J7" s="79">
        <v>44299</v>
      </c>
      <c r="K7" s="76">
        <f t="shared" ca="1" si="1"/>
        <v>-658</v>
      </c>
      <c r="L7" s="74" t="s">
        <v>42</v>
      </c>
      <c r="M7" s="80" t="s">
        <v>247</v>
      </c>
      <c r="N7" s="81">
        <v>16080.03</v>
      </c>
      <c r="O7" s="78">
        <v>43446</v>
      </c>
      <c r="P7" s="78">
        <v>43446</v>
      </c>
      <c r="Q7" s="82"/>
    </row>
    <row r="8" spans="1:19" ht="15" customHeight="1" x14ac:dyDescent="0.25">
      <c r="A8" s="260"/>
      <c r="B8" s="251"/>
      <c r="C8" s="251"/>
      <c r="D8" s="74" t="s">
        <v>33</v>
      </c>
      <c r="E8" s="71">
        <f>1428239.93*24</f>
        <v>34277758.32</v>
      </c>
      <c r="F8" s="79">
        <v>44270</v>
      </c>
      <c r="G8" s="76">
        <f t="shared" ref="G8" ca="1" si="2">F8-$A$1</f>
        <v>-687</v>
      </c>
      <c r="H8" s="77"/>
      <c r="I8" s="79"/>
      <c r="J8" s="79"/>
      <c r="K8" s="76"/>
      <c r="L8" s="74"/>
      <c r="M8" s="80"/>
      <c r="N8" s="81"/>
      <c r="O8" s="78"/>
      <c r="P8" s="78"/>
      <c r="Q8" s="82" t="s">
        <v>446</v>
      </c>
    </row>
    <row r="9" spans="1:19" ht="15" customHeight="1" x14ac:dyDescent="0.25">
      <c r="A9" s="260"/>
      <c r="B9" s="251"/>
      <c r="C9" s="251"/>
      <c r="D9" s="74" t="s">
        <v>20</v>
      </c>
      <c r="E9" s="71">
        <v>29866859.600000001</v>
      </c>
      <c r="F9" s="79">
        <v>44271</v>
      </c>
      <c r="G9" s="76">
        <f t="shared" ref="G9:G15" ca="1" si="3">F9-$A$1</f>
        <v>-686</v>
      </c>
      <c r="H9" s="77"/>
      <c r="I9" s="79"/>
      <c r="J9" s="79"/>
      <c r="K9" s="76"/>
      <c r="L9" s="74"/>
      <c r="M9" s="80"/>
      <c r="N9" s="81"/>
      <c r="O9" s="78"/>
      <c r="P9" s="78"/>
      <c r="Q9" s="82" t="s">
        <v>208</v>
      </c>
    </row>
    <row r="10" spans="1:19" ht="27" x14ac:dyDescent="0.25">
      <c r="A10" s="260"/>
      <c r="B10" s="251"/>
      <c r="C10" s="251"/>
      <c r="D10" s="74" t="s">
        <v>48</v>
      </c>
      <c r="E10" s="71">
        <v>30483313.210000001</v>
      </c>
      <c r="F10" s="79">
        <v>44271</v>
      </c>
      <c r="G10" s="76">
        <f t="shared" ca="1" si="3"/>
        <v>-686</v>
      </c>
      <c r="H10" s="77"/>
      <c r="I10" s="79"/>
      <c r="J10" s="79"/>
      <c r="K10" s="76"/>
      <c r="L10" s="74"/>
      <c r="M10" s="80"/>
      <c r="N10" s="81"/>
      <c r="O10" s="78"/>
      <c r="P10" s="78"/>
      <c r="Q10" s="82" t="s">
        <v>248</v>
      </c>
    </row>
    <row r="11" spans="1:19" ht="15" customHeight="1" x14ac:dyDescent="0.25">
      <c r="A11" s="260"/>
      <c r="B11" s="251"/>
      <c r="C11" s="251"/>
      <c r="D11" s="74" t="s">
        <v>32</v>
      </c>
      <c r="E11" s="71">
        <f>H11*100/5</f>
        <v>6617325</v>
      </c>
      <c r="F11" s="79">
        <v>44629</v>
      </c>
      <c r="G11" s="76">
        <f t="shared" ca="1" si="3"/>
        <v>-328</v>
      </c>
      <c r="H11" s="77">
        <v>330866.25</v>
      </c>
      <c r="I11" s="79">
        <v>44270</v>
      </c>
      <c r="J11" s="79">
        <v>44661</v>
      </c>
      <c r="K11" s="76">
        <f t="shared" ref="K11:K15" ca="1" si="4">J11-$A$1</f>
        <v>-296</v>
      </c>
      <c r="L11" s="74" t="s">
        <v>15</v>
      </c>
      <c r="M11" s="80" t="s">
        <v>320</v>
      </c>
      <c r="N11" s="81">
        <v>1115</v>
      </c>
      <c r="O11" s="78">
        <v>44257</v>
      </c>
      <c r="P11" s="78">
        <v>44257</v>
      </c>
      <c r="Q11" s="82" t="s">
        <v>319</v>
      </c>
    </row>
    <row r="12" spans="1:19" ht="15" customHeight="1" x14ac:dyDescent="0.25">
      <c r="A12" s="260"/>
      <c r="B12" s="251"/>
      <c r="C12" s="251"/>
      <c r="D12" s="74" t="s">
        <v>45</v>
      </c>
      <c r="E12" s="71">
        <f>H12*100/5</f>
        <v>594482</v>
      </c>
      <c r="F12" s="79">
        <v>44629</v>
      </c>
      <c r="G12" s="76">
        <f t="shared" ca="1" si="3"/>
        <v>-328</v>
      </c>
      <c r="H12" s="77">
        <v>29724.1</v>
      </c>
      <c r="I12" s="79">
        <v>44596</v>
      </c>
      <c r="J12" s="79">
        <v>44661</v>
      </c>
      <c r="K12" s="76">
        <f t="shared" ca="1" si="4"/>
        <v>-296</v>
      </c>
      <c r="L12" s="74" t="s">
        <v>15</v>
      </c>
      <c r="M12" s="80" t="s">
        <v>320</v>
      </c>
      <c r="N12" s="81">
        <v>180</v>
      </c>
      <c r="O12" s="78">
        <v>44600</v>
      </c>
      <c r="P12" s="78">
        <v>44600</v>
      </c>
      <c r="Q12" s="82" t="s">
        <v>632</v>
      </c>
    </row>
    <row r="13" spans="1:19" ht="15.75" customHeight="1" x14ac:dyDescent="0.25">
      <c r="A13" s="260"/>
      <c r="B13" s="251"/>
      <c r="C13" s="251"/>
      <c r="D13" s="74" t="s">
        <v>65</v>
      </c>
      <c r="E13" s="71">
        <v>5121782.82</v>
      </c>
      <c r="F13" s="79">
        <v>44900</v>
      </c>
      <c r="G13" s="76">
        <f t="shared" ca="1" si="3"/>
        <v>-57</v>
      </c>
      <c r="H13" s="77">
        <f>E13*5%</f>
        <v>256089.14100000003</v>
      </c>
      <c r="I13" s="79">
        <v>44662</v>
      </c>
      <c r="J13" s="79">
        <v>45023</v>
      </c>
      <c r="K13" s="76">
        <f t="shared" ca="1" si="4"/>
        <v>66</v>
      </c>
      <c r="L13" s="74" t="s">
        <v>15</v>
      </c>
      <c r="M13" s="80" t="s">
        <v>320</v>
      </c>
      <c r="N13" s="81">
        <v>797</v>
      </c>
      <c r="O13" s="78">
        <v>44623</v>
      </c>
      <c r="P13" s="78">
        <v>44623</v>
      </c>
      <c r="Q13" s="82" t="s">
        <v>378</v>
      </c>
    </row>
    <row r="14" spans="1:19" ht="15.75" customHeight="1" x14ac:dyDescent="0.25">
      <c r="A14" s="260"/>
      <c r="B14" s="251"/>
      <c r="C14" s="251"/>
      <c r="D14" s="74" t="s">
        <v>58</v>
      </c>
      <c r="E14" s="71">
        <v>1402791.81</v>
      </c>
      <c r="F14" s="79">
        <v>44991</v>
      </c>
      <c r="G14" s="76">
        <f t="shared" ca="1" si="3"/>
        <v>34</v>
      </c>
      <c r="H14" s="77">
        <f>E14*5%</f>
        <v>70139.590500000006</v>
      </c>
      <c r="I14" s="79">
        <v>44901</v>
      </c>
      <c r="J14" s="79">
        <v>45081</v>
      </c>
      <c r="K14" s="76">
        <f t="shared" ca="1" si="4"/>
        <v>124</v>
      </c>
      <c r="L14" s="74" t="s">
        <v>15</v>
      </c>
      <c r="M14" s="80" t="s">
        <v>320</v>
      </c>
      <c r="N14" s="81">
        <v>180</v>
      </c>
      <c r="O14" s="78">
        <v>44861</v>
      </c>
      <c r="P14" s="78">
        <v>44861</v>
      </c>
      <c r="Q14" s="82" t="s">
        <v>378</v>
      </c>
    </row>
    <row r="15" spans="1:19" ht="15.75" customHeight="1" thickBot="1" x14ac:dyDescent="0.3">
      <c r="A15" s="257"/>
      <c r="B15" s="252"/>
      <c r="C15" s="252"/>
      <c r="D15" s="83" t="s">
        <v>209</v>
      </c>
      <c r="E15" s="84">
        <v>1707260.94</v>
      </c>
      <c r="F15" s="85">
        <v>44991</v>
      </c>
      <c r="G15" s="86">
        <f t="shared" ca="1" si="3"/>
        <v>34</v>
      </c>
      <c r="H15" s="87">
        <f>(E15*5%)-H14</f>
        <v>15223.4565</v>
      </c>
      <c r="I15" s="85">
        <v>44869</v>
      </c>
      <c r="J15" s="85">
        <v>45081</v>
      </c>
      <c r="K15" s="86">
        <f t="shared" ca="1" si="4"/>
        <v>124</v>
      </c>
      <c r="L15" s="83" t="s">
        <v>15</v>
      </c>
      <c r="M15" s="89" t="s">
        <v>320</v>
      </c>
      <c r="N15" s="90">
        <v>180</v>
      </c>
      <c r="O15" s="88">
        <v>44874</v>
      </c>
      <c r="P15" s="88">
        <v>44874</v>
      </c>
      <c r="Q15" s="91" t="s">
        <v>701</v>
      </c>
    </row>
    <row r="16" spans="1:19" x14ac:dyDescent="0.25">
      <c r="A16" s="256">
        <v>8247</v>
      </c>
      <c r="B16" s="270" t="s">
        <v>428</v>
      </c>
      <c r="C16" s="250" t="s">
        <v>225</v>
      </c>
      <c r="D16" s="73"/>
      <c r="E16" s="92">
        <v>9389582.4000000004</v>
      </c>
      <c r="F16" s="93">
        <v>43709</v>
      </c>
      <c r="G16" s="72">
        <f t="shared" ref="G16:G18" ca="1" si="5">F16-$A$1</f>
        <v>-1248</v>
      </c>
      <c r="H16" s="94">
        <f>E16*0.05</f>
        <v>469479.12000000005</v>
      </c>
      <c r="I16" s="93">
        <v>42979</v>
      </c>
      <c r="J16" s="93">
        <v>43739</v>
      </c>
      <c r="K16" s="72">
        <f t="shared" ref="K16:K24" ca="1" si="6">J16-$A$1</f>
        <v>-1218</v>
      </c>
      <c r="L16" s="73" t="s">
        <v>15</v>
      </c>
      <c r="M16" s="95" t="s">
        <v>243</v>
      </c>
      <c r="N16" s="96">
        <v>4995</v>
      </c>
      <c r="O16" s="117"/>
      <c r="P16" s="117"/>
      <c r="Q16" s="97"/>
    </row>
    <row r="17" spans="1:17" ht="15" customHeight="1" x14ac:dyDescent="0.25">
      <c r="A17" s="260"/>
      <c r="B17" s="271"/>
      <c r="C17" s="251"/>
      <c r="D17" s="74" t="s">
        <v>35</v>
      </c>
      <c r="E17" s="71">
        <v>9251186.6300000008</v>
      </c>
      <c r="F17" s="79">
        <v>44439</v>
      </c>
      <c r="G17" s="76">
        <f t="shared" ca="1" si="5"/>
        <v>-518</v>
      </c>
      <c r="H17" s="77">
        <f>E17*5%</f>
        <v>462559.33150000009</v>
      </c>
      <c r="I17" s="79">
        <v>43709</v>
      </c>
      <c r="J17" s="79">
        <v>44470</v>
      </c>
      <c r="K17" s="76">
        <f t="shared" ca="1" si="6"/>
        <v>-487</v>
      </c>
      <c r="L17" s="74" t="s">
        <v>49</v>
      </c>
      <c r="M17" s="80" t="s">
        <v>244</v>
      </c>
      <c r="N17" s="81">
        <v>3520.08</v>
      </c>
      <c r="O17" s="78">
        <v>43651</v>
      </c>
      <c r="P17" s="78"/>
      <c r="Q17" s="82" t="s">
        <v>210</v>
      </c>
    </row>
    <row r="18" spans="1:17" ht="15" customHeight="1" x14ac:dyDescent="0.25">
      <c r="A18" s="260"/>
      <c r="B18" s="271"/>
      <c r="C18" s="251"/>
      <c r="D18" s="74" t="s">
        <v>17</v>
      </c>
      <c r="E18" s="71">
        <v>9243254.8599999994</v>
      </c>
      <c r="F18" s="79">
        <v>44439</v>
      </c>
      <c r="G18" s="76">
        <f t="shared" ca="1" si="5"/>
        <v>-518</v>
      </c>
      <c r="H18" s="77"/>
      <c r="I18" s="79"/>
      <c r="J18" s="79"/>
      <c r="K18" s="76"/>
      <c r="L18" s="74"/>
      <c r="M18" s="80"/>
      <c r="N18" s="81"/>
      <c r="O18" s="78"/>
      <c r="P18" s="78"/>
      <c r="Q18" s="82" t="s">
        <v>208</v>
      </c>
    </row>
    <row r="19" spans="1:17" ht="15" customHeight="1" x14ac:dyDescent="0.25">
      <c r="A19" s="260"/>
      <c r="B19" s="271"/>
      <c r="C19" s="251"/>
      <c r="D19" s="74" t="s">
        <v>33</v>
      </c>
      <c r="E19" s="71">
        <v>10108121.210000001</v>
      </c>
      <c r="F19" s="79">
        <v>44440</v>
      </c>
      <c r="G19" s="76">
        <f t="shared" ref="G19:G24" ca="1" si="7">F19-$A$1</f>
        <v>-517</v>
      </c>
      <c r="H19" s="77">
        <v>43243.32</v>
      </c>
      <c r="I19" s="79">
        <v>44340</v>
      </c>
      <c r="J19" s="79">
        <v>44470</v>
      </c>
      <c r="K19" s="76">
        <f t="shared" ca="1" si="6"/>
        <v>-487</v>
      </c>
      <c r="L19" s="74" t="s">
        <v>49</v>
      </c>
      <c r="M19" s="80" t="s">
        <v>370</v>
      </c>
      <c r="N19" s="81">
        <v>170</v>
      </c>
      <c r="O19" s="78">
        <v>44349</v>
      </c>
      <c r="P19" s="78">
        <v>44349</v>
      </c>
      <c r="Q19" s="82" t="s">
        <v>342</v>
      </c>
    </row>
    <row r="20" spans="1:17" ht="15" customHeight="1" x14ac:dyDescent="0.25">
      <c r="A20" s="260"/>
      <c r="B20" s="271"/>
      <c r="C20" s="251"/>
      <c r="D20" s="74" t="s">
        <v>20</v>
      </c>
      <c r="E20" s="71">
        <v>5028093.24</v>
      </c>
      <c r="F20" s="79">
        <v>44804</v>
      </c>
      <c r="G20" s="76">
        <f t="shared" ca="1" si="7"/>
        <v>-153</v>
      </c>
      <c r="H20" s="77">
        <f>E20*5%</f>
        <v>251404.66200000001</v>
      </c>
      <c r="I20" s="79">
        <v>44440</v>
      </c>
      <c r="J20" s="79">
        <v>44835</v>
      </c>
      <c r="K20" s="76">
        <f t="shared" ca="1" si="6"/>
        <v>-122</v>
      </c>
      <c r="L20" s="74" t="s">
        <v>15</v>
      </c>
      <c r="M20" s="80" t="s">
        <v>430</v>
      </c>
      <c r="N20" s="81">
        <v>856</v>
      </c>
      <c r="O20" s="78">
        <v>44439</v>
      </c>
      <c r="P20" s="78">
        <v>44439</v>
      </c>
      <c r="Q20" s="82" t="s">
        <v>210</v>
      </c>
    </row>
    <row r="21" spans="1:17" ht="15" customHeight="1" x14ac:dyDescent="0.25">
      <c r="A21" s="260"/>
      <c r="B21" s="271"/>
      <c r="C21" s="251"/>
      <c r="D21" s="74" t="s">
        <v>48</v>
      </c>
      <c r="E21" s="71">
        <v>4364901.91</v>
      </c>
      <c r="F21" s="79">
        <v>44804</v>
      </c>
      <c r="G21" s="76">
        <f t="shared" ca="1" si="7"/>
        <v>-153</v>
      </c>
      <c r="H21" s="77"/>
      <c r="I21" s="79"/>
      <c r="J21" s="79"/>
      <c r="K21" s="76"/>
      <c r="L21" s="74"/>
      <c r="M21" s="80"/>
      <c r="N21" s="81"/>
      <c r="O21" s="78"/>
      <c r="P21" s="78"/>
      <c r="Q21" s="82" t="s">
        <v>617</v>
      </c>
    </row>
    <row r="22" spans="1:17" ht="15" customHeight="1" x14ac:dyDescent="0.25">
      <c r="A22" s="260"/>
      <c r="B22" s="271"/>
      <c r="C22" s="251"/>
      <c r="D22" s="74" t="s">
        <v>32</v>
      </c>
      <c r="E22" s="71">
        <v>4538501.71</v>
      </c>
      <c r="F22" s="79">
        <v>44804</v>
      </c>
      <c r="G22" s="76">
        <f t="shared" ca="1" si="7"/>
        <v>-153</v>
      </c>
      <c r="H22" s="77">
        <f>(E22-E21)*5%</f>
        <v>8679.9899999999907</v>
      </c>
      <c r="I22" s="79">
        <v>44652</v>
      </c>
      <c r="J22" s="79">
        <v>44835</v>
      </c>
      <c r="K22" s="76">
        <f t="shared" ca="1" si="6"/>
        <v>-122</v>
      </c>
      <c r="L22" s="74" t="s">
        <v>15</v>
      </c>
      <c r="M22" s="80" t="s">
        <v>430</v>
      </c>
      <c r="N22" s="81">
        <v>-19.3</v>
      </c>
      <c r="O22" s="78">
        <v>44733</v>
      </c>
      <c r="P22" s="78">
        <v>44733</v>
      </c>
      <c r="Q22" s="82" t="s">
        <v>627</v>
      </c>
    </row>
    <row r="23" spans="1:17" ht="15.75" customHeight="1" x14ac:dyDescent="0.25">
      <c r="A23" s="260"/>
      <c r="B23" s="271"/>
      <c r="C23" s="251"/>
      <c r="D23" s="74" t="s">
        <v>45</v>
      </c>
      <c r="E23" s="71">
        <v>3543884.64</v>
      </c>
      <c r="F23" s="79">
        <v>45169</v>
      </c>
      <c r="G23" s="76">
        <f t="shared" ca="1" si="7"/>
        <v>212</v>
      </c>
      <c r="H23" s="77">
        <f>E23*5%</f>
        <v>177194.23200000002</v>
      </c>
      <c r="I23" s="79">
        <v>44805</v>
      </c>
      <c r="J23" s="79">
        <v>45260</v>
      </c>
      <c r="K23" s="76">
        <f t="shared" ca="1" si="6"/>
        <v>303</v>
      </c>
      <c r="L23" s="74" t="s">
        <v>15</v>
      </c>
      <c r="M23" s="80" t="s">
        <v>430</v>
      </c>
      <c r="N23" s="81">
        <v>695</v>
      </c>
      <c r="O23" s="78">
        <v>44795</v>
      </c>
      <c r="P23" s="78">
        <v>44795</v>
      </c>
      <c r="Q23" s="82" t="s">
        <v>378</v>
      </c>
    </row>
    <row r="24" spans="1:17" ht="15.75" customHeight="1" thickBot="1" x14ac:dyDescent="0.3">
      <c r="A24" s="257"/>
      <c r="B24" s="272"/>
      <c r="C24" s="252"/>
      <c r="D24" s="83" t="s">
        <v>65</v>
      </c>
      <c r="E24" s="84">
        <f>312426.41*12</f>
        <v>3749116.92</v>
      </c>
      <c r="F24" s="85">
        <v>45169</v>
      </c>
      <c r="G24" s="86">
        <f t="shared" ca="1" si="7"/>
        <v>212</v>
      </c>
      <c r="H24" s="87">
        <v>16646.7</v>
      </c>
      <c r="I24" s="85">
        <v>44562</v>
      </c>
      <c r="J24" s="85">
        <v>45260</v>
      </c>
      <c r="K24" s="86">
        <f t="shared" ca="1" si="6"/>
        <v>303</v>
      </c>
      <c r="L24" s="83" t="s">
        <v>15</v>
      </c>
      <c r="M24" s="89" t="s">
        <v>430</v>
      </c>
      <c r="N24" s="90">
        <v>180</v>
      </c>
      <c r="O24" s="88">
        <v>44924</v>
      </c>
      <c r="P24" s="88">
        <v>44924</v>
      </c>
      <c r="Q24" s="91" t="s">
        <v>727</v>
      </c>
    </row>
    <row r="25" spans="1:17" x14ac:dyDescent="0.25">
      <c r="A25" s="256">
        <v>8250</v>
      </c>
      <c r="B25" s="263" t="s">
        <v>37</v>
      </c>
      <c r="C25" s="250" t="s">
        <v>226</v>
      </c>
      <c r="D25" s="204"/>
      <c r="E25" s="92">
        <v>2871735.1</v>
      </c>
      <c r="F25" s="93">
        <v>43648</v>
      </c>
      <c r="G25" s="72">
        <f t="shared" ref="G25:G174" ca="1" si="8">F25-$A$1</f>
        <v>-1309</v>
      </c>
      <c r="H25" s="94">
        <f>E25*5%</f>
        <v>143586.755</v>
      </c>
      <c r="I25" s="93">
        <v>43283</v>
      </c>
      <c r="J25" s="93">
        <v>43737</v>
      </c>
      <c r="K25" s="72">
        <f t="shared" ref="K25:K75" ca="1" si="9">J25-$A$1</f>
        <v>-1220</v>
      </c>
      <c r="L25" s="204" t="s">
        <v>90</v>
      </c>
      <c r="M25" s="95" t="s">
        <v>239</v>
      </c>
      <c r="N25" s="208">
        <v>1056.23</v>
      </c>
      <c r="O25" s="211"/>
      <c r="P25" s="211"/>
      <c r="Q25" s="97"/>
    </row>
    <row r="26" spans="1:17" ht="15" customHeight="1" x14ac:dyDescent="0.25">
      <c r="A26" s="260"/>
      <c r="B26" s="264"/>
      <c r="C26" s="251"/>
      <c r="D26" s="205" t="s">
        <v>35</v>
      </c>
      <c r="E26" s="71">
        <v>3188110.5</v>
      </c>
      <c r="F26" s="79">
        <v>43648</v>
      </c>
      <c r="G26" s="76">
        <f t="shared" ca="1" si="8"/>
        <v>-1309</v>
      </c>
      <c r="H26" s="77">
        <f>(E26*5%)-H25</f>
        <v>15818.770000000019</v>
      </c>
      <c r="I26" s="79">
        <v>43283</v>
      </c>
      <c r="J26" s="79">
        <v>43737</v>
      </c>
      <c r="K26" s="76">
        <f t="shared" ca="1" si="9"/>
        <v>-1220</v>
      </c>
      <c r="L26" s="205" t="s">
        <v>42</v>
      </c>
      <c r="M26" s="80" t="s">
        <v>240</v>
      </c>
      <c r="N26" s="207">
        <v>140</v>
      </c>
      <c r="O26" s="210"/>
      <c r="P26" s="210"/>
      <c r="Q26" s="82" t="s">
        <v>54</v>
      </c>
    </row>
    <row r="27" spans="1:17" ht="15" customHeight="1" x14ac:dyDescent="0.25">
      <c r="A27" s="260"/>
      <c r="B27" s="264"/>
      <c r="C27" s="251"/>
      <c r="D27" s="205" t="s">
        <v>17</v>
      </c>
      <c r="E27" s="71">
        <v>3188110.5</v>
      </c>
      <c r="F27" s="79">
        <v>44015</v>
      </c>
      <c r="G27" s="76">
        <f t="shared" ca="1" si="8"/>
        <v>-942</v>
      </c>
      <c r="H27" s="77">
        <f>E27*0.05</f>
        <v>159405.52500000002</v>
      </c>
      <c r="I27" s="79">
        <v>43649</v>
      </c>
      <c r="J27" s="79">
        <v>44105</v>
      </c>
      <c r="K27" s="76">
        <f t="shared" ca="1" si="9"/>
        <v>-852</v>
      </c>
      <c r="L27" s="205" t="s">
        <v>15</v>
      </c>
      <c r="M27" s="80" t="s">
        <v>241</v>
      </c>
      <c r="N27" s="207">
        <v>606</v>
      </c>
      <c r="O27" s="210"/>
      <c r="P27" s="210"/>
      <c r="Q27" s="82"/>
    </row>
    <row r="28" spans="1:17" ht="15" customHeight="1" x14ac:dyDescent="0.25">
      <c r="A28" s="260"/>
      <c r="B28" s="264"/>
      <c r="C28" s="251"/>
      <c r="D28" s="205" t="s">
        <v>242</v>
      </c>
      <c r="E28" s="71">
        <v>3288056.04</v>
      </c>
      <c r="F28" s="79">
        <v>44015</v>
      </c>
      <c r="G28" s="76">
        <f t="shared" ca="1" si="8"/>
        <v>-942</v>
      </c>
      <c r="H28" s="77">
        <f>(E28*0.05)-H27</f>
        <v>4997.2770000000019</v>
      </c>
      <c r="I28" s="79">
        <v>43739</v>
      </c>
      <c r="J28" s="79">
        <v>44105</v>
      </c>
      <c r="K28" s="76">
        <f t="shared" ca="1" si="9"/>
        <v>-852</v>
      </c>
      <c r="L28" s="205" t="s">
        <v>15</v>
      </c>
      <c r="M28" s="80" t="s">
        <v>241</v>
      </c>
      <c r="N28" s="207">
        <v>180</v>
      </c>
      <c r="O28" s="210"/>
      <c r="P28" s="210"/>
      <c r="Q28" s="82" t="s">
        <v>54</v>
      </c>
    </row>
    <row r="29" spans="1:17" ht="15" customHeight="1" x14ac:dyDescent="0.25">
      <c r="A29" s="260"/>
      <c r="B29" s="264"/>
      <c r="C29" s="251"/>
      <c r="D29" s="205" t="s">
        <v>33</v>
      </c>
      <c r="E29" s="71">
        <v>3288057.04</v>
      </c>
      <c r="F29" s="79">
        <v>44016</v>
      </c>
      <c r="G29" s="76">
        <f t="shared" ref="G29" ca="1" si="10">F29-$A$1</f>
        <v>-941</v>
      </c>
      <c r="H29" s="77"/>
      <c r="I29" s="79"/>
      <c r="J29" s="79"/>
      <c r="K29" s="76"/>
      <c r="L29" s="205"/>
      <c r="M29" s="80"/>
      <c r="N29" s="207"/>
      <c r="O29" s="210"/>
      <c r="P29" s="210"/>
      <c r="Q29" s="82" t="s">
        <v>446</v>
      </c>
    </row>
    <row r="30" spans="1:17" ht="15" customHeight="1" x14ac:dyDescent="0.25">
      <c r="A30" s="260"/>
      <c r="B30" s="264"/>
      <c r="C30" s="251"/>
      <c r="D30" s="205" t="s">
        <v>20</v>
      </c>
      <c r="E30" s="71">
        <v>3327595.32</v>
      </c>
      <c r="F30" s="79">
        <v>44381</v>
      </c>
      <c r="G30" s="76">
        <f t="shared" ca="1" si="8"/>
        <v>-576</v>
      </c>
      <c r="H30" s="77">
        <f>(E30*5%)-(H27+H28)</f>
        <v>1976.9639999999781</v>
      </c>
      <c r="I30" s="79">
        <v>44016</v>
      </c>
      <c r="J30" s="79">
        <v>44471</v>
      </c>
      <c r="K30" s="76">
        <f t="shared" ca="1" si="9"/>
        <v>-486</v>
      </c>
      <c r="L30" s="205" t="s">
        <v>15</v>
      </c>
      <c r="M30" s="80" t="s">
        <v>180</v>
      </c>
      <c r="N30" s="207">
        <v>599</v>
      </c>
      <c r="O30" s="210">
        <v>44013</v>
      </c>
      <c r="P30" s="210">
        <v>44013</v>
      </c>
      <c r="Q30" s="82" t="s">
        <v>342</v>
      </c>
    </row>
    <row r="31" spans="1:17" ht="15" customHeight="1" x14ac:dyDescent="0.25">
      <c r="A31" s="260"/>
      <c r="B31" s="264"/>
      <c r="C31" s="251"/>
      <c r="D31" s="205" t="s">
        <v>242</v>
      </c>
      <c r="E31" s="71">
        <v>3400523.28</v>
      </c>
      <c r="F31" s="79">
        <v>44381</v>
      </c>
      <c r="G31" s="76">
        <f t="shared" ref="G31:G39" ca="1" si="11">F31-$A$1</f>
        <v>-576</v>
      </c>
      <c r="H31" s="77">
        <f>E31*5%</f>
        <v>170026.16399999999</v>
      </c>
      <c r="I31" s="79">
        <v>44016</v>
      </c>
      <c r="J31" s="79">
        <v>44471</v>
      </c>
      <c r="K31" s="76">
        <f t="shared" ca="1" si="9"/>
        <v>-486</v>
      </c>
      <c r="L31" s="205" t="s">
        <v>15</v>
      </c>
      <c r="M31" s="80" t="s">
        <v>180</v>
      </c>
      <c r="N31" s="207">
        <v>160</v>
      </c>
      <c r="O31" s="210">
        <v>44340</v>
      </c>
      <c r="P31" s="210">
        <v>44340</v>
      </c>
      <c r="Q31" s="82" t="s">
        <v>342</v>
      </c>
    </row>
    <row r="32" spans="1:17" ht="15" customHeight="1" x14ac:dyDescent="0.25">
      <c r="A32" s="260"/>
      <c r="B32" s="264"/>
      <c r="C32" s="251"/>
      <c r="D32" s="205" t="s">
        <v>48</v>
      </c>
      <c r="E32" s="71">
        <v>850130.82</v>
      </c>
      <c r="F32" s="79">
        <v>44474</v>
      </c>
      <c r="G32" s="76">
        <f t="shared" ca="1" si="11"/>
        <v>-483</v>
      </c>
      <c r="H32" s="77">
        <f>E32*5%</f>
        <v>42506.540999999997</v>
      </c>
      <c r="I32" s="79">
        <v>44382</v>
      </c>
      <c r="J32" s="79">
        <v>44565</v>
      </c>
      <c r="K32" s="76">
        <f t="shared" ca="1" si="9"/>
        <v>-392</v>
      </c>
      <c r="L32" s="205" t="s">
        <v>15</v>
      </c>
      <c r="M32" s="80" t="s">
        <v>180</v>
      </c>
      <c r="N32" s="207">
        <v>335</v>
      </c>
      <c r="O32" s="210">
        <v>44368</v>
      </c>
      <c r="P32" s="210">
        <v>44368</v>
      </c>
      <c r="Q32" s="82" t="s">
        <v>378</v>
      </c>
    </row>
    <row r="33" spans="1:17" ht="15" customHeight="1" x14ac:dyDescent="0.25">
      <c r="A33" s="260"/>
      <c r="B33" s="264"/>
      <c r="C33" s="251"/>
      <c r="D33" s="205" t="s">
        <v>32</v>
      </c>
      <c r="E33" s="71">
        <v>566753.88</v>
      </c>
      <c r="F33" s="79">
        <v>44535</v>
      </c>
      <c r="G33" s="76">
        <f t="shared" ca="1" si="11"/>
        <v>-422</v>
      </c>
      <c r="H33" s="77">
        <f>E33*5%</f>
        <v>28337.694000000003</v>
      </c>
      <c r="I33" s="79">
        <v>44566</v>
      </c>
      <c r="J33" s="79">
        <v>44626</v>
      </c>
      <c r="K33" s="76">
        <f t="shared" ca="1" si="9"/>
        <v>-331</v>
      </c>
      <c r="L33" s="205" t="s">
        <v>15</v>
      </c>
      <c r="M33" s="80" t="s">
        <v>180</v>
      </c>
      <c r="N33" s="207">
        <v>160</v>
      </c>
      <c r="O33" s="210">
        <v>44447</v>
      </c>
      <c r="P33" s="210">
        <v>44447</v>
      </c>
      <c r="Q33" s="82"/>
    </row>
    <row r="34" spans="1:17" ht="15.75" customHeight="1" x14ac:dyDescent="0.25">
      <c r="A34" s="260"/>
      <c r="B34" s="264"/>
      <c r="C34" s="251"/>
      <c r="D34" s="205" t="s">
        <v>45</v>
      </c>
      <c r="E34" s="71">
        <v>1983639.93</v>
      </c>
      <c r="F34" s="79">
        <v>44747</v>
      </c>
      <c r="G34" s="76">
        <f t="shared" ca="1" si="11"/>
        <v>-210</v>
      </c>
      <c r="H34" s="77">
        <f>E34*5%</f>
        <v>99181.996500000008</v>
      </c>
      <c r="I34" s="79">
        <v>44536</v>
      </c>
      <c r="J34" s="79">
        <v>44837</v>
      </c>
      <c r="K34" s="76">
        <f t="shared" ca="1" si="9"/>
        <v>-120</v>
      </c>
      <c r="L34" s="205" t="s">
        <v>15</v>
      </c>
      <c r="M34" s="80" t="s">
        <v>180</v>
      </c>
      <c r="N34" s="207">
        <v>258</v>
      </c>
      <c r="O34" s="210">
        <v>44531</v>
      </c>
      <c r="P34" s="210">
        <v>44531</v>
      </c>
      <c r="Q34" s="82" t="s">
        <v>493</v>
      </c>
    </row>
    <row r="35" spans="1:17" ht="15" customHeight="1" x14ac:dyDescent="0.25">
      <c r="A35" s="260"/>
      <c r="B35" s="264"/>
      <c r="C35" s="251"/>
      <c r="D35" s="205" t="s">
        <v>242</v>
      </c>
      <c r="E35" s="71">
        <f>297855.67</f>
        <v>297855.67</v>
      </c>
      <c r="F35" s="79">
        <v>44747</v>
      </c>
      <c r="G35" s="76">
        <f t="shared" ca="1" si="11"/>
        <v>-210</v>
      </c>
      <c r="H35" s="77">
        <v>5067.4799999999996</v>
      </c>
      <c r="I35" s="79">
        <v>44683</v>
      </c>
      <c r="J35" s="79">
        <v>44837</v>
      </c>
      <c r="K35" s="76">
        <f t="shared" ca="1" si="9"/>
        <v>-120</v>
      </c>
      <c r="L35" s="205" t="s">
        <v>15</v>
      </c>
      <c r="M35" s="80" t="s">
        <v>180</v>
      </c>
      <c r="N35" s="207">
        <v>180</v>
      </c>
      <c r="O35" s="210">
        <v>44699</v>
      </c>
      <c r="P35" s="210">
        <v>44699</v>
      </c>
      <c r="Q35" s="82" t="s">
        <v>595</v>
      </c>
    </row>
    <row r="36" spans="1:17" ht="15.75" customHeight="1" x14ac:dyDescent="0.25">
      <c r="A36" s="260"/>
      <c r="B36" s="264"/>
      <c r="C36" s="251"/>
      <c r="D36" s="205" t="s">
        <v>242</v>
      </c>
      <c r="E36" s="71">
        <v>304723.99</v>
      </c>
      <c r="F36" s="79">
        <v>44747</v>
      </c>
      <c r="G36" s="76">
        <f t="shared" ca="1" si="11"/>
        <v>-210</v>
      </c>
      <c r="H36" s="77">
        <v>106653.4</v>
      </c>
      <c r="I36" s="79">
        <v>44708</v>
      </c>
      <c r="J36" s="79">
        <v>44837</v>
      </c>
      <c r="K36" s="76">
        <f t="shared" ca="1" si="9"/>
        <v>-120</v>
      </c>
      <c r="L36" s="205" t="s">
        <v>15</v>
      </c>
      <c r="M36" s="80" t="s">
        <v>180</v>
      </c>
      <c r="N36" s="207">
        <v>160</v>
      </c>
      <c r="O36" s="210">
        <v>44718</v>
      </c>
      <c r="P36" s="210">
        <v>44718</v>
      </c>
      <c r="Q36" s="82" t="s">
        <v>595</v>
      </c>
    </row>
    <row r="37" spans="1:17" ht="15.75" customHeight="1" x14ac:dyDescent="0.25">
      <c r="A37" s="260"/>
      <c r="B37" s="264"/>
      <c r="C37" s="251"/>
      <c r="D37" s="205" t="s">
        <v>65</v>
      </c>
      <c r="E37" s="71">
        <v>1829544.06</v>
      </c>
      <c r="F37" s="79">
        <v>44931</v>
      </c>
      <c r="G37" s="76">
        <f t="shared" ca="1" si="11"/>
        <v>-26</v>
      </c>
      <c r="H37" s="77">
        <f>E37*5%</f>
        <v>91477.203000000009</v>
      </c>
      <c r="I37" s="79">
        <v>44748</v>
      </c>
      <c r="J37" s="79">
        <v>45021</v>
      </c>
      <c r="K37" s="76">
        <f t="shared" ca="1" si="9"/>
        <v>64</v>
      </c>
      <c r="L37" s="205" t="s">
        <v>15</v>
      </c>
      <c r="M37" s="80" t="s">
        <v>180</v>
      </c>
      <c r="N37" s="207">
        <v>215</v>
      </c>
      <c r="O37" s="210">
        <v>44748</v>
      </c>
      <c r="P37" s="210">
        <v>44748</v>
      </c>
      <c r="Q37" s="82" t="s">
        <v>378</v>
      </c>
    </row>
    <row r="38" spans="1:17" ht="15.75" customHeight="1" x14ac:dyDescent="0.25">
      <c r="A38" s="260"/>
      <c r="B38" s="264"/>
      <c r="C38" s="251"/>
      <c r="D38" s="205" t="s">
        <v>691</v>
      </c>
      <c r="E38" s="71">
        <f>317256.89*6</f>
        <v>1903541.34</v>
      </c>
      <c r="F38" s="79">
        <v>44931</v>
      </c>
      <c r="G38" s="76">
        <f t="shared" ca="1" si="11"/>
        <v>-26</v>
      </c>
      <c r="H38" s="77">
        <f>E38*5%-H37</f>
        <v>3699.8640000000014</v>
      </c>
      <c r="I38" s="79">
        <v>44861</v>
      </c>
      <c r="J38" s="79">
        <v>45021</v>
      </c>
      <c r="K38" s="76">
        <f t="shared" ca="1" si="9"/>
        <v>64</v>
      </c>
      <c r="L38" s="205" t="s">
        <v>15</v>
      </c>
      <c r="M38" s="80" t="s">
        <v>180</v>
      </c>
      <c r="N38" s="207">
        <v>180</v>
      </c>
      <c r="O38" s="210">
        <v>44868</v>
      </c>
      <c r="P38" s="210">
        <v>44868</v>
      </c>
      <c r="Q38" s="82" t="s">
        <v>699</v>
      </c>
    </row>
    <row r="39" spans="1:17" ht="15.75" customHeight="1" thickBot="1" x14ac:dyDescent="0.3">
      <c r="A39" s="257"/>
      <c r="B39" s="265"/>
      <c r="C39" s="252"/>
      <c r="D39" s="206" t="s">
        <v>759</v>
      </c>
      <c r="E39" s="84">
        <f>317256.84*3</f>
        <v>951770.52</v>
      </c>
      <c r="F39" s="85">
        <v>45021</v>
      </c>
      <c r="G39" s="86">
        <f t="shared" ca="1" si="11"/>
        <v>64</v>
      </c>
      <c r="H39" s="87">
        <f>E39*5%</f>
        <v>47588.526000000005</v>
      </c>
      <c r="I39" s="85">
        <v>45022</v>
      </c>
      <c r="J39" s="85">
        <v>45112</v>
      </c>
      <c r="K39" s="86">
        <f t="shared" ca="1" si="9"/>
        <v>155</v>
      </c>
      <c r="L39" s="206" t="s">
        <v>760</v>
      </c>
      <c r="M39" s="89" t="s">
        <v>180</v>
      </c>
      <c r="N39" s="209">
        <v>180</v>
      </c>
      <c r="O39" s="88">
        <v>44956</v>
      </c>
      <c r="P39" s="88">
        <v>44956</v>
      </c>
      <c r="Q39" s="91" t="s">
        <v>378</v>
      </c>
    </row>
    <row r="40" spans="1:17" x14ac:dyDescent="0.25">
      <c r="A40" s="244">
        <v>8251</v>
      </c>
      <c r="B40" s="247" t="s">
        <v>38</v>
      </c>
      <c r="C40" s="250" t="s">
        <v>217</v>
      </c>
      <c r="D40" s="73"/>
      <c r="E40" s="92">
        <v>11371190.52</v>
      </c>
      <c r="F40" s="93">
        <v>44075</v>
      </c>
      <c r="G40" s="72">
        <f t="shared" ca="1" si="8"/>
        <v>-882</v>
      </c>
      <c r="H40" s="94">
        <f>E40*0.05</f>
        <v>568559.52599999995</v>
      </c>
      <c r="I40" s="93">
        <v>43344</v>
      </c>
      <c r="J40" s="93">
        <v>44104</v>
      </c>
      <c r="K40" s="72">
        <f t="shared" ca="1" si="9"/>
        <v>-853</v>
      </c>
      <c r="L40" s="73" t="s">
        <v>15</v>
      </c>
      <c r="M40" s="95" t="s">
        <v>158</v>
      </c>
      <c r="N40" s="96">
        <v>5403</v>
      </c>
      <c r="O40" s="117"/>
      <c r="P40" s="117"/>
      <c r="Q40" s="97"/>
    </row>
    <row r="41" spans="1:17" ht="15" customHeight="1" x14ac:dyDescent="0.25">
      <c r="A41" s="246"/>
      <c r="B41" s="248"/>
      <c r="C41" s="251"/>
      <c r="D41" s="74" t="s">
        <v>35</v>
      </c>
      <c r="E41" s="71">
        <v>11390208.18</v>
      </c>
      <c r="F41" s="79">
        <v>44075</v>
      </c>
      <c r="G41" s="76">
        <f t="shared" ref="G41:G48" ca="1" si="12">F41-$A$1</f>
        <v>-882</v>
      </c>
      <c r="H41" s="77">
        <f>(E41*0.05)-H40</f>
        <v>950.88300000003073</v>
      </c>
      <c r="I41" s="79">
        <v>43847</v>
      </c>
      <c r="J41" s="79">
        <v>44104</v>
      </c>
      <c r="K41" s="76">
        <f t="shared" ref="K41:K43" ca="1" si="13">J41-$A$1</f>
        <v>-853</v>
      </c>
      <c r="L41" s="74" t="s">
        <v>15</v>
      </c>
      <c r="M41" s="80" t="s">
        <v>158</v>
      </c>
      <c r="N41" s="81">
        <v>180</v>
      </c>
      <c r="O41" s="78"/>
      <c r="P41" s="78"/>
      <c r="Q41" s="82" t="s">
        <v>54</v>
      </c>
    </row>
    <row r="42" spans="1:17" ht="15" customHeight="1" x14ac:dyDescent="0.25">
      <c r="A42" s="246"/>
      <c r="B42" s="248"/>
      <c r="C42" s="251"/>
      <c r="D42" s="74" t="s">
        <v>17</v>
      </c>
      <c r="E42" s="71">
        <v>11382149.9</v>
      </c>
      <c r="F42" s="79">
        <v>44075</v>
      </c>
      <c r="G42" s="76">
        <f t="shared" ca="1" si="12"/>
        <v>-882</v>
      </c>
      <c r="H42" s="77"/>
      <c r="I42" s="79"/>
      <c r="J42" s="79"/>
      <c r="K42" s="76"/>
      <c r="L42" s="74"/>
      <c r="M42" s="80"/>
      <c r="N42" s="81"/>
      <c r="O42" s="78"/>
      <c r="P42" s="78"/>
      <c r="Q42" s="82" t="s">
        <v>208</v>
      </c>
    </row>
    <row r="43" spans="1:17" ht="15" customHeight="1" x14ac:dyDescent="0.25">
      <c r="A43" s="246"/>
      <c r="B43" s="248"/>
      <c r="C43" s="251"/>
      <c r="D43" s="74" t="s">
        <v>33</v>
      </c>
      <c r="E43" s="71">
        <v>5653206.6399999997</v>
      </c>
      <c r="F43" s="79">
        <v>44439</v>
      </c>
      <c r="G43" s="76">
        <f t="shared" ca="1" si="12"/>
        <v>-518</v>
      </c>
      <c r="H43" s="77">
        <f>E43*5%</f>
        <v>282660.33199999999</v>
      </c>
      <c r="I43" s="79">
        <v>44075</v>
      </c>
      <c r="J43" s="79">
        <v>44470</v>
      </c>
      <c r="K43" s="76">
        <f t="shared" ca="1" si="13"/>
        <v>-487</v>
      </c>
      <c r="L43" s="74" t="s">
        <v>15</v>
      </c>
      <c r="M43" s="80" t="s">
        <v>158</v>
      </c>
      <c r="N43" s="81">
        <v>119</v>
      </c>
      <c r="O43" s="78">
        <v>43983</v>
      </c>
      <c r="P43" s="78">
        <v>43983</v>
      </c>
      <c r="Q43" s="82"/>
    </row>
    <row r="44" spans="1:17" ht="15" customHeight="1" x14ac:dyDescent="0.25">
      <c r="A44" s="246"/>
      <c r="B44" s="248"/>
      <c r="C44" s="251"/>
      <c r="D44" s="74" t="s">
        <v>20</v>
      </c>
      <c r="E44" s="71">
        <v>5627475.2599999998</v>
      </c>
      <c r="F44" s="79">
        <v>44439</v>
      </c>
      <c r="G44" s="76">
        <f t="shared" ca="1" si="12"/>
        <v>-518</v>
      </c>
      <c r="H44" s="77"/>
      <c r="I44" s="79"/>
      <c r="J44" s="79"/>
      <c r="K44" s="76"/>
      <c r="L44" s="74"/>
      <c r="M44" s="80"/>
      <c r="N44" s="81"/>
      <c r="O44" s="78"/>
      <c r="P44" s="78"/>
      <c r="Q44" s="82" t="s">
        <v>208</v>
      </c>
    </row>
    <row r="45" spans="1:17" ht="15" customHeight="1" x14ac:dyDescent="0.25">
      <c r="A45" s="246"/>
      <c r="B45" s="248"/>
      <c r="C45" s="251"/>
      <c r="D45" s="74" t="s">
        <v>48</v>
      </c>
      <c r="E45" s="71">
        <v>5868219.2300000004</v>
      </c>
      <c r="F45" s="79">
        <v>44439</v>
      </c>
      <c r="G45" s="76">
        <f t="shared" ca="1" si="12"/>
        <v>-518</v>
      </c>
      <c r="H45" s="77">
        <f>(E45*5%)</f>
        <v>293410.96150000003</v>
      </c>
      <c r="I45" s="79">
        <v>44075</v>
      </c>
      <c r="J45" s="79">
        <v>44470</v>
      </c>
      <c r="K45" s="76">
        <f t="shared" ref="K45:K49" ca="1" si="14">J45-$A$1</f>
        <v>-487</v>
      </c>
      <c r="L45" s="74" t="s">
        <v>15</v>
      </c>
      <c r="M45" s="80" t="s">
        <v>158</v>
      </c>
      <c r="N45" s="81">
        <v>160</v>
      </c>
      <c r="O45" s="78">
        <v>44309</v>
      </c>
      <c r="P45" s="78"/>
      <c r="Q45" s="82" t="s">
        <v>347</v>
      </c>
    </row>
    <row r="46" spans="1:17" ht="15" customHeight="1" x14ac:dyDescent="0.25">
      <c r="A46" s="246"/>
      <c r="B46" s="248"/>
      <c r="C46" s="251"/>
      <c r="D46" s="74" t="s">
        <v>32</v>
      </c>
      <c r="E46" s="71">
        <v>5868219.2300000004</v>
      </c>
      <c r="F46" s="79">
        <v>44804</v>
      </c>
      <c r="G46" s="76">
        <f t="shared" ca="1" si="12"/>
        <v>-153</v>
      </c>
      <c r="H46" s="77">
        <f>E46*5%</f>
        <v>293410.96150000003</v>
      </c>
      <c r="I46" s="79">
        <v>44440</v>
      </c>
      <c r="J46" s="79">
        <v>44835</v>
      </c>
      <c r="K46" s="76">
        <f t="shared" ca="1" si="14"/>
        <v>-122</v>
      </c>
      <c r="L46" s="74" t="s">
        <v>15</v>
      </c>
      <c r="M46" s="80" t="s">
        <v>158</v>
      </c>
      <c r="N46" s="81">
        <v>998</v>
      </c>
      <c r="O46" s="78">
        <v>44397</v>
      </c>
      <c r="P46" s="78">
        <v>44397</v>
      </c>
      <c r="Q46" s="82"/>
    </row>
    <row r="47" spans="1:17" ht="15" customHeight="1" x14ac:dyDescent="0.25">
      <c r="A47" s="246"/>
      <c r="B47" s="248"/>
      <c r="C47" s="251"/>
      <c r="D47" s="74" t="s">
        <v>45</v>
      </c>
      <c r="E47" s="71">
        <v>5326477.93</v>
      </c>
      <c r="F47" s="79">
        <v>44804</v>
      </c>
      <c r="G47" s="76">
        <f t="shared" ca="1" si="12"/>
        <v>-153</v>
      </c>
      <c r="H47" s="77">
        <f>(E47*5%)</f>
        <v>266323.89649999997</v>
      </c>
      <c r="I47" s="79">
        <v>44409</v>
      </c>
      <c r="J47" s="79">
        <v>44835</v>
      </c>
      <c r="K47" s="76">
        <f t="shared" ca="1" si="14"/>
        <v>-122</v>
      </c>
      <c r="L47" s="74" t="s">
        <v>15</v>
      </c>
      <c r="M47" s="80" t="s">
        <v>158</v>
      </c>
      <c r="N47" s="81">
        <v>140</v>
      </c>
      <c r="O47" s="78">
        <v>44426</v>
      </c>
      <c r="P47" s="78">
        <v>44426</v>
      </c>
      <c r="Q47" s="82" t="s">
        <v>208</v>
      </c>
    </row>
    <row r="48" spans="1:17" ht="15" customHeight="1" x14ac:dyDescent="0.25">
      <c r="A48" s="246"/>
      <c r="B48" s="248"/>
      <c r="C48" s="251"/>
      <c r="D48" s="74" t="s">
        <v>509</v>
      </c>
      <c r="E48" s="71">
        <v>5332395.55</v>
      </c>
      <c r="F48" s="79">
        <v>44804</v>
      </c>
      <c r="G48" s="76">
        <f t="shared" ca="1" si="12"/>
        <v>-153</v>
      </c>
      <c r="H48" s="77">
        <f>(E48*5%)-H47</f>
        <v>295.88100000005215</v>
      </c>
      <c r="I48" s="79">
        <v>44409</v>
      </c>
      <c r="J48" s="79">
        <v>44835</v>
      </c>
      <c r="K48" s="76">
        <f t="shared" ca="1" si="14"/>
        <v>-122</v>
      </c>
      <c r="L48" s="74" t="s">
        <v>15</v>
      </c>
      <c r="M48" s="80" t="s">
        <v>158</v>
      </c>
      <c r="N48" s="81">
        <v>140</v>
      </c>
      <c r="O48" s="78">
        <v>44551</v>
      </c>
      <c r="P48" s="78">
        <v>44551</v>
      </c>
      <c r="Q48" s="82" t="s">
        <v>305</v>
      </c>
    </row>
    <row r="49" spans="1:17" ht="15.75" customHeight="1" thickBot="1" x14ac:dyDescent="0.3">
      <c r="A49" s="245"/>
      <c r="B49" s="249"/>
      <c r="C49" s="252"/>
      <c r="D49" s="83" t="s">
        <v>58</v>
      </c>
      <c r="E49" s="84">
        <v>5334442.28</v>
      </c>
      <c r="F49" s="79">
        <v>44804</v>
      </c>
      <c r="G49" s="86">
        <v>152</v>
      </c>
      <c r="H49" s="87">
        <v>102.34</v>
      </c>
      <c r="I49" s="85">
        <v>44652</v>
      </c>
      <c r="J49" s="85">
        <v>44835</v>
      </c>
      <c r="K49" s="86">
        <f t="shared" ca="1" si="14"/>
        <v>-122</v>
      </c>
      <c r="L49" s="83" t="s">
        <v>15</v>
      </c>
      <c r="M49" s="89" t="s">
        <v>158</v>
      </c>
      <c r="N49" s="90">
        <v>160</v>
      </c>
      <c r="O49" s="88">
        <v>44656</v>
      </c>
      <c r="P49" s="88">
        <v>44656</v>
      </c>
      <c r="Q49" s="91" t="s">
        <v>305</v>
      </c>
    </row>
    <row r="50" spans="1:17" x14ac:dyDescent="0.25">
      <c r="A50" s="256">
        <v>8252</v>
      </c>
      <c r="B50" s="263" t="s">
        <v>39</v>
      </c>
      <c r="C50" s="250" t="s">
        <v>218</v>
      </c>
      <c r="D50" s="73"/>
      <c r="E50" s="92">
        <v>12897592.890000001</v>
      </c>
      <c r="F50" s="93">
        <v>44105</v>
      </c>
      <c r="G50" s="72">
        <f t="shared" ca="1" si="8"/>
        <v>-852</v>
      </c>
      <c r="H50" s="94">
        <f>E50*0.05</f>
        <v>644879.64450000005</v>
      </c>
      <c r="I50" s="93"/>
      <c r="J50" s="93"/>
      <c r="K50" s="72"/>
      <c r="L50" s="73"/>
      <c r="M50" s="95"/>
      <c r="N50" s="96"/>
      <c r="O50" s="117"/>
      <c r="P50" s="117"/>
      <c r="Q50" s="97"/>
    </row>
    <row r="51" spans="1:17" ht="15" customHeight="1" x14ac:dyDescent="0.25">
      <c r="A51" s="260"/>
      <c r="B51" s="264"/>
      <c r="C51" s="251"/>
      <c r="D51" s="74" t="s">
        <v>237</v>
      </c>
      <c r="E51" s="71">
        <v>12659579.279999999</v>
      </c>
      <c r="F51" s="79">
        <v>44105</v>
      </c>
      <c r="G51" s="76">
        <f t="shared" ca="1" si="8"/>
        <v>-852</v>
      </c>
      <c r="H51" s="77"/>
      <c r="I51" s="79"/>
      <c r="J51" s="79"/>
      <c r="K51" s="76"/>
      <c r="L51" s="74"/>
      <c r="M51" s="80"/>
      <c r="N51" s="81"/>
      <c r="O51" s="78"/>
      <c r="P51" s="78"/>
      <c r="Q51" s="82" t="s">
        <v>208</v>
      </c>
    </row>
    <row r="52" spans="1:17" ht="15" customHeight="1" x14ac:dyDescent="0.25">
      <c r="A52" s="260"/>
      <c r="B52" s="264"/>
      <c r="C52" s="251"/>
      <c r="D52" s="74" t="s">
        <v>17</v>
      </c>
      <c r="E52" s="71">
        <v>12696167.52</v>
      </c>
      <c r="F52" s="79">
        <v>44105</v>
      </c>
      <c r="G52" s="76">
        <f t="shared" ca="1" si="8"/>
        <v>-852</v>
      </c>
      <c r="H52" s="77">
        <v>1829.41</v>
      </c>
      <c r="I52" s="79">
        <v>43374</v>
      </c>
      <c r="J52" s="79">
        <v>44134</v>
      </c>
      <c r="K52" s="76">
        <f t="shared" ca="1" si="9"/>
        <v>-823</v>
      </c>
      <c r="L52" s="74" t="s">
        <v>15</v>
      </c>
      <c r="M52" s="80" t="s">
        <v>138</v>
      </c>
      <c r="N52" s="81">
        <v>180</v>
      </c>
      <c r="O52" s="78"/>
      <c r="P52" s="78"/>
      <c r="Q52" s="82" t="s">
        <v>54</v>
      </c>
    </row>
    <row r="53" spans="1:17" ht="15" customHeight="1" x14ac:dyDescent="0.25">
      <c r="A53" s="260"/>
      <c r="B53" s="264"/>
      <c r="C53" s="251"/>
      <c r="D53" s="74" t="s">
        <v>33</v>
      </c>
      <c r="E53" s="71">
        <v>12748144.77</v>
      </c>
      <c r="F53" s="79">
        <v>44105</v>
      </c>
      <c r="G53" s="76">
        <f t="shared" ca="1" si="8"/>
        <v>-852</v>
      </c>
      <c r="H53" s="77"/>
      <c r="I53" s="79"/>
      <c r="J53" s="79"/>
      <c r="K53" s="76"/>
      <c r="L53" s="74"/>
      <c r="M53" s="80"/>
      <c r="N53" s="81"/>
      <c r="O53" s="78"/>
      <c r="P53" s="78"/>
      <c r="Q53" s="82" t="s">
        <v>208</v>
      </c>
    </row>
    <row r="54" spans="1:17" ht="15" customHeight="1" x14ac:dyDescent="0.25">
      <c r="A54" s="260"/>
      <c r="B54" s="264"/>
      <c r="C54" s="251"/>
      <c r="D54" s="74" t="s">
        <v>20</v>
      </c>
      <c r="E54" s="71">
        <v>12704677.66</v>
      </c>
      <c r="F54" s="79">
        <v>44105</v>
      </c>
      <c r="G54" s="76">
        <f t="shared" ca="1" si="8"/>
        <v>-852</v>
      </c>
      <c r="H54" s="77"/>
      <c r="I54" s="79"/>
      <c r="J54" s="79"/>
      <c r="K54" s="76"/>
      <c r="L54" s="74"/>
      <c r="M54" s="80"/>
      <c r="N54" s="81"/>
      <c r="O54" s="78"/>
      <c r="P54" s="78"/>
      <c r="Q54" s="82" t="s">
        <v>208</v>
      </c>
    </row>
    <row r="55" spans="1:17" ht="15" customHeight="1" x14ac:dyDescent="0.25">
      <c r="A55" s="260"/>
      <c r="B55" s="264"/>
      <c r="C55" s="251"/>
      <c r="D55" s="74" t="s">
        <v>48</v>
      </c>
      <c r="E55" s="71">
        <v>12697288.08</v>
      </c>
      <c r="F55" s="79">
        <v>44834</v>
      </c>
      <c r="G55" s="76">
        <f t="shared" ca="1" si="8"/>
        <v>-123</v>
      </c>
      <c r="H55" s="77">
        <f>E55*0.05</f>
        <v>634864.4040000001</v>
      </c>
      <c r="I55" s="79">
        <v>44105</v>
      </c>
      <c r="J55" s="78">
        <v>44924</v>
      </c>
      <c r="K55" s="76"/>
      <c r="L55" s="74" t="s">
        <v>15</v>
      </c>
      <c r="M55" s="80" t="s">
        <v>238</v>
      </c>
      <c r="N55" s="81">
        <v>6500</v>
      </c>
      <c r="O55" s="78"/>
      <c r="P55" s="78"/>
      <c r="Q55" s="82"/>
    </row>
    <row r="56" spans="1:17" ht="15" customHeight="1" x14ac:dyDescent="0.25">
      <c r="A56" s="260"/>
      <c r="B56" s="264"/>
      <c r="C56" s="251"/>
      <c r="D56" s="74" t="s">
        <v>32</v>
      </c>
      <c r="E56" s="71">
        <v>12971929.85</v>
      </c>
      <c r="F56" s="79">
        <v>44834</v>
      </c>
      <c r="G56" s="76">
        <f t="shared" ca="1" si="8"/>
        <v>-123</v>
      </c>
      <c r="H56" s="77">
        <v>20405.57</v>
      </c>
      <c r="I56" s="78">
        <v>44105</v>
      </c>
      <c r="J56" s="79">
        <v>44924</v>
      </c>
      <c r="K56" s="76">
        <f t="shared" ca="1" si="9"/>
        <v>-33</v>
      </c>
      <c r="L56" s="74" t="s">
        <v>15</v>
      </c>
      <c r="M56" s="80"/>
      <c r="N56" s="81">
        <v>199</v>
      </c>
      <c r="O56" s="78">
        <v>43934</v>
      </c>
      <c r="P56" s="78"/>
      <c r="Q56" s="82" t="s">
        <v>54</v>
      </c>
    </row>
    <row r="57" spans="1:17" ht="15.75" customHeight="1" x14ac:dyDescent="0.25">
      <c r="A57" s="260"/>
      <c r="B57" s="264"/>
      <c r="C57" s="251"/>
      <c r="D57" s="74" t="s">
        <v>45</v>
      </c>
      <c r="E57" s="71">
        <v>12842817.060000001</v>
      </c>
      <c r="F57" s="79">
        <v>44834</v>
      </c>
      <c r="G57" s="76">
        <f t="shared" ca="1" si="8"/>
        <v>-123</v>
      </c>
      <c r="H57" s="77"/>
      <c r="I57" s="78"/>
      <c r="J57" s="79"/>
      <c r="K57" s="76"/>
      <c r="L57" s="74"/>
      <c r="M57" s="80"/>
      <c r="N57" s="81"/>
      <c r="O57" s="78"/>
      <c r="P57" s="78"/>
      <c r="Q57" s="82" t="s">
        <v>208</v>
      </c>
    </row>
    <row r="58" spans="1:17" ht="15.75" customHeight="1" x14ac:dyDescent="0.25">
      <c r="A58" s="260"/>
      <c r="B58" s="264"/>
      <c r="C58" s="251"/>
      <c r="D58" s="74" t="s">
        <v>65</v>
      </c>
      <c r="E58" s="71">
        <v>13322629.84</v>
      </c>
      <c r="F58" s="79">
        <v>44834</v>
      </c>
      <c r="G58" s="76">
        <f t="shared" ca="1" si="8"/>
        <v>-123</v>
      </c>
      <c r="H58" s="77">
        <v>23990.639999999999</v>
      </c>
      <c r="I58" s="78">
        <v>44409</v>
      </c>
      <c r="J58" s="79">
        <v>44924</v>
      </c>
      <c r="K58" s="76">
        <f t="shared" ca="1" si="9"/>
        <v>-33</v>
      </c>
      <c r="L58" s="74" t="s">
        <v>15</v>
      </c>
      <c r="M58" s="80" t="s">
        <v>138</v>
      </c>
      <c r="N58" s="81">
        <v>180</v>
      </c>
      <c r="O58" s="78">
        <v>44719</v>
      </c>
      <c r="P58" s="78">
        <v>44719</v>
      </c>
      <c r="Q58" s="82" t="s">
        <v>606</v>
      </c>
    </row>
    <row r="59" spans="1:17" ht="15.75" customHeight="1" x14ac:dyDescent="0.25">
      <c r="A59" s="260"/>
      <c r="B59" s="264"/>
      <c r="C59" s="251"/>
      <c r="D59" s="74" t="s">
        <v>58</v>
      </c>
      <c r="E59" s="71">
        <v>6873443.2800000003</v>
      </c>
      <c r="F59" s="79">
        <v>45199</v>
      </c>
      <c r="G59" s="76">
        <f t="shared" ca="1" si="8"/>
        <v>242</v>
      </c>
      <c r="H59" s="77">
        <f>E59*5%</f>
        <v>343672.16400000005</v>
      </c>
      <c r="I59" s="78">
        <v>44835</v>
      </c>
      <c r="J59" s="79">
        <v>45290</v>
      </c>
      <c r="K59" s="76">
        <f t="shared" ca="1" si="9"/>
        <v>333</v>
      </c>
      <c r="L59" s="74" t="s">
        <v>15</v>
      </c>
      <c r="M59" s="80" t="s">
        <v>138</v>
      </c>
      <c r="N59" s="81">
        <v>1348</v>
      </c>
      <c r="O59" s="78">
        <v>44754</v>
      </c>
      <c r="P59" s="78">
        <v>44754</v>
      </c>
      <c r="Q59" s="82" t="s">
        <v>378</v>
      </c>
    </row>
    <row r="60" spans="1:17" ht="15.75" customHeight="1" thickBot="1" x14ac:dyDescent="0.3">
      <c r="A60" s="257"/>
      <c r="B60" s="265"/>
      <c r="C60" s="252"/>
      <c r="D60" s="83" t="s">
        <v>209</v>
      </c>
      <c r="E60" s="84">
        <v>7710620.2800000003</v>
      </c>
      <c r="F60" s="85">
        <v>45199</v>
      </c>
      <c r="G60" s="86">
        <f t="shared" ca="1" si="8"/>
        <v>242</v>
      </c>
      <c r="H60" s="87">
        <f>E60*5%-H59</f>
        <v>41858.849999999977</v>
      </c>
      <c r="I60" s="78">
        <v>44835</v>
      </c>
      <c r="J60" s="79">
        <v>45290</v>
      </c>
      <c r="K60" s="86">
        <f t="shared" ca="1" si="9"/>
        <v>333</v>
      </c>
      <c r="L60" s="83" t="s">
        <v>15</v>
      </c>
      <c r="M60" s="89" t="s">
        <v>138</v>
      </c>
      <c r="N60" s="90">
        <v>263</v>
      </c>
      <c r="O60" s="88">
        <v>44924</v>
      </c>
      <c r="P60" s="88">
        <v>44924</v>
      </c>
      <c r="Q60" s="91" t="s">
        <v>582</v>
      </c>
    </row>
    <row r="61" spans="1:17" x14ac:dyDescent="0.25">
      <c r="A61" s="256">
        <v>8253</v>
      </c>
      <c r="B61" s="263" t="s">
        <v>40</v>
      </c>
      <c r="C61" s="250" t="s">
        <v>219</v>
      </c>
      <c r="D61" s="73"/>
      <c r="E61" s="92">
        <v>70504611.989999995</v>
      </c>
      <c r="F61" s="93">
        <v>44162</v>
      </c>
      <c r="G61" s="72">
        <f t="shared" ca="1" si="8"/>
        <v>-795</v>
      </c>
      <c r="H61" s="94">
        <f>E61*0.05</f>
        <v>3525230.5995</v>
      </c>
      <c r="I61" s="117">
        <v>43431</v>
      </c>
      <c r="J61" s="93">
        <v>44251</v>
      </c>
      <c r="K61" s="72">
        <f t="shared" ca="1" si="9"/>
        <v>-706</v>
      </c>
      <c r="L61" s="73" t="s">
        <v>15</v>
      </c>
      <c r="M61" s="95" t="s">
        <v>74</v>
      </c>
      <c r="N61" s="96">
        <v>36640</v>
      </c>
      <c r="O61" s="117"/>
      <c r="P61" s="117"/>
      <c r="Q61" s="97"/>
    </row>
    <row r="62" spans="1:17" ht="15" customHeight="1" x14ac:dyDescent="0.25">
      <c r="A62" s="260"/>
      <c r="B62" s="264"/>
      <c r="C62" s="251"/>
      <c r="D62" s="74" t="s">
        <v>35</v>
      </c>
      <c r="E62" s="71">
        <f>70485926.07+138956.04</f>
        <v>70624882.109999999</v>
      </c>
      <c r="F62" s="79">
        <v>44162</v>
      </c>
      <c r="G62" s="76">
        <f t="shared" ca="1" si="8"/>
        <v>-795</v>
      </c>
      <c r="H62" s="77">
        <f>(E62*0.05)-H61</f>
        <v>6013.5060000000522</v>
      </c>
      <c r="I62" s="78">
        <v>43610</v>
      </c>
      <c r="J62" s="79">
        <v>44251</v>
      </c>
      <c r="K62" s="76">
        <f t="shared" ca="1" si="9"/>
        <v>-706</v>
      </c>
      <c r="L62" s="74" t="s">
        <v>15</v>
      </c>
      <c r="M62" s="80" t="s">
        <v>74</v>
      </c>
      <c r="N62" s="81">
        <v>180</v>
      </c>
      <c r="O62" s="78"/>
      <c r="P62" s="78"/>
      <c r="Q62" s="82" t="s">
        <v>54</v>
      </c>
    </row>
    <row r="63" spans="1:17" ht="15" customHeight="1" x14ac:dyDescent="0.25">
      <c r="A63" s="260"/>
      <c r="B63" s="264"/>
      <c r="C63" s="251"/>
      <c r="D63" s="74" t="s">
        <v>17</v>
      </c>
      <c r="E63" s="71">
        <v>73487635.510000005</v>
      </c>
      <c r="F63" s="79">
        <v>44162</v>
      </c>
      <c r="G63" s="76">
        <f t="shared" ca="1" si="8"/>
        <v>-795</v>
      </c>
      <c r="H63" s="77">
        <f>(E63*5%)-(H61+H62)</f>
        <v>143137.67000000039</v>
      </c>
      <c r="I63" s="79">
        <v>43431</v>
      </c>
      <c r="J63" s="79">
        <v>44254</v>
      </c>
      <c r="K63" s="76">
        <f t="shared" ca="1" si="9"/>
        <v>-703</v>
      </c>
      <c r="L63" s="74" t="s">
        <v>15</v>
      </c>
      <c r="M63" s="80" t="s">
        <v>74</v>
      </c>
      <c r="N63" s="81">
        <v>724</v>
      </c>
      <c r="O63" s="78">
        <v>43797</v>
      </c>
      <c r="P63" s="78">
        <v>43797</v>
      </c>
      <c r="Q63" s="82" t="s">
        <v>54</v>
      </c>
    </row>
    <row r="64" spans="1:17" ht="15" customHeight="1" x14ac:dyDescent="0.25">
      <c r="A64" s="260"/>
      <c r="B64" s="264"/>
      <c r="C64" s="251"/>
      <c r="D64" s="74" t="s">
        <v>33</v>
      </c>
      <c r="E64" s="71">
        <v>73068064.079999998</v>
      </c>
      <c r="F64" s="79">
        <v>44891</v>
      </c>
      <c r="G64" s="76">
        <f t="shared" ca="1" si="8"/>
        <v>-66</v>
      </c>
      <c r="H64" s="77">
        <f>E64*5%</f>
        <v>3653403.2039999999</v>
      </c>
      <c r="I64" s="79">
        <v>44162</v>
      </c>
      <c r="J64" s="79">
        <v>44982</v>
      </c>
      <c r="K64" s="76">
        <f t="shared" ca="1" si="9"/>
        <v>25</v>
      </c>
      <c r="L64" s="74" t="s">
        <v>15</v>
      </c>
      <c r="M64" s="80" t="s">
        <v>74</v>
      </c>
      <c r="N64" s="81">
        <v>28990</v>
      </c>
      <c r="O64" s="78">
        <v>44090</v>
      </c>
      <c r="P64" s="78">
        <v>44090</v>
      </c>
      <c r="Q64" s="82"/>
    </row>
    <row r="65" spans="1:17" ht="15.75" customHeight="1" x14ac:dyDescent="0.25">
      <c r="A65" s="260"/>
      <c r="B65" s="264"/>
      <c r="C65" s="251"/>
      <c r="D65" s="74" t="s">
        <v>20</v>
      </c>
      <c r="E65" s="71">
        <f>H65*100/5</f>
        <v>1487949.2000000002</v>
      </c>
      <c r="F65" s="79">
        <v>44891</v>
      </c>
      <c r="G65" s="76">
        <f t="shared" ca="1" si="8"/>
        <v>-66</v>
      </c>
      <c r="H65" s="77">
        <v>74397.460000000006</v>
      </c>
      <c r="I65" s="79">
        <v>44409</v>
      </c>
      <c r="J65" s="79">
        <v>44982</v>
      </c>
      <c r="K65" s="76">
        <f t="shared" ca="1" si="9"/>
        <v>25</v>
      </c>
      <c r="L65" s="74" t="s">
        <v>15</v>
      </c>
      <c r="M65" s="80" t="s">
        <v>74</v>
      </c>
      <c r="N65" s="81">
        <v>368</v>
      </c>
      <c r="O65" s="78">
        <v>44601</v>
      </c>
      <c r="P65" s="78">
        <v>44601</v>
      </c>
      <c r="Q65" s="82" t="s">
        <v>533</v>
      </c>
    </row>
    <row r="66" spans="1:17" ht="15.75" customHeight="1" x14ac:dyDescent="0.25">
      <c r="A66" s="260"/>
      <c r="B66" s="264"/>
      <c r="C66" s="251"/>
      <c r="D66" s="74" t="s">
        <v>227</v>
      </c>
      <c r="E66" s="71">
        <v>77858384.549999997</v>
      </c>
      <c r="F66" s="79">
        <v>44891</v>
      </c>
      <c r="G66" s="76">
        <f t="shared" ca="1" si="8"/>
        <v>-66</v>
      </c>
      <c r="H66" s="77">
        <v>196520.21</v>
      </c>
      <c r="I66" s="79">
        <v>44684</v>
      </c>
      <c r="J66" s="79">
        <v>44982</v>
      </c>
      <c r="K66" s="76">
        <f t="shared" ca="1" si="9"/>
        <v>25</v>
      </c>
      <c r="L66" s="74" t="s">
        <v>15</v>
      </c>
      <c r="M66" s="80" t="s">
        <v>74</v>
      </c>
      <c r="N66" s="81">
        <v>505</v>
      </c>
      <c r="O66" s="78">
        <v>44777</v>
      </c>
      <c r="P66" s="78">
        <v>44777</v>
      </c>
      <c r="Q66" s="82" t="s">
        <v>646</v>
      </c>
    </row>
    <row r="67" spans="1:17" ht="15.75" customHeight="1" thickBot="1" x14ac:dyDescent="0.3">
      <c r="A67" s="257"/>
      <c r="B67" s="265"/>
      <c r="C67" s="252"/>
      <c r="D67" s="83" t="s">
        <v>48</v>
      </c>
      <c r="E67" s="84">
        <v>83989987.349999994</v>
      </c>
      <c r="F67" s="85">
        <v>45256</v>
      </c>
      <c r="G67" s="86">
        <f t="shared" ca="1" si="8"/>
        <v>299</v>
      </c>
      <c r="H67" s="87">
        <v>2144549.7599999998</v>
      </c>
      <c r="I67" s="85">
        <v>44892</v>
      </c>
      <c r="J67" s="85">
        <v>45347</v>
      </c>
      <c r="K67" s="86">
        <f t="shared" ca="1" si="9"/>
        <v>390</v>
      </c>
      <c r="L67" s="83" t="s">
        <v>15</v>
      </c>
      <c r="M67" s="89" t="s">
        <v>74</v>
      </c>
      <c r="N67" s="90">
        <v>8132</v>
      </c>
      <c r="O67" s="88">
        <v>44865</v>
      </c>
      <c r="P67" s="88">
        <v>44865</v>
      </c>
      <c r="Q67" s="91" t="s">
        <v>690</v>
      </c>
    </row>
    <row r="68" spans="1:17" x14ac:dyDescent="0.25">
      <c r="A68" s="256">
        <v>8254</v>
      </c>
      <c r="B68" s="263" t="s">
        <v>43</v>
      </c>
      <c r="C68" s="250" t="s">
        <v>220</v>
      </c>
      <c r="D68" s="73"/>
      <c r="E68" s="92">
        <v>16047839.73</v>
      </c>
      <c r="F68" s="93">
        <v>44210</v>
      </c>
      <c r="G68" s="72">
        <f t="shared" ca="1" si="8"/>
        <v>-747</v>
      </c>
      <c r="H68" s="94">
        <f>E68*0.05</f>
        <v>802391.98650000012</v>
      </c>
      <c r="I68" s="93">
        <v>43478</v>
      </c>
      <c r="J68" s="93">
        <v>44240</v>
      </c>
      <c r="K68" s="72">
        <f t="shared" ca="1" si="9"/>
        <v>-717</v>
      </c>
      <c r="L68" s="73" t="s">
        <v>15</v>
      </c>
      <c r="M68" s="95" t="s">
        <v>235</v>
      </c>
      <c r="N68" s="96">
        <v>7695</v>
      </c>
      <c r="O68" s="117"/>
      <c r="P68" s="117"/>
      <c r="Q68" s="97"/>
    </row>
    <row r="69" spans="1:17" ht="27" x14ac:dyDescent="0.25">
      <c r="A69" s="260"/>
      <c r="B69" s="264"/>
      <c r="C69" s="251"/>
      <c r="D69" s="74" t="s">
        <v>35</v>
      </c>
      <c r="E69" s="71">
        <v>16047839.73</v>
      </c>
      <c r="F69" s="79">
        <v>44210</v>
      </c>
      <c r="G69" s="76">
        <f t="shared" ca="1" si="8"/>
        <v>-747</v>
      </c>
      <c r="H69" s="77"/>
      <c r="I69" s="79"/>
      <c r="J69" s="79"/>
      <c r="K69" s="76"/>
      <c r="L69" s="74"/>
      <c r="M69" s="80"/>
      <c r="N69" s="81"/>
      <c r="O69" s="78"/>
      <c r="P69" s="78"/>
      <c r="Q69" s="82" t="s">
        <v>236</v>
      </c>
    </row>
    <row r="70" spans="1:17" ht="15" customHeight="1" x14ac:dyDescent="0.25">
      <c r="A70" s="260"/>
      <c r="B70" s="264"/>
      <c r="C70" s="251"/>
      <c r="D70" s="74" t="s">
        <v>17</v>
      </c>
      <c r="E70" s="71">
        <v>16047839.73</v>
      </c>
      <c r="F70" s="79">
        <v>44939</v>
      </c>
      <c r="G70" s="76">
        <f t="shared" ca="1" si="8"/>
        <v>-18</v>
      </c>
      <c r="H70" s="77">
        <f>E70*5%</f>
        <v>802391.98650000012</v>
      </c>
      <c r="I70" s="79">
        <v>44210</v>
      </c>
      <c r="J70" s="79">
        <v>44969</v>
      </c>
      <c r="K70" s="76">
        <f t="shared" ca="1" si="9"/>
        <v>12</v>
      </c>
      <c r="L70" s="74" t="s">
        <v>15</v>
      </c>
      <c r="M70" s="80" t="s">
        <v>183</v>
      </c>
      <c r="N70" s="81">
        <v>5248</v>
      </c>
      <c r="O70" s="78">
        <v>44015</v>
      </c>
      <c r="P70" s="78">
        <v>44015</v>
      </c>
      <c r="Q70" s="141"/>
    </row>
    <row r="71" spans="1:17" ht="15.75" customHeight="1" x14ac:dyDescent="0.25">
      <c r="A71" s="260"/>
      <c r="B71" s="264"/>
      <c r="C71" s="251"/>
      <c r="D71" s="74" t="s">
        <v>33</v>
      </c>
      <c r="E71" s="71">
        <v>16249508.460000001</v>
      </c>
      <c r="F71" s="79">
        <v>44939</v>
      </c>
      <c r="G71" s="76">
        <f t="shared" ca="1" si="8"/>
        <v>-18</v>
      </c>
      <c r="H71" s="77">
        <v>22460.01</v>
      </c>
      <c r="I71" s="79">
        <v>43586</v>
      </c>
      <c r="J71" s="79">
        <v>44969</v>
      </c>
      <c r="K71" s="76">
        <f t="shared" ca="1" si="9"/>
        <v>12</v>
      </c>
      <c r="L71" s="74" t="s">
        <v>15</v>
      </c>
      <c r="M71" s="80" t="s">
        <v>183</v>
      </c>
      <c r="N71" s="81">
        <v>268</v>
      </c>
      <c r="O71" s="78">
        <v>44426</v>
      </c>
      <c r="P71" s="78">
        <v>44426</v>
      </c>
      <c r="Q71" s="141" t="s">
        <v>414</v>
      </c>
    </row>
    <row r="72" spans="1:17" ht="15.75" customHeight="1" x14ac:dyDescent="0.25">
      <c r="A72" s="260"/>
      <c r="B72" s="264"/>
      <c r="C72" s="251"/>
      <c r="D72" s="74" t="s">
        <v>712</v>
      </c>
      <c r="E72" s="71">
        <v>8124753.8399999999</v>
      </c>
      <c r="F72" s="79">
        <v>45304</v>
      </c>
      <c r="G72" s="76">
        <f t="shared" ca="1" si="8"/>
        <v>347</v>
      </c>
      <c r="H72" s="77">
        <f>E72*5%</f>
        <v>406237.69200000004</v>
      </c>
      <c r="I72" s="79">
        <v>44940</v>
      </c>
      <c r="J72" s="79">
        <v>45335</v>
      </c>
      <c r="K72" s="76">
        <f t="shared" ca="1" si="9"/>
        <v>378</v>
      </c>
      <c r="L72" s="74" t="s">
        <v>15</v>
      </c>
      <c r="M72" s="80" t="s">
        <v>183</v>
      </c>
      <c r="N72" s="81">
        <v>1382</v>
      </c>
      <c r="O72" s="78">
        <v>44890</v>
      </c>
      <c r="P72" s="78">
        <v>44890</v>
      </c>
      <c r="Q72" s="141" t="s">
        <v>378</v>
      </c>
    </row>
    <row r="73" spans="1:17" ht="15.75" customHeight="1" thickBot="1" x14ac:dyDescent="0.3">
      <c r="A73" s="257"/>
      <c r="B73" s="265"/>
      <c r="C73" s="252"/>
      <c r="D73" s="83" t="s">
        <v>739</v>
      </c>
      <c r="E73" s="84">
        <v>42441707.869999997</v>
      </c>
      <c r="F73" s="85">
        <v>45304</v>
      </c>
      <c r="G73" s="86">
        <f t="shared" ca="1" si="8"/>
        <v>347</v>
      </c>
      <c r="H73" s="87">
        <v>88603.71</v>
      </c>
      <c r="I73" s="85">
        <v>44682</v>
      </c>
      <c r="J73" s="85">
        <v>45335</v>
      </c>
      <c r="K73" s="86">
        <f t="shared" ca="1" si="9"/>
        <v>378</v>
      </c>
      <c r="L73" s="83" t="s">
        <v>15</v>
      </c>
      <c r="M73" s="89" t="s">
        <v>183</v>
      </c>
      <c r="N73" s="90">
        <v>499</v>
      </c>
      <c r="O73" s="88">
        <v>44929</v>
      </c>
      <c r="P73" s="88">
        <v>44929</v>
      </c>
      <c r="Q73" s="104" t="s">
        <v>582</v>
      </c>
    </row>
    <row r="74" spans="1:17" x14ac:dyDescent="0.25">
      <c r="A74" s="256">
        <v>8255</v>
      </c>
      <c r="B74" s="247" t="s">
        <v>46</v>
      </c>
      <c r="C74" s="250" t="s">
        <v>221</v>
      </c>
      <c r="D74" s="73"/>
      <c r="E74" s="92">
        <v>7705522.0199999996</v>
      </c>
      <c r="F74" s="93">
        <v>44248</v>
      </c>
      <c r="G74" s="72">
        <f t="shared" ca="1" si="8"/>
        <v>-709</v>
      </c>
      <c r="H74" s="94">
        <f>E74*0.05</f>
        <v>385276.10100000002</v>
      </c>
      <c r="I74" s="93">
        <v>43517</v>
      </c>
      <c r="J74" s="93">
        <v>44277</v>
      </c>
      <c r="K74" s="72">
        <f t="shared" ca="1" si="9"/>
        <v>-680</v>
      </c>
      <c r="L74" s="73" t="s">
        <v>15</v>
      </c>
      <c r="M74" s="95" t="s">
        <v>72</v>
      </c>
      <c r="N74" s="96">
        <v>3663</v>
      </c>
      <c r="O74" s="117"/>
      <c r="P74" s="117"/>
      <c r="Q74" s="97"/>
    </row>
    <row r="75" spans="1:17" ht="15" customHeight="1" x14ac:dyDescent="0.25">
      <c r="A75" s="260"/>
      <c r="B75" s="248"/>
      <c r="C75" s="251"/>
      <c r="D75" s="74" t="s">
        <v>35</v>
      </c>
      <c r="E75" s="71">
        <v>7887952.3200000003</v>
      </c>
      <c r="F75" s="79">
        <v>44248</v>
      </c>
      <c r="G75" s="76">
        <f t="shared" ca="1" si="8"/>
        <v>-709</v>
      </c>
      <c r="H75" s="77">
        <f>(E75*0.05)-H74</f>
        <v>9121.515000000014</v>
      </c>
      <c r="I75" s="79">
        <v>43517</v>
      </c>
      <c r="J75" s="79">
        <v>44277</v>
      </c>
      <c r="K75" s="76">
        <f t="shared" ca="1" si="9"/>
        <v>-680</v>
      </c>
      <c r="L75" s="74" t="s">
        <v>15</v>
      </c>
      <c r="M75" s="80" t="s">
        <v>72</v>
      </c>
      <c r="N75" s="81">
        <v>180</v>
      </c>
      <c r="O75" s="78"/>
      <c r="P75" s="78"/>
      <c r="Q75" s="82" t="s">
        <v>54</v>
      </c>
    </row>
    <row r="76" spans="1:17" ht="15" customHeight="1" x14ac:dyDescent="0.25">
      <c r="A76" s="260"/>
      <c r="B76" s="248"/>
      <c r="C76" s="251"/>
      <c r="D76" s="74" t="s">
        <v>17</v>
      </c>
      <c r="E76" s="71">
        <f>313233.07*24</f>
        <v>7517593.6799999997</v>
      </c>
      <c r="F76" s="79">
        <v>44248</v>
      </c>
      <c r="G76" s="76">
        <f t="shared" ca="1" si="8"/>
        <v>-709</v>
      </c>
      <c r="H76" s="77"/>
      <c r="I76" s="79"/>
      <c r="J76" s="79"/>
      <c r="K76" s="76"/>
      <c r="L76" s="74"/>
      <c r="M76" s="80"/>
      <c r="N76" s="81"/>
      <c r="O76" s="78"/>
      <c r="P76" s="78"/>
      <c r="Q76" s="82" t="s">
        <v>208</v>
      </c>
    </row>
    <row r="77" spans="1:17" ht="15" customHeight="1" x14ac:dyDescent="0.25">
      <c r="A77" s="260"/>
      <c r="B77" s="248"/>
      <c r="C77" s="251"/>
      <c r="D77" s="74" t="s">
        <v>33</v>
      </c>
      <c r="E77" s="71">
        <f>313229.84*24</f>
        <v>7517516.1600000001</v>
      </c>
      <c r="F77" s="79">
        <v>44248</v>
      </c>
      <c r="G77" s="76">
        <f t="shared" ca="1" si="8"/>
        <v>-709</v>
      </c>
      <c r="H77" s="77"/>
      <c r="I77" s="79"/>
      <c r="J77" s="79"/>
      <c r="K77" s="76"/>
      <c r="L77" s="74"/>
      <c r="M77" s="80"/>
      <c r="N77" s="81"/>
      <c r="O77" s="78"/>
      <c r="P77" s="78"/>
      <c r="Q77" s="82" t="s">
        <v>208</v>
      </c>
    </row>
    <row r="78" spans="1:17" ht="27" x14ac:dyDescent="0.25">
      <c r="A78" s="260"/>
      <c r="B78" s="248"/>
      <c r="C78" s="251"/>
      <c r="D78" s="74" t="s">
        <v>20</v>
      </c>
      <c r="E78" s="71">
        <f>313229.84*24</f>
        <v>7517516.1600000001</v>
      </c>
      <c r="F78" s="79">
        <v>44248</v>
      </c>
      <c r="G78" s="76">
        <f t="shared" ref="G78" ca="1" si="15">F78-$A$1</f>
        <v>-709</v>
      </c>
      <c r="H78" s="77"/>
      <c r="I78" s="79"/>
      <c r="J78" s="79"/>
      <c r="K78" s="76"/>
      <c r="L78" s="74"/>
      <c r="M78" s="80"/>
      <c r="N78" s="81"/>
      <c r="O78" s="78"/>
      <c r="P78" s="78"/>
      <c r="Q78" s="82" t="s">
        <v>236</v>
      </c>
    </row>
    <row r="79" spans="1:17" ht="15" customHeight="1" x14ac:dyDescent="0.25">
      <c r="A79" s="260"/>
      <c r="B79" s="248"/>
      <c r="C79" s="251"/>
      <c r="D79" s="74" t="s">
        <v>48</v>
      </c>
      <c r="E79" s="71">
        <f>313229.84*24</f>
        <v>7517516.1600000001</v>
      </c>
      <c r="F79" s="79">
        <v>44248</v>
      </c>
      <c r="G79" s="76">
        <f t="shared" ref="G79:G80" ca="1" si="16">F79-$A$1</f>
        <v>-709</v>
      </c>
      <c r="H79" s="77"/>
      <c r="I79" s="79"/>
      <c r="J79" s="79"/>
      <c r="K79" s="76"/>
      <c r="L79" s="74"/>
      <c r="M79" s="80"/>
      <c r="N79" s="81"/>
      <c r="O79" s="78"/>
      <c r="P79" s="78"/>
      <c r="Q79" s="82" t="s">
        <v>446</v>
      </c>
    </row>
    <row r="80" spans="1:17" ht="15" customHeight="1" x14ac:dyDescent="0.25">
      <c r="A80" s="260"/>
      <c r="B80" s="248"/>
      <c r="C80" s="251"/>
      <c r="D80" s="74" t="s">
        <v>32</v>
      </c>
      <c r="E80" s="71">
        <v>7837072.4199999999</v>
      </c>
      <c r="F80" s="79">
        <v>44248</v>
      </c>
      <c r="G80" s="76">
        <f t="shared" ca="1" si="16"/>
        <v>-709</v>
      </c>
      <c r="H80" s="77">
        <v>2544</v>
      </c>
      <c r="I80" s="79">
        <v>43800</v>
      </c>
      <c r="J80" s="79">
        <v>44277</v>
      </c>
      <c r="K80" s="76">
        <f t="shared" ref="K80" ca="1" si="17">J80-$A$1</f>
        <v>-680</v>
      </c>
      <c r="L80" s="74" t="s">
        <v>15</v>
      </c>
      <c r="M80" s="80" t="s">
        <v>72</v>
      </c>
      <c r="N80" s="81">
        <v>0.01</v>
      </c>
      <c r="O80" s="78"/>
      <c r="P80" s="78"/>
      <c r="Q80" s="82" t="s">
        <v>54</v>
      </c>
    </row>
    <row r="81" spans="1:19" ht="15" customHeight="1" x14ac:dyDescent="0.25">
      <c r="A81" s="260"/>
      <c r="B81" s="248"/>
      <c r="C81" s="251"/>
      <c r="D81" s="74" t="s">
        <v>45</v>
      </c>
      <c r="E81" s="71">
        <v>7934279.9199999999</v>
      </c>
      <c r="F81" s="79">
        <v>44248</v>
      </c>
      <c r="G81" s="76">
        <f t="shared" ref="G81" ca="1" si="18">F81-$A$1</f>
        <v>-709</v>
      </c>
      <c r="H81" s="77">
        <v>4860.38</v>
      </c>
      <c r="I81" s="79">
        <v>43517</v>
      </c>
      <c r="J81" s="79">
        <v>44277</v>
      </c>
      <c r="K81" s="76">
        <f t="shared" ref="K81" ca="1" si="19">J81-$A$1</f>
        <v>-680</v>
      </c>
      <c r="L81" s="74" t="s">
        <v>15</v>
      </c>
      <c r="M81" s="80" t="s">
        <v>72</v>
      </c>
      <c r="N81" s="81">
        <v>180</v>
      </c>
      <c r="O81" s="78">
        <v>44013</v>
      </c>
      <c r="P81" s="78">
        <v>44013</v>
      </c>
      <c r="Q81" s="82" t="s">
        <v>54</v>
      </c>
    </row>
    <row r="82" spans="1:19" ht="15" customHeight="1" x14ac:dyDescent="0.25">
      <c r="A82" s="260"/>
      <c r="B82" s="248"/>
      <c r="C82" s="251"/>
      <c r="D82" s="74" t="s">
        <v>65</v>
      </c>
      <c r="E82" s="71">
        <f>346234.01*12</f>
        <v>4154808.12</v>
      </c>
      <c r="F82" s="79">
        <v>44612</v>
      </c>
      <c r="G82" s="76">
        <f t="shared" ref="G82:G88" ca="1" si="20">F82-$A$1</f>
        <v>-345</v>
      </c>
      <c r="H82" s="77">
        <f>E82*0.05</f>
        <v>207740.40600000002</v>
      </c>
      <c r="I82" s="79">
        <v>44248</v>
      </c>
      <c r="J82" s="79">
        <v>44642</v>
      </c>
      <c r="K82" s="76">
        <f t="shared" ref="K82:K88" ca="1" si="21">J82-$A$1</f>
        <v>-315</v>
      </c>
      <c r="L82" s="74" t="s">
        <v>15</v>
      </c>
      <c r="M82" s="80" t="s">
        <v>72</v>
      </c>
      <c r="N82" s="81">
        <v>910</v>
      </c>
      <c r="O82" s="78">
        <v>44078</v>
      </c>
      <c r="P82" s="78">
        <v>44078</v>
      </c>
      <c r="Q82" s="82"/>
    </row>
    <row r="83" spans="1:19" ht="15" customHeight="1" x14ac:dyDescent="0.25">
      <c r="A83" s="260"/>
      <c r="B83" s="248"/>
      <c r="C83" s="251"/>
      <c r="D83" s="74" t="s">
        <v>58</v>
      </c>
      <c r="E83" s="158">
        <v>4183715.43</v>
      </c>
      <c r="F83" s="75">
        <v>44612</v>
      </c>
      <c r="G83" s="76">
        <f t="shared" ca="1" si="20"/>
        <v>-345</v>
      </c>
      <c r="H83" s="159">
        <f>(E83*0.05)</f>
        <v>209185.77150000003</v>
      </c>
      <c r="I83" s="75">
        <v>44252</v>
      </c>
      <c r="J83" s="79">
        <v>44651</v>
      </c>
      <c r="K83" s="76">
        <f t="shared" ca="1" si="21"/>
        <v>-306</v>
      </c>
      <c r="L83" s="76" t="s">
        <v>15</v>
      </c>
      <c r="M83" s="80" t="s">
        <v>72</v>
      </c>
      <c r="N83" s="76">
        <v>927.88</v>
      </c>
      <c r="O83" s="78">
        <v>44218</v>
      </c>
      <c r="P83" s="78">
        <v>44218</v>
      </c>
      <c r="Q83" s="82" t="s">
        <v>305</v>
      </c>
    </row>
    <row r="84" spans="1:19" ht="15.75" customHeight="1" x14ac:dyDescent="0.25">
      <c r="A84" s="260"/>
      <c r="B84" s="248"/>
      <c r="C84" s="251"/>
      <c r="D84" s="74" t="s">
        <v>209</v>
      </c>
      <c r="E84" s="158">
        <v>4183715.43</v>
      </c>
      <c r="F84" s="75">
        <v>44977</v>
      </c>
      <c r="G84" s="76">
        <f t="shared" ca="1" si="20"/>
        <v>20</v>
      </c>
      <c r="H84" s="159">
        <f>E84*5%</f>
        <v>209185.77150000003</v>
      </c>
      <c r="I84" s="75">
        <v>44652</v>
      </c>
      <c r="J84" s="79">
        <v>45017</v>
      </c>
      <c r="K84" s="76">
        <f t="shared" ca="1" si="21"/>
        <v>60</v>
      </c>
      <c r="L84" s="76" t="s">
        <v>15</v>
      </c>
      <c r="M84" s="80" t="s">
        <v>72</v>
      </c>
      <c r="N84" s="165">
        <v>658</v>
      </c>
      <c r="O84" s="78">
        <v>44595</v>
      </c>
      <c r="P84" s="78">
        <v>44595</v>
      </c>
      <c r="Q84" s="82" t="s">
        <v>378</v>
      </c>
    </row>
    <row r="85" spans="1:19" ht="15.75" customHeight="1" x14ac:dyDescent="0.25">
      <c r="A85" s="260"/>
      <c r="B85" s="248"/>
      <c r="C85" s="251"/>
      <c r="D85" s="74" t="s">
        <v>75</v>
      </c>
      <c r="E85" s="158">
        <v>5145064.05</v>
      </c>
      <c r="F85" s="75">
        <v>44977</v>
      </c>
      <c r="G85" s="76">
        <f t="shared" ca="1" si="20"/>
        <v>20</v>
      </c>
      <c r="H85" s="159">
        <f>(E85*5%)-H84</f>
        <v>48067.430999999982</v>
      </c>
      <c r="I85" s="75">
        <v>44252</v>
      </c>
      <c r="J85" s="79">
        <v>45017</v>
      </c>
      <c r="K85" s="76">
        <f t="shared" ca="1" si="21"/>
        <v>60</v>
      </c>
      <c r="L85" s="76" t="s">
        <v>15</v>
      </c>
      <c r="M85" s="80" t="s">
        <v>72</v>
      </c>
      <c r="N85" s="165">
        <v>317</v>
      </c>
      <c r="O85" s="78">
        <v>44739</v>
      </c>
      <c r="P85" s="78">
        <v>44739</v>
      </c>
      <c r="Q85" s="82" t="s">
        <v>626</v>
      </c>
    </row>
    <row r="86" spans="1:19" ht="15.75" customHeight="1" x14ac:dyDescent="0.25">
      <c r="A86" s="260"/>
      <c r="B86" s="248"/>
      <c r="C86" s="251"/>
      <c r="D86" s="74" t="s">
        <v>682</v>
      </c>
      <c r="E86" s="158">
        <v>5519933.2699999996</v>
      </c>
      <c r="F86" s="75">
        <v>44977</v>
      </c>
      <c r="G86" s="76">
        <f t="shared" ca="1" si="20"/>
        <v>20</v>
      </c>
      <c r="H86" s="159">
        <f>E86*5%-SUM(H84:H85)</f>
        <v>18743.460999999952</v>
      </c>
      <c r="I86" s="75">
        <v>44562</v>
      </c>
      <c r="J86" s="79">
        <v>45017</v>
      </c>
      <c r="K86" s="76">
        <f t="shared" ca="1" si="21"/>
        <v>60</v>
      </c>
      <c r="L86" s="76" t="s">
        <v>15</v>
      </c>
      <c r="M86" s="80" t="s">
        <v>72</v>
      </c>
      <c r="N86" s="165">
        <v>180</v>
      </c>
      <c r="O86" s="78">
        <v>44854</v>
      </c>
      <c r="P86" s="78">
        <v>44854</v>
      </c>
      <c r="Q86" s="82" t="s">
        <v>685</v>
      </c>
    </row>
    <row r="87" spans="1:19" ht="15.75" customHeight="1" x14ac:dyDescent="0.25">
      <c r="A87" s="260"/>
      <c r="B87" s="248"/>
      <c r="C87" s="251"/>
      <c r="D87" s="74" t="s">
        <v>728</v>
      </c>
      <c r="E87" s="158">
        <v>5536393.1299999999</v>
      </c>
      <c r="F87" s="75">
        <v>44977</v>
      </c>
      <c r="G87" s="76">
        <f t="shared" ca="1" si="20"/>
        <v>20</v>
      </c>
      <c r="H87" s="159">
        <f>(E87-E86)*5%</f>
        <v>822.99300000001676</v>
      </c>
      <c r="I87" s="75">
        <v>44927</v>
      </c>
      <c r="J87" s="79">
        <v>45017</v>
      </c>
      <c r="K87" s="76">
        <f t="shared" ca="1" si="21"/>
        <v>60</v>
      </c>
      <c r="L87" s="76" t="s">
        <v>15</v>
      </c>
      <c r="M87" s="80" t="s">
        <v>72</v>
      </c>
      <c r="N87" s="165">
        <v>180</v>
      </c>
      <c r="O87" s="78">
        <v>44922</v>
      </c>
      <c r="P87" s="78">
        <v>44922</v>
      </c>
      <c r="Q87" s="82" t="s">
        <v>729</v>
      </c>
    </row>
    <row r="88" spans="1:19" ht="15.75" customHeight="1" thickBot="1" x14ac:dyDescent="0.3">
      <c r="A88" s="257"/>
      <c r="B88" s="249"/>
      <c r="C88" s="252"/>
      <c r="D88" s="83" t="s">
        <v>738</v>
      </c>
      <c r="E88" s="122">
        <v>4934032.4400000004</v>
      </c>
      <c r="F88" s="103">
        <v>45342</v>
      </c>
      <c r="G88" s="86">
        <f t="shared" ca="1" si="20"/>
        <v>385</v>
      </c>
      <c r="H88" s="123">
        <f>E88*5%</f>
        <v>246701.62200000003</v>
      </c>
      <c r="I88" s="103">
        <v>44978</v>
      </c>
      <c r="J88" s="85">
        <v>45373</v>
      </c>
      <c r="K88" s="86">
        <f t="shared" ca="1" si="21"/>
        <v>416</v>
      </c>
      <c r="L88" s="86" t="s">
        <v>15</v>
      </c>
      <c r="M88" s="89" t="s">
        <v>72</v>
      </c>
      <c r="N88" s="160">
        <v>840</v>
      </c>
      <c r="O88" s="88">
        <v>44929</v>
      </c>
      <c r="P88" s="88">
        <v>44929</v>
      </c>
      <c r="Q88" s="91" t="s">
        <v>378</v>
      </c>
    </row>
    <row r="89" spans="1:19" s="1" customFormat="1" x14ac:dyDescent="0.25">
      <c r="A89" s="256">
        <v>8257</v>
      </c>
      <c r="B89" s="247" t="s">
        <v>51</v>
      </c>
      <c r="C89" s="250" t="s">
        <v>68</v>
      </c>
      <c r="D89" s="99"/>
      <c r="E89" s="101">
        <v>5576022.8399999999</v>
      </c>
      <c r="F89" s="100">
        <v>44017</v>
      </c>
      <c r="G89" s="72">
        <f t="shared" ca="1" si="8"/>
        <v>-940</v>
      </c>
      <c r="H89" s="101">
        <f>E89*0.05</f>
        <v>278801.14199999999</v>
      </c>
      <c r="I89" s="100">
        <v>43651</v>
      </c>
      <c r="J89" s="100">
        <v>44109</v>
      </c>
      <c r="K89" s="98">
        <f t="shared" ref="K89:K182" ca="1" si="22">J89-$A$1</f>
        <v>-848</v>
      </c>
      <c r="L89" s="99" t="s">
        <v>15</v>
      </c>
      <c r="M89" s="95" t="s">
        <v>192</v>
      </c>
      <c r="N89" s="102">
        <v>976</v>
      </c>
      <c r="O89" s="100"/>
      <c r="P89" s="100"/>
      <c r="Q89" s="105"/>
      <c r="S89" s="2"/>
    </row>
    <row r="90" spans="1:19" ht="15" customHeight="1" x14ac:dyDescent="0.25">
      <c r="A90" s="260"/>
      <c r="B90" s="248"/>
      <c r="C90" s="251"/>
      <c r="D90" s="74" t="s">
        <v>35</v>
      </c>
      <c r="E90" s="71">
        <v>5276022.84</v>
      </c>
      <c r="F90" s="79">
        <v>44381</v>
      </c>
      <c r="G90" s="76">
        <f t="shared" ca="1" si="8"/>
        <v>-576</v>
      </c>
      <c r="H90" s="77">
        <f>E90*5%</f>
        <v>263801.14199999999</v>
      </c>
      <c r="I90" s="79">
        <v>44110</v>
      </c>
      <c r="J90" s="79">
        <v>44475</v>
      </c>
      <c r="K90" s="76">
        <f t="shared" ca="1" si="22"/>
        <v>-482</v>
      </c>
      <c r="L90" s="74" t="s">
        <v>15</v>
      </c>
      <c r="M90" s="80" t="s">
        <v>192</v>
      </c>
      <c r="N90" s="81">
        <v>778</v>
      </c>
      <c r="O90" s="78">
        <v>44032</v>
      </c>
      <c r="P90" s="78">
        <v>44032</v>
      </c>
      <c r="Q90" s="82"/>
    </row>
    <row r="91" spans="1:19" ht="15" customHeight="1" x14ac:dyDescent="0.25">
      <c r="A91" s="260"/>
      <c r="B91" s="248"/>
      <c r="C91" s="251"/>
      <c r="D91" s="74" t="s">
        <v>303</v>
      </c>
      <c r="E91" s="71">
        <v>5290041.12</v>
      </c>
      <c r="F91" s="79">
        <v>44381</v>
      </c>
      <c r="G91" s="76">
        <f t="shared" ca="1" si="8"/>
        <v>-576</v>
      </c>
      <c r="H91" s="77">
        <f>(E91*0.05)-H90</f>
        <v>700.91400000004796</v>
      </c>
      <c r="I91" s="79">
        <v>44110</v>
      </c>
      <c r="J91" s="79">
        <v>44475</v>
      </c>
      <c r="K91" s="76">
        <f t="shared" ref="K91:K96" ca="1" si="23">J91-$A$1</f>
        <v>-482</v>
      </c>
      <c r="L91" s="74" t="s">
        <v>15</v>
      </c>
      <c r="M91" s="80" t="s">
        <v>192</v>
      </c>
      <c r="N91" s="81">
        <v>200</v>
      </c>
      <c r="O91" s="78">
        <v>44209</v>
      </c>
      <c r="P91" s="78">
        <v>44209</v>
      </c>
      <c r="Q91" s="82"/>
    </row>
    <row r="92" spans="1:19" ht="15" customHeight="1" x14ac:dyDescent="0.25">
      <c r="A92" s="260"/>
      <c r="B92" s="248"/>
      <c r="C92" s="251"/>
      <c r="D92" s="74" t="s">
        <v>33</v>
      </c>
      <c r="E92" s="71">
        <f>382058.53+(440836.76*11)+58778.23</f>
        <v>5290041.120000001</v>
      </c>
      <c r="F92" s="79">
        <v>44746</v>
      </c>
      <c r="G92" s="76">
        <f t="shared" ca="1" si="8"/>
        <v>-211</v>
      </c>
      <c r="H92" s="77">
        <f>E92*5%</f>
        <v>264502.05600000004</v>
      </c>
      <c r="I92" s="79">
        <v>44476</v>
      </c>
      <c r="J92" s="79">
        <v>44841</v>
      </c>
      <c r="K92" s="76">
        <f t="shared" ca="1" si="23"/>
        <v>-116</v>
      </c>
      <c r="L92" s="74" t="s">
        <v>15</v>
      </c>
      <c r="M92" s="80" t="s">
        <v>192</v>
      </c>
      <c r="N92" s="81">
        <v>930</v>
      </c>
      <c r="O92" s="78">
        <v>44416</v>
      </c>
      <c r="P92" s="78">
        <v>44416</v>
      </c>
      <c r="Q92" s="82" t="s">
        <v>378</v>
      </c>
    </row>
    <row r="93" spans="1:19" ht="15.75" customHeight="1" x14ac:dyDescent="0.25">
      <c r="A93" s="260"/>
      <c r="B93" s="248"/>
      <c r="C93" s="251"/>
      <c r="D93" s="74" t="s">
        <v>20</v>
      </c>
      <c r="E93" s="71">
        <v>5608525.7999999998</v>
      </c>
      <c r="F93" s="79">
        <v>44746</v>
      </c>
      <c r="G93" s="76">
        <f t="shared" ca="1" si="8"/>
        <v>-211</v>
      </c>
      <c r="H93" s="77" t="s">
        <v>449</v>
      </c>
      <c r="I93" s="79">
        <v>44197</v>
      </c>
      <c r="J93" s="79">
        <v>44841</v>
      </c>
      <c r="K93" s="76">
        <f t="shared" ca="1" si="23"/>
        <v>-116</v>
      </c>
      <c r="L93" s="74" t="s">
        <v>15</v>
      </c>
      <c r="M93" s="80" t="s">
        <v>192</v>
      </c>
      <c r="N93" s="81">
        <v>160</v>
      </c>
      <c r="O93" s="78">
        <v>44447</v>
      </c>
      <c r="P93" s="78">
        <v>44447</v>
      </c>
      <c r="Q93" s="82" t="s">
        <v>435</v>
      </c>
    </row>
    <row r="94" spans="1:19" ht="15.75" customHeight="1" x14ac:dyDescent="0.25">
      <c r="A94" s="260"/>
      <c r="B94" s="248"/>
      <c r="C94" s="251"/>
      <c r="D94" s="74" t="s">
        <v>32</v>
      </c>
      <c r="E94" s="71">
        <v>5611389.2400000002</v>
      </c>
      <c r="F94" s="79">
        <v>45111</v>
      </c>
      <c r="G94" s="76">
        <f t="shared" ca="1" si="8"/>
        <v>154</v>
      </c>
      <c r="H94" s="77">
        <f>E94*5%</f>
        <v>280569.462</v>
      </c>
      <c r="I94" s="79">
        <v>44747</v>
      </c>
      <c r="J94" s="79">
        <v>45201</v>
      </c>
      <c r="K94" s="76">
        <f t="shared" ca="1" si="23"/>
        <v>244</v>
      </c>
      <c r="L94" s="74" t="s">
        <v>15</v>
      </c>
      <c r="M94" s="80" t="s">
        <v>192</v>
      </c>
      <c r="N94" s="81">
        <v>1097</v>
      </c>
      <c r="O94" s="78">
        <v>44753</v>
      </c>
      <c r="P94" s="78">
        <v>44753</v>
      </c>
      <c r="Q94" s="82" t="s">
        <v>378</v>
      </c>
    </row>
    <row r="95" spans="1:19" ht="15.75" customHeight="1" x14ac:dyDescent="0.25">
      <c r="A95" s="260"/>
      <c r="B95" s="248"/>
      <c r="C95" s="251"/>
      <c r="D95" s="74" t="s">
        <v>45</v>
      </c>
      <c r="E95" s="71">
        <v>6197031.4500000002</v>
      </c>
      <c r="F95" s="79">
        <v>45111</v>
      </c>
      <c r="G95" s="76">
        <f t="shared" ca="1" si="8"/>
        <v>154</v>
      </c>
      <c r="H95" s="77">
        <f>E95*5%-H94</f>
        <v>29282.11050000001</v>
      </c>
      <c r="I95" s="79">
        <v>44747</v>
      </c>
      <c r="J95" s="79">
        <v>45201</v>
      </c>
      <c r="K95" s="76">
        <f t="shared" ca="1" si="23"/>
        <v>244</v>
      </c>
      <c r="L95" s="74" t="s">
        <v>15</v>
      </c>
      <c r="M95" s="80" t="s">
        <v>192</v>
      </c>
      <c r="N95" s="81">
        <v>180</v>
      </c>
      <c r="O95" s="78">
        <v>44783</v>
      </c>
      <c r="P95" s="78">
        <v>44783</v>
      </c>
      <c r="Q95" s="82" t="s">
        <v>582</v>
      </c>
    </row>
    <row r="96" spans="1:19" ht="15.75" customHeight="1" thickBot="1" x14ac:dyDescent="0.3">
      <c r="A96" s="257"/>
      <c r="B96" s="249"/>
      <c r="C96" s="252"/>
      <c r="D96" s="83" t="s">
        <v>65</v>
      </c>
      <c r="E96" s="84">
        <v>6232480.0899999999</v>
      </c>
      <c r="F96" s="85">
        <v>45111</v>
      </c>
      <c r="G96" s="86">
        <f t="shared" ca="1" si="8"/>
        <v>154</v>
      </c>
      <c r="H96" s="87">
        <f>E96*5%-(H94+H95)</f>
        <v>1772.4319999999716</v>
      </c>
      <c r="I96" s="85">
        <v>44928</v>
      </c>
      <c r="J96" s="85">
        <v>45201</v>
      </c>
      <c r="K96" s="86">
        <f t="shared" ca="1" si="23"/>
        <v>244</v>
      </c>
      <c r="L96" s="83" t="s">
        <v>15</v>
      </c>
      <c r="M96" s="89" t="s">
        <v>192</v>
      </c>
      <c r="N96" s="90">
        <v>180</v>
      </c>
      <c r="O96" s="88">
        <v>44924</v>
      </c>
      <c r="P96" s="88">
        <v>44924</v>
      </c>
      <c r="Q96" s="91" t="s">
        <v>718</v>
      </c>
    </row>
    <row r="97" spans="1:17" x14ac:dyDescent="0.25">
      <c r="A97" s="256">
        <v>8259</v>
      </c>
      <c r="B97" s="263" t="s">
        <v>52</v>
      </c>
      <c r="C97" s="266" t="s">
        <v>53</v>
      </c>
      <c r="D97" s="73"/>
      <c r="E97" s="92">
        <v>2256780.9</v>
      </c>
      <c r="F97" s="93">
        <v>44605</v>
      </c>
      <c r="G97" s="72">
        <f t="shared" ca="1" si="8"/>
        <v>-352</v>
      </c>
      <c r="H97" s="94">
        <f>E97*5%</f>
        <v>112839.045</v>
      </c>
      <c r="I97" s="93">
        <v>43690</v>
      </c>
      <c r="J97" s="93">
        <v>44603</v>
      </c>
      <c r="K97" s="72">
        <f t="shared" ca="1" si="22"/>
        <v>-354</v>
      </c>
      <c r="L97" s="73" t="s">
        <v>15</v>
      </c>
      <c r="M97" s="95" t="s">
        <v>234</v>
      </c>
      <c r="N97" s="96">
        <v>1002</v>
      </c>
      <c r="O97" s="117">
        <v>43692</v>
      </c>
      <c r="P97" s="117">
        <v>43692</v>
      </c>
      <c r="Q97" s="97"/>
    </row>
    <row r="98" spans="1:17" ht="15" customHeight="1" x14ac:dyDescent="0.25">
      <c r="A98" s="260"/>
      <c r="B98" s="264"/>
      <c r="C98" s="267"/>
      <c r="D98" s="74" t="s">
        <v>35</v>
      </c>
      <c r="E98" s="71">
        <v>2386176.6</v>
      </c>
      <c r="F98" s="79">
        <v>44605</v>
      </c>
      <c r="G98" s="76">
        <f t="shared" ca="1" si="8"/>
        <v>-352</v>
      </c>
      <c r="H98" s="77">
        <f>E98*5%</f>
        <v>119308.83000000002</v>
      </c>
      <c r="I98" s="79">
        <v>44604</v>
      </c>
      <c r="J98" s="79">
        <v>44611</v>
      </c>
      <c r="K98" s="76">
        <f t="shared" ca="1" si="22"/>
        <v>-346</v>
      </c>
      <c r="L98" s="74" t="s">
        <v>15</v>
      </c>
      <c r="M98" s="80" t="s">
        <v>234</v>
      </c>
      <c r="N98" s="81">
        <v>498</v>
      </c>
      <c r="O98" s="78">
        <v>44476</v>
      </c>
      <c r="P98" s="78">
        <v>44476</v>
      </c>
      <c r="Q98" s="82" t="s">
        <v>435</v>
      </c>
    </row>
    <row r="99" spans="1:17" ht="15" customHeight="1" x14ac:dyDescent="0.25">
      <c r="A99" s="260"/>
      <c r="B99" s="264"/>
      <c r="C99" s="267"/>
      <c r="D99" s="74" t="s">
        <v>17</v>
      </c>
      <c r="E99" s="71">
        <f>1863345.3+232467.9+290363.4</f>
        <v>2386176.6</v>
      </c>
      <c r="F99" s="79">
        <v>45523</v>
      </c>
      <c r="G99" s="76">
        <f t="shared" ca="1" si="8"/>
        <v>566</v>
      </c>
      <c r="H99" s="77">
        <f>E99*5%</f>
        <v>119308.83000000002</v>
      </c>
      <c r="I99" s="79">
        <v>44611</v>
      </c>
      <c r="J99" s="79">
        <v>45523</v>
      </c>
      <c r="K99" s="76">
        <f t="shared" ca="1" si="22"/>
        <v>566</v>
      </c>
      <c r="L99" s="74" t="s">
        <v>15</v>
      </c>
      <c r="M99" s="80" t="s">
        <v>234</v>
      </c>
      <c r="N99" s="81">
        <v>938.15</v>
      </c>
      <c r="O99" s="78">
        <v>44638</v>
      </c>
      <c r="P99" s="78">
        <v>44638</v>
      </c>
      <c r="Q99" s="82"/>
    </row>
    <row r="100" spans="1:17" ht="15.75" customHeight="1" x14ac:dyDescent="0.25">
      <c r="A100" s="260"/>
      <c r="B100" s="264"/>
      <c r="C100" s="267"/>
      <c r="D100" s="74" t="s">
        <v>33</v>
      </c>
      <c r="E100" s="71">
        <v>2403754.7999999998</v>
      </c>
      <c r="F100" s="79">
        <v>45523</v>
      </c>
      <c r="G100" s="76">
        <f t="shared" ca="1" si="8"/>
        <v>566</v>
      </c>
      <c r="H100" s="77">
        <v>120235.59</v>
      </c>
      <c r="I100" s="79">
        <v>44611</v>
      </c>
      <c r="J100" s="79">
        <v>45523</v>
      </c>
      <c r="K100" s="76">
        <f t="shared" ca="1" si="22"/>
        <v>566</v>
      </c>
      <c r="L100" s="74" t="s">
        <v>15</v>
      </c>
      <c r="M100" s="80" t="s">
        <v>234</v>
      </c>
      <c r="N100" s="81">
        <v>160</v>
      </c>
      <c r="O100" s="78">
        <v>44664</v>
      </c>
      <c r="P100" s="78">
        <v>44664</v>
      </c>
      <c r="Q100" s="82" t="s">
        <v>570</v>
      </c>
    </row>
    <row r="101" spans="1:17" ht="15.75" customHeight="1" thickBot="1" x14ac:dyDescent="0.3">
      <c r="A101" s="257"/>
      <c r="B101" s="265"/>
      <c r="C101" s="268"/>
      <c r="D101" s="83" t="s">
        <v>20</v>
      </c>
      <c r="E101" s="84">
        <v>2532873</v>
      </c>
      <c r="F101" s="85">
        <v>45523</v>
      </c>
      <c r="G101" s="86">
        <f t="shared" ca="1" si="8"/>
        <v>566</v>
      </c>
      <c r="H101" s="87">
        <f>(E101*5%)-H100</f>
        <v>6408.0600000000122</v>
      </c>
      <c r="I101" s="85">
        <v>44777</v>
      </c>
      <c r="J101" s="85">
        <v>45523</v>
      </c>
      <c r="K101" s="86">
        <f t="shared" ca="1" si="22"/>
        <v>566</v>
      </c>
      <c r="L101" s="83" t="s">
        <v>15</v>
      </c>
      <c r="M101" s="89" t="s">
        <v>234</v>
      </c>
      <c r="N101" s="90">
        <v>180</v>
      </c>
      <c r="O101" s="88">
        <v>44792</v>
      </c>
      <c r="P101" s="88">
        <v>44792</v>
      </c>
      <c r="Q101" s="91"/>
    </row>
    <row r="102" spans="1:17" x14ac:dyDescent="0.25">
      <c r="A102" s="256">
        <v>8261</v>
      </c>
      <c r="B102" s="247" t="s">
        <v>263</v>
      </c>
      <c r="C102" s="254" t="s">
        <v>232</v>
      </c>
      <c r="D102" s="73"/>
      <c r="E102" s="92">
        <f>50293.44*12</f>
        <v>603521.28000000003</v>
      </c>
      <c r="F102" s="93">
        <v>44111</v>
      </c>
      <c r="G102" s="72">
        <f t="shared" ref="G102:G103" ca="1" si="24">F102-$A$1</f>
        <v>-846</v>
      </c>
      <c r="H102" s="94">
        <f>E102*5%</f>
        <v>30176.064000000002</v>
      </c>
      <c r="I102" s="93">
        <v>43745</v>
      </c>
      <c r="J102" s="93">
        <v>44201</v>
      </c>
      <c r="K102" s="72">
        <f t="shared" ref="K102:K109" ca="1" si="25">J102-$A$1</f>
        <v>-756</v>
      </c>
      <c r="L102" s="73" t="s">
        <v>49</v>
      </c>
      <c r="M102" s="95" t="s">
        <v>233</v>
      </c>
      <c r="N102" s="96">
        <v>140</v>
      </c>
      <c r="O102" s="117">
        <v>43749</v>
      </c>
      <c r="P102" s="117">
        <v>43749</v>
      </c>
      <c r="Q102" s="97"/>
    </row>
    <row r="103" spans="1:17" ht="15" customHeight="1" x14ac:dyDescent="0.25">
      <c r="A103" s="260"/>
      <c r="B103" s="248"/>
      <c r="C103" s="262"/>
      <c r="D103" s="74" t="s">
        <v>35</v>
      </c>
      <c r="E103" s="71">
        <v>546590.4</v>
      </c>
      <c r="F103" s="79">
        <v>44111</v>
      </c>
      <c r="G103" s="76">
        <f t="shared" ca="1" si="24"/>
        <v>-846</v>
      </c>
      <c r="H103" s="77"/>
      <c r="I103" s="79"/>
      <c r="J103" s="79"/>
      <c r="K103" s="76"/>
      <c r="L103" s="74"/>
      <c r="M103" s="80"/>
      <c r="N103" s="81"/>
      <c r="O103" s="78"/>
      <c r="P103" s="78"/>
      <c r="Q103" s="82" t="s">
        <v>208</v>
      </c>
    </row>
    <row r="104" spans="1:17" ht="27" x14ac:dyDescent="0.25">
      <c r="A104" s="260"/>
      <c r="B104" s="248"/>
      <c r="C104" s="262"/>
      <c r="D104" s="74" t="s">
        <v>17</v>
      </c>
      <c r="E104" s="71">
        <v>546129.96</v>
      </c>
      <c r="F104" s="79">
        <v>44476</v>
      </c>
      <c r="G104" s="76">
        <f t="shared" ref="G104:G109" ca="1" si="26">F104-$A$1</f>
        <v>-481</v>
      </c>
      <c r="H104" s="77">
        <f>E104*0.05</f>
        <v>27306.498</v>
      </c>
      <c r="I104" s="79">
        <v>44095</v>
      </c>
      <c r="J104" s="79">
        <v>44568</v>
      </c>
      <c r="K104" s="76">
        <f t="shared" ca="1" si="25"/>
        <v>-389</v>
      </c>
      <c r="L104" s="74" t="s">
        <v>49</v>
      </c>
      <c r="M104" s="80" t="s">
        <v>233</v>
      </c>
      <c r="N104" s="81">
        <v>170</v>
      </c>
      <c r="O104" s="78">
        <v>44134</v>
      </c>
      <c r="P104" s="78">
        <v>44134</v>
      </c>
      <c r="Q104" s="82" t="s">
        <v>308</v>
      </c>
    </row>
    <row r="105" spans="1:17" ht="15" customHeight="1" x14ac:dyDescent="0.25">
      <c r="A105" s="260"/>
      <c r="B105" s="248"/>
      <c r="C105" s="262"/>
      <c r="D105" s="74" t="s">
        <v>318</v>
      </c>
      <c r="E105" s="71">
        <v>542792.28</v>
      </c>
      <c r="F105" s="79">
        <v>44476</v>
      </c>
      <c r="G105" s="76">
        <f t="shared" ca="1" si="26"/>
        <v>-481</v>
      </c>
      <c r="H105" s="77"/>
      <c r="I105" s="79"/>
      <c r="J105" s="79"/>
      <c r="K105" s="76"/>
      <c r="L105" s="74"/>
      <c r="M105" s="80"/>
      <c r="N105" s="81"/>
      <c r="O105" s="78"/>
      <c r="P105" s="78"/>
      <c r="Q105" s="82"/>
    </row>
    <row r="106" spans="1:17" ht="15" customHeight="1" x14ac:dyDescent="0.25">
      <c r="A106" s="260"/>
      <c r="B106" s="248"/>
      <c r="C106" s="262"/>
      <c r="D106" s="74" t="s">
        <v>33</v>
      </c>
      <c r="E106" s="71">
        <v>542792.28</v>
      </c>
      <c r="F106" s="79">
        <v>44841</v>
      </c>
      <c r="G106" s="76">
        <f t="shared" ca="1" si="26"/>
        <v>-116</v>
      </c>
      <c r="H106" s="77">
        <f>E106*5%</f>
        <v>27139.614000000001</v>
      </c>
      <c r="I106" s="79">
        <v>44432</v>
      </c>
      <c r="J106" s="79">
        <v>44933</v>
      </c>
      <c r="K106" s="76">
        <f t="shared" ca="1" si="25"/>
        <v>-24</v>
      </c>
      <c r="L106" s="74" t="s">
        <v>49</v>
      </c>
      <c r="M106" s="80" t="s">
        <v>233</v>
      </c>
      <c r="N106" s="81">
        <v>170</v>
      </c>
      <c r="O106" s="78">
        <v>44460</v>
      </c>
      <c r="P106" s="78">
        <v>44460</v>
      </c>
      <c r="Q106" s="82" t="s">
        <v>309</v>
      </c>
    </row>
    <row r="107" spans="1:17" ht="15.75" customHeight="1" x14ac:dyDescent="0.25">
      <c r="A107" s="260"/>
      <c r="B107" s="248"/>
      <c r="C107" s="262"/>
      <c r="D107" s="74" t="s">
        <v>557</v>
      </c>
      <c r="E107" s="71">
        <v>571989.72</v>
      </c>
      <c r="F107" s="79">
        <v>44841</v>
      </c>
      <c r="G107" s="76">
        <f t="shared" ca="1" si="26"/>
        <v>-116</v>
      </c>
      <c r="H107" s="77">
        <v>29330.43</v>
      </c>
      <c r="I107" s="79">
        <v>44627</v>
      </c>
      <c r="J107" s="79">
        <v>44933</v>
      </c>
      <c r="K107" s="76">
        <f t="shared" ca="1" si="25"/>
        <v>-24</v>
      </c>
      <c r="L107" s="74" t="s">
        <v>49</v>
      </c>
      <c r="M107" s="80" t="s">
        <v>233</v>
      </c>
      <c r="N107" s="81">
        <v>170</v>
      </c>
      <c r="O107" s="78">
        <v>44650</v>
      </c>
      <c r="P107" s="78">
        <v>44650</v>
      </c>
      <c r="Q107" s="82" t="s">
        <v>435</v>
      </c>
    </row>
    <row r="108" spans="1:17" ht="15.75" customHeight="1" x14ac:dyDescent="0.25">
      <c r="A108" s="260"/>
      <c r="B108" s="248"/>
      <c r="C108" s="262"/>
      <c r="D108" s="74" t="s">
        <v>605</v>
      </c>
      <c r="E108" s="71">
        <v>603802.07999999996</v>
      </c>
      <c r="F108" s="79">
        <v>44841</v>
      </c>
      <c r="G108" s="76">
        <f t="shared" ca="1" si="26"/>
        <v>-116</v>
      </c>
      <c r="H108" s="77">
        <v>30111.09</v>
      </c>
      <c r="I108" s="79">
        <v>44711</v>
      </c>
      <c r="J108" s="79">
        <v>44933</v>
      </c>
      <c r="K108" s="76">
        <f t="shared" ca="1" si="25"/>
        <v>-24</v>
      </c>
      <c r="L108" s="74" t="s">
        <v>49</v>
      </c>
      <c r="M108" s="80" t="s">
        <v>233</v>
      </c>
      <c r="N108" s="81">
        <v>170</v>
      </c>
      <c r="O108" s="78">
        <v>44813</v>
      </c>
      <c r="P108" s="78">
        <v>44813</v>
      </c>
      <c r="Q108" s="82" t="s">
        <v>582</v>
      </c>
    </row>
    <row r="109" spans="1:17" ht="15.75" customHeight="1" thickBot="1" x14ac:dyDescent="0.3">
      <c r="A109" s="257"/>
      <c r="B109" s="249"/>
      <c r="C109" s="255"/>
      <c r="D109" s="83" t="s">
        <v>485</v>
      </c>
      <c r="E109" s="84">
        <f>E108+(50316.84*3)</f>
        <v>754752.6</v>
      </c>
      <c r="F109" s="85">
        <v>44933</v>
      </c>
      <c r="G109" s="86">
        <f t="shared" ca="1" si="26"/>
        <v>-24</v>
      </c>
      <c r="H109" s="87">
        <f>E109*5%</f>
        <v>37737.629999999997</v>
      </c>
      <c r="I109" s="85">
        <v>44933</v>
      </c>
      <c r="J109" s="85">
        <v>45023</v>
      </c>
      <c r="K109" s="86">
        <f t="shared" ca="1" si="25"/>
        <v>66</v>
      </c>
      <c r="L109" s="83" t="s">
        <v>673</v>
      </c>
      <c r="M109" s="89" t="s">
        <v>233</v>
      </c>
      <c r="N109" s="90">
        <v>170</v>
      </c>
      <c r="O109" s="88">
        <v>44838</v>
      </c>
      <c r="P109" s="88">
        <v>44838</v>
      </c>
      <c r="Q109" s="91" t="s">
        <v>378</v>
      </c>
    </row>
    <row r="110" spans="1:17" x14ac:dyDescent="0.25">
      <c r="A110" s="256">
        <v>8263</v>
      </c>
      <c r="B110" s="263" t="s">
        <v>56</v>
      </c>
      <c r="C110" s="266" t="s">
        <v>436</v>
      </c>
      <c r="D110" s="73"/>
      <c r="E110" s="92">
        <v>2374266</v>
      </c>
      <c r="F110" s="93">
        <v>44708</v>
      </c>
      <c r="G110" s="72">
        <f t="shared" ca="1" si="8"/>
        <v>-249</v>
      </c>
      <c r="H110" s="94">
        <f>E110*5%</f>
        <v>118713.3</v>
      </c>
      <c r="I110" s="93">
        <v>43796</v>
      </c>
      <c r="J110" s="93">
        <v>44799</v>
      </c>
      <c r="K110" s="72">
        <f t="shared" ca="1" si="22"/>
        <v>-158</v>
      </c>
      <c r="L110" s="73" t="s">
        <v>15</v>
      </c>
      <c r="M110" s="95" t="s">
        <v>231</v>
      </c>
      <c r="N110" s="96">
        <v>1158</v>
      </c>
      <c r="O110" s="117">
        <v>43724</v>
      </c>
      <c r="P110" s="117">
        <v>43724</v>
      </c>
      <c r="Q110" s="97"/>
    </row>
    <row r="111" spans="1:17" ht="15" customHeight="1" x14ac:dyDescent="0.25">
      <c r="A111" s="260"/>
      <c r="B111" s="264"/>
      <c r="C111" s="267"/>
      <c r="D111" s="74" t="s">
        <v>35</v>
      </c>
      <c r="E111" s="71">
        <v>2661107.4</v>
      </c>
      <c r="F111" s="79"/>
      <c r="G111" s="76"/>
      <c r="H111" s="77"/>
      <c r="I111" s="79"/>
      <c r="J111" s="79"/>
      <c r="K111" s="76"/>
      <c r="L111" s="74"/>
      <c r="M111" s="80"/>
      <c r="N111" s="81"/>
      <c r="O111" s="78"/>
      <c r="P111" s="78"/>
      <c r="Q111" s="82" t="s">
        <v>558</v>
      </c>
    </row>
    <row r="112" spans="1:17" ht="15" customHeight="1" x14ac:dyDescent="0.25">
      <c r="A112" s="260"/>
      <c r="B112" s="264"/>
      <c r="C112" s="267"/>
      <c r="D112" s="74" t="s">
        <v>17</v>
      </c>
      <c r="E112" s="71">
        <v>2670339.2999999998</v>
      </c>
      <c r="F112" s="79">
        <v>44708</v>
      </c>
      <c r="G112" s="76">
        <f t="shared" ca="1" si="8"/>
        <v>-249</v>
      </c>
      <c r="H112" s="77">
        <f>(E112*5%)-H110</f>
        <v>14803.664999999994</v>
      </c>
      <c r="I112" s="79">
        <v>43796</v>
      </c>
      <c r="J112" s="79">
        <v>44799</v>
      </c>
      <c r="K112" s="76">
        <f t="shared" ca="1" si="22"/>
        <v>-158</v>
      </c>
      <c r="L112" s="74" t="s">
        <v>15</v>
      </c>
      <c r="M112" s="80" t="s">
        <v>231</v>
      </c>
      <c r="N112" s="81">
        <v>188</v>
      </c>
      <c r="O112" s="78">
        <v>44452</v>
      </c>
      <c r="P112" s="78">
        <v>44452</v>
      </c>
      <c r="Q112" s="82" t="s">
        <v>453</v>
      </c>
    </row>
    <row r="113" spans="1:18" ht="15" customHeight="1" x14ac:dyDescent="0.25">
      <c r="A113" s="260"/>
      <c r="B113" s="264"/>
      <c r="C113" s="267"/>
      <c r="D113" s="74" t="s">
        <v>33</v>
      </c>
      <c r="E113" s="71">
        <f>89852.21*30</f>
        <v>2695566.3000000003</v>
      </c>
      <c r="F113" s="79">
        <v>44708</v>
      </c>
      <c r="G113" s="76">
        <f t="shared" ca="1" si="8"/>
        <v>-249</v>
      </c>
      <c r="H113" s="77">
        <f>E113*5%</f>
        <v>134778.31500000003</v>
      </c>
      <c r="I113" s="79">
        <v>44562</v>
      </c>
      <c r="J113" s="79">
        <v>44799</v>
      </c>
      <c r="K113" s="76">
        <f t="shared" ca="1" si="22"/>
        <v>-158</v>
      </c>
      <c r="L113" s="74" t="s">
        <v>15</v>
      </c>
      <c r="M113" s="80" t="s">
        <v>231</v>
      </c>
      <c r="N113" s="81">
        <v>160</v>
      </c>
      <c r="O113" s="78">
        <v>44665</v>
      </c>
      <c r="P113" s="78">
        <v>44665</v>
      </c>
      <c r="Q113" s="82" t="s">
        <v>592</v>
      </c>
    </row>
    <row r="114" spans="1:18" ht="15" customHeight="1" x14ac:dyDescent="0.25">
      <c r="A114" s="260"/>
      <c r="B114" s="264"/>
      <c r="C114" s="267"/>
      <c r="D114" s="74" t="s">
        <v>20</v>
      </c>
      <c r="E114" s="71">
        <f>89852.21*30</f>
        <v>2695566.3000000003</v>
      </c>
      <c r="F114" s="79">
        <v>45623</v>
      </c>
      <c r="G114" s="76">
        <f t="shared" ca="1" si="8"/>
        <v>666</v>
      </c>
      <c r="H114" s="77">
        <f>E114*5%</f>
        <v>134778.31500000003</v>
      </c>
      <c r="I114" s="79">
        <v>44708</v>
      </c>
      <c r="J114" s="79">
        <v>45623</v>
      </c>
      <c r="K114" s="76">
        <f t="shared" ca="1" si="22"/>
        <v>666</v>
      </c>
      <c r="L114" s="74" t="s">
        <v>15</v>
      </c>
      <c r="M114" s="80" t="s">
        <v>231</v>
      </c>
      <c r="N114" s="81">
        <v>1062</v>
      </c>
      <c r="O114" s="78">
        <v>44704</v>
      </c>
      <c r="P114" s="78">
        <v>44704</v>
      </c>
      <c r="Q114" s="82" t="s">
        <v>378</v>
      </c>
    </row>
    <row r="115" spans="1:18" ht="15.75" customHeight="1" x14ac:dyDescent="0.25">
      <c r="A115" s="260"/>
      <c r="B115" s="264"/>
      <c r="C115" s="267"/>
      <c r="D115" s="74" t="s">
        <v>48</v>
      </c>
      <c r="E115" s="71">
        <v>2695566.3</v>
      </c>
      <c r="F115" s="79">
        <v>45623</v>
      </c>
      <c r="G115" s="76">
        <f t="shared" ca="1" si="8"/>
        <v>666</v>
      </c>
      <c r="H115" s="77"/>
      <c r="I115" s="79"/>
      <c r="J115" s="79"/>
      <c r="K115" s="76"/>
      <c r="L115" s="74"/>
      <c r="M115" s="80"/>
      <c r="N115" s="81"/>
      <c r="O115" s="78"/>
      <c r="P115" s="78"/>
      <c r="Q115" s="82" t="s">
        <v>603</v>
      </c>
    </row>
    <row r="116" spans="1:18" ht="15.75" customHeight="1" thickBot="1" x14ac:dyDescent="0.3">
      <c r="A116" s="257"/>
      <c r="B116" s="265"/>
      <c r="C116" s="268"/>
      <c r="D116" s="83" t="s">
        <v>32</v>
      </c>
      <c r="E116" s="65">
        <v>2951847</v>
      </c>
      <c r="F116" s="85">
        <v>45623</v>
      </c>
      <c r="G116" s="86">
        <f t="shared" ca="1" si="8"/>
        <v>666</v>
      </c>
      <c r="H116" s="84">
        <f>E116*5%</f>
        <v>147592.35</v>
      </c>
      <c r="I116" s="85"/>
      <c r="J116" s="85"/>
      <c r="K116" s="86"/>
      <c r="L116" s="83"/>
      <c r="M116" s="89"/>
      <c r="N116" s="90"/>
      <c r="O116" s="88"/>
      <c r="P116" s="88"/>
      <c r="Q116" s="91" t="s">
        <v>582</v>
      </c>
    </row>
    <row r="117" spans="1:18" ht="15" customHeight="1" x14ac:dyDescent="0.25">
      <c r="A117" s="256">
        <v>8264</v>
      </c>
      <c r="B117" s="250" t="s">
        <v>55</v>
      </c>
      <c r="C117" s="250" t="s">
        <v>195</v>
      </c>
      <c r="D117" s="73"/>
      <c r="E117" s="92">
        <v>2407131.2799999998</v>
      </c>
      <c r="F117" s="93">
        <v>44165</v>
      </c>
      <c r="G117" s="72">
        <f t="shared" ca="1" si="8"/>
        <v>-792</v>
      </c>
      <c r="H117" s="94">
        <f>E117*5%</f>
        <v>120356.564</v>
      </c>
      <c r="I117" s="93">
        <v>43800</v>
      </c>
      <c r="J117" s="93">
        <v>44255</v>
      </c>
      <c r="K117" s="72">
        <f t="shared" ca="1" si="22"/>
        <v>-702</v>
      </c>
      <c r="L117" s="73" t="s">
        <v>49</v>
      </c>
      <c r="M117" s="95" t="s">
        <v>275</v>
      </c>
      <c r="N117" s="96">
        <v>547.62</v>
      </c>
      <c r="O117" s="117"/>
      <c r="P117" s="117"/>
      <c r="Q117" s="97"/>
    </row>
    <row r="118" spans="1:18" ht="15" customHeight="1" x14ac:dyDescent="0.25">
      <c r="A118" s="260"/>
      <c r="B118" s="251"/>
      <c r="C118" s="251"/>
      <c r="D118" s="74" t="s">
        <v>462</v>
      </c>
      <c r="E118" s="71">
        <v>2407131.2799999998</v>
      </c>
      <c r="F118" s="79">
        <v>44165</v>
      </c>
      <c r="G118" s="76">
        <f t="shared" ca="1" si="8"/>
        <v>-792</v>
      </c>
      <c r="H118" s="77"/>
      <c r="I118" s="79"/>
      <c r="J118" s="79"/>
      <c r="K118" s="76"/>
      <c r="L118" s="74"/>
      <c r="M118" s="80" t="s">
        <v>276</v>
      </c>
      <c r="N118" s="81"/>
      <c r="O118" s="78"/>
      <c r="P118" s="78"/>
      <c r="Q118" s="82" t="s">
        <v>273</v>
      </c>
    </row>
    <row r="119" spans="1:18" ht="15.75" customHeight="1" x14ac:dyDescent="0.25">
      <c r="A119" s="260"/>
      <c r="B119" s="251"/>
      <c r="C119" s="251"/>
      <c r="D119" s="74" t="s">
        <v>237</v>
      </c>
      <c r="E119" s="71">
        <v>2512164.5299999998</v>
      </c>
      <c r="F119" s="79">
        <v>44165</v>
      </c>
      <c r="G119" s="76">
        <f t="shared" ca="1" si="8"/>
        <v>-792</v>
      </c>
      <c r="H119" s="77">
        <f>(E119*5%)-H117</f>
        <v>5251.6624999999913</v>
      </c>
      <c r="I119" s="79">
        <v>44013</v>
      </c>
      <c r="J119" s="79">
        <v>44255</v>
      </c>
      <c r="K119" s="76">
        <f t="shared" ca="1" si="22"/>
        <v>-702</v>
      </c>
      <c r="L119" s="74" t="s">
        <v>15</v>
      </c>
      <c r="M119" s="80" t="s">
        <v>196</v>
      </c>
      <c r="N119" s="81">
        <v>180</v>
      </c>
      <c r="O119" s="78">
        <v>44032</v>
      </c>
      <c r="P119" s="78">
        <v>44032</v>
      </c>
      <c r="Q119" s="82" t="s">
        <v>54</v>
      </c>
    </row>
    <row r="120" spans="1:18" ht="15.75" customHeight="1" x14ac:dyDescent="0.25">
      <c r="A120" s="260"/>
      <c r="B120" s="251"/>
      <c r="C120" s="251"/>
      <c r="D120" s="74" t="s">
        <v>463</v>
      </c>
      <c r="E120" s="71">
        <v>2304205.06</v>
      </c>
      <c r="F120" s="79">
        <v>44165</v>
      </c>
      <c r="G120" s="76">
        <f t="shared" ca="1" si="8"/>
        <v>-792</v>
      </c>
      <c r="H120" s="77"/>
      <c r="I120" s="79"/>
      <c r="J120" s="79"/>
      <c r="K120" s="76"/>
      <c r="L120" s="74"/>
      <c r="M120" s="80"/>
      <c r="N120" s="81"/>
      <c r="O120" s="78"/>
      <c r="P120" s="78"/>
      <c r="Q120" s="82"/>
    </row>
    <row r="121" spans="1:18" ht="15.75" customHeight="1" x14ac:dyDescent="0.25">
      <c r="A121" s="260"/>
      <c r="B121" s="251"/>
      <c r="C121" s="251"/>
      <c r="D121" s="251" t="s">
        <v>274</v>
      </c>
      <c r="E121" s="293">
        <v>2552972.33</v>
      </c>
      <c r="F121" s="292">
        <v>44530</v>
      </c>
      <c r="G121" s="251">
        <f t="shared" ca="1" si="8"/>
        <v>-427</v>
      </c>
      <c r="H121" s="264">
        <f>E121*0.05</f>
        <v>127648.6165</v>
      </c>
      <c r="I121" s="292">
        <v>44166</v>
      </c>
      <c r="J121" s="292">
        <v>44621</v>
      </c>
      <c r="K121" s="251">
        <f t="shared" ca="1" si="22"/>
        <v>-336</v>
      </c>
      <c r="L121" s="74" t="s">
        <v>15</v>
      </c>
      <c r="M121" s="80" t="s">
        <v>196</v>
      </c>
      <c r="N121" s="81">
        <v>835.39</v>
      </c>
      <c r="O121" s="78">
        <v>44161</v>
      </c>
      <c r="P121" s="78">
        <v>44161</v>
      </c>
      <c r="Q121" s="82"/>
      <c r="R121" s="56">
        <f>80/174</f>
        <v>0.45977011494252873</v>
      </c>
    </row>
    <row r="122" spans="1:18" ht="15.75" customHeight="1" x14ac:dyDescent="0.25">
      <c r="A122" s="260"/>
      <c r="B122" s="251"/>
      <c r="C122" s="251"/>
      <c r="D122" s="251"/>
      <c r="E122" s="293"/>
      <c r="F122" s="292"/>
      <c r="G122" s="251"/>
      <c r="H122" s="264"/>
      <c r="I122" s="292"/>
      <c r="J122" s="292"/>
      <c r="K122" s="251"/>
      <c r="L122" s="74" t="s">
        <v>15</v>
      </c>
      <c r="M122" s="80" t="s">
        <v>196</v>
      </c>
      <c r="N122" s="81"/>
      <c r="O122" s="78"/>
      <c r="P122" s="78"/>
      <c r="Q122" s="82" t="s">
        <v>273</v>
      </c>
    </row>
    <row r="123" spans="1:18" ht="15.75" customHeight="1" x14ac:dyDescent="0.25">
      <c r="A123" s="260"/>
      <c r="B123" s="251"/>
      <c r="C123" s="251"/>
      <c r="D123" s="74" t="s">
        <v>302</v>
      </c>
      <c r="E123" s="164">
        <v>2267487.04</v>
      </c>
      <c r="F123" s="78">
        <v>44530</v>
      </c>
      <c r="G123" s="74">
        <f t="shared" ca="1" si="8"/>
        <v>-427</v>
      </c>
      <c r="H123" s="77"/>
      <c r="I123" s="78"/>
      <c r="J123" s="78"/>
      <c r="K123" s="74"/>
      <c r="L123" s="74"/>
      <c r="M123" s="80"/>
      <c r="N123" s="81"/>
      <c r="O123" s="78"/>
      <c r="P123" s="78"/>
      <c r="Q123" s="82" t="s">
        <v>208</v>
      </c>
    </row>
    <row r="124" spans="1:18" ht="15.75" customHeight="1" x14ac:dyDescent="0.25">
      <c r="A124" s="260"/>
      <c r="B124" s="251"/>
      <c r="C124" s="251"/>
      <c r="D124" s="74" t="s">
        <v>434</v>
      </c>
      <c r="E124" s="164">
        <v>2408472.61</v>
      </c>
      <c r="F124" s="78">
        <v>44530</v>
      </c>
      <c r="G124" s="74">
        <f t="shared" ca="1" si="8"/>
        <v>-427</v>
      </c>
      <c r="H124" s="81">
        <v>3530.65</v>
      </c>
      <c r="I124" s="78">
        <v>44438</v>
      </c>
      <c r="J124" s="78">
        <v>44621</v>
      </c>
      <c r="K124" s="74">
        <f t="shared" ref="K124:K129" ca="1" si="27">J124-$A$1</f>
        <v>-336</v>
      </c>
      <c r="L124" s="74" t="s">
        <v>15</v>
      </c>
      <c r="M124" s="80" t="s">
        <v>440</v>
      </c>
      <c r="N124" s="81">
        <v>160</v>
      </c>
      <c r="O124" s="78">
        <v>44445</v>
      </c>
      <c r="P124" s="78">
        <v>44445</v>
      </c>
      <c r="Q124" s="82" t="s">
        <v>435</v>
      </c>
    </row>
    <row r="125" spans="1:18" ht="15" customHeight="1" x14ac:dyDescent="0.25">
      <c r="A125" s="260"/>
      <c r="B125" s="251"/>
      <c r="C125" s="251"/>
      <c r="D125" s="74" t="s">
        <v>485</v>
      </c>
      <c r="E125" s="164">
        <v>2627769.48</v>
      </c>
      <c r="F125" s="78">
        <v>44895</v>
      </c>
      <c r="G125" s="74">
        <f t="shared" ca="1" si="8"/>
        <v>-62</v>
      </c>
      <c r="H125" s="81">
        <f>E125*5%</f>
        <v>131388.47400000002</v>
      </c>
      <c r="I125" s="78">
        <v>44531</v>
      </c>
      <c r="J125" s="78">
        <v>44986</v>
      </c>
      <c r="K125" s="74">
        <f t="shared" ca="1" si="27"/>
        <v>29</v>
      </c>
      <c r="L125" s="74" t="s">
        <v>15</v>
      </c>
      <c r="M125" s="80" t="s">
        <v>487</v>
      </c>
      <c r="N125" s="81">
        <v>515</v>
      </c>
      <c r="O125" s="78">
        <v>44522</v>
      </c>
      <c r="P125" s="78">
        <v>44522</v>
      </c>
      <c r="Q125" s="82" t="s">
        <v>378</v>
      </c>
    </row>
    <row r="126" spans="1:18" ht="15" customHeight="1" x14ac:dyDescent="0.25">
      <c r="A126" s="260"/>
      <c r="B126" s="251"/>
      <c r="C126" s="251"/>
      <c r="D126" s="74" t="s">
        <v>571</v>
      </c>
      <c r="E126" s="164">
        <f>261255.41*12</f>
        <v>3135064.92</v>
      </c>
      <c r="F126" s="78">
        <v>44895</v>
      </c>
      <c r="G126" s="74">
        <f t="shared" ca="1" si="8"/>
        <v>-62</v>
      </c>
      <c r="H126" s="81">
        <f>E126*5%-H125</f>
        <v>25364.771999999997</v>
      </c>
      <c r="I126" s="78">
        <v>44649</v>
      </c>
      <c r="J126" s="78">
        <v>44986</v>
      </c>
      <c r="K126" s="74">
        <f t="shared" ca="1" si="27"/>
        <v>29</v>
      </c>
      <c r="L126" s="74" t="s">
        <v>15</v>
      </c>
      <c r="M126" s="80" t="s">
        <v>487</v>
      </c>
      <c r="N126" s="81">
        <v>160</v>
      </c>
      <c r="O126" s="78">
        <v>44655</v>
      </c>
      <c r="P126" s="78">
        <v>44655</v>
      </c>
      <c r="Q126" s="82" t="s">
        <v>573</v>
      </c>
    </row>
    <row r="127" spans="1:18" ht="15" customHeight="1" x14ac:dyDescent="0.25">
      <c r="A127" s="260"/>
      <c r="B127" s="251"/>
      <c r="C127" s="251"/>
      <c r="D127" s="74" t="s">
        <v>577</v>
      </c>
      <c r="E127" s="164">
        <f>281571.43*12</f>
        <v>3378857.16</v>
      </c>
      <c r="F127" s="78">
        <v>44895</v>
      </c>
      <c r="G127" s="74">
        <f t="shared" ca="1" si="8"/>
        <v>-62</v>
      </c>
      <c r="H127" s="81">
        <f>(E127-E126)*5%</f>
        <v>12189.612000000012</v>
      </c>
      <c r="I127" s="78">
        <v>44655</v>
      </c>
      <c r="J127" s="78">
        <v>44986</v>
      </c>
      <c r="K127" s="74">
        <f t="shared" ca="1" si="27"/>
        <v>29</v>
      </c>
      <c r="L127" s="74" t="s">
        <v>15</v>
      </c>
      <c r="M127" s="80" t="s">
        <v>487</v>
      </c>
      <c r="N127" s="81">
        <v>160</v>
      </c>
      <c r="O127" s="78">
        <v>44663</v>
      </c>
      <c r="P127" s="78">
        <v>44663</v>
      </c>
      <c r="Q127" s="82" t="s">
        <v>582</v>
      </c>
    </row>
    <row r="128" spans="1:18" ht="15.75" customHeight="1" x14ac:dyDescent="0.25">
      <c r="A128" s="260"/>
      <c r="B128" s="251"/>
      <c r="C128" s="251"/>
      <c r="D128" s="74" t="s">
        <v>704</v>
      </c>
      <c r="E128" s="164">
        <f>280232.71*12</f>
        <v>3362792.5200000005</v>
      </c>
      <c r="F128" s="78">
        <v>44895</v>
      </c>
      <c r="G128" s="74">
        <f t="shared" ca="1" si="8"/>
        <v>-62</v>
      </c>
      <c r="H128" s="81"/>
      <c r="I128" s="78">
        <v>44781</v>
      </c>
      <c r="J128" s="78">
        <v>44986</v>
      </c>
      <c r="K128" s="74">
        <f t="shared" ca="1" si="27"/>
        <v>29</v>
      </c>
      <c r="L128" s="74" t="s">
        <v>15</v>
      </c>
      <c r="M128" s="80" t="s">
        <v>487</v>
      </c>
      <c r="N128" s="81"/>
      <c r="O128" s="78">
        <v>44852</v>
      </c>
      <c r="P128" s="78">
        <v>44852</v>
      </c>
      <c r="Q128" s="82" t="s">
        <v>617</v>
      </c>
    </row>
    <row r="129" spans="1:17" ht="15.75" customHeight="1" x14ac:dyDescent="0.25">
      <c r="A129" s="260"/>
      <c r="B129" s="251"/>
      <c r="C129" s="251"/>
      <c r="D129" s="74" t="s">
        <v>65</v>
      </c>
      <c r="E129" s="164">
        <f>246728.05*12</f>
        <v>2960736.5999999996</v>
      </c>
      <c r="F129" s="78">
        <v>45260</v>
      </c>
      <c r="G129" s="74">
        <f t="shared" ca="1" si="8"/>
        <v>303</v>
      </c>
      <c r="H129" s="81">
        <f>E129*5%</f>
        <v>148036.82999999999</v>
      </c>
      <c r="I129" s="78">
        <v>44896</v>
      </c>
      <c r="J129" s="78">
        <v>45351</v>
      </c>
      <c r="K129" s="74">
        <f t="shared" ca="1" si="27"/>
        <v>394</v>
      </c>
      <c r="L129" s="74" t="s">
        <v>15</v>
      </c>
      <c r="M129" s="80" t="s">
        <v>487</v>
      </c>
      <c r="N129" s="81">
        <v>562</v>
      </c>
      <c r="O129" s="78">
        <v>44875</v>
      </c>
      <c r="P129" s="78">
        <v>44875</v>
      </c>
      <c r="Q129" s="82" t="s">
        <v>378</v>
      </c>
    </row>
    <row r="130" spans="1:17" ht="15.75" customHeight="1" thickBot="1" x14ac:dyDescent="0.3">
      <c r="A130" s="257"/>
      <c r="B130" s="252"/>
      <c r="C130" s="252"/>
      <c r="D130" s="83" t="s">
        <v>58</v>
      </c>
      <c r="E130" s="163">
        <v>2960736.6</v>
      </c>
      <c r="F130" s="88">
        <v>45260</v>
      </c>
      <c r="G130" s="83">
        <f t="shared" ca="1" si="8"/>
        <v>303</v>
      </c>
      <c r="H130" s="90"/>
      <c r="I130" s="88"/>
      <c r="J130" s="88"/>
      <c r="K130" s="83"/>
      <c r="L130" s="83"/>
      <c r="M130" s="89"/>
      <c r="N130" s="90"/>
      <c r="O130" s="88"/>
      <c r="P130" s="88"/>
      <c r="Q130" s="91" t="s">
        <v>717</v>
      </c>
    </row>
    <row r="131" spans="1:17" x14ac:dyDescent="0.25">
      <c r="A131" s="256">
        <v>8265</v>
      </c>
      <c r="B131" s="247" t="s">
        <v>57</v>
      </c>
      <c r="C131" s="266" t="s">
        <v>439</v>
      </c>
      <c r="D131" s="73"/>
      <c r="E131" s="92">
        <v>2020719.9</v>
      </c>
      <c r="F131" s="93">
        <v>44709</v>
      </c>
      <c r="G131" s="72">
        <f t="shared" ca="1" si="8"/>
        <v>-248</v>
      </c>
      <c r="H131" s="94">
        <f>E131*5%</f>
        <v>101035.995</v>
      </c>
      <c r="I131" s="93">
        <v>43796</v>
      </c>
      <c r="J131" s="93">
        <v>44709</v>
      </c>
      <c r="K131" s="72">
        <f t="shared" ca="1" si="22"/>
        <v>-248</v>
      </c>
      <c r="L131" s="73" t="s">
        <v>15</v>
      </c>
      <c r="M131" s="95" t="s">
        <v>230</v>
      </c>
      <c r="N131" s="96">
        <v>900</v>
      </c>
      <c r="O131" s="117">
        <v>43787</v>
      </c>
      <c r="P131" s="117"/>
      <c r="Q131" s="97"/>
    </row>
    <row r="132" spans="1:17" ht="15" customHeight="1" x14ac:dyDescent="0.25">
      <c r="A132" s="260"/>
      <c r="B132" s="248"/>
      <c r="C132" s="267"/>
      <c r="D132" s="74" t="s">
        <v>237</v>
      </c>
      <c r="E132" s="71">
        <v>2264346.9</v>
      </c>
      <c r="F132" s="79"/>
      <c r="G132" s="76"/>
      <c r="H132" s="77"/>
      <c r="I132" s="79"/>
      <c r="J132" s="79"/>
      <c r="K132" s="76"/>
      <c r="L132" s="74"/>
      <c r="M132" s="80"/>
      <c r="N132" s="81"/>
      <c r="O132" s="78"/>
      <c r="P132" s="78"/>
      <c r="Q132" s="82" t="s">
        <v>558</v>
      </c>
    </row>
    <row r="133" spans="1:17" ht="15.75" customHeight="1" x14ac:dyDescent="0.25">
      <c r="A133" s="260"/>
      <c r="B133" s="248"/>
      <c r="C133" s="267"/>
      <c r="D133" s="74" t="s">
        <v>17</v>
      </c>
      <c r="E133" s="71">
        <v>2272563</v>
      </c>
      <c r="F133" s="79">
        <v>44709</v>
      </c>
      <c r="G133" s="76">
        <f t="shared" ca="1" si="8"/>
        <v>-248</v>
      </c>
      <c r="H133" s="77">
        <f>(E133*5%)-H131</f>
        <v>12592.155000000013</v>
      </c>
      <c r="I133" s="79">
        <v>43796</v>
      </c>
      <c r="J133" s="79">
        <v>44709</v>
      </c>
      <c r="K133" s="76">
        <f t="shared" ca="1" si="22"/>
        <v>-248</v>
      </c>
      <c r="L133" s="74" t="s">
        <v>15</v>
      </c>
      <c r="M133" s="80" t="s">
        <v>230</v>
      </c>
      <c r="N133" s="81">
        <v>180</v>
      </c>
      <c r="O133" s="78">
        <v>44447</v>
      </c>
      <c r="P133" s="78">
        <v>44447</v>
      </c>
      <c r="Q133" s="82" t="s">
        <v>342</v>
      </c>
    </row>
    <row r="134" spans="1:17" ht="15.75" customHeight="1" x14ac:dyDescent="0.25">
      <c r="A134" s="260"/>
      <c r="B134" s="248"/>
      <c r="C134" s="267"/>
      <c r="D134" s="74" t="s">
        <v>33</v>
      </c>
      <c r="E134" s="71">
        <f>76501.77*30</f>
        <v>2295053.1</v>
      </c>
      <c r="F134" s="79">
        <v>44709</v>
      </c>
      <c r="G134" s="76">
        <f t="shared" ca="1" si="8"/>
        <v>-248</v>
      </c>
      <c r="H134" s="77">
        <f>E134*5%</f>
        <v>114752.65500000001</v>
      </c>
      <c r="I134" s="79">
        <v>44562</v>
      </c>
      <c r="J134" s="79">
        <v>44709</v>
      </c>
      <c r="K134" s="76">
        <f t="shared" ca="1" si="22"/>
        <v>-248</v>
      </c>
      <c r="L134" s="74" t="s">
        <v>15</v>
      </c>
      <c r="M134" s="80" t="s">
        <v>230</v>
      </c>
      <c r="N134" s="81">
        <v>160</v>
      </c>
      <c r="O134" s="78">
        <v>44665</v>
      </c>
      <c r="P134" s="78">
        <v>44665</v>
      </c>
      <c r="Q134" s="82" t="s">
        <v>342</v>
      </c>
    </row>
    <row r="135" spans="1:17" ht="15.75" customHeight="1" x14ac:dyDescent="0.25">
      <c r="A135" s="260"/>
      <c r="B135" s="248"/>
      <c r="C135" s="267"/>
      <c r="D135" s="74" t="s">
        <v>20</v>
      </c>
      <c r="E135" s="71">
        <f>76501.77*30</f>
        <v>2295053.1</v>
      </c>
      <c r="F135" s="79">
        <v>45623</v>
      </c>
      <c r="G135" s="76">
        <f t="shared" ca="1" si="8"/>
        <v>666</v>
      </c>
      <c r="H135" s="77">
        <f>E135*5%</f>
        <v>114752.65500000001</v>
      </c>
      <c r="I135" s="79">
        <v>44708</v>
      </c>
      <c r="J135" s="79">
        <v>45623</v>
      </c>
      <c r="K135" s="76">
        <f t="shared" ca="1" si="22"/>
        <v>666</v>
      </c>
      <c r="L135" s="74" t="s">
        <v>15</v>
      </c>
      <c r="M135" s="80" t="s">
        <v>230</v>
      </c>
      <c r="N135" s="81">
        <v>905</v>
      </c>
      <c r="O135" s="78">
        <v>44704</v>
      </c>
      <c r="P135" s="78">
        <v>44704</v>
      </c>
      <c r="Q135" s="82" t="s">
        <v>378</v>
      </c>
    </row>
    <row r="136" spans="1:17" ht="15.75" customHeight="1" x14ac:dyDescent="0.25">
      <c r="A136" s="260"/>
      <c r="B136" s="248"/>
      <c r="C136" s="267"/>
      <c r="D136" s="74" t="s">
        <v>571</v>
      </c>
      <c r="E136" s="71">
        <v>2295053.1</v>
      </c>
      <c r="F136" s="79">
        <v>45623</v>
      </c>
      <c r="G136" s="76">
        <f t="shared" ca="1" si="8"/>
        <v>666</v>
      </c>
      <c r="H136" s="77"/>
      <c r="I136" s="79"/>
      <c r="J136" s="79"/>
      <c r="K136" s="76"/>
      <c r="L136" s="74"/>
      <c r="M136" s="80"/>
      <c r="N136" s="81"/>
      <c r="O136" s="78"/>
      <c r="P136" s="78"/>
      <c r="Q136" s="82" t="s">
        <v>446</v>
      </c>
    </row>
    <row r="137" spans="1:17" ht="15.75" customHeight="1" thickBot="1" x14ac:dyDescent="0.3">
      <c r="A137" s="257"/>
      <c r="B137" s="249"/>
      <c r="C137" s="268"/>
      <c r="D137" s="83" t="s">
        <v>32</v>
      </c>
      <c r="E137" s="84">
        <v>2550980.7000000002</v>
      </c>
      <c r="F137" s="85">
        <v>45623</v>
      </c>
      <c r="G137" s="86">
        <f t="shared" ca="1" si="8"/>
        <v>666</v>
      </c>
      <c r="H137" s="87">
        <f>E137*5%-H135</f>
        <v>12796.380000000005</v>
      </c>
      <c r="I137" s="85">
        <v>44708</v>
      </c>
      <c r="J137" s="85">
        <v>45623</v>
      </c>
      <c r="K137" s="86">
        <f t="shared" ca="1" si="22"/>
        <v>666</v>
      </c>
      <c r="L137" s="83" t="s">
        <v>15</v>
      </c>
      <c r="M137" s="89" t="s">
        <v>230</v>
      </c>
      <c r="N137" s="90">
        <v>180</v>
      </c>
      <c r="O137" s="88">
        <v>44858</v>
      </c>
      <c r="P137" s="88">
        <v>44858</v>
      </c>
      <c r="Q137" s="91" t="s">
        <v>582</v>
      </c>
    </row>
    <row r="138" spans="1:17" ht="15" customHeight="1" x14ac:dyDescent="0.25">
      <c r="A138" s="256">
        <v>8266</v>
      </c>
      <c r="B138" s="263" t="s">
        <v>59</v>
      </c>
      <c r="C138" s="250" t="s">
        <v>60</v>
      </c>
      <c r="D138" s="73"/>
      <c r="E138" s="92">
        <v>21887737.890000001</v>
      </c>
      <c r="F138" s="93">
        <v>44196</v>
      </c>
      <c r="G138" s="72">
        <f t="shared" ca="1" si="8"/>
        <v>-761</v>
      </c>
      <c r="H138" s="94">
        <f>E138*5%</f>
        <v>1094386.8945000002</v>
      </c>
      <c r="I138" s="93">
        <v>43830</v>
      </c>
      <c r="J138" s="93">
        <v>44286</v>
      </c>
      <c r="K138" s="72">
        <f t="shared" ca="1" si="22"/>
        <v>-671</v>
      </c>
      <c r="L138" s="73" t="s">
        <v>15</v>
      </c>
      <c r="M138" s="95" t="s">
        <v>155</v>
      </c>
      <c r="N138" s="96">
        <v>4852</v>
      </c>
      <c r="O138" s="117"/>
      <c r="P138" s="117"/>
      <c r="Q138" s="97"/>
    </row>
    <row r="139" spans="1:17" ht="15" customHeight="1" x14ac:dyDescent="0.25">
      <c r="A139" s="260"/>
      <c r="B139" s="264"/>
      <c r="C139" s="251"/>
      <c r="D139" s="74" t="s">
        <v>35</v>
      </c>
      <c r="E139" s="71">
        <v>22074214.290000003</v>
      </c>
      <c r="F139" s="79">
        <v>44196</v>
      </c>
      <c r="G139" s="76">
        <f t="shared" ca="1" si="8"/>
        <v>-761</v>
      </c>
      <c r="H139" s="77">
        <f>(E139*0.05)-H138</f>
        <v>9323.8200000000652</v>
      </c>
      <c r="I139" s="79">
        <v>43950</v>
      </c>
      <c r="J139" s="79">
        <v>44286</v>
      </c>
      <c r="K139" s="76">
        <f t="shared" ca="1" si="22"/>
        <v>-671</v>
      </c>
      <c r="L139" s="74" t="s">
        <v>15</v>
      </c>
      <c r="M139" s="80" t="s">
        <v>155</v>
      </c>
      <c r="N139" s="81">
        <v>180</v>
      </c>
      <c r="O139" s="78"/>
      <c r="P139" s="78"/>
      <c r="Q139" s="82" t="s">
        <v>54</v>
      </c>
    </row>
    <row r="140" spans="1:17" ht="15" customHeight="1" x14ac:dyDescent="0.25">
      <c r="A140" s="260"/>
      <c r="B140" s="264"/>
      <c r="C140" s="251"/>
      <c r="D140" s="74" t="s">
        <v>17</v>
      </c>
      <c r="E140" s="71">
        <v>22904982.120000001</v>
      </c>
      <c r="F140" s="79">
        <v>44386</v>
      </c>
      <c r="G140" s="76">
        <f t="shared" ca="1" si="8"/>
        <v>-571</v>
      </c>
      <c r="H140" s="77">
        <f>E140*0.05</f>
        <v>1145249.1060000001</v>
      </c>
      <c r="I140" s="79">
        <v>44021</v>
      </c>
      <c r="J140" s="79">
        <v>44478</v>
      </c>
      <c r="K140" s="76">
        <f t="shared" ca="1" si="22"/>
        <v>-479</v>
      </c>
      <c r="L140" s="74" t="s">
        <v>15</v>
      </c>
      <c r="M140" s="80" t="s">
        <v>155</v>
      </c>
      <c r="N140" s="81">
        <v>4240</v>
      </c>
      <c r="O140" s="78"/>
      <c r="P140" s="78"/>
      <c r="Q140" s="82"/>
    </row>
    <row r="141" spans="1:17" ht="15.75" customHeight="1" x14ac:dyDescent="0.25">
      <c r="A141" s="260"/>
      <c r="B141" s="264"/>
      <c r="C141" s="251"/>
      <c r="D141" s="74" t="s">
        <v>33</v>
      </c>
      <c r="E141" s="71">
        <v>25698562.210000001</v>
      </c>
      <c r="F141" s="79">
        <v>44386</v>
      </c>
      <c r="G141" s="76">
        <f t="shared" ca="1" si="8"/>
        <v>-571</v>
      </c>
      <c r="H141" s="77">
        <f>(E141*5%)-H140</f>
        <v>139679.00450000004</v>
      </c>
      <c r="I141" s="79">
        <v>44021</v>
      </c>
      <c r="J141" s="79">
        <v>44478</v>
      </c>
      <c r="K141" s="76">
        <f t="shared" ca="1" si="22"/>
        <v>-479</v>
      </c>
      <c r="L141" s="74" t="s">
        <v>15</v>
      </c>
      <c r="M141" s="80" t="s">
        <v>155</v>
      </c>
      <c r="N141" s="81">
        <v>668</v>
      </c>
      <c r="O141" s="78">
        <v>44028</v>
      </c>
      <c r="P141" s="78">
        <v>44028</v>
      </c>
      <c r="Q141" s="82" t="s">
        <v>54</v>
      </c>
    </row>
    <row r="142" spans="1:17" ht="15" customHeight="1" x14ac:dyDescent="0.25">
      <c r="A142" s="260"/>
      <c r="B142" s="264"/>
      <c r="C142" s="251"/>
      <c r="D142" s="74" t="s">
        <v>20</v>
      </c>
      <c r="E142" s="71">
        <v>25698562.210000001</v>
      </c>
      <c r="F142" s="79">
        <v>44386</v>
      </c>
      <c r="G142" s="76">
        <f t="shared" ca="1" si="8"/>
        <v>-571</v>
      </c>
      <c r="H142" s="77"/>
      <c r="I142" s="79"/>
      <c r="J142" s="79"/>
      <c r="K142" s="76"/>
      <c r="L142" s="74"/>
      <c r="M142" s="80"/>
      <c r="N142" s="81"/>
      <c r="O142" s="78"/>
      <c r="P142" s="78"/>
      <c r="Q142" s="82" t="s">
        <v>446</v>
      </c>
    </row>
    <row r="143" spans="1:17" ht="13.5" customHeight="1" x14ac:dyDescent="0.25">
      <c r="A143" s="260"/>
      <c r="B143" s="264"/>
      <c r="C143" s="251"/>
      <c r="D143" s="74" t="s">
        <v>48</v>
      </c>
      <c r="E143" s="71">
        <v>26410847.890000001</v>
      </c>
      <c r="F143" s="79">
        <v>44751</v>
      </c>
      <c r="G143" s="76">
        <f t="shared" ca="1" si="8"/>
        <v>-206</v>
      </c>
      <c r="H143" s="77">
        <f>E143*5%</f>
        <v>1320542.3945000002</v>
      </c>
      <c r="I143" s="79">
        <v>44386</v>
      </c>
      <c r="J143" s="79">
        <v>44841</v>
      </c>
      <c r="K143" s="76">
        <f t="shared" ca="1" si="22"/>
        <v>-116</v>
      </c>
      <c r="L143" s="74" t="s">
        <v>15</v>
      </c>
      <c r="M143" s="80" t="s">
        <v>155</v>
      </c>
      <c r="N143" s="81">
        <v>5176</v>
      </c>
      <c r="O143" s="78">
        <v>44305</v>
      </c>
      <c r="P143" s="78">
        <v>44305</v>
      </c>
      <c r="Q143" s="82"/>
    </row>
    <row r="144" spans="1:17" ht="15" customHeight="1" x14ac:dyDescent="0.25">
      <c r="A144" s="260"/>
      <c r="B144" s="264"/>
      <c r="C144" s="251"/>
      <c r="D144" s="251" t="s">
        <v>406</v>
      </c>
      <c r="E144" s="293">
        <v>26607894.109999999</v>
      </c>
      <c r="F144" s="292">
        <v>44751</v>
      </c>
      <c r="G144" s="251">
        <f t="shared" ca="1" si="8"/>
        <v>-206</v>
      </c>
      <c r="H144" s="264">
        <f>(E144*5%)-H143</f>
        <v>9852.310999999987</v>
      </c>
      <c r="I144" s="79">
        <v>44842</v>
      </c>
      <c r="J144" s="79">
        <v>44844</v>
      </c>
      <c r="K144" s="76">
        <f t="shared" ca="1" si="22"/>
        <v>-113</v>
      </c>
      <c r="L144" s="74" t="s">
        <v>15</v>
      </c>
      <c r="M144" s="80" t="s">
        <v>155</v>
      </c>
      <c r="N144" s="81">
        <v>180</v>
      </c>
      <c r="O144" s="78"/>
      <c r="P144" s="78"/>
      <c r="Q144" s="82" t="s">
        <v>435</v>
      </c>
    </row>
    <row r="145" spans="1:17" ht="15.75" customHeight="1" x14ac:dyDescent="0.25">
      <c r="A145" s="260"/>
      <c r="B145" s="264"/>
      <c r="C145" s="251"/>
      <c r="D145" s="251"/>
      <c r="E145" s="293"/>
      <c r="F145" s="292"/>
      <c r="G145" s="251"/>
      <c r="H145" s="264"/>
      <c r="I145" s="79">
        <v>43830</v>
      </c>
      <c r="J145" s="79">
        <v>44844</v>
      </c>
      <c r="K145" s="76">
        <f t="shared" ca="1" si="22"/>
        <v>-113</v>
      </c>
      <c r="L145" s="74" t="s">
        <v>15</v>
      </c>
      <c r="M145" s="80" t="s">
        <v>155</v>
      </c>
      <c r="N145" s="81">
        <v>160</v>
      </c>
      <c r="O145" s="78">
        <v>44435</v>
      </c>
      <c r="P145" s="78">
        <v>44435</v>
      </c>
      <c r="Q145" s="82"/>
    </row>
    <row r="146" spans="1:17" ht="15.75" customHeight="1" x14ac:dyDescent="0.25">
      <c r="A146" s="260"/>
      <c r="B146" s="264"/>
      <c r="C146" s="251"/>
      <c r="D146" s="74" t="s">
        <v>32</v>
      </c>
      <c r="E146" s="164">
        <v>26598874.559999999</v>
      </c>
      <c r="F146" s="78">
        <v>45116</v>
      </c>
      <c r="G146" s="74">
        <f t="shared" ca="1" si="8"/>
        <v>159</v>
      </c>
      <c r="H146" s="81">
        <f>E146*5%</f>
        <v>1329943.7280000001</v>
      </c>
      <c r="I146" s="79">
        <v>44845</v>
      </c>
      <c r="J146" s="79">
        <v>45210</v>
      </c>
      <c r="K146" s="76">
        <f t="shared" ca="1" si="22"/>
        <v>253</v>
      </c>
      <c r="L146" s="74" t="s">
        <v>15</v>
      </c>
      <c r="M146" s="80" t="s">
        <v>155</v>
      </c>
      <c r="N146" s="81">
        <v>4182</v>
      </c>
      <c r="O146" s="78">
        <v>44638</v>
      </c>
      <c r="P146" s="78">
        <v>44638</v>
      </c>
      <c r="Q146" s="82" t="s">
        <v>378</v>
      </c>
    </row>
    <row r="147" spans="1:17" ht="15.75" customHeight="1" x14ac:dyDescent="0.25">
      <c r="A147" s="260"/>
      <c r="B147" s="264"/>
      <c r="C147" s="251"/>
      <c r="D147" s="74" t="s">
        <v>45</v>
      </c>
      <c r="E147" s="164">
        <v>27365847.559999999</v>
      </c>
      <c r="F147" s="78">
        <v>45116</v>
      </c>
      <c r="G147" s="74">
        <f t="shared" ca="1" si="8"/>
        <v>159</v>
      </c>
      <c r="H147" s="81">
        <f>766999.71*5%</f>
        <v>38349.985500000003</v>
      </c>
      <c r="I147" s="79">
        <v>44682</v>
      </c>
      <c r="J147" s="79">
        <v>45210</v>
      </c>
      <c r="K147" s="76">
        <f t="shared" ca="1" si="22"/>
        <v>253</v>
      </c>
      <c r="L147" s="74" t="s">
        <v>15</v>
      </c>
      <c r="M147" s="80" t="s">
        <v>155</v>
      </c>
      <c r="N147" s="81">
        <v>180</v>
      </c>
      <c r="O147" s="78">
        <v>44685</v>
      </c>
      <c r="P147" s="78">
        <v>44685</v>
      </c>
      <c r="Q147" s="82" t="s">
        <v>588</v>
      </c>
    </row>
    <row r="148" spans="1:17" ht="15.75" customHeight="1" thickBot="1" x14ac:dyDescent="0.3">
      <c r="A148" s="257"/>
      <c r="B148" s="265"/>
      <c r="C148" s="252"/>
      <c r="D148" s="83" t="s">
        <v>605</v>
      </c>
      <c r="E148" s="163">
        <v>29634010.52</v>
      </c>
      <c r="F148" s="88">
        <v>45116</v>
      </c>
      <c r="G148" s="83">
        <f t="shared" ca="1" si="8"/>
        <v>159</v>
      </c>
      <c r="H148" s="90">
        <f>E148*5%-(H146+H147)</f>
        <v>113406.8125</v>
      </c>
      <c r="I148" s="85">
        <v>44917</v>
      </c>
      <c r="J148" s="85">
        <v>45210</v>
      </c>
      <c r="K148" s="86">
        <f t="shared" ca="1" si="22"/>
        <v>253</v>
      </c>
      <c r="L148" s="83" t="s">
        <v>15</v>
      </c>
      <c r="M148" s="89" t="s">
        <v>155</v>
      </c>
      <c r="N148" s="90">
        <v>287</v>
      </c>
      <c r="O148" s="88">
        <v>44924</v>
      </c>
      <c r="P148" s="88">
        <v>44924</v>
      </c>
      <c r="Q148" s="91" t="s">
        <v>582</v>
      </c>
    </row>
    <row r="149" spans="1:17" x14ac:dyDescent="0.25">
      <c r="A149" s="256">
        <v>8267</v>
      </c>
      <c r="B149" s="263" t="s">
        <v>62</v>
      </c>
      <c r="C149" s="250" t="s">
        <v>222</v>
      </c>
      <c r="D149" s="182"/>
      <c r="E149" s="92">
        <v>8921388.0399999991</v>
      </c>
      <c r="F149" s="93">
        <v>44259</v>
      </c>
      <c r="G149" s="72">
        <f t="shared" ca="1" si="8"/>
        <v>-698</v>
      </c>
      <c r="H149" s="94">
        <f>E149*5%</f>
        <v>446069.402</v>
      </c>
      <c r="I149" s="93">
        <v>43894</v>
      </c>
      <c r="J149" s="93">
        <v>44349</v>
      </c>
      <c r="K149" s="72">
        <f t="shared" ca="1" si="22"/>
        <v>-608</v>
      </c>
      <c r="L149" s="182" t="s">
        <v>15</v>
      </c>
      <c r="M149" s="95" t="s">
        <v>229</v>
      </c>
      <c r="N149" s="185">
        <v>2260</v>
      </c>
      <c r="O149" s="188">
        <v>43888</v>
      </c>
      <c r="P149" s="188"/>
      <c r="Q149" s="97"/>
    </row>
    <row r="150" spans="1:17" ht="15.75" customHeight="1" x14ac:dyDescent="0.25">
      <c r="A150" s="260"/>
      <c r="B150" s="264"/>
      <c r="C150" s="251"/>
      <c r="D150" s="183" t="s">
        <v>35</v>
      </c>
      <c r="E150" s="71">
        <v>8921388.0399999991</v>
      </c>
      <c r="F150" s="79">
        <v>44623</v>
      </c>
      <c r="G150" s="76">
        <f t="shared" ca="1" si="8"/>
        <v>-334</v>
      </c>
      <c r="H150" s="77">
        <f>E150*5%</f>
        <v>446069.402</v>
      </c>
      <c r="I150" s="79">
        <v>44259</v>
      </c>
      <c r="J150" s="79">
        <v>44714</v>
      </c>
      <c r="K150" s="76">
        <f t="shared" ca="1" si="22"/>
        <v>-243</v>
      </c>
      <c r="L150" s="183" t="s">
        <v>15</v>
      </c>
      <c r="M150" s="80" t="s">
        <v>229</v>
      </c>
      <c r="N150" s="186">
        <v>1748</v>
      </c>
      <c r="O150" s="189">
        <v>44249</v>
      </c>
      <c r="P150" s="189">
        <v>44249</v>
      </c>
      <c r="Q150" s="82" t="s">
        <v>309</v>
      </c>
    </row>
    <row r="151" spans="1:17" ht="27" x14ac:dyDescent="0.25">
      <c r="A151" s="260"/>
      <c r="B151" s="264"/>
      <c r="C151" s="251"/>
      <c r="D151" s="183" t="s">
        <v>17</v>
      </c>
      <c r="E151" s="71">
        <f>E150+189179.91</f>
        <v>9110567.9499999993</v>
      </c>
      <c r="F151" s="79">
        <v>44623</v>
      </c>
      <c r="G151" s="76">
        <f t="shared" ca="1" si="8"/>
        <v>-334</v>
      </c>
      <c r="H151" s="77">
        <f>(E151*5%)-H150</f>
        <v>9458.9954999999609</v>
      </c>
      <c r="I151" s="79">
        <v>44378</v>
      </c>
      <c r="J151" s="79">
        <v>44714</v>
      </c>
      <c r="K151" s="76">
        <f t="shared" ca="1" si="22"/>
        <v>-243</v>
      </c>
      <c r="L151" s="183" t="s">
        <v>15</v>
      </c>
      <c r="M151" s="80" t="s">
        <v>229</v>
      </c>
      <c r="N151" s="186">
        <v>160</v>
      </c>
      <c r="O151" s="189">
        <v>44384</v>
      </c>
      <c r="P151" s="189">
        <v>44384</v>
      </c>
      <c r="Q151" s="82" t="s">
        <v>392</v>
      </c>
    </row>
    <row r="152" spans="1:17" ht="15.75" customHeight="1" x14ac:dyDescent="0.25">
      <c r="A152" s="260"/>
      <c r="B152" s="264"/>
      <c r="C152" s="251"/>
      <c r="D152" s="183" t="s">
        <v>33</v>
      </c>
      <c r="E152" s="71">
        <v>9201654.5299999993</v>
      </c>
      <c r="F152" s="79">
        <v>44988</v>
      </c>
      <c r="G152" s="76">
        <f t="shared" ca="1" si="8"/>
        <v>31</v>
      </c>
      <c r="H152" s="77">
        <f>E152*5%</f>
        <v>460082.72649999999</v>
      </c>
      <c r="I152" s="79">
        <v>44715</v>
      </c>
      <c r="J152" s="79">
        <v>45080</v>
      </c>
      <c r="K152" s="76">
        <f t="shared" ca="1" si="22"/>
        <v>123</v>
      </c>
      <c r="L152" s="183" t="s">
        <v>15</v>
      </c>
      <c r="M152" s="80" t="s">
        <v>229</v>
      </c>
      <c r="N152" s="186">
        <v>113.85</v>
      </c>
      <c r="O152" s="189">
        <v>44622</v>
      </c>
      <c r="P152" s="189">
        <v>44622</v>
      </c>
      <c r="Q152" s="82" t="s">
        <v>309</v>
      </c>
    </row>
    <row r="153" spans="1:17" ht="15.75" customHeight="1" x14ac:dyDescent="0.25">
      <c r="A153" s="260"/>
      <c r="B153" s="264"/>
      <c r="C153" s="251"/>
      <c r="D153" s="183" t="s">
        <v>20</v>
      </c>
      <c r="E153" s="71">
        <v>11080214.529999999</v>
      </c>
      <c r="F153" s="79">
        <v>44988</v>
      </c>
      <c r="G153" s="76">
        <f t="shared" ca="1" si="8"/>
        <v>31</v>
      </c>
      <c r="H153" s="77">
        <f>E153*5%-H152</f>
        <v>93928</v>
      </c>
      <c r="I153" s="79">
        <v>43894</v>
      </c>
      <c r="J153" s="79">
        <v>45080</v>
      </c>
      <c r="K153" s="76">
        <f t="shared" ca="1" si="22"/>
        <v>123</v>
      </c>
      <c r="L153" s="183" t="s">
        <v>15</v>
      </c>
      <c r="M153" s="80" t="s">
        <v>229</v>
      </c>
      <c r="N153" s="186">
        <v>960</v>
      </c>
      <c r="O153" s="189">
        <v>44754</v>
      </c>
      <c r="P153" s="189">
        <v>44754</v>
      </c>
      <c r="Q153" s="82" t="s">
        <v>435</v>
      </c>
    </row>
    <row r="154" spans="1:17" ht="15.75" customHeight="1" thickBot="1" x14ac:dyDescent="0.3">
      <c r="A154" s="257"/>
      <c r="B154" s="265"/>
      <c r="C154" s="252"/>
      <c r="D154" s="184" t="s">
        <v>48</v>
      </c>
      <c r="E154" s="84">
        <v>20262823.77</v>
      </c>
      <c r="F154" s="85">
        <v>45719</v>
      </c>
      <c r="G154" s="86">
        <f t="shared" ca="1" si="8"/>
        <v>762</v>
      </c>
      <c r="H154" s="87">
        <f>E154*5%</f>
        <v>1013141.1885</v>
      </c>
      <c r="I154" s="85">
        <v>44989</v>
      </c>
      <c r="J154" s="85">
        <v>45750</v>
      </c>
      <c r="K154" s="86">
        <f t="shared" ca="1" si="22"/>
        <v>793</v>
      </c>
      <c r="L154" s="184" t="s">
        <v>15</v>
      </c>
      <c r="M154" s="89" t="s">
        <v>229</v>
      </c>
      <c r="N154" s="187">
        <v>6640</v>
      </c>
      <c r="O154" s="88">
        <v>44937</v>
      </c>
      <c r="P154" s="88">
        <v>44937</v>
      </c>
      <c r="Q154" s="91" t="s">
        <v>378</v>
      </c>
    </row>
    <row r="155" spans="1:17" ht="27" x14ac:dyDescent="0.25">
      <c r="A155" s="256">
        <v>8361</v>
      </c>
      <c r="B155" s="258" t="s">
        <v>249</v>
      </c>
      <c r="C155" s="250" t="s">
        <v>261</v>
      </c>
      <c r="D155" s="73"/>
      <c r="E155" s="92">
        <v>1168661.92</v>
      </c>
      <c r="F155" s="93"/>
      <c r="G155" s="72"/>
      <c r="H155" s="94">
        <v>1168661.92</v>
      </c>
      <c r="I155" s="93"/>
      <c r="J155" s="93"/>
      <c r="K155" s="72"/>
      <c r="L155" s="73" t="s">
        <v>15</v>
      </c>
      <c r="M155" s="95" t="s">
        <v>251</v>
      </c>
      <c r="N155" s="96">
        <v>503.86</v>
      </c>
      <c r="O155" s="117"/>
      <c r="P155" s="117"/>
      <c r="Q155" s="97" t="s">
        <v>250</v>
      </c>
    </row>
    <row r="156" spans="1:17" ht="15.75" customHeight="1" thickBot="1" x14ac:dyDescent="0.3">
      <c r="A156" s="257"/>
      <c r="B156" s="259"/>
      <c r="C156" s="252"/>
      <c r="D156" s="83" t="s">
        <v>35</v>
      </c>
      <c r="E156" s="84">
        <v>1749485.11</v>
      </c>
      <c r="F156" s="85"/>
      <c r="G156" s="86"/>
      <c r="H156" s="87">
        <v>1749485.11</v>
      </c>
      <c r="I156" s="85"/>
      <c r="J156" s="85"/>
      <c r="K156" s="86"/>
      <c r="L156" s="83" t="s">
        <v>15</v>
      </c>
      <c r="M156" s="89" t="s">
        <v>251</v>
      </c>
      <c r="N156" s="90">
        <v>278.02</v>
      </c>
      <c r="O156" s="88">
        <v>44111</v>
      </c>
      <c r="P156" s="88">
        <v>44111</v>
      </c>
      <c r="Q156" s="91" t="s">
        <v>54</v>
      </c>
    </row>
    <row r="157" spans="1:17" x14ac:dyDescent="0.25">
      <c r="A157" s="256">
        <v>8268</v>
      </c>
      <c r="B157" s="247" t="s">
        <v>63</v>
      </c>
      <c r="C157" s="250" t="s">
        <v>262</v>
      </c>
      <c r="D157" s="73"/>
      <c r="E157" s="92">
        <v>9071896</v>
      </c>
      <c r="F157" s="93">
        <v>44287</v>
      </c>
      <c r="G157" s="72">
        <f t="shared" ca="1" si="8"/>
        <v>-670</v>
      </c>
      <c r="H157" s="94">
        <f>E157*5%</f>
        <v>453594.80000000005</v>
      </c>
      <c r="I157" s="93">
        <v>43922</v>
      </c>
      <c r="J157" s="93">
        <v>44317</v>
      </c>
      <c r="K157" s="72">
        <f t="shared" ca="1" si="22"/>
        <v>-640</v>
      </c>
      <c r="L157" s="73" t="s">
        <v>15</v>
      </c>
      <c r="M157" s="95" t="s">
        <v>228</v>
      </c>
      <c r="N157" s="96">
        <v>1994.98</v>
      </c>
      <c r="O157" s="117">
        <v>43895</v>
      </c>
      <c r="P157" s="117">
        <v>43895</v>
      </c>
      <c r="Q157" s="97"/>
    </row>
    <row r="158" spans="1:17" ht="15.75" customHeight="1" x14ac:dyDescent="0.25">
      <c r="A158" s="260"/>
      <c r="B158" s="248"/>
      <c r="C158" s="251"/>
      <c r="D158" s="74" t="s">
        <v>35</v>
      </c>
      <c r="E158" s="71">
        <v>7250215.0899999999</v>
      </c>
      <c r="F158" s="79">
        <v>44287</v>
      </c>
      <c r="G158" s="76">
        <f t="shared" ca="1" si="8"/>
        <v>-670</v>
      </c>
      <c r="H158" s="77"/>
      <c r="I158" s="79"/>
      <c r="J158" s="79"/>
      <c r="K158" s="76"/>
      <c r="L158" s="74"/>
      <c r="M158" s="80"/>
      <c r="N158" s="81"/>
      <c r="O158" s="78"/>
      <c r="P158" s="78"/>
      <c r="Q158" s="82" t="s">
        <v>208</v>
      </c>
    </row>
    <row r="159" spans="1:17" ht="15.75" customHeight="1" x14ac:dyDescent="0.25">
      <c r="A159" s="260"/>
      <c r="B159" s="248"/>
      <c r="C159" s="251"/>
      <c r="D159" s="74" t="s">
        <v>17</v>
      </c>
      <c r="E159" s="71">
        <v>8053418.2699999996</v>
      </c>
      <c r="F159" s="79">
        <v>44287</v>
      </c>
      <c r="G159" s="76">
        <f t="shared" ca="1" si="8"/>
        <v>-670</v>
      </c>
      <c r="H159" s="77"/>
      <c r="I159" s="79"/>
      <c r="J159" s="79"/>
      <c r="K159" s="76"/>
      <c r="L159" s="74"/>
      <c r="M159" s="80"/>
      <c r="N159" s="81"/>
      <c r="O159" s="78"/>
      <c r="P159" s="78"/>
      <c r="Q159" s="82" t="s">
        <v>264</v>
      </c>
    </row>
    <row r="160" spans="1:17" ht="15.75" customHeight="1" x14ac:dyDescent="0.25">
      <c r="A160" s="260"/>
      <c r="B160" s="248"/>
      <c r="C160" s="251"/>
      <c r="D160" s="74" t="s">
        <v>33</v>
      </c>
      <c r="E160" s="71">
        <v>8994184.4900000002</v>
      </c>
      <c r="F160" s="79">
        <v>44651</v>
      </c>
      <c r="G160" s="76">
        <f t="shared" ca="1" si="8"/>
        <v>-306</v>
      </c>
      <c r="H160" s="77">
        <f>E160*5%</f>
        <v>449709.22450000001</v>
      </c>
      <c r="I160" s="79">
        <v>44287</v>
      </c>
      <c r="J160" s="79">
        <v>44682</v>
      </c>
      <c r="K160" s="76">
        <f t="shared" ca="1" si="22"/>
        <v>-275</v>
      </c>
      <c r="L160" s="74" t="s">
        <v>15</v>
      </c>
      <c r="M160" s="80" t="s">
        <v>228</v>
      </c>
      <c r="N160" s="81">
        <v>1530</v>
      </c>
      <c r="O160" s="78">
        <v>44266</v>
      </c>
      <c r="P160" s="78">
        <v>44266</v>
      </c>
      <c r="Q160" s="82" t="s">
        <v>210</v>
      </c>
    </row>
    <row r="161" spans="1:17" ht="15.75" customHeight="1" x14ac:dyDescent="0.25">
      <c r="A161" s="260"/>
      <c r="B161" s="248"/>
      <c r="C161" s="251"/>
      <c r="D161" s="74" t="s">
        <v>20</v>
      </c>
      <c r="E161" s="71">
        <v>8994184.4399999995</v>
      </c>
      <c r="F161" s="79">
        <v>45016</v>
      </c>
      <c r="G161" s="76">
        <f t="shared" ca="1" si="8"/>
        <v>59</v>
      </c>
      <c r="H161" s="77">
        <f>E161*5%</f>
        <v>449709.22200000001</v>
      </c>
      <c r="I161" s="79">
        <v>44652</v>
      </c>
      <c r="J161" s="79">
        <v>45046</v>
      </c>
      <c r="K161" s="76">
        <f t="shared" ca="1" si="22"/>
        <v>89</v>
      </c>
      <c r="L161" s="74" t="s">
        <v>15</v>
      </c>
      <c r="M161" s="80" t="s">
        <v>228</v>
      </c>
      <c r="N161" s="81">
        <v>1526</v>
      </c>
      <c r="O161" s="78">
        <v>44638</v>
      </c>
      <c r="P161" s="78">
        <v>44638</v>
      </c>
      <c r="Q161" s="82" t="s">
        <v>378</v>
      </c>
    </row>
    <row r="162" spans="1:17" ht="14.25" thickBot="1" x14ac:dyDescent="0.3">
      <c r="A162" s="257"/>
      <c r="B162" s="249"/>
      <c r="C162" s="252"/>
      <c r="D162" s="83" t="s">
        <v>48</v>
      </c>
      <c r="E162" s="84">
        <v>10593091.789999999</v>
      </c>
      <c r="F162" s="85">
        <v>45016</v>
      </c>
      <c r="G162" s="86">
        <f t="shared" ca="1" si="8"/>
        <v>59</v>
      </c>
      <c r="H162" s="87">
        <f>E162*5%-H161</f>
        <v>79945.367499999993</v>
      </c>
      <c r="I162" s="85">
        <v>43922</v>
      </c>
      <c r="J162" s="85">
        <v>45046</v>
      </c>
      <c r="K162" s="86">
        <f t="shared" ca="1" si="22"/>
        <v>89</v>
      </c>
      <c r="L162" s="83" t="s">
        <v>15</v>
      </c>
      <c r="M162" s="89" t="s">
        <v>228</v>
      </c>
      <c r="N162" s="90">
        <v>774</v>
      </c>
      <c r="O162" s="88">
        <v>44704</v>
      </c>
      <c r="P162" s="88">
        <v>44704</v>
      </c>
      <c r="Q162" s="91" t="s">
        <v>597</v>
      </c>
    </row>
    <row r="163" spans="1:17" x14ac:dyDescent="0.25">
      <c r="A163" s="256">
        <v>8269</v>
      </c>
      <c r="B163" s="263" t="s">
        <v>64</v>
      </c>
      <c r="C163" s="250" t="s">
        <v>223</v>
      </c>
      <c r="D163" s="73"/>
      <c r="E163" s="92">
        <v>3600000</v>
      </c>
      <c r="F163" s="93">
        <v>44350</v>
      </c>
      <c r="G163" s="72">
        <f t="shared" ca="1" si="8"/>
        <v>-607</v>
      </c>
      <c r="H163" s="94">
        <f>E163*5%</f>
        <v>180000</v>
      </c>
      <c r="I163" s="93">
        <v>43985</v>
      </c>
      <c r="J163" s="93">
        <v>44440</v>
      </c>
      <c r="K163" s="72">
        <f t="shared" ca="1" si="22"/>
        <v>-517</v>
      </c>
      <c r="L163" s="73" t="s">
        <v>15</v>
      </c>
      <c r="M163" s="95" t="s">
        <v>127</v>
      </c>
      <c r="N163" s="96">
        <v>910</v>
      </c>
      <c r="O163" s="117">
        <v>43929</v>
      </c>
      <c r="P163" s="117"/>
      <c r="Q163" s="97"/>
    </row>
    <row r="164" spans="1:17" ht="15.75" customHeight="1" x14ac:dyDescent="0.25">
      <c r="A164" s="260"/>
      <c r="B164" s="264"/>
      <c r="C164" s="251"/>
      <c r="D164" s="74" t="s">
        <v>35</v>
      </c>
      <c r="E164" s="71">
        <f>(141892.18+175890)*12</f>
        <v>3813386.16</v>
      </c>
      <c r="F164" s="79">
        <v>44350</v>
      </c>
      <c r="G164" s="76">
        <f t="shared" ca="1" si="8"/>
        <v>-607</v>
      </c>
      <c r="H164" s="77">
        <f>(E164*5%)-H163</f>
        <v>10669.308000000019</v>
      </c>
      <c r="I164" s="79">
        <v>44350</v>
      </c>
      <c r="J164" s="79">
        <v>44440</v>
      </c>
      <c r="K164" s="76">
        <f t="shared" ca="1" si="22"/>
        <v>-517</v>
      </c>
      <c r="L164" s="74" t="s">
        <v>15</v>
      </c>
      <c r="M164" s="80" t="s">
        <v>127</v>
      </c>
      <c r="N164" s="81">
        <v>160</v>
      </c>
      <c r="O164" s="78">
        <v>44349</v>
      </c>
      <c r="P164" s="78">
        <v>44349</v>
      </c>
      <c r="Q164" s="82"/>
    </row>
    <row r="165" spans="1:17" ht="15.75" customHeight="1" x14ac:dyDescent="0.25">
      <c r="A165" s="260"/>
      <c r="B165" s="264"/>
      <c r="C165" s="251"/>
      <c r="D165" s="74" t="s">
        <v>17</v>
      </c>
      <c r="E165" s="71">
        <v>3795704.15</v>
      </c>
      <c r="F165" s="79">
        <v>44715</v>
      </c>
      <c r="G165" s="76">
        <f t="shared" ca="1" si="8"/>
        <v>-242</v>
      </c>
      <c r="H165" s="77">
        <f>E165*5%</f>
        <v>189785.20750000002</v>
      </c>
      <c r="I165" s="79">
        <v>44350</v>
      </c>
      <c r="J165" s="79">
        <v>44805</v>
      </c>
      <c r="K165" s="76">
        <f t="shared" ca="1" si="22"/>
        <v>-152</v>
      </c>
      <c r="L165" s="74" t="s">
        <v>15</v>
      </c>
      <c r="M165" s="80" t="s">
        <v>127</v>
      </c>
      <c r="N165" s="81">
        <v>744</v>
      </c>
      <c r="O165" s="78">
        <v>44350</v>
      </c>
      <c r="P165" s="78">
        <v>44350</v>
      </c>
      <c r="Q165" s="82"/>
    </row>
    <row r="166" spans="1:17" ht="15.75" customHeight="1" x14ac:dyDescent="0.25">
      <c r="A166" s="260"/>
      <c r="B166" s="264"/>
      <c r="C166" s="251"/>
      <c r="D166" s="74" t="s">
        <v>462</v>
      </c>
      <c r="E166" s="71">
        <v>3886901.52</v>
      </c>
      <c r="F166" s="79">
        <v>44715</v>
      </c>
      <c r="G166" s="76">
        <f t="shared" ca="1" si="8"/>
        <v>-242</v>
      </c>
      <c r="H166" s="77">
        <f>148018.46*5%</f>
        <v>7400.9229999999998</v>
      </c>
      <c r="I166" s="79"/>
      <c r="J166" s="79"/>
      <c r="K166" s="76"/>
      <c r="L166" s="74"/>
      <c r="M166" s="80"/>
      <c r="N166" s="81"/>
      <c r="O166" s="78"/>
      <c r="P166" s="78"/>
      <c r="Q166" s="82" t="s">
        <v>435</v>
      </c>
    </row>
    <row r="167" spans="1:17" ht="15.75" customHeight="1" thickBot="1" x14ac:dyDescent="0.3">
      <c r="A167" s="257"/>
      <c r="B167" s="265"/>
      <c r="C167" s="252"/>
      <c r="D167" s="83" t="s">
        <v>33</v>
      </c>
      <c r="E167" s="84">
        <v>3886901.52</v>
      </c>
      <c r="F167" s="85">
        <v>45080</v>
      </c>
      <c r="G167" s="86">
        <f t="shared" ca="1" si="8"/>
        <v>123</v>
      </c>
      <c r="H167" s="87">
        <f>E167*5%</f>
        <v>194345.076</v>
      </c>
      <c r="I167" s="85">
        <v>44715</v>
      </c>
      <c r="J167" s="85">
        <v>45170</v>
      </c>
      <c r="K167" s="86">
        <f t="shared" ca="1" si="22"/>
        <v>213</v>
      </c>
      <c r="L167" s="83" t="s">
        <v>15</v>
      </c>
      <c r="M167" s="89" t="s">
        <v>127</v>
      </c>
      <c r="N167" s="90">
        <v>760.33</v>
      </c>
      <c r="O167" s="88">
        <v>44734</v>
      </c>
      <c r="P167" s="88">
        <v>44734</v>
      </c>
      <c r="Q167" s="91" t="s">
        <v>378</v>
      </c>
    </row>
    <row r="168" spans="1:17" x14ac:dyDescent="0.25">
      <c r="A168" s="256">
        <v>8270</v>
      </c>
      <c r="B168" s="263" t="s">
        <v>66</v>
      </c>
      <c r="C168" s="250" t="s">
        <v>67</v>
      </c>
      <c r="D168" s="73"/>
      <c r="E168" s="92">
        <v>5980000</v>
      </c>
      <c r="F168" s="93">
        <v>44716</v>
      </c>
      <c r="G168" s="72">
        <f t="shared" ca="1" si="8"/>
        <v>-241</v>
      </c>
      <c r="H168" s="94">
        <f>E168*5%</f>
        <v>299000</v>
      </c>
      <c r="I168" s="93">
        <v>43986</v>
      </c>
      <c r="J168" s="93">
        <v>44806</v>
      </c>
      <c r="K168" s="72">
        <f t="shared" ca="1" si="22"/>
        <v>-151</v>
      </c>
      <c r="L168" s="73" t="s">
        <v>15</v>
      </c>
      <c r="M168" s="95" t="s">
        <v>164</v>
      </c>
      <c r="N168" s="96">
        <v>2452</v>
      </c>
      <c r="O168" s="117">
        <v>43987</v>
      </c>
      <c r="P168" s="117">
        <v>43987</v>
      </c>
      <c r="Q168" s="97"/>
    </row>
    <row r="169" spans="1:17" ht="27" x14ac:dyDescent="0.25">
      <c r="A169" s="260"/>
      <c r="B169" s="264"/>
      <c r="C169" s="251"/>
      <c r="D169" s="74" t="s">
        <v>318</v>
      </c>
      <c r="E169" s="71">
        <v>6537132.3899999997</v>
      </c>
      <c r="F169" s="79">
        <v>44716</v>
      </c>
      <c r="G169" s="76">
        <f t="shared" ca="1" si="8"/>
        <v>-241</v>
      </c>
      <c r="H169" s="77">
        <f>(E169*0.05)-H168</f>
        <v>27856.61950000003</v>
      </c>
      <c r="I169" s="79">
        <v>43986</v>
      </c>
      <c r="J169" s="79">
        <v>44806</v>
      </c>
      <c r="K169" s="76">
        <f t="shared" ca="1" si="22"/>
        <v>-151</v>
      </c>
      <c r="L169" s="74" t="s">
        <v>15</v>
      </c>
      <c r="M169" s="80" t="s">
        <v>297</v>
      </c>
      <c r="N169" s="81">
        <v>438.07</v>
      </c>
      <c r="O169" s="78">
        <v>44181</v>
      </c>
      <c r="P169" s="78">
        <v>44181</v>
      </c>
      <c r="Q169" s="82" t="s">
        <v>604</v>
      </c>
    </row>
    <row r="170" spans="1:17" ht="15.75" customHeight="1" x14ac:dyDescent="0.25">
      <c r="A170" s="260"/>
      <c r="B170" s="264"/>
      <c r="C170" s="251"/>
      <c r="D170" s="74" t="s">
        <v>405</v>
      </c>
      <c r="E170" s="71">
        <v>6692056.6900000004</v>
      </c>
      <c r="F170" s="79">
        <v>44716</v>
      </c>
      <c r="G170" s="76">
        <f t="shared" ca="1" si="8"/>
        <v>-241</v>
      </c>
      <c r="H170" s="77">
        <f>(E170*5%)-(H169+H168)</f>
        <v>7746.2150000000256</v>
      </c>
      <c r="I170" s="79">
        <v>44136</v>
      </c>
      <c r="J170" s="79">
        <v>44806</v>
      </c>
      <c r="K170" s="76">
        <f t="shared" ca="1" si="22"/>
        <v>-151</v>
      </c>
      <c r="L170" s="74" t="s">
        <v>15</v>
      </c>
      <c r="M170" s="80" t="s">
        <v>424</v>
      </c>
      <c r="N170" s="81">
        <v>160</v>
      </c>
      <c r="O170" s="78">
        <v>44434</v>
      </c>
      <c r="P170" s="78">
        <v>44434</v>
      </c>
      <c r="Q170" s="82" t="s">
        <v>425</v>
      </c>
    </row>
    <row r="171" spans="1:17" ht="15" customHeight="1" x14ac:dyDescent="0.25">
      <c r="A171" s="260"/>
      <c r="B171" s="264"/>
      <c r="C171" s="251"/>
      <c r="D171" s="74" t="s">
        <v>544</v>
      </c>
      <c r="E171" s="71">
        <v>6795812.7199999997</v>
      </c>
      <c r="F171" s="79">
        <v>44716</v>
      </c>
      <c r="G171" s="76">
        <f t="shared" ca="1" si="8"/>
        <v>-241</v>
      </c>
      <c r="H171" s="77">
        <f>(E171*5%)-SUM(H168:H170)</f>
        <v>5187.8014999999432</v>
      </c>
      <c r="I171" s="79">
        <v>44596</v>
      </c>
      <c r="J171" s="79">
        <v>44806</v>
      </c>
      <c r="K171" s="76">
        <f t="shared" ca="1" si="22"/>
        <v>-151</v>
      </c>
      <c r="L171" s="74" t="s">
        <v>15</v>
      </c>
      <c r="M171" s="80" t="s">
        <v>551</v>
      </c>
      <c r="N171" s="81">
        <v>160</v>
      </c>
      <c r="O171" s="78">
        <v>44623</v>
      </c>
      <c r="P171" s="78">
        <v>44623</v>
      </c>
      <c r="Q171" s="162" t="s">
        <v>552</v>
      </c>
    </row>
    <row r="172" spans="1:17" ht="15.75" customHeight="1" x14ac:dyDescent="0.25">
      <c r="A172" s="260"/>
      <c r="B172" s="264"/>
      <c r="C172" s="251"/>
      <c r="D172" s="74" t="s">
        <v>550</v>
      </c>
      <c r="E172" s="71">
        <v>6894153.4299999997</v>
      </c>
      <c r="F172" s="79">
        <v>44716</v>
      </c>
      <c r="G172" s="76">
        <f t="shared" ca="1" si="8"/>
        <v>-241</v>
      </c>
      <c r="H172" s="77">
        <f>(E172-E171)*5%</f>
        <v>4917.0354999999981</v>
      </c>
      <c r="I172" s="79">
        <v>44616</v>
      </c>
      <c r="J172" s="79">
        <v>44806</v>
      </c>
      <c r="K172" s="76">
        <f t="shared" ca="1" si="22"/>
        <v>-151</v>
      </c>
      <c r="L172" s="74" t="s">
        <v>15</v>
      </c>
      <c r="M172" s="80" t="s">
        <v>555</v>
      </c>
      <c r="N172" s="81">
        <v>160</v>
      </c>
      <c r="O172" s="78">
        <v>44628</v>
      </c>
      <c r="P172" s="78">
        <v>44628</v>
      </c>
      <c r="Q172" s="162" t="s">
        <v>435</v>
      </c>
    </row>
    <row r="173" spans="1:17" ht="15.75" customHeight="1" x14ac:dyDescent="0.25">
      <c r="A173" s="260"/>
      <c r="B173" s="264"/>
      <c r="C173" s="251"/>
      <c r="D173" s="74" t="s">
        <v>437</v>
      </c>
      <c r="E173" s="71">
        <v>7237317.0099999998</v>
      </c>
      <c r="F173" s="79">
        <v>45447</v>
      </c>
      <c r="G173" s="76">
        <f t="shared" ca="1" si="8"/>
        <v>490</v>
      </c>
      <c r="H173" s="77">
        <f>E173*5%</f>
        <v>361865.8505</v>
      </c>
      <c r="I173" s="79">
        <v>44716</v>
      </c>
      <c r="J173" s="79">
        <v>45537</v>
      </c>
      <c r="K173" s="76">
        <f t="shared" ca="1" si="22"/>
        <v>580</v>
      </c>
      <c r="L173" s="74" t="s">
        <v>15</v>
      </c>
      <c r="M173" s="80" t="s">
        <v>613</v>
      </c>
      <c r="N173" s="81">
        <v>2560</v>
      </c>
      <c r="O173" s="78">
        <v>44720</v>
      </c>
      <c r="P173" s="78">
        <v>44720</v>
      </c>
      <c r="Q173" s="162" t="s">
        <v>210</v>
      </c>
    </row>
    <row r="174" spans="1:17" ht="15.75" customHeight="1" thickBot="1" x14ac:dyDescent="0.3">
      <c r="A174" s="257"/>
      <c r="B174" s="265"/>
      <c r="C174" s="252"/>
      <c r="D174" s="83" t="s">
        <v>706</v>
      </c>
      <c r="E174" s="84">
        <v>7444876.9900000002</v>
      </c>
      <c r="F174" s="85">
        <v>45447</v>
      </c>
      <c r="G174" s="86">
        <f t="shared" ca="1" si="8"/>
        <v>490</v>
      </c>
      <c r="H174" s="87">
        <f>E174*5%-H173</f>
        <v>10377.999000000011</v>
      </c>
      <c r="I174" s="85">
        <v>44876</v>
      </c>
      <c r="J174" s="85">
        <v>45537</v>
      </c>
      <c r="K174" s="86">
        <f t="shared" ca="1" si="22"/>
        <v>580</v>
      </c>
      <c r="L174" s="83" t="s">
        <v>15</v>
      </c>
      <c r="M174" s="89" t="s">
        <v>613</v>
      </c>
      <c r="N174" s="90">
        <v>180</v>
      </c>
      <c r="O174" s="88">
        <v>44888</v>
      </c>
      <c r="P174" s="88">
        <v>44888</v>
      </c>
      <c r="Q174" s="161" t="s">
        <v>713</v>
      </c>
    </row>
    <row r="175" spans="1:17" x14ac:dyDescent="0.25">
      <c r="A175" s="256">
        <v>8272</v>
      </c>
      <c r="B175" s="263" t="s">
        <v>110</v>
      </c>
      <c r="C175" s="250" t="s">
        <v>224</v>
      </c>
      <c r="D175" s="73"/>
      <c r="E175" s="92">
        <v>4261980.3099999996</v>
      </c>
      <c r="F175" s="93">
        <v>44448</v>
      </c>
      <c r="G175" s="72">
        <f ca="1">F175-$A$1</f>
        <v>-509</v>
      </c>
      <c r="H175" s="94">
        <f>E175*0.05</f>
        <v>213099.01549999998</v>
      </c>
      <c r="I175" s="93">
        <v>44083</v>
      </c>
      <c r="J175" s="93">
        <v>44538</v>
      </c>
      <c r="K175" s="72">
        <f t="shared" ca="1" si="22"/>
        <v>-419</v>
      </c>
      <c r="L175" s="73" t="s">
        <v>15</v>
      </c>
      <c r="M175" s="95" t="s">
        <v>111</v>
      </c>
      <c r="N175" s="96">
        <v>782</v>
      </c>
      <c r="O175" s="117">
        <v>44097</v>
      </c>
      <c r="P175" s="117">
        <v>44097</v>
      </c>
      <c r="Q175" s="97"/>
    </row>
    <row r="176" spans="1:17" ht="15.75" customHeight="1" x14ac:dyDescent="0.25">
      <c r="A176" s="260"/>
      <c r="B176" s="264"/>
      <c r="C176" s="251"/>
      <c r="D176" s="74" t="s">
        <v>437</v>
      </c>
      <c r="E176" s="71">
        <v>4344705.16</v>
      </c>
      <c r="F176" s="79">
        <v>44814</v>
      </c>
      <c r="G176" s="76">
        <f ca="1">F176-$A$1</f>
        <v>-143</v>
      </c>
      <c r="H176" s="77">
        <f>E176*5%</f>
        <v>217235.25800000003</v>
      </c>
      <c r="I176" s="79">
        <v>44449</v>
      </c>
      <c r="J176" s="79">
        <v>44904</v>
      </c>
      <c r="K176" s="76">
        <f t="shared" ca="1" si="22"/>
        <v>-53</v>
      </c>
      <c r="L176" s="74" t="s">
        <v>15</v>
      </c>
      <c r="M176" s="80" t="s">
        <v>111</v>
      </c>
      <c r="N176" s="81">
        <v>769</v>
      </c>
      <c r="O176" s="78">
        <v>44445</v>
      </c>
      <c r="P176" s="78">
        <v>44445</v>
      </c>
      <c r="Q176" s="82" t="s">
        <v>438</v>
      </c>
    </row>
    <row r="177" spans="1:17" x14ac:dyDescent="0.25">
      <c r="A177" s="260"/>
      <c r="B177" s="264"/>
      <c r="C177" s="251"/>
      <c r="D177" s="74" t="s">
        <v>274</v>
      </c>
      <c r="E177" s="71">
        <v>4434981.97</v>
      </c>
      <c r="F177" s="79">
        <v>44814</v>
      </c>
      <c r="G177" s="76">
        <f ca="1">F177-$A$1</f>
        <v>-143</v>
      </c>
      <c r="H177" s="77">
        <f>E177*5%-H176</f>
        <v>4513.840499999962</v>
      </c>
      <c r="I177" s="79">
        <v>44588</v>
      </c>
      <c r="J177" s="79">
        <v>44904</v>
      </c>
      <c r="K177" s="76">
        <f t="shared" ca="1" si="22"/>
        <v>-53</v>
      </c>
      <c r="L177" s="74" t="s">
        <v>15</v>
      </c>
      <c r="M177" s="80" t="s">
        <v>111</v>
      </c>
      <c r="N177" s="81">
        <v>160</v>
      </c>
      <c r="O177" s="78">
        <v>44601</v>
      </c>
      <c r="P177" s="78">
        <v>44601</v>
      </c>
      <c r="Q177" s="82" t="s">
        <v>658</v>
      </c>
    </row>
    <row r="178" spans="1:17" ht="15.75" customHeight="1" thickBot="1" x14ac:dyDescent="0.3">
      <c r="A178" s="257"/>
      <c r="B178" s="265"/>
      <c r="C178" s="252"/>
      <c r="D178" s="83" t="s">
        <v>302</v>
      </c>
      <c r="E178" s="84">
        <v>4715624.28</v>
      </c>
      <c r="F178" s="85">
        <v>45179</v>
      </c>
      <c r="G178" s="86">
        <f ca="1">F178-$A$1</f>
        <v>222</v>
      </c>
      <c r="H178" s="87">
        <f>E178*5%</f>
        <v>235781.21400000004</v>
      </c>
      <c r="I178" s="85">
        <v>44814</v>
      </c>
      <c r="J178" s="85">
        <v>45269</v>
      </c>
      <c r="K178" s="86">
        <f t="shared" ca="1" si="22"/>
        <v>312</v>
      </c>
      <c r="L178" s="83" t="s">
        <v>15</v>
      </c>
      <c r="M178" s="89" t="s">
        <v>111</v>
      </c>
      <c r="N178" s="90">
        <v>924</v>
      </c>
      <c r="O178" s="88">
        <v>44832</v>
      </c>
      <c r="P178" s="88">
        <v>44832</v>
      </c>
      <c r="Q178" s="91" t="s">
        <v>670</v>
      </c>
    </row>
    <row r="179" spans="1:17" ht="14.25" customHeight="1" x14ac:dyDescent="0.25">
      <c r="A179" s="256">
        <v>8273</v>
      </c>
      <c r="B179" s="263" t="s">
        <v>69</v>
      </c>
      <c r="C179" s="250" t="s">
        <v>199</v>
      </c>
      <c r="D179" s="73"/>
      <c r="E179" s="92">
        <v>7664414.1600000001</v>
      </c>
      <c r="F179" s="93">
        <v>44934</v>
      </c>
      <c r="G179" s="72">
        <f t="shared" ref="G179:G182" ca="1" si="28">F179-$A$1</f>
        <v>-23</v>
      </c>
      <c r="H179" s="94">
        <f>E179*5%</f>
        <v>383220.70800000004</v>
      </c>
      <c r="I179" s="93">
        <v>44205</v>
      </c>
      <c r="J179" s="93">
        <v>44964</v>
      </c>
      <c r="K179" s="72">
        <f t="shared" ca="1" si="22"/>
        <v>7</v>
      </c>
      <c r="L179" s="73" t="s">
        <v>15</v>
      </c>
      <c r="M179" s="95" t="s">
        <v>200</v>
      </c>
      <c r="N179" s="96">
        <v>2506</v>
      </c>
      <c r="O179" s="117">
        <v>44063</v>
      </c>
      <c r="P179" s="117">
        <v>44063</v>
      </c>
      <c r="Q179" s="97"/>
    </row>
    <row r="180" spans="1:17" ht="14.25" customHeight="1" x14ac:dyDescent="0.25">
      <c r="A180" s="260"/>
      <c r="B180" s="264"/>
      <c r="C180" s="251"/>
      <c r="D180" s="74" t="s">
        <v>437</v>
      </c>
      <c r="E180" s="71">
        <v>7664414.1600000001</v>
      </c>
      <c r="F180" s="79">
        <v>45665</v>
      </c>
      <c r="G180" s="76">
        <f t="shared" ca="1" si="28"/>
        <v>708</v>
      </c>
      <c r="H180" s="77">
        <f>E180*5%</f>
        <v>383220.70800000004</v>
      </c>
      <c r="I180" s="79">
        <v>44205</v>
      </c>
      <c r="J180" s="79">
        <v>45695</v>
      </c>
      <c r="K180" s="76">
        <f t="shared" ca="1" si="22"/>
        <v>738</v>
      </c>
      <c r="L180" s="74" t="s">
        <v>15</v>
      </c>
      <c r="M180" s="80" t="s">
        <v>200</v>
      </c>
      <c r="N180" s="81">
        <v>2508</v>
      </c>
      <c r="O180" s="78">
        <v>44886</v>
      </c>
      <c r="P180" s="78">
        <v>44886</v>
      </c>
      <c r="Q180" s="82" t="s">
        <v>493</v>
      </c>
    </row>
    <row r="181" spans="1:17" ht="14.25" customHeight="1" thickBot="1" x14ac:dyDescent="0.3">
      <c r="A181" s="257"/>
      <c r="B181" s="265"/>
      <c r="C181" s="252"/>
      <c r="D181" s="83" t="s">
        <v>274</v>
      </c>
      <c r="E181" s="84">
        <f>16199627.53/2</f>
        <v>8099813.7649999997</v>
      </c>
      <c r="F181" s="85">
        <v>45665</v>
      </c>
      <c r="G181" s="86">
        <f t="shared" ca="1" si="28"/>
        <v>708</v>
      </c>
      <c r="H181" s="87">
        <v>43539.96</v>
      </c>
      <c r="I181" s="85">
        <v>44205</v>
      </c>
      <c r="J181" s="85">
        <v>45695</v>
      </c>
      <c r="K181" s="86">
        <f t="shared" ca="1" si="22"/>
        <v>738</v>
      </c>
      <c r="L181" s="83" t="s">
        <v>15</v>
      </c>
      <c r="M181" s="89" t="s">
        <v>200</v>
      </c>
      <c r="N181" s="90">
        <v>559</v>
      </c>
      <c r="O181" s="88">
        <v>44914</v>
      </c>
      <c r="P181" s="88">
        <v>44914</v>
      </c>
      <c r="Q181" s="91" t="s">
        <v>721</v>
      </c>
    </row>
    <row r="182" spans="1:17" ht="14.25" customHeight="1" x14ac:dyDescent="0.25">
      <c r="A182" s="256">
        <v>8274</v>
      </c>
      <c r="B182" s="270" t="s">
        <v>268</v>
      </c>
      <c r="C182" s="250" t="s">
        <v>285</v>
      </c>
      <c r="D182" s="73"/>
      <c r="E182" s="92">
        <v>79951000</v>
      </c>
      <c r="F182" s="93">
        <v>44886</v>
      </c>
      <c r="G182" s="72">
        <f t="shared" ca="1" si="28"/>
        <v>-71</v>
      </c>
      <c r="H182" s="94">
        <f>E182*5%</f>
        <v>3997550</v>
      </c>
      <c r="I182" s="93">
        <v>44157</v>
      </c>
      <c r="J182" s="93">
        <v>44886</v>
      </c>
      <c r="K182" s="72">
        <f t="shared" ca="1" si="22"/>
        <v>-71</v>
      </c>
      <c r="L182" s="73" t="s">
        <v>277</v>
      </c>
      <c r="M182" s="95" t="s">
        <v>278</v>
      </c>
      <c r="N182" s="96">
        <v>30339.759999999998</v>
      </c>
      <c r="O182" s="117">
        <v>44153</v>
      </c>
      <c r="P182" s="117">
        <v>44153</v>
      </c>
      <c r="Q182" s="116"/>
    </row>
    <row r="183" spans="1:17" ht="15" customHeight="1" x14ac:dyDescent="0.25">
      <c r="A183" s="260"/>
      <c r="B183" s="271"/>
      <c r="C183" s="251"/>
      <c r="D183" s="74" t="s">
        <v>35</v>
      </c>
      <c r="E183" s="71">
        <v>79951000</v>
      </c>
      <c r="F183" s="79">
        <v>44886</v>
      </c>
      <c r="G183" s="76">
        <f t="shared" ref="G183:G190" ca="1" si="29">F183-$A$1</f>
        <v>-71</v>
      </c>
      <c r="H183" s="77"/>
      <c r="I183" s="79"/>
      <c r="J183" s="79"/>
      <c r="K183" s="76"/>
      <c r="L183" s="74"/>
      <c r="M183" s="80"/>
      <c r="N183" s="81"/>
      <c r="O183" s="78"/>
      <c r="P183" s="78"/>
      <c r="Q183" s="82" t="s">
        <v>545</v>
      </c>
    </row>
    <row r="184" spans="1:17" ht="15.75" customHeight="1" x14ac:dyDescent="0.25">
      <c r="A184" s="260"/>
      <c r="B184" s="271"/>
      <c r="C184" s="251"/>
      <c r="D184" s="74" t="s">
        <v>17</v>
      </c>
      <c r="E184" s="71">
        <v>79951000</v>
      </c>
      <c r="F184" s="79">
        <v>44886</v>
      </c>
      <c r="G184" s="76">
        <f t="shared" ref="G184:G187" ca="1" si="30">F184-$A$1</f>
        <v>-71</v>
      </c>
      <c r="H184" s="77"/>
      <c r="I184" s="79"/>
      <c r="J184" s="79"/>
      <c r="K184" s="76"/>
      <c r="L184" s="74"/>
      <c r="M184" s="80"/>
      <c r="N184" s="81"/>
      <c r="O184" s="78"/>
      <c r="P184" s="78"/>
      <c r="Q184" s="82" t="s">
        <v>545</v>
      </c>
    </row>
    <row r="185" spans="1:17" ht="15.75" customHeight="1" x14ac:dyDescent="0.25">
      <c r="A185" s="269"/>
      <c r="B185" s="298"/>
      <c r="C185" s="253"/>
      <c r="D185" s="168" t="s">
        <v>20</v>
      </c>
      <c r="E185" s="71">
        <v>79951000</v>
      </c>
      <c r="F185" s="79">
        <v>44886</v>
      </c>
      <c r="G185" s="76">
        <f t="shared" ref="G185" ca="1" si="31">F185-$A$1</f>
        <v>-71</v>
      </c>
      <c r="H185" s="174"/>
      <c r="I185" s="172"/>
      <c r="J185" s="172"/>
      <c r="K185" s="173"/>
      <c r="L185" s="168"/>
      <c r="M185" s="170"/>
      <c r="N185" s="169"/>
      <c r="O185" s="167"/>
      <c r="P185" s="167"/>
      <c r="Q185" s="82" t="s">
        <v>545</v>
      </c>
    </row>
    <row r="186" spans="1:17" ht="15.75" customHeight="1" x14ac:dyDescent="0.25">
      <c r="A186" s="269"/>
      <c r="B186" s="298"/>
      <c r="C186" s="253"/>
      <c r="D186" s="168" t="s">
        <v>48</v>
      </c>
      <c r="E186" s="71">
        <v>79951000</v>
      </c>
      <c r="F186" s="79">
        <v>44886</v>
      </c>
      <c r="G186" s="76">
        <f t="shared" ref="G186" ca="1" si="32">F186-$A$1</f>
        <v>-71</v>
      </c>
      <c r="H186" s="174"/>
      <c r="I186" s="172"/>
      <c r="J186" s="172"/>
      <c r="K186" s="173"/>
      <c r="L186" s="168"/>
      <c r="M186" s="170"/>
      <c r="N186" s="169"/>
      <c r="O186" s="167"/>
      <c r="P186" s="167"/>
      <c r="Q186" s="171"/>
    </row>
    <row r="187" spans="1:17" ht="15.75" customHeight="1" thickBot="1" x14ac:dyDescent="0.3">
      <c r="A187" s="257"/>
      <c r="B187" s="272"/>
      <c r="C187" s="252"/>
      <c r="D187" s="83" t="s">
        <v>32</v>
      </c>
      <c r="E187" s="84">
        <f>3237277.54*24</f>
        <v>77694660.960000008</v>
      </c>
      <c r="F187" s="85">
        <v>45617</v>
      </c>
      <c r="G187" s="86">
        <f t="shared" ca="1" si="30"/>
        <v>660</v>
      </c>
      <c r="H187" s="87">
        <f>E187*5%</f>
        <v>3884733.0480000004</v>
      </c>
      <c r="I187" s="85">
        <v>44886</v>
      </c>
      <c r="J187" s="85">
        <v>45617</v>
      </c>
      <c r="K187" s="86">
        <f t="shared" ref="K187" ca="1" si="33">J187-$A$1</f>
        <v>660</v>
      </c>
      <c r="L187" s="83" t="s">
        <v>277</v>
      </c>
      <c r="M187" s="89" t="s">
        <v>278</v>
      </c>
      <c r="N187" s="90">
        <v>38900.550000000003</v>
      </c>
      <c r="O187" s="88">
        <v>44848</v>
      </c>
      <c r="P187" s="88">
        <v>44848</v>
      </c>
      <c r="Q187" s="91" t="s">
        <v>378</v>
      </c>
    </row>
    <row r="188" spans="1:17" x14ac:dyDescent="0.25">
      <c r="A188" s="256">
        <v>8277</v>
      </c>
      <c r="B188" s="270" t="s">
        <v>352</v>
      </c>
      <c r="C188" s="254" t="s">
        <v>353</v>
      </c>
      <c r="D188" s="250"/>
      <c r="E188" s="297">
        <v>8429692.8200000003</v>
      </c>
      <c r="F188" s="296">
        <v>45231</v>
      </c>
      <c r="G188" s="250">
        <f t="shared" ca="1" si="29"/>
        <v>274</v>
      </c>
      <c r="H188" s="263">
        <f>E188*5%</f>
        <v>421484.64100000006</v>
      </c>
      <c r="I188" s="296">
        <v>44317</v>
      </c>
      <c r="J188" s="296">
        <v>45321</v>
      </c>
      <c r="K188" s="294">
        <f ca="1">J188-$A$1</f>
        <v>364</v>
      </c>
      <c r="L188" s="73" t="s">
        <v>15</v>
      </c>
      <c r="M188" s="95" t="s">
        <v>354</v>
      </c>
      <c r="N188" s="96">
        <v>3644</v>
      </c>
      <c r="O188" s="117">
        <v>44320</v>
      </c>
      <c r="P188" s="117">
        <v>44320</v>
      </c>
      <c r="Q188" s="116"/>
    </row>
    <row r="189" spans="1:17" ht="15" customHeight="1" x14ac:dyDescent="0.25">
      <c r="A189" s="260"/>
      <c r="B189" s="271"/>
      <c r="C189" s="262"/>
      <c r="D189" s="251"/>
      <c r="E189" s="293"/>
      <c r="F189" s="292"/>
      <c r="G189" s="251"/>
      <c r="H189" s="264"/>
      <c r="I189" s="292"/>
      <c r="J189" s="292"/>
      <c r="K189" s="295"/>
      <c r="L189" s="74" t="s">
        <v>15</v>
      </c>
      <c r="M189" s="80" t="s">
        <v>354</v>
      </c>
      <c r="N189" s="81"/>
      <c r="O189" s="78">
        <v>44329</v>
      </c>
      <c r="P189" s="78">
        <v>44329</v>
      </c>
      <c r="Q189" s="139" t="s">
        <v>364</v>
      </c>
    </row>
    <row r="190" spans="1:17" ht="15" customHeight="1" x14ac:dyDescent="0.25">
      <c r="A190" s="260"/>
      <c r="B190" s="271"/>
      <c r="C190" s="262"/>
      <c r="D190" s="74" t="s">
        <v>35</v>
      </c>
      <c r="E190" s="164">
        <v>8112129.4800000004</v>
      </c>
      <c r="F190" s="78">
        <v>45231</v>
      </c>
      <c r="G190" s="74">
        <f t="shared" ca="1" si="29"/>
        <v>274</v>
      </c>
      <c r="H190" s="81">
        <f>E190*5%</f>
        <v>405606.47400000005</v>
      </c>
      <c r="I190" s="78">
        <v>44369</v>
      </c>
      <c r="J190" s="78">
        <v>45321</v>
      </c>
      <c r="K190" s="74">
        <f ca="1">J190-$A$1</f>
        <v>364</v>
      </c>
      <c r="L190" s="74" t="s">
        <v>15</v>
      </c>
      <c r="M190" s="80" t="s">
        <v>354</v>
      </c>
      <c r="N190" s="81"/>
      <c r="O190" s="78">
        <v>44389</v>
      </c>
      <c r="P190" s="78">
        <v>44389</v>
      </c>
      <c r="Q190" s="139" t="s">
        <v>400</v>
      </c>
    </row>
    <row r="191" spans="1:17" ht="18" x14ac:dyDescent="0.25">
      <c r="A191" s="260"/>
      <c r="B191" s="271"/>
      <c r="C191" s="262"/>
      <c r="D191" s="74" t="s">
        <v>17</v>
      </c>
      <c r="E191" s="164">
        <v>8036312.9699999997</v>
      </c>
      <c r="F191" s="78">
        <v>45231</v>
      </c>
      <c r="G191" s="74">
        <f t="shared" ref="G191:G195" ca="1" si="34">F191-$A$1</f>
        <v>274</v>
      </c>
      <c r="H191" s="81">
        <f>E191*5%</f>
        <v>401815.64850000001</v>
      </c>
      <c r="I191" s="78">
        <v>44385</v>
      </c>
      <c r="J191" s="78">
        <v>45321</v>
      </c>
      <c r="K191" s="74">
        <f ca="1">J191-$A$1</f>
        <v>364</v>
      </c>
      <c r="L191" s="74" t="s">
        <v>15</v>
      </c>
      <c r="M191" s="80" t="s">
        <v>354</v>
      </c>
      <c r="N191" s="81">
        <v>-30.55</v>
      </c>
      <c r="O191" s="78">
        <v>44398</v>
      </c>
      <c r="P191" s="78">
        <v>44398</v>
      </c>
      <c r="Q191" s="139" t="s">
        <v>400</v>
      </c>
    </row>
    <row r="192" spans="1:17" ht="15.75" customHeight="1" x14ac:dyDescent="0.25">
      <c r="A192" s="260"/>
      <c r="B192" s="271"/>
      <c r="C192" s="262"/>
      <c r="D192" s="74" t="s">
        <v>557</v>
      </c>
      <c r="E192" s="164">
        <v>8258614.5800000001</v>
      </c>
      <c r="F192" s="78">
        <v>45231</v>
      </c>
      <c r="G192" s="74">
        <f t="shared" ca="1" si="34"/>
        <v>274</v>
      </c>
      <c r="H192" s="81">
        <f>E192*5%-H191</f>
        <v>11115.08050000004</v>
      </c>
      <c r="I192" s="78">
        <v>44562</v>
      </c>
      <c r="J192" s="78">
        <v>45321</v>
      </c>
      <c r="K192" s="74">
        <f ca="1">J192-$A$1</f>
        <v>364</v>
      </c>
      <c r="L192" s="74" t="s">
        <v>15</v>
      </c>
      <c r="M192" s="80" t="s">
        <v>354</v>
      </c>
      <c r="N192" s="81">
        <v>160</v>
      </c>
      <c r="O192" s="78">
        <v>44595</v>
      </c>
      <c r="P192" s="78">
        <v>44595</v>
      </c>
      <c r="Q192" s="139" t="s">
        <v>610</v>
      </c>
    </row>
    <row r="193" spans="1:17" ht="15" customHeight="1" x14ac:dyDescent="0.25">
      <c r="A193" s="260"/>
      <c r="B193" s="271"/>
      <c r="C193" s="262"/>
      <c r="D193" s="74" t="s">
        <v>33</v>
      </c>
      <c r="E193" s="164">
        <v>8165623.6600000001</v>
      </c>
      <c r="F193" s="78">
        <v>45231</v>
      </c>
      <c r="G193" s="74"/>
      <c r="H193" s="81"/>
      <c r="I193" s="78"/>
      <c r="J193" s="78"/>
      <c r="K193" s="74"/>
      <c r="L193" s="74"/>
      <c r="M193" s="80"/>
      <c r="N193" s="81"/>
      <c r="O193" s="78"/>
      <c r="P193" s="78"/>
      <c r="Q193" s="139" t="s">
        <v>540</v>
      </c>
    </row>
    <row r="194" spans="1:17" ht="15.75" customHeight="1" x14ac:dyDescent="0.25">
      <c r="A194" s="260"/>
      <c r="B194" s="271"/>
      <c r="C194" s="262"/>
      <c r="D194" s="74" t="s">
        <v>20</v>
      </c>
      <c r="E194" s="164">
        <v>8848921.3499999996</v>
      </c>
      <c r="F194" s="78">
        <v>45231</v>
      </c>
      <c r="G194" s="74">
        <f t="shared" ca="1" si="34"/>
        <v>274</v>
      </c>
      <c r="H194" s="81">
        <f>E194*5%</f>
        <v>442446.0675</v>
      </c>
      <c r="I194" s="78">
        <v>44687</v>
      </c>
      <c r="J194" s="78">
        <v>45323</v>
      </c>
      <c r="K194" s="74">
        <f ca="1">J194-$A$1</f>
        <v>366</v>
      </c>
      <c r="L194" s="74" t="s">
        <v>640</v>
      </c>
      <c r="M194" s="80" t="s">
        <v>641</v>
      </c>
      <c r="N194" s="81">
        <v>2929.6</v>
      </c>
      <c r="O194" s="78">
        <v>44761</v>
      </c>
      <c r="P194" s="78"/>
      <c r="Q194" s="139" t="s">
        <v>342</v>
      </c>
    </row>
    <row r="195" spans="1:17" ht="15.75" customHeight="1" x14ac:dyDescent="0.25">
      <c r="A195" s="260"/>
      <c r="B195" s="271"/>
      <c r="C195" s="262"/>
      <c r="D195" s="251" t="s">
        <v>571</v>
      </c>
      <c r="E195" s="293">
        <v>8930581.2300000004</v>
      </c>
      <c r="F195" s="292">
        <v>45231</v>
      </c>
      <c r="G195" s="251">
        <f t="shared" ca="1" si="34"/>
        <v>274</v>
      </c>
      <c r="H195" s="81">
        <f>(E195*5%)-H194</f>
        <v>4082.9940000000643</v>
      </c>
      <c r="I195" s="78">
        <v>44816</v>
      </c>
      <c r="J195" s="78">
        <v>45323</v>
      </c>
      <c r="K195" s="74">
        <f ca="1">J195-$A$1</f>
        <v>366</v>
      </c>
      <c r="L195" s="74" t="s">
        <v>277</v>
      </c>
      <c r="M195" s="80" t="s">
        <v>641</v>
      </c>
      <c r="N195" s="81">
        <v>150</v>
      </c>
      <c r="O195" s="78">
        <v>44816</v>
      </c>
      <c r="P195" s="78"/>
      <c r="Q195" s="139" t="s">
        <v>657</v>
      </c>
    </row>
    <row r="196" spans="1:17" ht="15.75" customHeight="1" x14ac:dyDescent="0.25">
      <c r="A196" s="260"/>
      <c r="B196" s="271"/>
      <c r="C196" s="262"/>
      <c r="D196" s="251"/>
      <c r="E196" s="293"/>
      <c r="F196" s="292"/>
      <c r="G196" s="251"/>
      <c r="H196" s="81">
        <f>E195*5%</f>
        <v>446529.06150000007</v>
      </c>
      <c r="I196" s="78">
        <v>44562</v>
      </c>
      <c r="J196" s="78">
        <v>45321</v>
      </c>
      <c r="K196" s="74">
        <f ca="1">J196-$A$1</f>
        <v>364</v>
      </c>
      <c r="L196" s="74" t="s">
        <v>15</v>
      </c>
      <c r="M196" s="80" t="s">
        <v>354</v>
      </c>
      <c r="N196" s="81">
        <v>220</v>
      </c>
      <c r="O196" s="78">
        <v>44854</v>
      </c>
      <c r="P196" s="78">
        <v>44854</v>
      </c>
      <c r="Q196" s="139" t="s">
        <v>683</v>
      </c>
    </row>
    <row r="197" spans="1:17" ht="15.75" customHeight="1" thickBot="1" x14ac:dyDescent="0.3">
      <c r="A197" s="257"/>
      <c r="B197" s="272"/>
      <c r="C197" s="255"/>
      <c r="D197" s="83" t="s">
        <v>730</v>
      </c>
      <c r="E197" s="163">
        <v>9204880.8160024006</v>
      </c>
      <c r="F197" s="88">
        <v>45231</v>
      </c>
      <c r="G197" s="83"/>
      <c r="H197" s="90">
        <f>E197*5%-H196</f>
        <v>13714.979300119972</v>
      </c>
      <c r="I197" s="88"/>
      <c r="J197" s="88"/>
      <c r="K197" s="83"/>
      <c r="L197" s="83"/>
      <c r="M197" s="89"/>
      <c r="N197" s="90"/>
      <c r="O197" s="88"/>
      <c r="P197" s="88"/>
      <c r="Q197" s="157" t="s">
        <v>688</v>
      </c>
    </row>
    <row r="198" spans="1:17" x14ac:dyDescent="0.25">
      <c r="A198" s="256">
        <v>8279</v>
      </c>
      <c r="B198" s="250" t="s">
        <v>464</v>
      </c>
      <c r="C198" s="254" t="s">
        <v>380</v>
      </c>
      <c r="D198" s="182"/>
      <c r="E198" s="92">
        <v>3465429.06</v>
      </c>
      <c r="F198" s="93">
        <v>44743</v>
      </c>
      <c r="G198" s="72">
        <f t="shared" ref="G198:G244" ca="1" si="35">F198-$A$1</f>
        <v>-214</v>
      </c>
      <c r="H198" s="94">
        <f>E198*5%</f>
        <v>173271.45300000001</v>
      </c>
      <c r="I198" s="93"/>
      <c r="J198" s="93"/>
      <c r="K198" s="72"/>
      <c r="L198" s="182" t="s">
        <v>50</v>
      </c>
      <c r="M198" s="120"/>
      <c r="N198" s="185"/>
      <c r="O198" s="188">
        <v>44392</v>
      </c>
      <c r="P198" s="188">
        <v>44392</v>
      </c>
      <c r="Q198" s="116" t="s">
        <v>397</v>
      </c>
    </row>
    <row r="199" spans="1:17" ht="15.75" customHeight="1" x14ac:dyDescent="0.25">
      <c r="A199" s="260"/>
      <c r="B199" s="251"/>
      <c r="C199" s="262"/>
      <c r="D199" s="183" t="s">
        <v>318</v>
      </c>
      <c r="E199" s="71">
        <v>3566064.3</v>
      </c>
      <c r="F199" s="79">
        <v>44743</v>
      </c>
      <c r="G199" s="76">
        <f t="shared" ca="1" si="35"/>
        <v>-214</v>
      </c>
      <c r="H199" s="77">
        <f>E199*5%-H198</f>
        <v>5031.7619999999879</v>
      </c>
      <c r="I199" s="79"/>
      <c r="J199" s="79"/>
      <c r="K199" s="76"/>
      <c r="L199" s="183" t="s">
        <v>50</v>
      </c>
      <c r="M199" s="124"/>
      <c r="N199" s="186"/>
      <c r="O199" s="189">
        <v>44593</v>
      </c>
      <c r="P199" s="189">
        <v>44593</v>
      </c>
      <c r="Q199" s="139" t="s">
        <v>528</v>
      </c>
    </row>
    <row r="200" spans="1:17" ht="15.75" customHeight="1" x14ac:dyDescent="0.25">
      <c r="A200" s="260"/>
      <c r="B200" s="251"/>
      <c r="C200" s="262"/>
      <c r="D200" s="183" t="s">
        <v>405</v>
      </c>
      <c r="E200" s="71">
        <v>3614145.06</v>
      </c>
      <c r="F200" s="79">
        <v>44743</v>
      </c>
      <c r="G200" s="76">
        <f t="shared" ca="1" si="35"/>
        <v>-214</v>
      </c>
      <c r="H200" s="77">
        <f>(E200*5%)-(H198+H199)</f>
        <v>2404.0380000000296</v>
      </c>
      <c r="I200" s="79"/>
      <c r="J200" s="79"/>
      <c r="K200" s="76"/>
      <c r="L200" s="183"/>
      <c r="M200" s="124"/>
      <c r="N200" s="186"/>
      <c r="O200" s="189"/>
      <c r="P200" s="189"/>
      <c r="Q200" s="139"/>
    </row>
    <row r="201" spans="1:17" ht="15.75" customHeight="1" x14ac:dyDescent="0.25">
      <c r="A201" s="260"/>
      <c r="B201" s="251"/>
      <c r="C201" s="262"/>
      <c r="D201" s="183" t="s">
        <v>437</v>
      </c>
      <c r="E201" s="71">
        <v>3585702.42</v>
      </c>
      <c r="F201" s="79">
        <v>45108</v>
      </c>
      <c r="G201" s="76">
        <f t="shared" ca="1" si="35"/>
        <v>151</v>
      </c>
      <c r="H201" s="77">
        <f>(E201*5%)-179054.24</f>
        <v>230.88100000002305</v>
      </c>
      <c r="I201" s="79"/>
      <c r="J201" s="79"/>
      <c r="K201" s="76"/>
      <c r="L201" s="183" t="s">
        <v>269</v>
      </c>
      <c r="M201" s="124"/>
      <c r="N201" s="186"/>
      <c r="O201" s="189">
        <v>44741</v>
      </c>
      <c r="P201" s="189">
        <v>44741</v>
      </c>
      <c r="Q201" s="139" t="s">
        <v>631</v>
      </c>
    </row>
    <row r="202" spans="1:17" ht="15.75" customHeight="1" thickBot="1" x14ac:dyDescent="0.3">
      <c r="A202" s="257"/>
      <c r="B202" s="252"/>
      <c r="C202" s="255"/>
      <c r="D202" s="184" t="s">
        <v>605</v>
      </c>
      <c r="E202" s="84">
        <v>3748054.98</v>
      </c>
      <c r="F202" s="85">
        <v>45108</v>
      </c>
      <c r="G202" s="86">
        <f t="shared" ca="1" si="35"/>
        <v>151</v>
      </c>
      <c r="H202" s="87">
        <v>6257.93</v>
      </c>
      <c r="I202" s="85"/>
      <c r="J202" s="85"/>
      <c r="K202" s="86"/>
      <c r="L202" s="184" t="s">
        <v>742</v>
      </c>
      <c r="M202" s="121"/>
      <c r="N202" s="187"/>
      <c r="O202" s="88">
        <v>44938</v>
      </c>
      <c r="P202" s="88">
        <v>44938</v>
      </c>
      <c r="Q202" s="157"/>
    </row>
    <row r="203" spans="1:17" ht="14.25" thickBot="1" x14ac:dyDescent="0.3">
      <c r="A203" s="106">
        <v>8370</v>
      </c>
      <c r="B203" s="110" t="s">
        <v>387</v>
      </c>
      <c r="C203" s="107">
        <v>4600000681</v>
      </c>
      <c r="D203" s="107"/>
      <c r="E203" s="108">
        <v>670303.87</v>
      </c>
      <c r="F203" s="109">
        <v>44530</v>
      </c>
      <c r="G203" s="110">
        <f t="shared" ca="1" si="35"/>
        <v>-427</v>
      </c>
      <c r="H203" s="111"/>
      <c r="I203" s="109">
        <v>44377</v>
      </c>
      <c r="J203" s="109">
        <v>44499</v>
      </c>
      <c r="K203" s="110"/>
      <c r="L203" s="107" t="s">
        <v>382</v>
      </c>
      <c r="M203" s="137" t="s">
        <v>381</v>
      </c>
      <c r="N203" s="112">
        <v>5084.78</v>
      </c>
      <c r="O203" s="113">
        <v>44382</v>
      </c>
      <c r="P203" s="113">
        <v>44382</v>
      </c>
      <c r="Q203" s="138" t="s">
        <v>383</v>
      </c>
    </row>
    <row r="204" spans="1:17" x14ac:dyDescent="0.25">
      <c r="A204" s="256">
        <v>8280</v>
      </c>
      <c r="B204" s="250" t="s">
        <v>401</v>
      </c>
      <c r="C204" s="250" t="s">
        <v>402</v>
      </c>
      <c r="D204" s="73"/>
      <c r="E204" s="92">
        <v>5400467.5800000001</v>
      </c>
      <c r="F204" s="93">
        <v>45338</v>
      </c>
      <c r="G204" s="72">
        <f t="shared" ca="1" si="35"/>
        <v>381</v>
      </c>
      <c r="H204" s="94">
        <f>E204*5%</f>
        <v>270023.37900000002</v>
      </c>
      <c r="I204" s="93">
        <v>44424</v>
      </c>
      <c r="J204" s="93">
        <v>45427</v>
      </c>
      <c r="K204" s="72">
        <f ca="1">J204-$A$1</f>
        <v>470</v>
      </c>
      <c r="L204" s="73" t="s">
        <v>15</v>
      </c>
      <c r="M204" s="120" t="s">
        <v>407</v>
      </c>
      <c r="N204" s="96">
        <v>2334</v>
      </c>
      <c r="O204" s="117">
        <v>44426</v>
      </c>
      <c r="P204" s="117">
        <v>44426</v>
      </c>
      <c r="Q204" s="116"/>
    </row>
    <row r="205" spans="1:17" ht="15.75" customHeight="1" x14ac:dyDescent="0.25">
      <c r="A205" s="260"/>
      <c r="B205" s="251"/>
      <c r="C205" s="251"/>
      <c r="D205" s="74" t="s">
        <v>35</v>
      </c>
      <c r="E205" s="71">
        <v>5570435.04</v>
      </c>
      <c r="F205" s="79">
        <v>45335</v>
      </c>
      <c r="G205" s="76">
        <f t="shared" ca="1" si="35"/>
        <v>378</v>
      </c>
      <c r="H205" s="77">
        <f>(E205*5%)-H204</f>
        <v>8498.3730000000214</v>
      </c>
      <c r="I205" s="79">
        <v>44424</v>
      </c>
      <c r="J205" s="79">
        <v>45427</v>
      </c>
      <c r="K205" s="76"/>
      <c r="L205" s="74" t="s">
        <v>15</v>
      </c>
      <c r="M205" s="124" t="s">
        <v>407</v>
      </c>
      <c r="N205" s="81">
        <v>160</v>
      </c>
      <c r="O205" s="78">
        <v>44473</v>
      </c>
      <c r="P205" s="78">
        <v>44473</v>
      </c>
      <c r="Q205" s="125" t="s">
        <v>435</v>
      </c>
    </row>
    <row r="206" spans="1:17" ht="15.75" customHeight="1" thickBot="1" x14ac:dyDescent="0.3">
      <c r="A206" s="257"/>
      <c r="B206" s="252"/>
      <c r="C206" s="252"/>
      <c r="D206" s="83" t="s">
        <v>17</v>
      </c>
      <c r="E206" s="84">
        <v>5902852.71</v>
      </c>
      <c r="F206" s="85">
        <v>45335</v>
      </c>
      <c r="G206" s="86">
        <f t="shared" ca="1" si="35"/>
        <v>378</v>
      </c>
      <c r="H206" s="87">
        <f>E206*5%-SUM(H204:H205)</f>
        <v>16620.883499999996</v>
      </c>
      <c r="I206" s="85">
        <v>44876</v>
      </c>
      <c r="J206" s="85">
        <v>45427</v>
      </c>
      <c r="K206" s="86">
        <f ca="1">J206-$A$1</f>
        <v>470</v>
      </c>
      <c r="L206" s="83" t="s">
        <v>15</v>
      </c>
      <c r="M206" s="121" t="s">
        <v>407</v>
      </c>
      <c r="N206" s="90">
        <v>180</v>
      </c>
      <c r="O206" s="88">
        <v>44881</v>
      </c>
      <c r="P206" s="88">
        <v>44881</v>
      </c>
      <c r="Q206" s="126" t="s">
        <v>582</v>
      </c>
    </row>
    <row r="207" spans="1:17" x14ac:dyDescent="0.25">
      <c r="A207" s="256">
        <v>8282</v>
      </c>
      <c r="B207" s="250" t="s">
        <v>417</v>
      </c>
      <c r="C207" s="250" t="s">
        <v>418</v>
      </c>
      <c r="D207" s="73"/>
      <c r="E207" s="92">
        <v>3764924.3</v>
      </c>
      <c r="F207" s="93">
        <v>44805</v>
      </c>
      <c r="G207" s="72">
        <f t="shared" ca="1" si="35"/>
        <v>-152</v>
      </c>
      <c r="H207" s="94">
        <f>E207*5%</f>
        <v>188246.215</v>
      </c>
      <c r="I207" s="93">
        <v>44440</v>
      </c>
      <c r="J207" s="93">
        <v>44895</v>
      </c>
      <c r="K207" s="72">
        <f ca="1">J207-$A$1</f>
        <v>-62</v>
      </c>
      <c r="L207" s="73" t="s">
        <v>15</v>
      </c>
      <c r="M207" s="120" t="s">
        <v>419</v>
      </c>
      <c r="N207" s="96">
        <v>670</v>
      </c>
      <c r="O207" s="117">
        <v>44428</v>
      </c>
      <c r="P207" s="117">
        <v>44428</v>
      </c>
      <c r="Q207" s="116"/>
    </row>
    <row r="208" spans="1:17" x14ac:dyDescent="0.25">
      <c r="A208" s="260"/>
      <c r="B208" s="251"/>
      <c r="C208" s="251"/>
      <c r="D208" s="74" t="s">
        <v>318</v>
      </c>
      <c r="E208" s="71">
        <f>317667.41*12</f>
        <v>3812008.92</v>
      </c>
      <c r="F208" s="79">
        <v>44805</v>
      </c>
      <c r="G208" s="76">
        <f t="shared" ca="1" si="35"/>
        <v>-152</v>
      </c>
      <c r="H208" s="77">
        <f>(E208*5%)</f>
        <v>190600.446</v>
      </c>
      <c r="I208" s="79">
        <v>44440</v>
      </c>
      <c r="J208" s="79">
        <v>44895</v>
      </c>
      <c r="K208" s="76">
        <f ca="1">J208-$A$1</f>
        <v>-62</v>
      </c>
      <c r="L208" s="74" t="s">
        <v>15</v>
      </c>
      <c r="M208" s="124" t="s">
        <v>419</v>
      </c>
      <c r="N208" s="81">
        <v>160</v>
      </c>
      <c r="O208" s="78">
        <v>44564</v>
      </c>
      <c r="P208" s="78">
        <v>44564</v>
      </c>
      <c r="Q208" s="125" t="s">
        <v>435</v>
      </c>
    </row>
    <row r="209" spans="1:17" x14ac:dyDescent="0.25">
      <c r="A209" s="260"/>
      <c r="B209" s="251"/>
      <c r="C209" s="251"/>
      <c r="D209" s="74" t="s">
        <v>405</v>
      </c>
      <c r="E209" s="71">
        <f>326121.08*12</f>
        <v>3913452.96</v>
      </c>
      <c r="F209" s="79">
        <v>44805</v>
      </c>
      <c r="G209" s="76">
        <f t="shared" ca="1" si="35"/>
        <v>-152</v>
      </c>
      <c r="H209" s="77">
        <v>3395.56</v>
      </c>
      <c r="I209" s="79">
        <v>44562</v>
      </c>
      <c r="J209" s="79">
        <v>44895</v>
      </c>
      <c r="K209" s="76">
        <f ca="1">J209-$A$1</f>
        <v>-62</v>
      </c>
      <c r="L209" s="74" t="s">
        <v>15</v>
      </c>
      <c r="M209" s="124" t="s">
        <v>419</v>
      </c>
      <c r="N209" s="81">
        <v>160</v>
      </c>
      <c r="O209" s="78">
        <v>44609</v>
      </c>
      <c r="P209" s="78">
        <v>44609</v>
      </c>
      <c r="Q209" s="125" t="s">
        <v>541</v>
      </c>
    </row>
    <row r="210" spans="1:17" ht="14.25" thickBot="1" x14ac:dyDescent="0.3">
      <c r="A210" s="257"/>
      <c r="B210" s="252"/>
      <c r="C210" s="252"/>
      <c r="D210" s="83" t="s">
        <v>605</v>
      </c>
      <c r="E210" s="84">
        <f>335440.37*12</f>
        <v>4025284.44</v>
      </c>
      <c r="F210" s="85">
        <v>44805</v>
      </c>
      <c r="G210" s="86">
        <f t="shared" ca="1" si="35"/>
        <v>-152</v>
      </c>
      <c r="H210" s="87">
        <v>1879.39</v>
      </c>
      <c r="I210" s="85">
        <v>44682</v>
      </c>
      <c r="J210" s="85">
        <v>44895</v>
      </c>
      <c r="K210" s="86">
        <f ca="1">J210-$A$1</f>
        <v>-62</v>
      </c>
      <c r="L210" s="83" t="s">
        <v>15</v>
      </c>
      <c r="M210" s="121" t="s">
        <v>419</v>
      </c>
      <c r="N210" s="90">
        <v>180</v>
      </c>
      <c r="O210" s="88">
        <v>44718</v>
      </c>
      <c r="P210" s="88">
        <v>44718</v>
      </c>
      <c r="Q210" s="126" t="s">
        <v>608</v>
      </c>
    </row>
    <row r="211" spans="1:17" ht="14.25" thickBot="1" x14ac:dyDescent="0.3">
      <c r="A211" s="106">
        <v>8283</v>
      </c>
      <c r="B211" s="110" t="s">
        <v>458</v>
      </c>
      <c r="C211" s="107"/>
      <c r="D211" s="107"/>
      <c r="E211" s="108">
        <v>23671178.640000001</v>
      </c>
      <c r="F211" s="109">
        <v>45199</v>
      </c>
      <c r="G211" s="110">
        <f t="shared" ca="1" si="35"/>
        <v>242</v>
      </c>
      <c r="H211" s="111">
        <f>E211*5%</f>
        <v>1183558.932</v>
      </c>
      <c r="I211" s="109"/>
      <c r="J211" s="109"/>
      <c r="K211" s="110"/>
      <c r="L211" s="107"/>
      <c r="M211" s="137"/>
      <c r="N211" s="112"/>
      <c r="O211" s="113"/>
      <c r="P211" s="113"/>
      <c r="Q211" s="138"/>
    </row>
    <row r="212" spans="1:17" x14ac:dyDescent="0.25">
      <c r="A212" s="256">
        <v>8284</v>
      </c>
      <c r="B212" s="250" t="s">
        <v>471</v>
      </c>
      <c r="C212" s="250" t="s">
        <v>472</v>
      </c>
      <c r="D212" s="73"/>
      <c r="E212" s="92">
        <v>1495307</v>
      </c>
      <c r="F212" s="93">
        <v>44834</v>
      </c>
      <c r="G212" s="72">
        <f t="shared" ca="1" si="35"/>
        <v>-123</v>
      </c>
      <c r="H212" s="94">
        <f>E212*5%</f>
        <v>74765.350000000006</v>
      </c>
      <c r="I212" s="93">
        <v>44470</v>
      </c>
      <c r="J212" s="93">
        <v>44925</v>
      </c>
      <c r="K212" s="72">
        <f t="shared" ref="K212:K246" ca="1" si="36">J212-$A$1</f>
        <v>-32</v>
      </c>
      <c r="L212" s="73" t="s">
        <v>15</v>
      </c>
      <c r="M212" s="120" t="s">
        <v>473</v>
      </c>
      <c r="N212" s="96">
        <v>293</v>
      </c>
      <c r="O212" s="117">
        <v>44468</v>
      </c>
      <c r="P212" s="117">
        <v>44468</v>
      </c>
      <c r="Q212" s="116"/>
    </row>
    <row r="213" spans="1:17" ht="15.75" customHeight="1" x14ac:dyDescent="0.25">
      <c r="A213" s="260"/>
      <c r="B213" s="251"/>
      <c r="C213" s="251"/>
      <c r="D213" s="74" t="s">
        <v>567</v>
      </c>
      <c r="E213" s="71">
        <f>129330.25*12</f>
        <v>1551963</v>
      </c>
      <c r="F213" s="79">
        <v>44834</v>
      </c>
      <c r="G213" s="76">
        <f t="shared" ca="1" si="35"/>
        <v>-123</v>
      </c>
      <c r="H213" s="77">
        <f>(E213*5%)-H212</f>
        <v>2832.8000000000029</v>
      </c>
      <c r="I213" s="79">
        <v>44553</v>
      </c>
      <c r="J213" s="79">
        <v>44925</v>
      </c>
      <c r="K213" s="76">
        <f t="shared" ca="1" si="36"/>
        <v>-32</v>
      </c>
      <c r="L213" s="74" t="s">
        <v>15</v>
      </c>
      <c r="M213" s="124" t="s">
        <v>473</v>
      </c>
      <c r="N213" s="81">
        <v>160</v>
      </c>
      <c r="O213" s="78">
        <v>44564</v>
      </c>
      <c r="P213" s="78">
        <v>44564</v>
      </c>
      <c r="Q213" s="125" t="s">
        <v>435</v>
      </c>
    </row>
    <row r="214" spans="1:17" ht="15.75" customHeight="1" x14ac:dyDescent="0.25">
      <c r="A214" s="260"/>
      <c r="B214" s="251"/>
      <c r="C214" s="251"/>
      <c r="D214" s="74" t="s">
        <v>566</v>
      </c>
      <c r="E214" s="71">
        <f>129943.63*12</f>
        <v>1559323.56</v>
      </c>
      <c r="F214" s="79">
        <v>44834</v>
      </c>
      <c r="G214" s="76">
        <f t="shared" ca="1" si="35"/>
        <v>-123</v>
      </c>
      <c r="H214" s="77">
        <f>(E214*5%)-(H212+H213)</f>
        <v>368.02799999999115</v>
      </c>
      <c r="I214" s="79">
        <v>44641</v>
      </c>
      <c r="J214" s="79">
        <v>44925</v>
      </c>
      <c r="K214" s="76">
        <f t="shared" ca="1" si="36"/>
        <v>-32</v>
      </c>
      <c r="L214" s="74" t="s">
        <v>15</v>
      </c>
      <c r="M214" s="124" t="s">
        <v>473</v>
      </c>
      <c r="N214" s="81">
        <v>160</v>
      </c>
      <c r="O214" s="78">
        <v>44644</v>
      </c>
      <c r="P214" s="78">
        <v>44644</v>
      </c>
      <c r="Q214" s="125"/>
    </row>
    <row r="215" spans="1:17" ht="15.75" customHeight="1" x14ac:dyDescent="0.25">
      <c r="A215" s="260"/>
      <c r="B215" s="251"/>
      <c r="C215" s="251"/>
      <c r="D215" s="74" t="s">
        <v>634</v>
      </c>
      <c r="E215" s="71">
        <f>139610.81*12</f>
        <v>1675329.72</v>
      </c>
      <c r="F215" s="79">
        <v>44834</v>
      </c>
      <c r="G215" s="76">
        <f t="shared" ca="1" si="35"/>
        <v>-123</v>
      </c>
      <c r="H215" s="77">
        <f>E215*5%-SUM(H212:H214)</f>
        <v>5800.3080000000045</v>
      </c>
      <c r="I215" s="79">
        <v>44748</v>
      </c>
      <c r="J215" s="79">
        <v>44925</v>
      </c>
      <c r="K215" s="76">
        <f t="shared" ca="1" si="36"/>
        <v>-32</v>
      </c>
      <c r="L215" s="74" t="s">
        <v>15</v>
      </c>
      <c r="M215" s="124" t="s">
        <v>473</v>
      </c>
      <c r="N215" s="81">
        <v>180</v>
      </c>
      <c r="O215" s="78">
        <v>44754</v>
      </c>
      <c r="P215" s="78">
        <v>44754</v>
      </c>
      <c r="Q215" s="125" t="s">
        <v>582</v>
      </c>
    </row>
    <row r="216" spans="1:17" ht="15.75" customHeight="1" thickBot="1" x14ac:dyDescent="0.3">
      <c r="A216" s="257"/>
      <c r="B216" s="252"/>
      <c r="C216" s="252"/>
      <c r="D216" s="83" t="s">
        <v>437</v>
      </c>
      <c r="E216" s="84">
        <v>1675329.77</v>
      </c>
      <c r="F216" s="85">
        <v>45199</v>
      </c>
      <c r="G216" s="86">
        <f t="shared" ca="1" si="35"/>
        <v>242</v>
      </c>
      <c r="H216" s="87">
        <f>E216*5%</f>
        <v>83766.488500000007</v>
      </c>
      <c r="I216" s="85">
        <v>44835</v>
      </c>
      <c r="J216" s="85">
        <v>45290</v>
      </c>
      <c r="K216" s="86">
        <f t="shared" ca="1" si="36"/>
        <v>333</v>
      </c>
      <c r="L216" s="83" t="s">
        <v>15</v>
      </c>
      <c r="M216" s="121" t="s">
        <v>473</v>
      </c>
      <c r="N216" s="90">
        <v>329</v>
      </c>
      <c r="O216" s="88">
        <v>44820</v>
      </c>
      <c r="P216" s="88">
        <v>44820</v>
      </c>
      <c r="Q216" s="126" t="s">
        <v>378</v>
      </c>
    </row>
    <row r="217" spans="1:17" x14ac:dyDescent="0.25">
      <c r="A217" s="256">
        <v>8371</v>
      </c>
      <c r="B217" s="250" t="s">
        <v>478</v>
      </c>
      <c r="C217" s="250" t="s">
        <v>477</v>
      </c>
      <c r="D217" s="73"/>
      <c r="E217" s="92">
        <v>5160968.47</v>
      </c>
      <c r="F217" s="93">
        <v>44839</v>
      </c>
      <c r="G217" s="72">
        <f t="shared" ca="1" si="35"/>
        <v>-118</v>
      </c>
      <c r="H217" s="94">
        <f>E217*5%</f>
        <v>258048.4235</v>
      </c>
      <c r="I217" s="93">
        <v>44474</v>
      </c>
      <c r="J217" s="93">
        <v>44869</v>
      </c>
      <c r="K217" s="72">
        <f t="shared" ca="1" si="36"/>
        <v>-88</v>
      </c>
      <c r="L217" s="73" t="s">
        <v>15</v>
      </c>
      <c r="M217" s="120" t="s">
        <v>479</v>
      </c>
      <c r="N217" s="96">
        <v>878</v>
      </c>
      <c r="O217" s="117">
        <v>44474</v>
      </c>
      <c r="P217" s="117">
        <v>44474</v>
      </c>
      <c r="Q217" s="116"/>
    </row>
    <row r="218" spans="1:17" ht="27" x14ac:dyDescent="0.25">
      <c r="A218" s="260"/>
      <c r="B218" s="251"/>
      <c r="C218" s="251"/>
      <c r="D218" s="74"/>
      <c r="E218" s="71">
        <v>5160968.47</v>
      </c>
      <c r="F218" s="79">
        <v>44812</v>
      </c>
      <c r="G218" s="76">
        <f t="shared" ref="G218:G221" ca="1" si="37">F218-$A$1</f>
        <v>-145</v>
      </c>
      <c r="H218" s="77">
        <v>11559258.99</v>
      </c>
      <c r="I218" s="79">
        <v>44729</v>
      </c>
      <c r="J218" s="79">
        <v>45178</v>
      </c>
      <c r="K218" s="76">
        <f t="shared" ref="K218:K221" ca="1" si="38">J218-$A$1</f>
        <v>221</v>
      </c>
      <c r="L218" s="74" t="s">
        <v>280</v>
      </c>
      <c r="M218" s="124" t="s">
        <v>618</v>
      </c>
      <c r="N218" s="81">
        <v>4091.87</v>
      </c>
      <c r="O218" s="78">
        <v>44732</v>
      </c>
      <c r="P218" s="78">
        <v>44732</v>
      </c>
      <c r="Q218" s="125" t="s">
        <v>667</v>
      </c>
    </row>
    <row r="219" spans="1:17" ht="15.75" customHeight="1" x14ac:dyDescent="0.25">
      <c r="A219" s="260"/>
      <c r="B219" s="251"/>
      <c r="C219" s="251"/>
      <c r="D219" s="74" t="s">
        <v>437</v>
      </c>
      <c r="E219" s="71">
        <v>5160968.47</v>
      </c>
      <c r="F219" s="79">
        <v>44963</v>
      </c>
      <c r="G219" s="76">
        <f t="shared" ca="1" si="37"/>
        <v>6</v>
      </c>
      <c r="H219" s="77">
        <f>E219*5%</f>
        <v>258048.4235</v>
      </c>
      <c r="I219" s="79">
        <v>44839</v>
      </c>
      <c r="J219" s="79">
        <v>44991</v>
      </c>
      <c r="K219" s="76">
        <f t="shared" ca="1" si="38"/>
        <v>34</v>
      </c>
      <c r="L219" s="74" t="s">
        <v>15</v>
      </c>
      <c r="M219" s="124" t="s">
        <v>479</v>
      </c>
      <c r="N219" s="81">
        <v>338</v>
      </c>
      <c r="O219" s="78">
        <v>44832</v>
      </c>
      <c r="P219" s="78">
        <v>44832</v>
      </c>
      <c r="Q219" s="125" t="s">
        <v>378</v>
      </c>
    </row>
    <row r="220" spans="1:17" ht="15.75" customHeight="1" x14ac:dyDescent="0.25">
      <c r="A220" s="269"/>
      <c r="B220" s="253"/>
      <c r="C220" s="253"/>
      <c r="D220" s="168" t="s">
        <v>274</v>
      </c>
      <c r="E220" s="179">
        <v>5513392.3799999999</v>
      </c>
      <c r="F220" s="172">
        <v>44963</v>
      </c>
      <c r="G220" s="76">
        <f t="shared" ca="1" si="37"/>
        <v>6</v>
      </c>
      <c r="H220" s="174">
        <v>17621.195500000002</v>
      </c>
      <c r="I220" s="172">
        <v>44889</v>
      </c>
      <c r="J220" s="172">
        <v>44991</v>
      </c>
      <c r="K220" s="76">
        <f t="shared" ca="1" si="38"/>
        <v>34</v>
      </c>
      <c r="L220" s="168" t="s">
        <v>15</v>
      </c>
      <c r="M220" s="180" t="s">
        <v>479</v>
      </c>
      <c r="N220" s="169">
        <v>180</v>
      </c>
      <c r="O220" s="167">
        <v>44900</v>
      </c>
      <c r="P220" s="167">
        <v>44900</v>
      </c>
      <c r="Q220" s="181" t="s">
        <v>718</v>
      </c>
    </row>
    <row r="221" spans="1:17" ht="15.75" customHeight="1" thickBot="1" x14ac:dyDescent="0.3">
      <c r="A221" s="257"/>
      <c r="B221" s="252"/>
      <c r="C221" s="252"/>
      <c r="D221" s="83" t="s">
        <v>302</v>
      </c>
      <c r="E221" s="84">
        <v>5576345.0800000001</v>
      </c>
      <c r="F221" s="85">
        <v>44991</v>
      </c>
      <c r="G221" s="76">
        <f t="shared" ca="1" si="37"/>
        <v>34</v>
      </c>
      <c r="H221" s="87">
        <v>3147.63</v>
      </c>
      <c r="I221" s="85">
        <v>44930</v>
      </c>
      <c r="J221" s="172">
        <v>44991</v>
      </c>
      <c r="K221" s="76">
        <f t="shared" ca="1" si="38"/>
        <v>34</v>
      </c>
      <c r="L221" s="168" t="s">
        <v>15</v>
      </c>
      <c r="M221" s="175" t="s">
        <v>479</v>
      </c>
      <c r="N221" s="90">
        <v>180</v>
      </c>
      <c r="O221" s="203">
        <v>44930</v>
      </c>
      <c r="P221" s="203">
        <v>44991</v>
      </c>
      <c r="Q221" s="181" t="s">
        <v>718</v>
      </c>
    </row>
    <row r="222" spans="1:17" x14ac:dyDescent="0.25">
      <c r="A222" s="256">
        <v>8287</v>
      </c>
      <c r="B222" s="250" t="s">
        <v>492</v>
      </c>
      <c r="C222" s="250" t="s">
        <v>402</v>
      </c>
      <c r="D222" s="73"/>
      <c r="E222" s="92">
        <v>4995427</v>
      </c>
      <c r="F222" s="93">
        <v>44922</v>
      </c>
      <c r="G222" s="72">
        <f t="shared" ca="1" si="35"/>
        <v>-35</v>
      </c>
      <c r="H222" s="94">
        <f>E222*5%</f>
        <v>249771.35</v>
      </c>
      <c r="I222" s="93">
        <v>44922</v>
      </c>
      <c r="J222" s="93">
        <v>45012</v>
      </c>
      <c r="K222" s="72">
        <f t="shared" ca="1" si="36"/>
        <v>55</v>
      </c>
      <c r="L222" s="73" t="s">
        <v>15</v>
      </c>
      <c r="M222" s="120" t="s">
        <v>499</v>
      </c>
      <c r="N222" s="96">
        <v>884</v>
      </c>
      <c r="O222" s="117">
        <v>44532</v>
      </c>
      <c r="P222" s="117">
        <v>44538</v>
      </c>
      <c r="Q222" s="116"/>
    </row>
    <row r="223" spans="1:17" ht="15.75" customHeight="1" thickBot="1" x14ac:dyDescent="0.3">
      <c r="A223" s="257"/>
      <c r="B223" s="252"/>
      <c r="C223" s="252"/>
      <c r="D223" s="83" t="s">
        <v>318</v>
      </c>
      <c r="E223" s="84">
        <v>5162458.32</v>
      </c>
      <c r="F223" s="85">
        <v>44922</v>
      </c>
      <c r="G223" s="86">
        <f t="shared" ca="1" si="35"/>
        <v>-35</v>
      </c>
      <c r="H223" s="87">
        <f>(E223*5%)-H222</f>
        <v>8351.5660000000207</v>
      </c>
      <c r="I223" s="85">
        <v>44621</v>
      </c>
      <c r="J223" s="85">
        <v>45012</v>
      </c>
      <c r="K223" s="86">
        <f t="shared" ca="1" si="36"/>
        <v>55</v>
      </c>
      <c r="L223" s="83" t="s">
        <v>15</v>
      </c>
      <c r="M223" s="121" t="s">
        <v>499</v>
      </c>
      <c r="N223" s="90">
        <v>160</v>
      </c>
      <c r="O223" s="88">
        <v>44865</v>
      </c>
      <c r="P223" s="88">
        <v>44865</v>
      </c>
      <c r="Q223" s="126" t="s">
        <v>672</v>
      </c>
    </row>
    <row r="224" spans="1:17" x14ac:dyDescent="0.25">
      <c r="A224" s="256">
        <v>8286</v>
      </c>
      <c r="B224" s="270" t="s">
        <v>496</v>
      </c>
      <c r="C224" s="270" t="s">
        <v>497</v>
      </c>
      <c r="D224" s="73"/>
      <c r="E224" s="92">
        <v>8630513.1099999994</v>
      </c>
      <c r="F224" s="93">
        <v>44896</v>
      </c>
      <c r="G224" s="72">
        <f t="shared" ca="1" si="35"/>
        <v>-61</v>
      </c>
      <c r="H224" s="94">
        <f>E224*5%</f>
        <v>431525.65549999999</v>
      </c>
      <c r="I224" s="93">
        <v>44531</v>
      </c>
      <c r="J224" s="93">
        <v>44986</v>
      </c>
      <c r="K224" s="72">
        <f t="shared" ca="1" si="36"/>
        <v>29</v>
      </c>
      <c r="L224" s="73" t="s">
        <v>15</v>
      </c>
      <c r="M224" s="120" t="s">
        <v>502</v>
      </c>
      <c r="N224" s="96">
        <v>1528</v>
      </c>
      <c r="O224" s="117">
        <v>44533</v>
      </c>
      <c r="P224" s="117">
        <v>44533</v>
      </c>
      <c r="Q224" s="116"/>
    </row>
    <row r="225" spans="1:17" ht="15.75" customHeight="1" x14ac:dyDescent="0.25">
      <c r="A225" s="260"/>
      <c r="B225" s="271"/>
      <c r="C225" s="271"/>
      <c r="D225" s="74" t="s">
        <v>578</v>
      </c>
      <c r="E225" s="71">
        <v>8763022.0999999996</v>
      </c>
      <c r="F225" s="79">
        <v>44896</v>
      </c>
      <c r="G225" s="76">
        <f t="shared" ca="1" si="35"/>
        <v>-61</v>
      </c>
      <c r="H225" s="77">
        <f>E225*5%-H224</f>
        <v>6625.4494999999879</v>
      </c>
      <c r="I225" s="79">
        <v>44531</v>
      </c>
      <c r="J225" s="79">
        <v>44986</v>
      </c>
      <c r="K225" s="76">
        <f t="shared" ca="1" si="36"/>
        <v>29</v>
      </c>
      <c r="L225" s="74" t="s">
        <v>15</v>
      </c>
      <c r="M225" s="124" t="s">
        <v>502</v>
      </c>
      <c r="N225" s="81">
        <v>160</v>
      </c>
      <c r="O225" s="78">
        <v>44658</v>
      </c>
      <c r="P225" s="78">
        <v>44658</v>
      </c>
      <c r="Q225" s="125"/>
    </row>
    <row r="226" spans="1:17" ht="15.75" customHeight="1" x14ac:dyDescent="0.25">
      <c r="A226" s="260"/>
      <c r="B226" s="271"/>
      <c r="C226" s="271"/>
      <c r="D226" s="74" t="s">
        <v>227</v>
      </c>
      <c r="E226" s="71">
        <v>8840912.6300000008</v>
      </c>
      <c r="F226" s="79">
        <v>44896</v>
      </c>
      <c r="G226" s="76">
        <f t="shared" ca="1" si="35"/>
        <v>-61</v>
      </c>
      <c r="H226" s="77">
        <f>E226*5%-(H224+H225)</f>
        <v>3894.5265000000945</v>
      </c>
      <c r="I226" s="79">
        <v>44562</v>
      </c>
      <c r="J226" s="79">
        <v>44986</v>
      </c>
      <c r="K226" s="76">
        <f t="shared" ca="1" si="36"/>
        <v>29</v>
      </c>
      <c r="L226" s="74" t="s">
        <v>15</v>
      </c>
      <c r="M226" s="124" t="s">
        <v>502</v>
      </c>
      <c r="N226" s="81">
        <v>160</v>
      </c>
      <c r="O226" s="78">
        <v>44704</v>
      </c>
      <c r="P226" s="78">
        <v>44704</v>
      </c>
      <c r="Q226" s="125" t="s">
        <v>595</v>
      </c>
    </row>
    <row r="227" spans="1:17" ht="15.75" customHeight="1" x14ac:dyDescent="0.25">
      <c r="A227" s="260"/>
      <c r="B227" s="271"/>
      <c r="C227" s="271"/>
      <c r="D227" s="251" t="s">
        <v>227</v>
      </c>
      <c r="E227" s="293">
        <v>9413441.7799999993</v>
      </c>
      <c r="F227" s="292">
        <v>44896</v>
      </c>
      <c r="G227" s="251">
        <f t="shared" ca="1" si="35"/>
        <v>-61</v>
      </c>
      <c r="H227" s="264">
        <f>E227*5%-(SUM(H224:H226))</f>
        <v>28626.457499999902</v>
      </c>
      <c r="I227" s="292">
        <v>44750</v>
      </c>
      <c r="J227" s="292">
        <v>44986</v>
      </c>
      <c r="K227" s="251">
        <f t="shared" ca="1" si="36"/>
        <v>29</v>
      </c>
      <c r="L227" s="251" t="s">
        <v>15</v>
      </c>
      <c r="M227" s="124" t="s">
        <v>502</v>
      </c>
      <c r="N227" s="264">
        <v>180</v>
      </c>
      <c r="O227" s="292">
        <v>44769</v>
      </c>
      <c r="P227" s="292">
        <v>44769</v>
      </c>
      <c r="Q227" s="82" t="s">
        <v>644</v>
      </c>
    </row>
    <row r="228" spans="1:17" ht="15.75" customHeight="1" x14ac:dyDescent="0.25">
      <c r="A228" s="260"/>
      <c r="B228" s="271"/>
      <c r="C228" s="271"/>
      <c r="D228" s="251"/>
      <c r="E228" s="293"/>
      <c r="F228" s="292"/>
      <c r="G228" s="251"/>
      <c r="H228" s="264"/>
      <c r="I228" s="292"/>
      <c r="J228" s="292"/>
      <c r="K228" s="251"/>
      <c r="L228" s="251"/>
      <c r="M228" s="124" t="s">
        <v>502</v>
      </c>
      <c r="N228" s="264"/>
      <c r="O228" s="292"/>
      <c r="P228" s="292"/>
      <c r="Q228" s="82" t="s">
        <v>648</v>
      </c>
    </row>
    <row r="229" spans="1:17" ht="15.75" customHeight="1" x14ac:dyDescent="0.25">
      <c r="A229" s="260"/>
      <c r="B229" s="271"/>
      <c r="C229" s="271"/>
      <c r="D229" s="74" t="s">
        <v>515</v>
      </c>
      <c r="E229" s="164">
        <v>9469886.5299999993</v>
      </c>
      <c r="F229" s="78">
        <v>44896</v>
      </c>
      <c r="G229" s="74">
        <f t="shared" ca="1" si="35"/>
        <v>-61</v>
      </c>
      <c r="H229" s="81">
        <f>E229*5%-SUM(H224:H228)</f>
        <v>2822.2374999999884</v>
      </c>
      <c r="I229" s="78">
        <v>44809</v>
      </c>
      <c r="J229" s="78">
        <v>44986</v>
      </c>
      <c r="K229" s="74">
        <f t="shared" ca="1" si="36"/>
        <v>29</v>
      </c>
      <c r="L229" s="74" t="s">
        <v>15</v>
      </c>
      <c r="M229" s="124" t="s">
        <v>502</v>
      </c>
      <c r="N229" s="81">
        <v>170</v>
      </c>
      <c r="O229" s="78">
        <v>44817</v>
      </c>
      <c r="P229" s="78">
        <v>44817</v>
      </c>
      <c r="Q229" s="82" t="s">
        <v>582</v>
      </c>
    </row>
    <row r="230" spans="1:17" ht="15.75" customHeight="1" thickBot="1" x14ac:dyDescent="0.3">
      <c r="A230" s="257"/>
      <c r="B230" s="272"/>
      <c r="C230" s="272"/>
      <c r="D230" s="83" t="s">
        <v>437</v>
      </c>
      <c r="E230" s="163">
        <v>9382134.5099999998</v>
      </c>
      <c r="F230" s="88">
        <v>45261</v>
      </c>
      <c r="G230" s="83">
        <f t="shared" ca="1" si="35"/>
        <v>304</v>
      </c>
      <c r="H230" s="90">
        <f>E230*5%</f>
        <v>469106.7255</v>
      </c>
      <c r="I230" s="88">
        <v>44987</v>
      </c>
      <c r="J230" s="88">
        <v>45351</v>
      </c>
      <c r="K230" s="83">
        <f t="shared" ca="1" si="36"/>
        <v>394</v>
      </c>
      <c r="L230" s="83" t="s">
        <v>15</v>
      </c>
      <c r="M230" s="121" t="s">
        <v>502</v>
      </c>
      <c r="N230" s="90">
        <v>1471</v>
      </c>
      <c r="O230" s="88">
        <v>44909</v>
      </c>
      <c r="P230" s="88">
        <v>44909</v>
      </c>
      <c r="Q230" s="91" t="s">
        <v>378</v>
      </c>
    </row>
    <row r="231" spans="1:17" x14ac:dyDescent="0.25">
      <c r="A231" s="256">
        <v>8288</v>
      </c>
      <c r="B231" s="250" t="s">
        <v>498</v>
      </c>
      <c r="C231" s="254" t="s">
        <v>506</v>
      </c>
      <c r="D231" s="73"/>
      <c r="E231" s="92">
        <v>3578928.36</v>
      </c>
      <c r="F231" s="93">
        <v>44895</v>
      </c>
      <c r="G231" s="72">
        <f t="shared" ca="1" si="35"/>
        <v>-62</v>
      </c>
      <c r="H231" s="94">
        <f>E231*5%</f>
        <v>178946.41800000001</v>
      </c>
      <c r="I231" s="93">
        <v>44531</v>
      </c>
      <c r="J231" s="93">
        <v>44986</v>
      </c>
      <c r="K231" s="72">
        <f t="shared" ca="1" si="36"/>
        <v>29</v>
      </c>
      <c r="L231" s="73" t="s">
        <v>15</v>
      </c>
      <c r="M231" s="120" t="s">
        <v>507</v>
      </c>
      <c r="N231" s="96">
        <v>702</v>
      </c>
      <c r="O231" s="117">
        <v>44540</v>
      </c>
      <c r="P231" s="117">
        <v>44540</v>
      </c>
      <c r="Q231" s="116"/>
    </row>
    <row r="232" spans="1:17" ht="15.75" customHeight="1" x14ac:dyDescent="0.25">
      <c r="A232" s="260"/>
      <c r="B232" s="251"/>
      <c r="C232" s="262"/>
      <c r="D232" s="74" t="s">
        <v>462</v>
      </c>
      <c r="E232" s="71">
        <v>3602411.28</v>
      </c>
      <c r="F232" s="79">
        <v>44895</v>
      </c>
      <c r="G232" s="76">
        <f t="shared" ca="1" si="35"/>
        <v>-62</v>
      </c>
      <c r="H232" s="77">
        <f>(E232*5%)-H231</f>
        <v>1174.1460000000079</v>
      </c>
      <c r="I232" s="79">
        <v>44566</v>
      </c>
      <c r="J232" s="79">
        <v>44986</v>
      </c>
      <c r="K232" s="76">
        <f t="shared" ca="1" si="36"/>
        <v>29</v>
      </c>
      <c r="L232" s="74" t="s">
        <v>15</v>
      </c>
      <c r="M232" s="124" t="s">
        <v>507</v>
      </c>
      <c r="N232" s="81">
        <v>160</v>
      </c>
      <c r="O232" s="78">
        <v>44580</v>
      </c>
      <c r="P232" s="78">
        <v>44580</v>
      </c>
      <c r="Q232" s="125" t="s">
        <v>342</v>
      </c>
    </row>
    <row r="233" spans="1:17" ht="15.75" customHeight="1" x14ac:dyDescent="0.25">
      <c r="A233" s="260"/>
      <c r="B233" s="251"/>
      <c r="C233" s="262"/>
      <c r="D233" s="74" t="s">
        <v>463</v>
      </c>
      <c r="E233" s="71">
        <v>3638733</v>
      </c>
      <c r="F233" s="79">
        <v>44895</v>
      </c>
      <c r="G233" s="76">
        <f t="shared" ca="1" si="35"/>
        <v>-62</v>
      </c>
      <c r="H233" s="77">
        <f>E233*5%-(H231+H232)</f>
        <v>1816.0860000000102</v>
      </c>
      <c r="I233" s="79">
        <v>44803</v>
      </c>
      <c r="J233" s="79">
        <v>44986</v>
      </c>
      <c r="K233" s="76">
        <f t="shared" ca="1" si="36"/>
        <v>29</v>
      </c>
      <c r="L233" s="74" t="s">
        <v>15</v>
      </c>
      <c r="M233" s="124" t="s">
        <v>507</v>
      </c>
      <c r="N233" s="81">
        <v>160</v>
      </c>
      <c r="O233" s="78">
        <v>44855</v>
      </c>
      <c r="P233" s="78">
        <v>44855</v>
      </c>
      <c r="Q233" s="125" t="s">
        <v>688</v>
      </c>
    </row>
    <row r="234" spans="1:17" ht="15.75" customHeight="1" thickBot="1" x14ac:dyDescent="0.3">
      <c r="A234" s="257"/>
      <c r="B234" s="252"/>
      <c r="C234" s="255"/>
      <c r="D234" s="83" t="s">
        <v>437</v>
      </c>
      <c r="E234" s="84">
        <v>3638733</v>
      </c>
      <c r="F234" s="85">
        <v>45260</v>
      </c>
      <c r="G234" s="86">
        <f t="shared" ca="1" si="35"/>
        <v>303</v>
      </c>
      <c r="H234" s="87">
        <f>E234*5%</f>
        <v>181936.65000000002</v>
      </c>
      <c r="I234" s="85">
        <v>44896</v>
      </c>
      <c r="J234" s="85">
        <v>45351</v>
      </c>
      <c r="K234" s="86">
        <f t="shared" ca="1" si="36"/>
        <v>394</v>
      </c>
      <c r="L234" s="83" t="s">
        <v>15</v>
      </c>
      <c r="M234" s="121" t="s">
        <v>507</v>
      </c>
      <c r="N234" s="90">
        <v>713</v>
      </c>
      <c r="O234" s="88">
        <v>44922</v>
      </c>
      <c r="P234" s="88">
        <v>44922</v>
      </c>
      <c r="Q234" s="126" t="s">
        <v>378</v>
      </c>
    </row>
    <row r="235" spans="1:17" x14ac:dyDescent="0.25">
      <c r="A235" s="256">
        <v>8289</v>
      </c>
      <c r="B235" s="270" t="s">
        <v>720</v>
      </c>
      <c r="C235" s="250" t="s">
        <v>529</v>
      </c>
      <c r="D235" s="182"/>
      <c r="E235" s="92">
        <f>1089050.08*11</f>
        <v>11979550.880000001</v>
      </c>
      <c r="F235" s="93">
        <v>44939</v>
      </c>
      <c r="G235" s="72">
        <f t="shared" ca="1" si="35"/>
        <v>-18</v>
      </c>
      <c r="H235" s="94">
        <f>E235*5%</f>
        <v>598977.54400000011</v>
      </c>
      <c r="I235" s="93">
        <v>44593</v>
      </c>
      <c r="J235" s="93">
        <v>44970</v>
      </c>
      <c r="K235" s="72">
        <f t="shared" ca="1" si="36"/>
        <v>13</v>
      </c>
      <c r="L235" s="182" t="s">
        <v>15</v>
      </c>
      <c r="M235" s="120" t="s">
        <v>517</v>
      </c>
      <c r="N235" s="185">
        <v>1948</v>
      </c>
      <c r="O235" s="188">
        <v>44589</v>
      </c>
      <c r="P235" s="188">
        <v>44563</v>
      </c>
      <c r="Q235" s="116"/>
    </row>
    <row r="236" spans="1:17" ht="15.75" customHeight="1" x14ac:dyDescent="0.25">
      <c r="A236" s="260"/>
      <c r="B236" s="271"/>
      <c r="C236" s="251"/>
      <c r="D236" s="183" t="s">
        <v>524</v>
      </c>
      <c r="E236" s="71">
        <v>12410221.460000001</v>
      </c>
      <c r="F236" s="79">
        <v>44939</v>
      </c>
      <c r="G236" s="76">
        <f t="shared" ca="1" si="35"/>
        <v>-18</v>
      </c>
      <c r="H236" s="77">
        <f>E236*5%-H235</f>
        <v>21533.52899999998</v>
      </c>
      <c r="I236" s="79">
        <v>44593</v>
      </c>
      <c r="J236" s="79">
        <v>44970</v>
      </c>
      <c r="K236" s="76">
        <f t="shared" ca="1" si="36"/>
        <v>13</v>
      </c>
      <c r="L236" s="183" t="s">
        <v>15</v>
      </c>
      <c r="M236" s="124" t="s">
        <v>517</v>
      </c>
      <c r="N236" s="186">
        <v>160</v>
      </c>
      <c r="O236" s="189">
        <v>44593</v>
      </c>
      <c r="P236" s="189">
        <v>44593</v>
      </c>
      <c r="Q236" s="125" t="s">
        <v>525</v>
      </c>
    </row>
    <row r="237" spans="1:17" ht="15.75" customHeight="1" x14ac:dyDescent="0.25">
      <c r="A237" s="260"/>
      <c r="B237" s="271"/>
      <c r="C237" s="251"/>
      <c r="D237" s="183" t="s">
        <v>437</v>
      </c>
      <c r="E237" s="71">
        <v>12367747.640000001</v>
      </c>
      <c r="F237" s="79">
        <v>44939</v>
      </c>
      <c r="G237" s="76">
        <f t="shared" ca="1" si="35"/>
        <v>-18</v>
      </c>
      <c r="H237" s="77" t="s">
        <v>726</v>
      </c>
      <c r="I237" s="79"/>
      <c r="J237" s="79"/>
      <c r="K237" s="76"/>
      <c r="L237" s="183"/>
      <c r="M237" s="124"/>
      <c r="N237" s="186"/>
      <c r="O237" s="189"/>
      <c r="P237" s="189"/>
      <c r="Q237" s="125" t="s">
        <v>622</v>
      </c>
    </row>
    <row r="238" spans="1:17" ht="15.75" customHeight="1" x14ac:dyDescent="0.25">
      <c r="A238" s="260"/>
      <c r="B238" s="271"/>
      <c r="C238" s="251"/>
      <c r="D238" s="183" t="s">
        <v>274</v>
      </c>
      <c r="E238" s="71">
        <v>12966942.17</v>
      </c>
      <c r="F238" s="79">
        <v>45304</v>
      </c>
      <c r="G238" s="76">
        <f t="shared" ca="1" si="35"/>
        <v>347</v>
      </c>
      <c r="H238" s="77">
        <f>E238*5%</f>
        <v>648347.10850000009</v>
      </c>
      <c r="I238" s="299">
        <v>44593</v>
      </c>
      <c r="J238" s="299">
        <v>45335</v>
      </c>
      <c r="K238" s="253">
        <f t="shared" ca="1" si="36"/>
        <v>378</v>
      </c>
      <c r="L238" s="253" t="s">
        <v>752</v>
      </c>
      <c r="M238" s="301" t="s">
        <v>517</v>
      </c>
      <c r="N238" s="303">
        <v>4867</v>
      </c>
      <c r="O238" s="189"/>
      <c r="P238" s="189"/>
      <c r="Q238" s="125" t="s">
        <v>319</v>
      </c>
    </row>
    <row r="239" spans="1:17" ht="15.75" customHeight="1" thickBot="1" x14ac:dyDescent="0.3">
      <c r="A239" s="257"/>
      <c r="B239" s="272"/>
      <c r="C239" s="252"/>
      <c r="D239" s="184" t="s">
        <v>302</v>
      </c>
      <c r="E239" s="84">
        <v>27355448.18</v>
      </c>
      <c r="F239" s="85">
        <v>45304</v>
      </c>
      <c r="G239" s="86">
        <f t="shared" ca="1" si="35"/>
        <v>347</v>
      </c>
      <c r="H239" s="87">
        <v>113932.81</v>
      </c>
      <c r="I239" s="300"/>
      <c r="J239" s="300"/>
      <c r="K239" s="243"/>
      <c r="L239" s="243"/>
      <c r="M239" s="302"/>
      <c r="N239" s="304"/>
      <c r="O239" s="88"/>
      <c r="P239" s="88"/>
      <c r="Q239" s="126" t="s">
        <v>758</v>
      </c>
    </row>
    <row r="240" spans="1:17" x14ac:dyDescent="0.25">
      <c r="A240" s="244">
        <v>8290</v>
      </c>
      <c r="B240" s="242" t="s">
        <v>589</v>
      </c>
      <c r="C240" s="242" t="s">
        <v>590</v>
      </c>
      <c r="D240" s="182"/>
      <c r="E240" s="92">
        <v>2734022.56</v>
      </c>
      <c r="F240" s="93">
        <v>45055</v>
      </c>
      <c r="G240" s="72">
        <f t="shared" ca="1" si="35"/>
        <v>98</v>
      </c>
      <c r="H240" s="94">
        <f>E240*5%</f>
        <v>136701.128</v>
      </c>
      <c r="I240" s="93">
        <v>44690</v>
      </c>
      <c r="J240" s="93">
        <v>45146</v>
      </c>
      <c r="K240" s="72">
        <f t="shared" ca="1" si="36"/>
        <v>189</v>
      </c>
      <c r="L240" s="182" t="s">
        <v>15</v>
      </c>
      <c r="M240" s="120" t="s">
        <v>593</v>
      </c>
      <c r="N240" s="185">
        <v>536</v>
      </c>
      <c r="O240" s="188">
        <v>44699</v>
      </c>
      <c r="P240" s="188">
        <v>44699</v>
      </c>
      <c r="Q240" s="116"/>
    </row>
    <row r="241" spans="1:17" ht="15.75" customHeight="1" thickBot="1" x14ac:dyDescent="0.3">
      <c r="A241" s="246"/>
      <c r="B241" s="261"/>
      <c r="C241" s="243"/>
      <c r="D241" s="190" t="s">
        <v>462</v>
      </c>
      <c r="E241" s="195"/>
      <c r="F241" s="196">
        <v>45055</v>
      </c>
      <c r="G241" s="197">
        <f t="shared" ca="1" si="35"/>
        <v>98</v>
      </c>
      <c r="H241" s="198">
        <v>10937.11</v>
      </c>
      <c r="I241" s="196">
        <v>44690</v>
      </c>
      <c r="J241" s="196">
        <v>45146</v>
      </c>
      <c r="K241" s="197">
        <f t="shared" ca="1" si="36"/>
        <v>189</v>
      </c>
      <c r="L241" s="190" t="s">
        <v>15</v>
      </c>
      <c r="M241" s="199" t="s">
        <v>593</v>
      </c>
      <c r="N241" s="200">
        <v>180</v>
      </c>
      <c r="O241" s="201">
        <v>44949</v>
      </c>
      <c r="P241" s="201">
        <v>44949</v>
      </c>
      <c r="Q241" s="202" t="s">
        <v>743</v>
      </c>
    </row>
    <row r="242" spans="1:17" ht="15.75" customHeight="1" x14ac:dyDescent="0.25">
      <c r="A242" s="246"/>
      <c r="B242" s="261"/>
      <c r="C242" s="250" t="s">
        <v>616</v>
      </c>
      <c r="D242" s="218"/>
      <c r="E242" s="92">
        <v>422788.72</v>
      </c>
      <c r="F242" s="93">
        <v>45085</v>
      </c>
      <c r="G242" s="72">
        <f t="shared" ca="1" si="35"/>
        <v>128</v>
      </c>
      <c r="H242" s="94">
        <f>E242*5%</f>
        <v>21139.436000000002</v>
      </c>
      <c r="I242" s="93">
        <v>44720</v>
      </c>
      <c r="J242" s="93">
        <v>45175</v>
      </c>
      <c r="K242" s="72">
        <f t="shared" ca="1" si="36"/>
        <v>218</v>
      </c>
      <c r="L242" s="218" t="s">
        <v>277</v>
      </c>
      <c r="M242" s="120" t="s">
        <v>623</v>
      </c>
      <c r="N242" s="221">
        <v>150</v>
      </c>
      <c r="O242" s="224">
        <v>44733</v>
      </c>
      <c r="P242" s="224">
        <v>44733</v>
      </c>
      <c r="Q242" s="116"/>
    </row>
    <row r="243" spans="1:17" ht="15" customHeight="1" x14ac:dyDescent="0.25">
      <c r="A243" s="246"/>
      <c r="B243" s="261"/>
      <c r="C243" s="251"/>
      <c r="D243" s="219" t="s">
        <v>765</v>
      </c>
      <c r="E243" s="334">
        <v>441410.16</v>
      </c>
      <c r="F243" s="79">
        <v>45085</v>
      </c>
      <c r="G243" s="76">
        <f t="shared" ca="1" si="35"/>
        <v>128</v>
      </c>
      <c r="H243" s="77">
        <f>E243*5%-H242</f>
        <v>931.07200000000012</v>
      </c>
      <c r="I243" s="79"/>
      <c r="J243" s="79"/>
      <c r="K243" s="76"/>
      <c r="L243" s="219"/>
      <c r="M243" s="124"/>
      <c r="N243" s="222"/>
      <c r="O243" s="225"/>
      <c r="P243" s="225"/>
      <c r="Q243" s="125"/>
    </row>
    <row r="244" spans="1:17" ht="15.75" customHeight="1" thickBot="1" x14ac:dyDescent="0.3">
      <c r="A244" s="245"/>
      <c r="B244" s="243"/>
      <c r="C244" s="252"/>
      <c r="D244" s="220"/>
      <c r="E244" s="84">
        <v>444934.83</v>
      </c>
      <c r="F244" s="85">
        <v>45085</v>
      </c>
      <c r="G244" s="86">
        <f t="shared" ca="1" si="35"/>
        <v>128</v>
      </c>
      <c r="H244" s="87">
        <f>E244*5%-SUM(H242:H243)</f>
        <v>176.2335000000021</v>
      </c>
      <c r="I244" s="85"/>
      <c r="J244" s="85"/>
      <c r="K244" s="86"/>
      <c r="L244" s="220"/>
      <c r="M244" s="121"/>
      <c r="N244" s="223"/>
      <c r="O244" s="88"/>
      <c r="P244" s="88"/>
      <c r="Q244" s="126"/>
    </row>
    <row r="245" spans="1:17" x14ac:dyDescent="0.25">
      <c r="A245" s="244">
        <v>8292</v>
      </c>
      <c r="B245" s="250" t="s">
        <v>653</v>
      </c>
      <c r="C245" s="254" t="s">
        <v>654</v>
      </c>
      <c r="D245" s="73"/>
      <c r="E245" s="92">
        <v>1412727.24</v>
      </c>
      <c r="F245" s="93">
        <v>45170</v>
      </c>
      <c r="G245" s="72">
        <f ca="1">F245-$A$1</f>
        <v>213</v>
      </c>
      <c r="H245" s="94"/>
      <c r="I245" s="93"/>
      <c r="J245" s="93"/>
      <c r="K245" s="72"/>
      <c r="L245" s="73"/>
      <c r="M245" s="120"/>
      <c r="N245" s="96"/>
      <c r="O245" s="117"/>
      <c r="P245" s="117"/>
      <c r="Q245" s="116"/>
    </row>
    <row r="246" spans="1:17" ht="15.75" customHeight="1" thickBot="1" x14ac:dyDescent="0.3">
      <c r="A246" s="245"/>
      <c r="B246" s="252"/>
      <c r="C246" s="255"/>
      <c r="D246" s="83" t="s">
        <v>437</v>
      </c>
      <c r="E246" s="84">
        <v>1377693.24</v>
      </c>
      <c r="F246" s="85">
        <v>45170</v>
      </c>
      <c r="G246" s="86">
        <f ca="1">F246-$A$1</f>
        <v>213</v>
      </c>
      <c r="H246" s="87">
        <f>E246*5%</f>
        <v>68884.661999999997</v>
      </c>
      <c r="I246" s="85">
        <v>44805</v>
      </c>
      <c r="J246" s="85">
        <v>45260</v>
      </c>
      <c r="K246" s="86">
        <f t="shared" ca="1" si="36"/>
        <v>303</v>
      </c>
      <c r="L246" s="83" t="s">
        <v>15</v>
      </c>
      <c r="M246" s="121" t="s">
        <v>665</v>
      </c>
      <c r="N246" s="90">
        <v>270</v>
      </c>
      <c r="O246" s="88">
        <v>44824</v>
      </c>
      <c r="P246" s="88">
        <v>44824</v>
      </c>
      <c r="Q246" s="126" t="s">
        <v>617</v>
      </c>
    </row>
    <row r="248" spans="1:17" ht="15" x14ac:dyDescent="0.25">
      <c r="H248" s="166"/>
      <c r="K248" s="56">
        <f>13.75/1.25</f>
        <v>11</v>
      </c>
    </row>
    <row r="258" spans="7:7" x14ac:dyDescent="0.25">
      <c r="G258" s="65"/>
    </row>
  </sheetData>
  <autoFilter ref="A4:Q246" xr:uid="{00000000-0009-0000-0000-000000000000}"/>
  <mergeCells count="153">
    <mergeCell ref="A240:A244"/>
    <mergeCell ref="B240:B244"/>
    <mergeCell ref="C242:C244"/>
    <mergeCell ref="I238:I239"/>
    <mergeCell ref="J238:J239"/>
    <mergeCell ref="K238:K239"/>
    <mergeCell ref="L238:L239"/>
    <mergeCell ref="M238:M239"/>
    <mergeCell ref="N238:N239"/>
    <mergeCell ref="A235:A239"/>
    <mergeCell ref="B235:B239"/>
    <mergeCell ref="C235:C239"/>
    <mergeCell ref="C68:C73"/>
    <mergeCell ref="A5:A15"/>
    <mergeCell ref="B5:B15"/>
    <mergeCell ref="C5:C15"/>
    <mergeCell ref="A110:A116"/>
    <mergeCell ref="B110:B116"/>
    <mergeCell ref="C110:C116"/>
    <mergeCell ref="B102:B109"/>
    <mergeCell ref="C102:C109"/>
    <mergeCell ref="A61:A67"/>
    <mergeCell ref="B61:B67"/>
    <mergeCell ref="C61:C67"/>
    <mergeCell ref="A50:A60"/>
    <mergeCell ref="B50:B60"/>
    <mergeCell ref="C50:C60"/>
    <mergeCell ref="A16:A24"/>
    <mergeCell ref="A74:A88"/>
    <mergeCell ref="B74:B88"/>
    <mergeCell ref="C74:C88"/>
    <mergeCell ref="A68:A73"/>
    <mergeCell ref="B231:B234"/>
    <mergeCell ref="A179:A181"/>
    <mergeCell ref="B179:B181"/>
    <mergeCell ref="C179:C181"/>
    <mergeCell ref="A182:A187"/>
    <mergeCell ref="B182:B187"/>
    <mergeCell ref="A138:A148"/>
    <mergeCell ref="B138:B148"/>
    <mergeCell ref="C138:C148"/>
    <mergeCell ref="A149:A154"/>
    <mergeCell ref="B149:B154"/>
    <mergeCell ref="C149:C154"/>
    <mergeCell ref="C168:C174"/>
    <mergeCell ref="C222:C223"/>
    <mergeCell ref="J188:J189"/>
    <mergeCell ref="D188:D189"/>
    <mergeCell ref="E188:E189"/>
    <mergeCell ref="F188:F189"/>
    <mergeCell ref="G188:G189"/>
    <mergeCell ref="H188:H189"/>
    <mergeCell ref="G195:G196"/>
    <mergeCell ref="A204:A206"/>
    <mergeCell ref="B204:B206"/>
    <mergeCell ref="C204:C206"/>
    <mergeCell ref="A188:A197"/>
    <mergeCell ref="B188:B197"/>
    <mergeCell ref="C188:C197"/>
    <mergeCell ref="A198:A202"/>
    <mergeCell ref="B198:B202"/>
    <mergeCell ref="C198:C202"/>
    <mergeCell ref="I227:I228"/>
    <mergeCell ref="J227:J228"/>
    <mergeCell ref="K227:K228"/>
    <mergeCell ref="D195:D196"/>
    <mergeCell ref="E195:E196"/>
    <mergeCell ref="F195:F196"/>
    <mergeCell ref="P227:P228"/>
    <mergeCell ref="A97:A101"/>
    <mergeCell ref="B97:B101"/>
    <mergeCell ref="C97:C101"/>
    <mergeCell ref="E144:E145"/>
    <mergeCell ref="D227:D228"/>
    <mergeCell ref="O227:O228"/>
    <mergeCell ref="N227:N228"/>
    <mergeCell ref="L227:L228"/>
    <mergeCell ref="G144:G145"/>
    <mergeCell ref="H144:H145"/>
    <mergeCell ref="F144:F145"/>
    <mergeCell ref="D144:D145"/>
    <mergeCell ref="K188:K189"/>
    <mergeCell ref="I188:I189"/>
    <mergeCell ref="E227:E228"/>
    <mergeCell ref="F227:F228"/>
    <mergeCell ref="G227:G228"/>
    <mergeCell ref="B1:Q2"/>
    <mergeCell ref="A1:A2"/>
    <mergeCell ref="A3:G3"/>
    <mergeCell ref="H3:Q3"/>
    <mergeCell ref="K121:K122"/>
    <mergeCell ref="F121:F122"/>
    <mergeCell ref="G121:G122"/>
    <mergeCell ref="H121:H122"/>
    <mergeCell ref="I121:I122"/>
    <mergeCell ref="J121:J122"/>
    <mergeCell ref="D121:D122"/>
    <mergeCell ref="E121:E122"/>
    <mergeCell ref="A89:A96"/>
    <mergeCell ref="B89:B96"/>
    <mergeCell ref="C89:C96"/>
    <mergeCell ref="B117:B130"/>
    <mergeCell ref="C117:C130"/>
    <mergeCell ref="A117:A130"/>
    <mergeCell ref="B16:B24"/>
    <mergeCell ref="C16:C24"/>
    <mergeCell ref="B68:B73"/>
    <mergeCell ref="A25:A39"/>
    <mergeCell ref="B25:B39"/>
    <mergeCell ref="C25:C39"/>
    <mergeCell ref="B131:B137"/>
    <mergeCell ref="H227:H228"/>
    <mergeCell ref="A168:A174"/>
    <mergeCell ref="B168:B174"/>
    <mergeCell ref="C212:C216"/>
    <mergeCell ref="A212:A216"/>
    <mergeCell ref="B212:B216"/>
    <mergeCell ref="A217:A221"/>
    <mergeCell ref="B217:B221"/>
    <mergeCell ref="C217:C221"/>
    <mergeCell ref="B175:B178"/>
    <mergeCell ref="C175:C178"/>
    <mergeCell ref="B207:B210"/>
    <mergeCell ref="C207:C210"/>
    <mergeCell ref="A175:A178"/>
    <mergeCell ref="A207:A210"/>
    <mergeCell ref="A224:A230"/>
    <mergeCell ref="B224:B230"/>
    <mergeCell ref="C224:C230"/>
    <mergeCell ref="A222:A223"/>
    <mergeCell ref="B222:B223"/>
    <mergeCell ref="C240:C241"/>
    <mergeCell ref="A245:A246"/>
    <mergeCell ref="A40:A49"/>
    <mergeCell ref="B40:B49"/>
    <mergeCell ref="C40:C49"/>
    <mergeCell ref="C182:C187"/>
    <mergeCell ref="B245:B246"/>
    <mergeCell ref="C245:C246"/>
    <mergeCell ref="A155:A156"/>
    <mergeCell ref="B157:B162"/>
    <mergeCell ref="C157:C162"/>
    <mergeCell ref="B155:B156"/>
    <mergeCell ref="C155:C156"/>
    <mergeCell ref="A157:A162"/>
    <mergeCell ref="A102:A109"/>
    <mergeCell ref="A231:A234"/>
    <mergeCell ref="C231:C234"/>
    <mergeCell ref="A163:A167"/>
    <mergeCell ref="B163:B167"/>
    <mergeCell ref="C131:C137"/>
    <mergeCell ref="C163:C167"/>
    <mergeCell ref="A131:A137"/>
  </mergeCells>
  <phoneticPr fontId="17" type="noConversion"/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8A79-110C-4144-BC4D-DED900892314}">
  <sheetPr filterMode="1"/>
  <dimension ref="A1:K255"/>
  <sheetViews>
    <sheetView topLeftCell="A240" zoomScale="80" zoomScaleNormal="80" workbookViewId="0">
      <selection activeCell="E258" sqref="E258"/>
    </sheetView>
  </sheetViews>
  <sheetFormatPr defaultColWidth="9.140625" defaultRowHeight="17.25" x14ac:dyDescent="0.25"/>
  <cols>
    <col min="1" max="1" width="12.7109375" style="52" customWidth="1"/>
    <col min="2" max="2" width="14.42578125" style="39" customWidth="1"/>
    <col min="3" max="3" width="20.140625" style="176" bestFit="1" customWidth="1"/>
    <col min="4" max="4" width="14.42578125" style="39" hidden="1" customWidth="1"/>
    <col min="5" max="5" width="36.7109375" style="40" customWidth="1"/>
    <col min="6" max="6" width="67.7109375" style="39" bestFit="1" customWidth="1"/>
    <col min="7" max="7" width="15.28515625" style="52" customWidth="1"/>
    <col min="8" max="8" width="16.28515625" style="42" bestFit="1" customWidth="1"/>
    <col min="9" max="16384" width="9.140625" style="39"/>
  </cols>
  <sheetData>
    <row r="1" spans="1:8" ht="18" x14ac:dyDescent="0.25">
      <c r="A1" s="38" t="s">
        <v>113</v>
      </c>
      <c r="G1" s="41"/>
    </row>
    <row r="3" spans="1:8" ht="33.75" customHeight="1" x14ac:dyDescent="0.25">
      <c r="A3" s="43" t="s">
        <v>114</v>
      </c>
      <c r="B3" s="44" t="s">
        <v>115</v>
      </c>
      <c r="C3" s="44" t="s">
        <v>1</v>
      </c>
      <c r="D3" s="44" t="s">
        <v>4</v>
      </c>
      <c r="E3" s="45" t="s">
        <v>116</v>
      </c>
      <c r="F3" s="46" t="s">
        <v>117</v>
      </c>
      <c r="G3" s="43" t="s">
        <v>118</v>
      </c>
      <c r="H3" s="47" t="s">
        <v>6</v>
      </c>
    </row>
    <row r="4" spans="1:8" hidden="1" x14ac:dyDescent="0.25">
      <c r="A4" s="48">
        <v>43913</v>
      </c>
      <c r="B4" s="49"/>
      <c r="C4" s="49" t="s">
        <v>119</v>
      </c>
      <c r="D4" s="49"/>
      <c r="E4" s="50"/>
      <c r="F4" s="49" t="s">
        <v>120</v>
      </c>
      <c r="G4" s="48">
        <v>43937</v>
      </c>
      <c r="H4" s="51">
        <v>503.86</v>
      </c>
    </row>
    <row r="5" spans="1:8" hidden="1" x14ac:dyDescent="0.25">
      <c r="A5" s="48">
        <v>43928</v>
      </c>
      <c r="B5" s="49">
        <v>8249</v>
      </c>
      <c r="C5" s="49" t="s">
        <v>121</v>
      </c>
      <c r="D5" s="49" t="s">
        <v>36</v>
      </c>
      <c r="E5" s="50" t="s">
        <v>122</v>
      </c>
      <c r="F5" s="49" t="s">
        <v>123</v>
      </c>
      <c r="G5" s="48">
        <v>43951</v>
      </c>
      <c r="H5" s="51">
        <v>180</v>
      </c>
    </row>
    <row r="6" spans="1:8" hidden="1" x14ac:dyDescent="0.25">
      <c r="A6" s="48">
        <v>43928</v>
      </c>
      <c r="B6" s="49">
        <v>8249</v>
      </c>
      <c r="C6" s="49" t="s">
        <v>121</v>
      </c>
      <c r="D6" s="49" t="s">
        <v>41</v>
      </c>
      <c r="E6" s="50" t="s">
        <v>124</v>
      </c>
      <c r="F6" s="49" t="s">
        <v>125</v>
      </c>
      <c r="G6" s="48">
        <v>43951</v>
      </c>
      <c r="H6" s="51">
        <v>180</v>
      </c>
    </row>
    <row r="7" spans="1:8" hidden="1" x14ac:dyDescent="0.25">
      <c r="A7" s="305">
        <v>43929</v>
      </c>
      <c r="B7" s="306"/>
      <c r="C7" s="306" t="s">
        <v>126</v>
      </c>
      <c r="D7" s="316">
        <v>44044</v>
      </c>
      <c r="E7" s="308" t="s">
        <v>127</v>
      </c>
      <c r="F7" s="49" t="s">
        <v>128</v>
      </c>
      <c r="G7" s="48">
        <v>43951</v>
      </c>
      <c r="H7" s="51">
        <v>455</v>
      </c>
    </row>
    <row r="8" spans="1:8" hidden="1" x14ac:dyDescent="0.25">
      <c r="A8" s="305"/>
      <c r="B8" s="306"/>
      <c r="C8" s="306"/>
      <c r="D8" s="316"/>
      <c r="E8" s="308"/>
      <c r="F8" s="49" t="s">
        <v>129</v>
      </c>
      <c r="G8" s="48">
        <v>43981</v>
      </c>
      <c r="H8" s="51">
        <v>455</v>
      </c>
    </row>
    <row r="9" spans="1:8" hidden="1" x14ac:dyDescent="0.25">
      <c r="A9" s="305">
        <v>43929</v>
      </c>
      <c r="B9" s="306">
        <v>8241</v>
      </c>
      <c r="C9" s="306" t="s">
        <v>130</v>
      </c>
      <c r="D9" s="306" t="s">
        <v>131</v>
      </c>
      <c r="E9" s="308" t="s">
        <v>71</v>
      </c>
      <c r="F9" s="49" t="s">
        <v>132</v>
      </c>
      <c r="G9" s="48">
        <v>43951</v>
      </c>
      <c r="H9" s="51">
        <v>371</v>
      </c>
    </row>
    <row r="10" spans="1:8" hidden="1" x14ac:dyDescent="0.25">
      <c r="A10" s="305"/>
      <c r="B10" s="306"/>
      <c r="C10" s="306"/>
      <c r="D10" s="306"/>
      <c r="E10" s="308"/>
      <c r="F10" s="49" t="s">
        <v>133</v>
      </c>
      <c r="G10" s="48">
        <v>43981</v>
      </c>
      <c r="H10" s="51">
        <v>371</v>
      </c>
    </row>
    <row r="11" spans="1:8" hidden="1" x14ac:dyDescent="0.25">
      <c r="A11" s="305"/>
      <c r="B11" s="306"/>
      <c r="C11" s="306"/>
      <c r="D11" s="306"/>
      <c r="E11" s="308"/>
      <c r="F11" s="49" t="s">
        <v>134</v>
      </c>
      <c r="G11" s="48">
        <v>44012</v>
      </c>
      <c r="H11" s="51">
        <v>371</v>
      </c>
    </row>
    <row r="12" spans="1:8" hidden="1" x14ac:dyDescent="0.25">
      <c r="A12" s="305"/>
      <c r="B12" s="306"/>
      <c r="C12" s="306"/>
      <c r="D12" s="306"/>
      <c r="E12" s="308"/>
      <c r="F12" s="49" t="s">
        <v>135</v>
      </c>
      <c r="G12" s="48">
        <v>44042</v>
      </c>
      <c r="H12" s="51">
        <v>371</v>
      </c>
    </row>
    <row r="13" spans="1:8" hidden="1" x14ac:dyDescent="0.25">
      <c r="A13" s="48">
        <v>43934</v>
      </c>
      <c r="B13" s="49">
        <v>8252</v>
      </c>
      <c r="C13" s="49" t="s">
        <v>136</v>
      </c>
      <c r="D13" s="49" t="s">
        <v>137</v>
      </c>
      <c r="E13" s="50" t="s">
        <v>138</v>
      </c>
      <c r="F13" s="49" t="s">
        <v>139</v>
      </c>
      <c r="G13" s="48">
        <v>43956</v>
      </c>
      <c r="H13" s="51">
        <v>199</v>
      </c>
    </row>
    <row r="14" spans="1:8" hidden="1" x14ac:dyDescent="0.25">
      <c r="A14" s="305">
        <v>43949</v>
      </c>
      <c r="B14" s="306">
        <v>8244</v>
      </c>
      <c r="C14" s="306" t="s">
        <v>140</v>
      </c>
      <c r="D14" s="306" t="s">
        <v>16</v>
      </c>
      <c r="E14" s="308" t="s">
        <v>73</v>
      </c>
      <c r="F14" s="49" t="s">
        <v>141</v>
      </c>
      <c r="G14" s="48">
        <v>43966</v>
      </c>
      <c r="H14" s="51">
        <v>599</v>
      </c>
    </row>
    <row r="15" spans="1:8" hidden="1" x14ac:dyDescent="0.25">
      <c r="A15" s="305"/>
      <c r="B15" s="306"/>
      <c r="C15" s="306"/>
      <c r="D15" s="306"/>
      <c r="E15" s="308"/>
      <c r="F15" s="49" t="s">
        <v>142</v>
      </c>
      <c r="G15" s="48">
        <v>43997</v>
      </c>
      <c r="H15" s="51">
        <v>599</v>
      </c>
    </row>
    <row r="16" spans="1:8" hidden="1" x14ac:dyDescent="0.25">
      <c r="A16" s="305"/>
      <c r="B16" s="306"/>
      <c r="C16" s="306"/>
      <c r="D16" s="306"/>
      <c r="E16" s="308"/>
      <c r="F16" s="49" t="s">
        <v>143</v>
      </c>
      <c r="G16" s="48">
        <v>44027</v>
      </c>
      <c r="H16" s="51">
        <v>599</v>
      </c>
    </row>
    <row r="17" spans="1:8" hidden="1" x14ac:dyDescent="0.25">
      <c r="A17" s="305"/>
      <c r="B17" s="306"/>
      <c r="C17" s="306"/>
      <c r="D17" s="306"/>
      <c r="E17" s="308"/>
      <c r="F17" s="49" t="s">
        <v>144</v>
      </c>
      <c r="G17" s="48">
        <v>44058</v>
      </c>
      <c r="H17" s="51">
        <v>599</v>
      </c>
    </row>
    <row r="18" spans="1:8" hidden="1" x14ac:dyDescent="0.25">
      <c r="A18" s="305">
        <v>43950</v>
      </c>
      <c r="B18" s="306">
        <v>8242</v>
      </c>
      <c r="C18" s="306" t="s">
        <v>145</v>
      </c>
      <c r="D18" s="306" t="s">
        <v>34</v>
      </c>
      <c r="E18" s="308" t="s">
        <v>146</v>
      </c>
      <c r="F18" s="49" t="s">
        <v>147</v>
      </c>
      <c r="G18" s="48">
        <v>43969</v>
      </c>
      <c r="H18" s="51">
        <v>405</v>
      </c>
    </row>
    <row r="19" spans="1:8" hidden="1" x14ac:dyDescent="0.25">
      <c r="A19" s="305"/>
      <c r="B19" s="306"/>
      <c r="C19" s="306"/>
      <c r="D19" s="306"/>
      <c r="E19" s="308"/>
      <c r="F19" s="49" t="s">
        <v>148</v>
      </c>
      <c r="G19" s="48">
        <v>44000</v>
      </c>
      <c r="H19" s="51">
        <v>405</v>
      </c>
    </row>
    <row r="20" spans="1:8" hidden="1" x14ac:dyDescent="0.25">
      <c r="A20" s="48">
        <v>43965</v>
      </c>
      <c r="B20" s="49">
        <v>8243</v>
      </c>
      <c r="C20" s="49" t="s">
        <v>149</v>
      </c>
      <c r="D20" s="49" t="s">
        <v>150</v>
      </c>
      <c r="E20" s="50" t="s">
        <v>151</v>
      </c>
      <c r="F20" s="49" t="s">
        <v>152</v>
      </c>
      <c r="G20" s="48">
        <v>43987</v>
      </c>
      <c r="H20" s="51">
        <v>180</v>
      </c>
    </row>
    <row r="21" spans="1:8" hidden="1" x14ac:dyDescent="0.25">
      <c r="A21" s="48">
        <v>43980</v>
      </c>
      <c r="B21" s="49">
        <v>8266</v>
      </c>
      <c r="C21" s="49" t="s">
        <v>153</v>
      </c>
      <c r="D21" s="49" t="s">
        <v>154</v>
      </c>
      <c r="E21" s="50" t="s">
        <v>155</v>
      </c>
      <c r="F21" s="49" t="s">
        <v>156</v>
      </c>
      <c r="G21" s="48">
        <v>43987</v>
      </c>
      <c r="H21" s="51">
        <v>181.8</v>
      </c>
    </row>
    <row r="22" spans="1:8" hidden="1" x14ac:dyDescent="0.25">
      <c r="A22" s="305">
        <v>43983</v>
      </c>
      <c r="B22" s="306">
        <v>8251</v>
      </c>
      <c r="C22" s="306" t="s">
        <v>157</v>
      </c>
      <c r="D22" s="306" t="s">
        <v>61</v>
      </c>
      <c r="E22" s="308" t="s">
        <v>158</v>
      </c>
      <c r="F22" s="49" t="s">
        <v>159</v>
      </c>
      <c r="G22" s="48">
        <v>44000</v>
      </c>
      <c r="H22" s="51">
        <v>373</v>
      </c>
    </row>
    <row r="23" spans="1:8" hidden="1" x14ac:dyDescent="0.25">
      <c r="A23" s="305"/>
      <c r="B23" s="306"/>
      <c r="C23" s="306"/>
      <c r="D23" s="306"/>
      <c r="E23" s="308"/>
      <c r="F23" s="49" t="s">
        <v>160</v>
      </c>
      <c r="G23" s="48">
        <v>44030</v>
      </c>
      <c r="H23" s="51">
        <v>373</v>
      </c>
    </row>
    <row r="24" spans="1:8" hidden="1" x14ac:dyDescent="0.25">
      <c r="A24" s="305"/>
      <c r="B24" s="306"/>
      <c r="C24" s="306"/>
      <c r="D24" s="306"/>
      <c r="E24" s="308"/>
      <c r="F24" s="49" t="s">
        <v>161</v>
      </c>
      <c r="G24" s="48">
        <v>44061</v>
      </c>
      <c r="H24" s="51">
        <v>373</v>
      </c>
    </row>
    <row r="25" spans="1:8" hidden="1" x14ac:dyDescent="0.25">
      <c r="A25" s="305">
        <v>43987</v>
      </c>
      <c r="B25" s="306">
        <v>8270</v>
      </c>
      <c r="C25" s="307" t="s">
        <v>162</v>
      </c>
      <c r="D25" s="306" t="s">
        <v>163</v>
      </c>
      <c r="E25" s="308" t="s">
        <v>164</v>
      </c>
      <c r="F25" s="49" t="s">
        <v>165</v>
      </c>
      <c r="G25" s="48">
        <v>44011</v>
      </c>
      <c r="H25" s="51">
        <v>613</v>
      </c>
    </row>
    <row r="26" spans="1:8" hidden="1" x14ac:dyDescent="0.25">
      <c r="A26" s="305"/>
      <c r="B26" s="306"/>
      <c r="C26" s="307"/>
      <c r="D26" s="306"/>
      <c r="E26" s="308"/>
      <c r="F26" s="49" t="s">
        <v>166</v>
      </c>
      <c r="G26" s="48">
        <v>44041</v>
      </c>
      <c r="H26" s="51">
        <v>613</v>
      </c>
    </row>
    <row r="27" spans="1:8" hidden="1" x14ac:dyDescent="0.25">
      <c r="A27" s="305"/>
      <c r="B27" s="306"/>
      <c r="C27" s="307"/>
      <c r="D27" s="306"/>
      <c r="E27" s="308"/>
      <c r="F27" s="49" t="s">
        <v>167</v>
      </c>
      <c r="G27" s="48">
        <v>44072</v>
      </c>
      <c r="H27" s="51">
        <v>613</v>
      </c>
    </row>
    <row r="28" spans="1:8" hidden="1" x14ac:dyDescent="0.25">
      <c r="A28" s="305"/>
      <c r="B28" s="306"/>
      <c r="C28" s="307"/>
      <c r="D28" s="306"/>
      <c r="E28" s="308"/>
      <c r="F28" s="49" t="s">
        <v>168</v>
      </c>
      <c r="G28" s="48">
        <v>44103</v>
      </c>
      <c r="H28" s="51">
        <v>613</v>
      </c>
    </row>
    <row r="29" spans="1:8" hidden="1" x14ac:dyDescent="0.25">
      <c r="A29" s="48">
        <v>43992</v>
      </c>
      <c r="B29" s="49">
        <v>8249</v>
      </c>
      <c r="C29" s="49" t="s">
        <v>121</v>
      </c>
      <c r="D29" s="49" t="s">
        <v>169</v>
      </c>
      <c r="E29" s="50" t="s">
        <v>170</v>
      </c>
      <c r="F29" s="49" t="s">
        <v>171</v>
      </c>
      <c r="G29" s="48">
        <v>44022</v>
      </c>
      <c r="H29" s="51">
        <v>180</v>
      </c>
    </row>
    <row r="30" spans="1:8" hidden="1" x14ac:dyDescent="0.25">
      <c r="A30" s="305">
        <v>44000</v>
      </c>
      <c r="B30" s="306">
        <v>8266</v>
      </c>
      <c r="C30" s="306" t="s">
        <v>153</v>
      </c>
      <c r="D30" s="306" t="s">
        <v>154</v>
      </c>
      <c r="E30" s="308" t="s">
        <v>155</v>
      </c>
      <c r="F30" s="49" t="s">
        <v>172</v>
      </c>
      <c r="G30" s="48">
        <v>44027</v>
      </c>
      <c r="H30" s="51">
        <v>1060</v>
      </c>
    </row>
    <row r="31" spans="1:8" hidden="1" x14ac:dyDescent="0.25">
      <c r="A31" s="305"/>
      <c r="B31" s="306"/>
      <c r="C31" s="306"/>
      <c r="D31" s="306"/>
      <c r="E31" s="308"/>
      <c r="F31" s="49" t="s">
        <v>173</v>
      </c>
      <c r="G31" s="48">
        <v>44058</v>
      </c>
      <c r="H31" s="51">
        <v>1060</v>
      </c>
    </row>
    <row r="32" spans="1:8" hidden="1" x14ac:dyDescent="0.25">
      <c r="A32" s="305"/>
      <c r="B32" s="306"/>
      <c r="C32" s="306"/>
      <c r="D32" s="306"/>
      <c r="E32" s="308"/>
      <c r="F32" s="49" t="s">
        <v>174</v>
      </c>
      <c r="G32" s="48">
        <v>44089</v>
      </c>
      <c r="H32" s="51">
        <v>1060</v>
      </c>
    </row>
    <row r="33" spans="1:10" hidden="1" x14ac:dyDescent="0.25">
      <c r="A33" s="305"/>
      <c r="B33" s="306"/>
      <c r="C33" s="306"/>
      <c r="D33" s="306"/>
      <c r="E33" s="308"/>
      <c r="F33" s="49" t="s">
        <v>175</v>
      </c>
      <c r="G33" s="48">
        <v>44119</v>
      </c>
      <c r="H33" s="51">
        <v>1060</v>
      </c>
    </row>
    <row r="34" spans="1:10" hidden="1" x14ac:dyDescent="0.25">
      <c r="A34" s="48">
        <v>44013</v>
      </c>
      <c r="B34" s="49">
        <v>8255</v>
      </c>
      <c r="C34" s="49" t="s">
        <v>176</v>
      </c>
      <c r="D34" s="49" t="s">
        <v>47</v>
      </c>
      <c r="E34" s="50" t="s">
        <v>72</v>
      </c>
      <c r="F34" s="49" t="s">
        <v>177</v>
      </c>
      <c r="G34" s="48">
        <v>44032</v>
      </c>
      <c r="H34" s="51">
        <v>180</v>
      </c>
    </row>
    <row r="35" spans="1:10" hidden="1" x14ac:dyDescent="0.25">
      <c r="A35" s="48">
        <v>44013</v>
      </c>
      <c r="B35" s="49"/>
      <c r="C35" s="49" t="s">
        <v>178</v>
      </c>
      <c r="D35" s="49" t="s">
        <v>179</v>
      </c>
      <c r="E35" s="50" t="s">
        <v>180</v>
      </c>
      <c r="F35" s="49" t="s">
        <v>181</v>
      </c>
      <c r="G35" s="48">
        <v>44032</v>
      </c>
      <c r="H35" s="51">
        <v>599</v>
      </c>
    </row>
    <row r="36" spans="1:10" hidden="1" x14ac:dyDescent="0.25">
      <c r="A36" s="305">
        <v>44015</v>
      </c>
      <c r="B36" s="306">
        <v>8254</v>
      </c>
      <c r="C36" s="306" t="s">
        <v>182</v>
      </c>
      <c r="D36" s="306" t="s">
        <v>44</v>
      </c>
      <c r="E36" s="308" t="s">
        <v>183</v>
      </c>
      <c r="F36" s="49" t="s">
        <v>184</v>
      </c>
      <c r="G36" s="48">
        <v>44043</v>
      </c>
      <c r="H36" s="51">
        <v>1312</v>
      </c>
    </row>
    <row r="37" spans="1:10" hidden="1" x14ac:dyDescent="0.25">
      <c r="A37" s="305"/>
      <c r="B37" s="306"/>
      <c r="C37" s="306"/>
      <c r="D37" s="306"/>
      <c r="E37" s="308"/>
      <c r="F37" s="49" t="s">
        <v>185</v>
      </c>
      <c r="G37" s="48">
        <v>44073</v>
      </c>
      <c r="H37" s="51">
        <v>1312</v>
      </c>
    </row>
    <row r="38" spans="1:10" hidden="1" x14ac:dyDescent="0.25">
      <c r="A38" s="305"/>
      <c r="B38" s="306"/>
      <c r="C38" s="306"/>
      <c r="D38" s="306"/>
      <c r="E38" s="308"/>
      <c r="F38" s="49" t="s">
        <v>186</v>
      </c>
      <c r="G38" s="48">
        <v>44103</v>
      </c>
      <c r="H38" s="51">
        <v>1312</v>
      </c>
    </row>
    <row r="39" spans="1:10" hidden="1" x14ac:dyDescent="0.25">
      <c r="A39" s="305"/>
      <c r="B39" s="306"/>
      <c r="C39" s="306"/>
      <c r="D39" s="306"/>
      <c r="E39" s="308"/>
      <c r="F39" s="49" t="s">
        <v>187</v>
      </c>
      <c r="G39" s="48">
        <v>44133</v>
      </c>
      <c r="H39" s="51">
        <v>1312</v>
      </c>
    </row>
    <row r="40" spans="1:10" hidden="1" x14ac:dyDescent="0.25">
      <c r="A40" s="48">
        <v>44015</v>
      </c>
      <c r="B40" s="49">
        <v>8244</v>
      </c>
      <c r="C40" s="49" t="s">
        <v>188</v>
      </c>
      <c r="D40" s="49" t="s">
        <v>16</v>
      </c>
      <c r="E40" s="50" t="s">
        <v>73</v>
      </c>
      <c r="F40" s="49" t="s">
        <v>189</v>
      </c>
      <c r="G40" s="48">
        <v>44030</v>
      </c>
      <c r="H40" s="51">
        <v>180</v>
      </c>
    </row>
    <row r="41" spans="1:10" hidden="1" x14ac:dyDescent="0.25">
      <c r="A41" s="48">
        <v>44028</v>
      </c>
      <c r="B41" s="49">
        <v>8266</v>
      </c>
      <c r="C41" s="49" t="s">
        <v>153</v>
      </c>
      <c r="D41" s="49" t="s">
        <v>60</v>
      </c>
      <c r="E41" s="50" t="s">
        <v>155</v>
      </c>
      <c r="F41" s="49" t="s">
        <v>190</v>
      </c>
      <c r="G41" s="48">
        <v>44053</v>
      </c>
      <c r="H41" s="51">
        <v>668</v>
      </c>
    </row>
    <row r="42" spans="1:10" hidden="1" x14ac:dyDescent="0.25">
      <c r="A42" s="48">
        <v>44032</v>
      </c>
      <c r="B42" s="49">
        <v>8257</v>
      </c>
      <c r="C42" s="49" t="s">
        <v>191</v>
      </c>
      <c r="D42" s="49" t="s">
        <v>68</v>
      </c>
      <c r="E42" s="50" t="s">
        <v>192</v>
      </c>
      <c r="F42" s="49" t="s">
        <v>193</v>
      </c>
      <c r="G42" s="48">
        <v>44053</v>
      </c>
      <c r="H42" s="51">
        <v>778</v>
      </c>
    </row>
    <row r="43" spans="1:10" hidden="1" x14ac:dyDescent="0.25">
      <c r="A43" s="48">
        <v>44032</v>
      </c>
      <c r="B43" s="49">
        <v>8264</v>
      </c>
      <c r="C43" s="49" t="s">
        <v>194</v>
      </c>
      <c r="D43" s="49" t="s">
        <v>195</v>
      </c>
      <c r="E43" s="50" t="s">
        <v>196</v>
      </c>
      <c r="F43" s="49" t="s">
        <v>197</v>
      </c>
      <c r="G43" s="48">
        <v>44043</v>
      </c>
      <c r="H43" s="51">
        <v>180</v>
      </c>
    </row>
    <row r="44" spans="1:10" hidden="1" x14ac:dyDescent="0.25">
      <c r="A44" s="305">
        <v>44063</v>
      </c>
      <c r="B44" s="306"/>
      <c r="C44" s="306" t="s">
        <v>198</v>
      </c>
      <c r="D44" s="306" t="s">
        <v>199</v>
      </c>
      <c r="E44" s="308" t="s">
        <v>200</v>
      </c>
      <c r="F44" s="49" t="s">
        <v>201</v>
      </c>
      <c r="G44" s="48">
        <v>44093</v>
      </c>
      <c r="H44" s="51">
        <v>1253</v>
      </c>
    </row>
    <row r="45" spans="1:10" hidden="1" x14ac:dyDescent="0.25">
      <c r="A45" s="305"/>
      <c r="B45" s="306"/>
      <c r="C45" s="306"/>
      <c r="D45" s="306"/>
      <c r="E45" s="308"/>
      <c r="F45" s="49" t="s">
        <v>202</v>
      </c>
      <c r="G45" s="48">
        <v>44123</v>
      </c>
      <c r="H45" s="51">
        <v>1253</v>
      </c>
    </row>
    <row r="46" spans="1:10" hidden="1" x14ac:dyDescent="0.25">
      <c r="A46" s="48">
        <v>44102</v>
      </c>
      <c r="B46" s="49">
        <v>8271</v>
      </c>
      <c r="C46" s="49" t="s">
        <v>109</v>
      </c>
      <c r="D46" s="49" t="s">
        <v>211</v>
      </c>
      <c r="E46" s="50" t="s">
        <v>212</v>
      </c>
      <c r="F46" s="49" t="s">
        <v>213</v>
      </c>
      <c r="G46" s="48">
        <v>44122</v>
      </c>
      <c r="H46" s="51">
        <v>1300</v>
      </c>
    </row>
    <row r="47" spans="1:10" hidden="1" x14ac:dyDescent="0.25">
      <c r="A47" s="48">
        <v>44109</v>
      </c>
      <c r="B47" s="49">
        <v>8234</v>
      </c>
      <c r="C47" s="49" t="s">
        <v>254</v>
      </c>
      <c r="D47" s="49" t="s">
        <v>255</v>
      </c>
      <c r="E47" s="50" t="s">
        <v>253</v>
      </c>
      <c r="F47" s="49" t="s">
        <v>256</v>
      </c>
      <c r="G47" s="48">
        <v>44129</v>
      </c>
      <c r="H47" s="51">
        <v>170</v>
      </c>
      <c r="I47" s="39" t="s">
        <v>257</v>
      </c>
      <c r="J47" s="39" t="s">
        <v>258</v>
      </c>
    </row>
    <row r="48" spans="1:10" hidden="1" x14ac:dyDescent="0.25">
      <c r="A48" s="48">
        <v>44111</v>
      </c>
      <c r="B48" s="49">
        <v>8361</v>
      </c>
      <c r="C48" s="49" t="s">
        <v>249</v>
      </c>
      <c r="D48" s="49" t="s">
        <v>259</v>
      </c>
      <c r="E48" s="50" t="s">
        <v>251</v>
      </c>
      <c r="F48" s="49" t="s">
        <v>260</v>
      </c>
      <c r="G48" s="48">
        <v>44136</v>
      </c>
      <c r="H48" s="51">
        <v>278.02</v>
      </c>
      <c r="I48" s="39" t="s">
        <v>257</v>
      </c>
      <c r="J48" s="39" t="s">
        <v>258</v>
      </c>
    </row>
    <row r="49" spans="1:10" hidden="1" x14ac:dyDescent="0.25">
      <c r="A49" s="48">
        <v>44130</v>
      </c>
      <c r="B49" s="49">
        <v>8271</v>
      </c>
      <c r="C49" s="49" t="s">
        <v>109</v>
      </c>
      <c r="D49" s="49" t="s">
        <v>265</v>
      </c>
      <c r="E49" s="50" t="s">
        <v>200</v>
      </c>
      <c r="F49" s="114" t="s">
        <v>266</v>
      </c>
      <c r="G49" s="48">
        <v>44150</v>
      </c>
      <c r="H49" s="51">
        <v>100</v>
      </c>
      <c r="I49" s="39" t="s">
        <v>257</v>
      </c>
      <c r="J49" s="39" t="s">
        <v>267</v>
      </c>
    </row>
    <row r="50" spans="1:10" hidden="1" x14ac:dyDescent="0.25">
      <c r="A50" s="48">
        <v>44134</v>
      </c>
      <c r="B50" s="49">
        <v>8231</v>
      </c>
      <c r="C50" s="49" t="s">
        <v>271</v>
      </c>
      <c r="D50" s="115" t="s">
        <v>272</v>
      </c>
      <c r="E50" s="50" t="s">
        <v>233</v>
      </c>
      <c r="F50" s="49" t="s">
        <v>270</v>
      </c>
      <c r="G50" s="48">
        <v>44150</v>
      </c>
      <c r="H50" s="51">
        <v>170</v>
      </c>
      <c r="I50" s="39" t="s">
        <v>257</v>
      </c>
      <c r="J50" s="39" t="s">
        <v>267</v>
      </c>
    </row>
    <row r="51" spans="1:10" hidden="1" x14ac:dyDescent="0.25">
      <c r="A51" s="305">
        <v>44153</v>
      </c>
      <c r="B51" s="306">
        <v>8274</v>
      </c>
      <c r="C51" s="306" t="s">
        <v>279</v>
      </c>
      <c r="D51" s="306"/>
      <c r="E51" s="308" t="s">
        <v>278</v>
      </c>
      <c r="F51" s="49"/>
      <c r="G51" s="48">
        <v>44160</v>
      </c>
      <c r="H51" s="51">
        <v>10113.26</v>
      </c>
      <c r="I51" s="39" t="s">
        <v>257</v>
      </c>
      <c r="J51" s="39" t="s">
        <v>267</v>
      </c>
    </row>
    <row r="52" spans="1:10" hidden="1" x14ac:dyDescent="0.25">
      <c r="A52" s="305"/>
      <c r="B52" s="306"/>
      <c r="C52" s="306"/>
      <c r="D52" s="306"/>
      <c r="E52" s="308"/>
      <c r="F52" s="49"/>
      <c r="G52" s="48">
        <v>44190</v>
      </c>
      <c r="H52" s="51">
        <v>10113.26</v>
      </c>
      <c r="I52" s="39" t="s">
        <v>257</v>
      </c>
      <c r="J52" s="39" t="s">
        <v>267</v>
      </c>
    </row>
    <row r="53" spans="1:10" hidden="1" x14ac:dyDescent="0.25">
      <c r="A53" s="305"/>
      <c r="B53" s="306"/>
      <c r="C53" s="306"/>
      <c r="D53" s="306"/>
      <c r="E53" s="308"/>
      <c r="F53" s="49"/>
      <c r="G53" s="48">
        <v>44221</v>
      </c>
      <c r="H53" s="51">
        <v>10113.26</v>
      </c>
      <c r="I53" s="39" t="s">
        <v>257</v>
      </c>
      <c r="J53" s="39" t="s">
        <v>267</v>
      </c>
    </row>
    <row r="54" spans="1:10" hidden="1" x14ac:dyDescent="0.25">
      <c r="A54" s="305">
        <v>44153</v>
      </c>
      <c r="B54" s="306">
        <v>8365</v>
      </c>
      <c r="C54" s="306" t="s">
        <v>282</v>
      </c>
      <c r="D54" s="306" t="e">
        <f>Apólices!#REF!</f>
        <v>#REF!</v>
      </c>
      <c r="E54" s="308" t="s">
        <v>281</v>
      </c>
      <c r="F54" s="49" t="s">
        <v>283</v>
      </c>
      <c r="G54" s="48">
        <v>44183</v>
      </c>
      <c r="H54" s="51">
        <v>1122.77</v>
      </c>
      <c r="I54" s="39" t="s">
        <v>257</v>
      </c>
      <c r="J54" s="39" t="s">
        <v>267</v>
      </c>
    </row>
    <row r="55" spans="1:10" hidden="1" x14ac:dyDescent="0.25">
      <c r="A55" s="305"/>
      <c r="B55" s="306"/>
      <c r="C55" s="306"/>
      <c r="D55" s="306"/>
      <c r="E55" s="308"/>
      <c r="F55" s="49" t="s">
        <v>284</v>
      </c>
      <c r="G55" s="48">
        <v>44214</v>
      </c>
      <c r="H55" s="51">
        <v>1122.77</v>
      </c>
      <c r="I55" s="39" t="s">
        <v>257</v>
      </c>
      <c r="J55" s="39" t="s">
        <v>267</v>
      </c>
    </row>
    <row r="56" spans="1:10" hidden="1" x14ac:dyDescent="0.25">
      <c r="A56" s="48">
        <v>44160</v>
      </c>
      <c r="B56" s="49">
        <v>8104</v>
      </c>
      <c r="C56" s="49" t="s">
        <v>286</v>
      </c>
      <c r="D56" s="49"/>
      <c r="E56" s="50" t="s">
        <v>287</v>
      </c>
      <c r="F56" s="49" t="s">
        <v>288</v>
      </c>
      <c r="G56" s="48">
        <v>44201</v>
      </c>
      <c r="H56" s="51">
        <v>270.02</v>
      </c>
      <c r="I56" s="39" t="s">
        <v>257</v>
      </c>
      <c r="J56" s="39" t="s">
        <v>267</v>
      </c>
    </row>
    <row r="57" spans="1:10" hidden="1" x14ac:dyDescent="0.25">
      <c r="A57" s="48">
        <v>44161</v>
      </c>
      <c r="B57" s="49">
        <v>8264</v>
      </c>
      <c r="C57" s="49" t="s">
        <v>55</v>
      </c>
      <c r="D57" s="49" t="s">
        <v>195</v>
      </c>
      <c r="E57" s="50" t="s">
        <v>196</v>
      </c>
      <c r="F57" s="49" t="s">
        <v>289</v>
      </c>
      <c r="G57" s="48">
        <v>44180</v>
      </c>
      <c r="H57" s="51">
        <v>835.39</v>
      </c>
      <c r="I57" s="39" t="s">
        <v>257</v>
      </c>
      <c r="J57" s="39" t="s">
        <v>267</v>
      </c>
    </row>
    <row r="58" spans="1:10" hidden="1" x14ac:dyDescent="0.25">
      <c r="A58" s="48">
        <v>44168</v>
      </c>
      <c r="B58" s="49">
        <v>8249</v>
      </c>
      <c r="C58" s="49" t="s">
        <v>291</v>
      </c>
      <c r="D58" s="49" t="s">
        <v>169</v>
      </c>
      <c r="E58" s="50" t="s">
        <v>290</v>
      </c>
      <c r="F58" s="49" t="s">
        <v>292</v>
      </c>
      <c r="G58" s="48">
        <v>44188</v>
      </c>
      <c r="H58" s="51">
        <v>180</v>
      </c>
      <c r="I58" s="39" t="s">
        <v>257</v>
      </c>
      <c r="J58" s="39" t="s">
        <v>258</v>
      </c>
    </row>
    <row r="59" spans="1:10" hidden="1" x14ac:dyDescent="0.25">
      <c r="A59" s="48">
        <v>44176</v>
      </c>
      <c r="B59" s="49">
        <v>8366</v>
      </c>
      <c r="C59" s="119" t="s">
        <v>293</v>
      </c>
      <c r="D59" s="49" t="s">
        <v>295</v>
      </c>
      <c r="E59" s="50" t="s">
        <v>294</v>
      </c>
      <c r="F59" s="49" t="s">
        <v>296</v>
      </c>
      <c r="G59" s="48">
        <v>44190</v>
      </c>
      <c r="H59" s="51">
        <v>190</v>
      </c>
      <c r="I59" s="39" t="s">
        <v>257</v>
      </c>
      <c r="J59" s="39" t="s">
        <v>258</v>
      </c>
    </row>
    <row r="60" spans="1:10" hidden="1" x14ac:dyDescent="0.25">
      <c r="A60" s="48">
        <v>44193</v>
      </c>
      <c r="B60" s="49">
        <v>8270</v>
      </c>
      <c r="C60" s="49" t="s">
        <v>300</v>
      </c>
      <c r="D60" s="49">
        <v>2720</v>
      </c>
      <c r="E60" s="50" t="s">
        <v>297</v>
      </c>
      <c r="F60" s="49" t="s">
        <v>298</v>
      </c>
      <c r="G60" s="48">
        <v>44211</v>
      </c>
      <c r="H60" s="51">
        <v>438.07</v>
      </c>
      <c r="I60" s="39" t="s">
        <v>299</v>
      </c>
    </row>
    <row r="61" spans="1:10" hidden="1" x14ac:dyDescent="0.25">
      <c r="A61" s="48">
        <v>44195</v>
      </c>
      <c r="B61" s="49">
        <v>8365</v>
      </c>
      <c r="C61" s="49" t="s">
        <v>282</v>
      </c>
      <c r="D61" s="49">
        <v>4600000566</v>
      </c>
      <c r="E61" s="50" t="s">
        <v>281</v>
      </c>
      <c r="F61" s="49" t="s">
        <v>301</v>
      </c>
      <c r="G61" s="48">
        <v>44225</v>
      </c>
      <c r="H61" s="51">
        <v>518.87</v>
      </c>
      <c r="I61" s="39" t="s">
        <v>299</v>
      </c>
    </row>
    <row r="62" spans="1:10" hidden="1" x14ac:dyDescent="0.25">
      <c r="A62" s="48">
        <v>44209</v>
      </c>
      <c r="B62" s="49">
        <v>8257</v>
      </c>
      <c r="C62" s="49" t="s">
        <v>191</v>
      </c>
      <c r="D62" s="49" t="str">
        <f>Apólices!C89</f>
        <v>92-2019</v>
      </c>
      <c r="E62" s="50" t="s">
        <v>192</v>
      </c>
      <c r="F62" s="49" t="s">
        <v>304</v>
      </c>
      <c r="G62" s="48">
        <v>44229</v>
      </c>
      <c r="H62" s="51">
        <v>200</v>
      </c>
      <c r="I62" s="39" t="s">
        <v>257</v>
      </c>
      <c r="J62" s="39" t="s">
        <v>258</v>
      </c>
    </row>
    <row r="63" spans="1:10" hidden="1" x14ac:dyDescent="0.25">
      <c r="A63" s="48">
        <v>44218</v>
      </c>
      <c r="B63" s="49">
        <v>8255</v>
      </c>
      <c r="C63" s="49" t="s">
        <v>176</v>
      </c>
      <c r="D63" s="49" t="str">
        <f>Apólices!C74</f>
        <v>106-2019</v>
      </c>
      <c r="E63" s="50" t="s">
        <v>72</v>
      </c>
      <c r="F63" s="49" t="s">
        <v>306</v>
      </c>
      <c r="G63" s="48">
        <v>44238</v>
      </c>
      <c r="H63" s="51">
        <v>927.88</v>
      </c>
      <c r="I63" s="39" t="s">
        <v>307</v>
      </c>
      <c r="J63" s="39" t="s">
        <v>258</v>
      </c>
    </row>
    <row r="64" spans="1:10" hidden="1" x14ac:dyDescent="0.25">
      <c r="A64" s="48">
        <v>44249</v>
      </c>
      <c r="B64" s="49">
        <v>8366</v>
      </c>
      <c r="C64" s="119" t="s">
        <v>293</v>
      </c>
      <c r="D64" s="49" t="s">
        <v>295</v>
      </c>
      <c r="E64" s="50" t="s">
        <v>310</v>
      </c>
      <c r="F64" s="49" t="s">
        <v>311</v>
      </c>
      <c r="G64" s="48">
        <v>44253</v>
      </c>
      <c r="H64" s="51">
        <v>190</v>
      </c>
      <c r="I64" s="39" t="s">
        <v>307</v>
      </c>
      <c r="J64" s="39" t="s">
        <v>258</v>
      </c>
    </row>
    <row r="65" spans="1:10" hidden="1" x14ac:dyDescent="0.25">
      <c r="A65" s="312">
        <v>44249</v>
      </c>
      <c r="B65" s="306">
        <v>8267</v>
      </c>
      <c r="C65" s="306" t="s">
        <v>312</v>
      </c>
      <c r="D65" s="306" t="s">
        <v>222</v>
      </c>
      <c r="E65" s="308" t="s">
        <v>229</v>
      </c>
      <c r="F65" s="49" t="s">
        <v>313</v>
      </c>
      <c r="G65" s="48">
        <v>44273</v>
      </c>
      <c r="H65" s="51">
        <v>874</v>
      </c>
      <c r="I65" s="39" t="s">
        <v>307</v>
      </c>
      <c r="J65" s="39" t="s">
        <v>258</v>
      </c>
    </row>
    <row r="66" spans="1:10" hidden="1" x14ac:dyDescent="0.3">
      <c r="A66" s="313"/>
      <c r="B66" s="306"/>
      <c r="C66" s="306"/>
      <c r="D66" s="306"/>
      <c r="E66" s="308"/>
      <c r="F66" s="127" t="s">
        <v>314</v>
      </c>
      <c r="G66" s="48">
        <v>44304</v>
      </c>
      <c r="H66" s="51">
        <v>874</v>
      </c>
      <c r="I66" s="39" t="s">
        <v>307</v>
      </c>
      <c r="J66" s="39" t="s">
        <v>258</v>
      </c>
    </row>
    <row r="67" spans="1:10" hidden="1" x14ac:dyDescent="0.25">
      <c r="A67" s="48"/>
      <c r="B67" s="49">
        <v>8245</v>
      </c>
      <c r="C67" s="49" t="s">
        <v>323</v>
      </c>
      <c r="D67" s="49" t="s">
        <v>216</v>
      </c>
      <c r="E67" s="50" t="s">
        <v>320</v>
      </c>
      <c r="F67" s="49" t="s">
        <v>322</v>
      </c>
      <c r="G67" s="48">
        <v>44285</v>
      </c>
      <c r="H67" s="51">
        <v>1115</v>
      </c>
      <c r="I67" s="39" t="s">
        <v>24</v>
      </c>
      <c r="J67" s="39" t="s">
        <v>258</v>
      </c>
    </row>
    <row r="68" spans="1:10" hidden="1" x14ac:dyDescent="0.25">
      <c r="A68" s="48"/>
      <c r="B68" s="49">
        <v>8268</v>
      </c>
      <c r="C68" s="49" t="s">
        <v>324</v>
      </c>
      <c r="D68" s="49" t="s">
        <v>262</v>
      </c>
      <c r="E68" s="50" t="s">
        <v>228</v>
      </c>
      <c r="F68" s="49" t="s">
        <v>325</v>
      </c>
      <c r="G68" s="48">
        <v>44301</v>
      </c>
      <c r="H68" s="51">
        <v>1530</v>
      </c>
      <c r="I68" s="39" t="s">
        <v>299</v>
      </c>
      <c r="J68" s="39" t="s">
        <v>258</v>
      </c>
    </row>
    <row r="69" spans="1:10" hidden="1" x14ac:dyDescent="0.25">
      <c r="A69" s="48"/>
      <c r="B69" s="49">
        <v>8240</v>
      </c>
      <c r="C69" s="49" t="s">
        <v>327</v>
      </c>
      <c r="D69" s="115" t="s">
        <v>328</v>
      </c>
      <c r="E69" s="50" t="s">
        <v>326</v>
      </c>
      <c r="F69" s="49" t="s">
        <v>329</v>
      </c>
      <c r="G69" s="48">
        <v>44302</v>
      </c>
      <c r="H69" s="51">
        <v>160</v>
      </c>
      <c r="I69" s="39" t="s">
        <v>299</v>
      </c>
      <c r="J69" s="39" t="s">
        <v>258</v>
      </c>
    </row>
    <row r="70" spans="1:10" hidden="1" x14ac:dyDescent="0.25">
      <c r="A70" s="48"/>
      <c r="B70" s="49">
        <v>8241</v>
      </c>
      <c r="C70" s="49" t="s">
        <v>327</v>
      </c>
      <c r="D70" s="115" t="s">
        <v>332</v>
      </c>
      <c r="E70" s="50" t="s">
        <v>326</v>
      </c>
      <c r="F70" s="49" t="s">
        <v>330</v>
      </c>
      <c r="G70" s="48">
        <v>44316</v>
      </c>
      <c r="H70" s="51">
        <v>160</v>
      </c>
      <c r="I70" s="39" t="s">
        <v>333</v>
      </c>
      <c r="J70" s="39" t="s">
        <v>258</v>
      </c>
    </row>
    <row r="71" spans="1:10" hidden="1" x14ac:dyDescent="0.25">
      <c r="A71" s="48"/>
      <c r="B71" s="49">
        <v>8244</v>
      </c>
      <c r="C71" s="49" t="s">
        <v>188</v>
      </c>
      <c r="D71" s="49" t="s">
        <v>215</v>
      </c>
      <c r="E71" s="50" t="s">
        <v>73</v>
      </c>
      <c r="F71" s="49" t="s">
        <v>334</v>
      </c>
      <c r="G71" s="48">
        <v>44319</v>
      </c>
      <c r="H71" s="51">
        <v>160</v>
      </c>
      <c r="I71" s="39" t="s">
        <v>335</v>
      </c>
    </row>
    <row r="72" spans="1:10" hidden="1" x14ac:dyDescent="0.25">
      <c r="A72" s="312"/>
      <c r="B72" s="306">
        <v>8266</v>
      </c>
      <c r="C72" s="306" t="s">
        <v>153</v>
      </c>
      <c r="D72" s="306" t="s">
        <v>337</v>
      </c>
      <c r="E72" s="308" t="s">
        <v>155</v>
      </c>
      <c r="F72" s="49" t="s">
        <v>338</v>
      </c>
      <c r="G72" s="48">
        <v>44316</v>
      </c>
      <c r="H72" s="51">
        <v>1294</v>
      </c>
      <c r="I72" s="309" t="s">
        <v>257</v>
      </c>
      <c r="J72" s="309" t="s">
        <v>258</v>
      </c>
    </row>
    <row r="73" spans="1:10" hidden="1" x14ac:dyDescent="0.25">
      <c r="A73" s="314"/>
      <c r="B73" s="306"/>
      <c r="C73" s="306"/>
      <c r="D73" s="306"/>
      <c r="E73" s="308"/>
      <c r="F73" s="49" t="s">
        <v>339</v>
      </c>
      <c r="G73" s="48">
        <v>44346</v>
      </c>
      <c r="H73" s="51">
        <v>1294</v>
      </c>
      <c r="I73" s="309"/>
      <c r="J73" s="309"/>
    </row>
    <row r="74" spans="1:10" hidden="1" x14ac:dyDescent="0.25">
      <c r="A74" s="314"/>
      <c r="B74" s="306"/>
      <c r="C74" s="306"/>
      <c r="D74" s="306"/>
      <c r="E74" s="308"/>
      <c r="F74" s="49" t="s">
        <v>340</v>
      </c>
      <c r="G74" s="48">
        <v>44377</v>
      </c>
      <c r="H74" s="51">
        <v>1294</v>
      </c>
      <c r="I74" s="309"/>
      <c r="J74" s="309"/>
    </row>
    <row r="75" spans="1:10" hidden="1" x14ac:dyDescent="0.25">
      <c r="A75" s="313"/>
      <c r="B75" s="306"/>
      <c r="C75" s="306"/>
      <c r="D75" s="306"/>
      <c r="E75" s="308"/>
      <c r="F75" s="49" t="s">
        <v>341</v>
      </c>
      <c r="G75" s="48">
        <v>44407</v>
      </c>
      <c r="H75" s="51">
        <v>1294</v>
      </c>
      <c r="I75" s="309"/>
      <c r="J75" s="309"/>
    </row>
    <row r="76" spans="1:10" hidden="1" x14ac:dyDescent="0.25">
      <c r="A76" s="48"/>
      <c r="B76" s="49">
        <v>8242</v>
      </c>
      <c r="C76" s="49" t="s">
        <v>343</v>
      </c>
      <c r="D76" s="49" t="s">
        <v>214</v>
      </c>
      <c r="E76" s="50" t="s">
        <v>207</v>
      </c>
      <c r="F76" s="49" t="s">
        <v>344</v>
      </c>
      <c r="G76" s="48">
        <v>44321</v>
      </c>
      <c r="H76" s="51">
        <v>180</v>
      </c>
      <c r="I76" s="39" t="s">
        <v>257</v>
      </c>
      <c r="J76" s="39" t="s">
        <v>258</v>
      </c>
    </row>
    <row r="77" spans="1:10" hidden="1" x14ac:dyDescent="0.25">
      <c r="A77" s="312"/>
      <c r="B77" s="306">
        <v>8244</v>
      </c>
      <c r="C77" s="306" t="s">
        <v>188</v>
      </c>
      <c r="D77" s="306" t="s">
        <v>215</v>
      </c>
      <c r="E77" s="308" t="s">
        <v>73</v>
      </c>
      <c r="F77" s="49" t="s">
        <v>348</v>
      </c>
      <c r="G77" s="48">
        <v>44326</v>
      </c>
      <c r="H77" s="51">
        <v>622.5</v>
      </c>
      <c r="I77" s="39" t="s">
        <v>333</v>
      </c>
      <c r="J77" s="39" t="s">
        <v>258</v>
      </c>
    </row>
    <row r="78" spans="1:10" hidden="1" x14ac:dyDescent="0.25">
      <c r="A78" s="313"/>
      <c r="B78" s="306"/>
      <c r="C78" s="306"/>
      <c r="D78" s="306"/>
      <c r="E78" s="308"/>
      <c r="F78" s="49" t="s">
        <v>349</v>
      </c>
      <c r="G78" s="48">
        <v>44357</v>
      </c>
      <c r="H78" s="51">
        <v>622.5</v>
      </c>
    </row>
    <row r="79" spans="1:10" ht="34.5" hidden="1" x14ac:dyDescent="0.25">
      <c r="A79" s="48"/>
      <c r="B79" s="49">
        <v>8251</v>
      </c>
      <c r="C79" s="114" t="s">
        <v>351</v>
      </c>
      <c r="D79" s="49" t="s">
        <v>217</v>
      </c>
      <c r="E79" s="50" t="s">
        <v>158</v>
      </c>
      <c r="F79" s="49" t="s">
        <v>350</v>
      </c>
      <c r="G79" s="48">
        <v>44321</v>
      </c>
      <c r="H79" s="51">
        <v>160</v>
      </c>
      <c r="I79" s="39" t="s">
        <v>333</v>
      </c>
      <c r="J79" s="39" t="s">
        <v>258</v>
      </c>
    </row>
    <row r="80" spans="1:10" hidden="1" x14ac:dyDescent="0.25">
      <c r="A80" s="312"/>
      <c r="B80" s="306">
        <v>8277</v>
      </c>
      <c r="C80" s="306" t="s">
        <v>355</v>
      </c>
      <c r="D80" s="316" t="s">
        <v>353</v>
      </c>
      <c r="E80" s="308" t="s">
        <v>354</v>
      </c>
      <c r="F80" s="49" t="s">
        <v>356</v>
      </c>
      <c r="G80" s="48">
        <v>44335</v>
      </c>
      <c r="H80" s="51">
        <v>911</v>
      </c>
      <c r="I80" s="309" t="s">
        <v>333</v>
      </c>
      <c r="J80" s="309" t="s">
        <v>258</v>
      </c>
    </row>
    <row r="81" spans="1:11" hidden="1" x14ac:dyDescent="0.25">
      <c r="A81" s="314"/>
      <c r="B81" s="306"/>
      <c r="C81" s="306"/>
      <c r="D81" s="316"/>
      <c r="E81" s="308"/>
      <c r="F81" s="49" t="s">
        <v>357</v>
      </c>
      <c r="G81" s="48">
        <v>44366</v>
      </c>
      <c r="H81" s="51">
        <v>911</v>
      </c>
      <c r="I81" s="309"/>
      <c r="J81" s="309"/>
    </row>
    <row r="82" spans="1:11" hidden="1" x14ac:dyDescent="0.25">
      <c r="A82" s="314"/>
      <c r="B82" s="306"/>
      <c r="C82" s="306"/>
      <c r="D82" s="316"/>
      <c r="E82" s="308"/>
      <c r="F82" s="49" t="s">
        <v>358</v>
      </c>
      <c r="G82" s="48">
        <v>44396</v>
      </c>
      <c r="H82" s="51">
        <v>911</v>
      </c>
      <c r="I82" s="309"/>
      <c r="J82" s="309"/>
    </row>
    <row r="83" spans="1:11" hidden="1" x14ac:dyDescent="0.25">
      <c r="A83" s="313"/>
      <c r="B83" s="306"/>
      <c r="C83" s="306"/>
      <c r="D83" s="316"/>
      <c r="E83" s="308"/>
      <c r="F83" s="49" t="s">
        <v>359</v>
      </c>
      <c r="G83" s="48">
        <v>44426</v>
      </c>
      <c r="H83" s="51">
        <v>911</v>
      </c>
      <c r="I83" s="309"/>
      <c r="J83" s="309"/>
    </row>
    <row r="84" spans="1:11" hidden="1" x14ac:dyDescent="0.25">
      <c r="A84" s="48">
        <v>44322</v>
      </c>
      <c r="B84" s="49">
        <v>8249</v>
      </c>
      <c r="C84" s="49" t="s">
        <v>121</v>
      </c>
      <c r="D84" s="49" t="s">
        <v>169</v>
      </c>
      <c r="E84" s="50" t="s">
        <v>360</v>
      </c>
      <c r="F84" s="49" t="s">
        <v>361</v>
      </c>
      <c r="G84" s="48">
        <v>44334</v>
      </c>
      <c r="H84" s="51">
        <v>180</v>
      </c>
      <c r="I84" s="39" t="s">
        <v>333</v>
      </c>
      <c r="J84" s="39" t="s">
        <v>258</v>
      </c>
    </row>
    <row r="85" spans="1:11" hidden="1" x14ac:dyDescent="0.25">
      <c r="A85" s="133">
        <v>44323</v>
      </c>
      <c r="B85" s="134">
        <v>8242</v>
      </c>
      <c r="C85" s="134" t="s">
        <v>343</v>
      </c>
      <c r="D85" s="134" t="s">
        <v>214</v>
      </c>
      <c r="E85" s="135" t="s">
        <v>207</v>
      </c>
      <c r="F85" s="134" t="s">
        <v>363</v>
      </c>
      <c r="G85" s="133">
        <v>44335</v>
      </c>
      <c r="H85" s="136">
        <v>230</v>
      </c>
      <c r="I85" s="39" t="s">
        <v>333</v>
      </c>
      <c r="J85" s="39" t="s">
        <v>258</v>
      </c>
    </row>
    <row r="86" spans="1:11" hidden="1" x14ac:dyDescent="0.25">
      <c r="A86" s="48">
        <v>44333</v>
      </c>
      <c r="B86" s="49">
        <v>8242</v>
      </c>
      <c r="C86" s="49" t="s">
        <v>343</v>
      </c>
      <c r="D86" s="49" t="s">
        <v>214</v>
      </c>
      <c r="E86" s="50" t="s">
        <v>207</v>
      </c>
      <c r="F86" s="49" t="s">
        <v>365</v>
      </c>
      <c r="G86" s="48">
        <v>44365</v>
      </c>
      <c r="H86" s="51">
        <v>499</v>
      </c>
      <c r="I86" s="39" t="s">
        <v>333</v>
      </c>
      <c r="J86" s="39" t="s">
        <v>366</v>
      </c>
    </row>
    <row r="87" spans="1:11" hidden="1" x14ac:dyDescent="0.25">
      <c r="A87" s="48">
        <v>44334</v>
      </c>
      <c r="B87" s="49">
        <v>8243</v>
      </c>
      <c r="C87" s="49" t="s">
        <v>149</v>
      </c>
      <c r="D87" s="115">
        <v>42583</v>
      </c>
      <c r="E87" s="50" t="s">
        <v>151</v>
      </c>
      <c r="F87" s="49" t="s">
        <v>367</v>
      </c>
      <c r="G87" s="48">
        <v>44354</v>
      </c>
      <c r="H87" s="51">
        <v>180</v>
      </c>
      <c r="I87" s="39" t="s">
        <v>333</v>
      </c>
      <c r="J87" s="39" t="s">
        <v>258</v>
      </c>
    </row>
    <row r="88" spans="1:11" hidden="1" x14ac:dyDescent="0.25">
      <c r="A88" s="48">
        <v>44340</v>
      </c>
      <c r="B88" s="49">
        <v>8250</v>
      </c>
      <c r="C88" s="49" t="s">
        <v>178</v>
      </c>
      <c r="D88" s="49" t="s">
        <v>179</v>
      </c>
      <c r="E88" s="50" t="s">
        <v>180</v>
      </c>
      <c r="F88" s="49" t="s">
        <v>368</v>
      </c>
      <c r="G88" s="48">
        <v>44364</v>
      </c>
      <c r="H88" s="51">
        <v>160</v>
      </c>
      <c r="I88" s="39" t="s">
        <v>24</v>
      </c>
      <c r="J88" s="39" t="s">
        <v>258</v>
      </c>
    </row>
    <row r="89" spans="1:11" hidden="1" x14ac:dyDescent="0.25">
      <c r="A89" s="48">
        <v>44349</v>
      </c>
      <c r="B89" s="49">
        <v>8269</v>
      </c>
      <c r="C89" s="39" t="s">
        <v>126</v>
      </c>
      <c r="D89" s="49" t="s">
        <v>223</v>
      </c>
      <c r="E89" s="50" t="s">
        <v>127</v>
      </c>
      <c r="F89" s="49" t="s">
        <v>369</v>
      </c>
      <c r="G89" s="48">
        <v>44361</v>
      </c>
      <c r="H89" s="51">
        <v>160</v>
      </c>
      <c r="I89" s="39" t="s">
        <v>333</v>
      </c>
      <c r="J89" s="39" t="s">
        <v>258</v>
      </c>
    </row>
    <row r="90" spans="1:11" hidden="1" x14ac:dyDescent="0.25">
      <c r="A90" s="48">
        <v>44349</v>
      </c>
      <c r="B90" s="49">
        <v>8247</v>
      </c>
      <c r="C90" s="49" t="s">
        <v>372</v>
      </c>
      <c r="D90" s="49" t="s">
        <v>225</v>
      </c>
      <c r="E90" s="50" t="s">
        <v>370</v>
      </c>
      <c r="F90" s="49" t="s">
        <v>371</v>
      </c>
      <c r="G90" s="48">
        <v>44365</v>
      </c>
      <c r="H90" s="51">
        <v>170</v>
      </c>
      <c r="I90" s="39" t="s">
        <v>333</v>
      </c>
      <c r="J90" s="39" t="s">
        <v>258</v>
      </c>
    </row>
    <row r="91" spans="1:11" hidden="1" x14ac:dyDescent="0.25">
      <c r="A91" s="48">
        <v>44350</v>
      </c>
      <c r="B91" s="49">
        <v>8269</v>
      </c>
      <c r="C91" s="49" t="s">
        <v>126</v>
      </c>
      <c r="D91" s="49" t="s">
        <v>223</v>
      </c>
      <c r="E91" s="50" t="s">
        <v>127</v>
      </c>
      <c r="F91" s="49" t="s">
        <v>373</v>
      </c>
      <c r="G91" s="48">
        <v>44377</v>
      </c>
      <c r="H91" s="51">
        <v>744</v>
      </c>
      <c r="I91" s="39" t="s">
        <v>299</v>
      </c>
      <c r="J91" s="39" t="s">
        <v>258</v>
      </c>
    </row>
    <row r="92" spans="1:11" hidden="1" x14ac:dyDescent="0.25">
      <c r="A92" s="48">
        <v>44357</v>
      </c>
      <c r="B92" s="49">
        <v>8101</v>
      </c>
      <c r="C92" s="49" t="s">
        <v>376</v>
      </c>
      <c r="D92" s="49"/>
      <c r="E92" s="50" t="s">
        <v>375</v>
      </c>
      <c r="F92" s="49" t="s">
        <v>377</v>
      </c>
      <c r="G92" s="48">
        <v>44367</v>
      </c>
      <c r="H92" s="51">
        <v>180</v>
      </c>
      <c r="I92" s="39" t="s">
        <v>333</v>
      </c>
      <c r="J92" s="39" t="s">
        <v>366</v>
      </c>
    </row>
    <row r="93" spans="1:11" hidden="1" x14ac:dyDescent="0.25">
      <c r="A93" s="48">
        <v>44368</v>
      </c>
      <c r="B93" s="49">
        <v>8250</v>
      </c>
      <c r="C93" s="49" t="s">
        <v>178</v>
      </c>
      <c r="D93" s="49"/>
      <c r="E93" s="50" t="s">
        <v>180</v>
      </c>
      <c r="F93" s="49" t="s">
        <v>379</v>
      </c>
      <c r="G93" s="48">
        <v>44389</v>
      </c>
      <c r="H93" s="51">
        <v>335</v>
      </c>
      <c r="I93" s="39" t="s">
        <v>333</v>
      </c>
      <c r="J93" s="39" t="s">
        <v>258</v>
      </c>
    </row>
    <row r="94" spans="1:11" hidden="1" x14ac:dyDescent="0.25">
      <c r="A94" s="305">
        <v>44382</v>
      </c>
      <c r="B94" s="306">
        <v>8370</v>
      </c>
      <c r="C94" s="307" t="s">
        <v>386</v>
      </c>
      <c r="D94" s="306">
        <v>4600000681</v>
      </c>
      <c r="E94" s="308" t="s">
        <v>381</v>
      </c>
      <c r="F94" s="49" t="s">
        <v>385</v>
      </c>
      <c r="G94" s="48">
        <v>44394</v>
      </c>
      <c r="H94" s="51">
        <v>2542.39</v>
      </c>
      <c r="I94" s="39" t="s">
        <v>333</v>
      </c>
      <c r="J94" s="39" t="s">
        <v>258</v>
      </c>
    </row>
    <row r="95" spans="1:11" hidden="1" x14ac:dyDescent="0.25">
      <c r="A95" s="305"/>
      <c r="B95" s="306"/>
      <c r="C95" s="307"/>
      <c r="D95" s="306"/>
      <c r="E95" s="308"/>
      <c r="F95" s="49" t="s">
        <v>384</v>
      </c>
      <c r="G95" s="48">
        <v>44425</v>
      </c>
      <c r="H95" s="51">
        <v>2542.39</v>
      </c>
      <c r="I95" s="39" t="s">
        <v>333</v>
      </c>
      <c r="J95" s="39" t="s">
        <v>258</v>
      </c>
    </row>
    <row r="96" spans="1:11" hidden="1" x14ac:dyDescent="0.25">
      <c r="A96" s="48">
        <v>44382</v>
      </c>
      <c r="B96" s="49">
        <v>8279</v>
      </c>
      <c r="C96" s="49" t="s">
        <v>389</v>
      </c>
      <c r="D96" s="115" t="s">
        <v>380</v>
      </c>
      <c r="E96" s="50" t="s">
        <v>388</v>
      </c>
      <c r="F96" s="49" t="s">
        <v>390</v>
      </c>
      <c r="G96" s="48">
        <v>44402</v>
      </c>
      <c r="H96" s="51">
        <v>626.39</v>
      </c>
      <c r="I96" s="39" t="s">
        <v>333</v>
      </c>
      <c r="J96" s="39" t="s">
        <v>258</v>
      </c>
      <c r="K96" s="39" t="s">
        <v>391</v>
      </c>
    </row>
    <row r="97" spans="1:10" hidden="1" x14ac:dyDescent="0.25">
      <c r="A97" s="48">
        <v>44384</v>
      </c>
      <c r="B97" s="49">
        <v>8267</v>
      </c>
      <c r="C97" s="49" t="s">
        <v>393</v>
      </c>
      <c r="D97" s="49" t="s">
        <v>222</v>
      </c>
      <c r="E97" s="50" t="s">
        <v>229</v>
      </c>
      <c r="F97" s="49" t="s">
        <v>394</v>
      </c>
      <c r="G97" s="48">
        <v>44407</v>
      </c>
      <c r="H97" s="51">
        <v>160</v>
      </c>
      <c r="I97" s="39" t="s">
        <v>257</v>
      </c>
      <c r="J97" s="39" t="s">
        <v>258</v>
      </c>
    </row>
    <row r="98" spans="1:10" hidden="1" x14ac:dyDescent="0.25">
      <c r="A98" s="48">
        <v>44385</v>
      </c>
      <c r="B98" s="49">
        <v>8257</v>
      </c>
      <c r="C98" s="49" t="s">
        <v>191</v>
      </c>
      <c r="D98" s="49" t="s">
        <v>68</v>
      </c>
      <c r="E98" s="50" t="s">
        <v>192</v>
      </c>
      <c r="F98" s="49" t="s">
        <v>396</v>
      </c>
      <c r="G98" s="48">
        <v>44416</v>
      </c>
      <c r="H98" s="51">
        <v>930</v>
      </c>
      <c r="I98" s="39" t="s">
        <v>333</v>
      </c>
      <c r="J98" s="39" t="s">
        <v>258</v>
      </c>
    </row>
    <row r="99" spans="1:10" hidden="1" x14ac:dyDescent="0.25">
      <c r="A99" s="48">
        <v>44397</v>
      </c>
      <c r="B99" s="49">
        <v>8251</v>
      </c>
      <c r="C99" s="49" t="s">
        <v>399</v>
      </c>
      <c r="D99" s="49" t="s">
        <v>217</v>
      </c>
      <c r="E99" s="50" t="s">
        <v>158</v>
      </c>
      <c r="F99" s="49" t="s">
        <v>398</v>
      </c>
      <c r="G99" s="48">
        <v>44423</v>
      </c>
      <c r="H99" s="51">
        <v>998</v>
      </c>
      <c r="I99" s="39" t="s">
        <v>257</v>
      </c>
      <c r="J99" s="39" t="s">
        <v>404</v>
      </c>
    </row>
    <row r="100" spans="1:10" hidden="1" x14ac:dyDescent="0.25">
      <c r="A100" s="140">
        <v>44418</v>
      </c>
      <c r="B100" s="142">
        <v>8240</v>
      </c>
      <c r="C100" s="142" t="s">
        <v>327</v>
      </c>
      <c r="D100" s="143">
        <v>42522</v>
      </c>
      <c r="E100" s="144" t="s">
        <v>326</v>
      </c>
      <c r="F100" s="142" t="s">
        <v>403</v>
      </c>
      <c r="G100" s="140">
        <v>44438</v>
      </c>
      <c r="H100" s="145">
        <v>160</v>
      </c>
      <c r="I100" s="39" t="s">
        <v>333</v>
      </c>
      <c r="J100" s="39" t="s">
        <v>258</v>
      </c>
    </row>
    <row r="101" spans="1:10" hidden="1" x14ac:dyDescent="0.25">
      <c r="A101" s="305">
        <v>44426</v>
      </c>
      <c r="B101" s="306">
        <v>8280</v>
      </c>
      <c r="C101" s="306" t="s">
        <v>413</v>
      </c>
      <c r="D101" s="306" t="s">
        <v>408</v>
      </c>
      <c r="E101" s="308" t="s">
        <v>407</v>
      </c>
      <c r="F101" s="49" t="s">
        <v>409</v>
      </c>
      <c r="G101" s="48">
        <v>44438</v>
      </c>
      <c r="H101" s="51">
        <v>538.5</v>
      </c>
      <c r="I101" s="309" t="s">
        <v>333</v>
      </c>
      <c r="J101" s="309" t="s">
        <v>258</v>
      </c>
    </row>
    <row r="102" spans="1:10" hidden="1" x14ac:dyDescent="0.25">
      <c r="A102" s="305"/>
      <c r="B102" s="306"/>
      <c r="C102" s="306"/>
      <c r="D102" s="306"/>
      <c r="E102" s="308"/>
      <c r="F102" s="49" t="s">
        <v>410</v>
      </c>
      <c r="G102" s="48">
        <v>44469</v>
      </c>
      <c r="H102" s="51">
        <v>538.5</v>
      </c>
      <c r="I102" s="309"/>
      <c r="J102" s="309"/>
    </row>
    <row r="103" spans="1:10" hidden="1" x14ac:dyDescent="0.25">
      <c r="A103" s="305"/>
      <c r="B103" s="306"/>
      <c r="C103" s="306"/>
      <c r="D103" s="306"/>
      <c r="E103" s="308"/>
      <c r="F103" s="49" t="s">
        <v>411</v>
      </c>
      <c r="G103" s="48">
        <v>44499</v>
      </c>
      <c r="H103" s="51">
        <v>538.5</v>
      </c>
      <c r="I103" s="309"/>
      <c r="J103" s="309"/>
    </row>
    <row r="104" spans="1:10" hidden="1" x14ac:dyDescent="0.25">
      <c r="A104" s="305"/>
      <c r="B104" s="306"/>
      <c r="C104" s="306"/>
      <c r="D104" s="306"/>
      <c r="E104" s="308"/>
      <c r="F104" s="49" t="s">
        <v>412</v>
      </c>
      <c r="G104" s="48">
        <v>44530</v>
      </c>
      <c r="H104" s="51">
        <v>538.5</v>
      </c>
      <c r="I104" s="309"/>
      <c r="J104" s="309"/>
    </row>
    <row r="105" spans="1:10" hidden="1" x14ac:dyDescent="0.25">
      <c r="A105" s="48">
        <v>44426</v>
      </c>
      <c r="B105" s="49">
        <v>8254</v>
      </c>
      <c r="C105" s="49" t="s">
        <v>415</v>
      </c>
      <c r="D105" s="49" t="s">
        <v>220</v>
      </c>
      <c r="E105" s="50" t="s">
        <v>183</v>
      </c>
      <c r="F105" s="49" t="s">
        <v>416</v>
      </c>
      <c r="G105" s="48">
        <v>44449</v>
      </c>
      <c r="H105" s="51">
        <v>268</v>
      </c>
      <c r="I105" s="39" t="s">
        <v>257</v>
      </c>
      <c r="J105" s="39" t="s">
        <v>258</v>
      </c>
    </row>
    <row r="106" spans="1:10" hidden="1" x14ac:dyDescent="0.25">
      <c r="A106" s="48">
        <v>44427</v>
      </c>
      <c r="B106" s="49">
        <v>8282</v>
      </c>
      <c r="C106" s="49" t="s">
        <v>417</v>
      </c>
      <c r="D106" s="49" t="s">
        <v>418</v>
      </c>
      <c r="E106" s="50" t="s">
        <v>419</v>
      </c>
      <c r="F106" s="49" t="s">
        <v>420</v>
      </c>
      <c r="G106" s="48">
        <v>44458</v>
      </c>
      <c r="H106" s="51">
        <v>670</v>
      </c>
      <c r="I106" s="39" t="s">
        <v>257</v>
      </c>
      <c r="J106" s="39" t="s">
        <v>258</v>
      </c>
    </row>
    <row r="107" spans="1:10" hidden="1" x14ac:dyDescent="0.25">
      <c r="A107" s="305">
        <v>44431</v>
      </c>
      <c r="B107" s="306">
        <v>8242</v>
      </c>
      <c r="C107" s="306" t="s">
        <v>343</v>
      </c>
      <c r="D107" s="306" t="s">
        <v>214</v>
      </c>
      <c r="E107" s="308" t="s">
        <v>207</v>
      </c>
      <c r="F107" s="49" t="s">
        <v>421</v>
      </c>
      <c r="G107" s="48">
        <v>44450</v>
      </c>
      <c r="H107" s="51">
        <v>647</v>
      </c>
      <c r="I107" s="39" t="s">
        <v>257</v>
      </c>
      <c r="J107" s="39" t="s">
        <v>258</v>
      </c>
    </row>
    <row r="108" spans="1:10" hidden="1" x14ac:dyDescent="0.25">
      <c r="A108" s="305"/>
      <c r="B108" s="306"/>
      <c r="C108" s="306"/>
      <c r="D108" s="306"/>
      <c r="E108" s="308"/>
      <c r="F108" s="49" t="s">
        <v>422</v>
      </c>
      <c r="G108" s="48">
        <v>44481</v>
      </c>
      <c r="H108" s="51">
        <v>647</v>
      </c>
      <c r="I108" s="39" t="s">
        <v>257</v>
      </c>
      <c r="J108" s="39" t="s">
        <v>258</v>
      </c>
    </row>
    <row r="109" spans="1:10" hidden="1" x14ac:dyDescent="0.25">
      <c r="A109" s="48">
        <v>44434</v>
      </c>
      <c r="B109" s="49">
        <v>8266</v>
      </c>
      <c r="C109" s="49" t="s">
        <v>153</v>
      </c>
      <c r="D109" s="49" t="s">
        <v>154</v>
      </c>
      <c r="E109" s="50" t="s">
        <v>155</v>
      </c>
      <c r="F109" s="49" t="s">
        <v>423</v>
      </c>
      <c r="G109" s="48">
        <v>44450</v>
      </c>
      <c r="H109" s="51">
        <v>180</v>
      </c>
      <c r="I109" s="39" t="s">
        <v>257</v>
      </c>
      <c r="J109" s="39" t="s">
        <v>258</v>
      </c>
    </row>
    <row r="110" spans="1:10" hidden="1" x14ac:dyDescent="0.25">
      <c r="A110" s="48">
        <v>44434</v>
      </c>
      <c r="B110" s="49">
        <v>8270</v>
      </c>
      <c r="C110" s="49" t="s">
        <v>426</v>
      </c>
      <c r="D110" s="49" t="s">
        <v>67</v>
      </c>
      <c r="E110" s="50" t="s">
        <v>424</v>
      </c>
      <c r="F110" s="49" t="s">
        <v>427</v>
      </c>
      <c r="G110" s="48">
        <v>44454</v>
      </c>
      <c r="H110" s="51">
        <v>160</v>
      </c>
      <c r="I110" s="39" t="s">
        <v>333</v>
      </c>
      <c r="J110" s="39" t="s">
        <v>258</v>
      </c>
    </row>
    <row r="111" spans="1:10" hidden="1" x14ac:dyDescent="0.25">
      <c r="A111" s="48">
        <v>44435</v>
      </c>
      <c r="B111" s="49">
        <v>8266</v>
      </c>
      <c r="C111" s="49" t="s">
        <v>153</v>
      </c>
      <c r="D111" s="49" t="s">
        <v>60</v>
      </c>
      <c r="E111" s="50" t="s">
        <v>155</v>
      </c>
      <c r="F111" s="49" t="s">
        <v>429</v>
      </c>
      <c r="G111" s="48">
        <v>44450</v>
      </c>
      <c r="H111" s="51">
        <v>160</v>
      </c>
      <c r="I111" s="39" t="s">
        <v>257</v>
      </c>
      <c r="J111" s="39" t="s">
        <v>258</v>
      </c>
    </row>
    <row r="112" spans="1:10" hidden="1" x14ac:dyDescent="0.25">
      <c r="A112" s="48">
        <v>44439</v>
      </c>
      <c r="B112" s="49">
        <v>8247</v>
      </c>
      <c r="C112" s="49" t="s">
        <v>431</v>
      </c>
      <c r="D112" s="49" t="s">
        <v>225</v>
      </c>
      <c r="E112" s="50" t="s">
        <v>430</v>
      </c>
      <c r="F112" s="49" t="s">
        <v>432</v>
      </c>
      <c r="G112" s="48">
        <v>44454</v>
      </c>
      <c r="H112" s="51">
        <v>856</v>
      </c>
      <c r="I112" s="39" t="s">
        <v>333</v>
      </c>
      <c r="J112" s="39" t="s">
        <v>258</v>
      </c>
    </row>
    <row r="113" spans="1:11" hidden="1" x14ac:dyDescent="0.25">
      <c r="A113" s="48">
        <v>44445</v>
      </c>
      <c r="B113" s="49">
        <v>8264</v>
      </c>
      <c r="C113" s="49" t="s">
        <v>441</v>
      </c>
      <c r="D113" s="49" t="s">
        <v>195</v>
      </c>
      <c r="E113" s="50" t="s">
        <v>440</v>
      </c>
      <c r="F113" s="49" t="s">
        <v>442</v>
      </c>
      <c r="G113" s="48">
        <v>44454</v>
      </c>
      <c r="H113" s="51">
        <v>160</v>
      </c>
      <c r="I113" s="39" t="s">
        <v>257</v>
      </c>
      <c r="J113" s="39" t="s">
        <v>258</v>
      </c>
    </row>
    <row r="114" spans="1:11" hidden="1" x14ac:dyDescent="0.25">
      <c r="A114" s="48">
        <v>44445</v>
      </c>
      <c r="B114" s="49">
        <v>8263</v>
      </c>
      <c r="C114" s="49" t="s">
        <v>443</v>
      </c>
      <c r="D114" s="49" t="s">
        <v>436</v>
      </c>
      <c r="E114" s="50" t="s">
        <v>231</v>
      </c>
      <c r="F114" s="49" t="s">
        <v>444</v>
      </c>
      <c r="G114" s="48">
        <v>44458</v>
      </c>
      <c r="H114" s="51">
        <v>180</v>
      </c>
      <c r="I114" s="39" t="s">
        <v>257</v>
      </c>
      <c r="J114" s="39" t="s">
        <v>258</v>
      </c>
    </row>
    <row r="115" spans="1:11" hidden="1" x14ac:dyDescent="0.25">
      <c r="A115" s="48">
        <v>44445</v>
      </c>
      <c r="B115" s="49">
        <v>8272</v>
      </c>
      <c r="C115" s="49" t="s">
        <v>254</v>
      </c>
      <c r="D115" s="49" t="s">
        <v>224</v>
      </c>
      <c r="E115" s="50" t="s">
        <v>111</v>
      </c>
      <c r="F115" s="49" t="s">
        <v>445</v>
      </c>
      <c r="G115" s="48">
        <v>44469</v>
      </c>
      <c r="H115" s="51">
        <v>769</v>
      </c>
      <c r="I115" s="39" t="s">
        <v>333</v>
      </c>
      <c r="J115" s="39" t="s">
        <v>258</v>
      </c>
    </row>
    <row r="116" spans="1:11" hidden="1" x14ac:dyDescent="0.25">
      <c r="A116" s="48">
        <v>44447</v>
      </c>
      <c r="B116" s="49">
        <v>8265</v>
      </c>
      <c r="C116" s="49" t="s">
        <v>448</v>
      </c>
      <c r="D116" s="49" t="s">
        <v>439</v>
      </c>
      <c r="E116" s="50" t="s">
        <v>230</v>
      </c>
      <c r="F116" s="49" t="s">
        <v>447</v>
      </c>
      <c r="G116" s="48">
        <v>44469</v>
      </c>
      <c r="H116" s="51">
        <v>180</v>
      </c>
      <c r="I116" s="39" t="s">
        <v>333</v>
      </c>
      <c r="J116" s="39" t="s">
        <v>258</v>
      </c>
    </row>
    <row r="117" spans="1:11" hidden="1" x14ac:dyDescent="0.25">
      <c r="A117" s="48">
        <v>44447</v>
      </c>
      <c r="B117" s="49">
        <v>8257</v>
      </c>
      <c r="C117" s="49" t="s">
        <v>191</v>
      </c>
      <c r="D117" s="49" t="s">
        <v>68</v>
      </c>
      <c r="E117" s="50" t="s">
        <v>192</v>
      </c>
      <c r="F117" s="49" t="s">
        <v>450</v>
      </c>
      <c r="G117" s="48">
        <v>44470</v>
      </c>
      <c r="H117" s="51">
        <v>160</v>
      </c>
      <c r="I117" s="39" t="s">
        <v>333</v>
      </c>
      <c r="J117" s="39" t="s">
        <v>258</v>
      </c>
    </row>
    <row r="118" spans="1:11" hidden="1" x14ac:dyDescent="0.25">
      <c r="A118" s="48">
        <v>44447</v>
      </c>
      <c r="B118" s="49">
        <v>8250</v>
      </c>
      <c r="C118" s="49" t="s">
        <v>451</v>
      </c>
      <c r="D118" s="49" t="s">
        <v>226</v>
      </c>
      <c r="E118" s="50" t="s">
        <v>180</v>
      </c>
      <c r="F118" s="49" t="s">
        <v>452</v>
      </c>
      <c r="G118" s="48">
        <v>44456</v>
      </c>
      <c r="H118" s="51">
        <v>160</v>
      </c>
      <c r="I118" s="39" t="s">
        <v>333</v>
      </c>
      <c r="J118" s="39" t="s">
        <v>258</v>
      </c>
    </row>
    <row r="119" spans="1:11" hidden="1" x14ac:dyDescent="0.25">
      <c r="A119" s="48">
        <v>44449</v>
      </c>
      <c r="B119" s="49">
        <v>8263</v>
      </c>
      <c r="C119" s="49" t="s">
        <v>443</v>
      </c>
      <c r="D119" s="49" t="s">
        <v>436</v>
      </c>
      <c r="E119" s="50" t="s">
        <v>231</v>
      </c>
      <c r="F119" s="49" t="s">
        <v>454</v>
      </c>
      <c r="G119" s="48">
        <v>44470</v>
      </c>
      <c r="H119" s="51">
        <v>180</v>
      </c>
      <c r="I119" s="39" t="s">
        <v>333</v>
      </c>
      <c r="J119" s="39" t="s">
        <v>258</v>
      </c>
    </row>
    <row r="120" spans="1:11" hidden="1" x14ac:dyDescent="0.25">
      <c r="A120" s="48">
        <v>44452</v>
      </c>
      <c r="B120" s="49">
        <v>8259</v>
      </c>
      <c r="C120" s="49" t="s">
        <v>456</v>
      </c>
      <c r="D120" s="49" t="s">
        <v>53</v>
      </c>
      <c r="E120" s="50" t="s">
        <v>234</v>
      </c>
      <c r="F120" s="49" t="s">
        <v>455</v>
      </c>
      <c r="G120" s="48">
        <v>44469</v>
      </c>
      <c r="H120" s="51">
        <v>160</v>
      </c>
      <c r="I120" s="39" t="s">
        <v>333</v>
      </c>
      <c r="J120" s="39" t="s">
        <v>258</v>
      </c>
    </row>
    <row r="121" spans="1:11" hidden="1" x14ac:dyDescent="0.25">
      <c r="A121" s="48">
        <v>44452</v>
      </c>
      <c r="B121" s="49">
        <v>8263</v>
      </c>
      <c r="C121" s="49" t="s">
        <v>443</v>
      </c>
      <c r="D121" s="49" t="s">
        <v>436</v>
      </c>
      <c r="E121" s="50" t="s">
        <v>231</v>
      </c>
      <c r="F121" s="49" t="s">
        <v>457</v>
      </c>
      <c r="G121" s="48">
        <v>44477</v>
      </c>
      <c r="H121" s="51">
        <v>188</v>
      </c>
      <c r="I121" s="39" t="s">
        <v>257</v>
      </c>
      <c r="J121" s="39" t="s">
        <v>258</v>
      </c>
    </row>
    <row r="122" spans="1:11" hidden="1" x14ac:dyDescent="0.25">
      <c r="A122" s="48">
        <v>44460</v>
      </c>
      <c r="B122" s="49">
        <v>8261</v>
      </c>
      <c r="C122" s="49" t="s">
        <v>460</v>
      </c>
      <c r="D122" s="49" t="s">
        <v>461</v>
      </c>
      <c r="E122" s="50" t="s">
        <v>233</v>
      </c>
      <c r="F122" s="49" t="s">
        <v>459</v>
      </c>
      <c r="G122" s="48">
        <v>44474</v>
      </c>
      <c r="H122" s="51">
        <v>170</v>
      </c>
      <c r="I122" s="39" t="s">
        <v>257</v>
      </c>
      <c r="J122" s="39" t="s">
        <v>258</v>
      </c>
    </row>
    <row r="123" spans="1:11" hidden="1" x14ac:dyDescent="0.25">
      <c r="A123" s="48">
        <v>44466</v>
      </c>
      <c r="B123" s="49">
        <v>8259</v>
      </c>
      <c r="C123" s="49" t="s">
        <v>456</v>
      </c>
      <c r="D123" s="49" t="s">
        <v>53</v>
      </c>
      <c r="E123" s="50" t="s">
        <v>234</v>
      </c>
      <c r="F123" s="49" t="s">
        <v>470</v>
      </c>
      <c r="G123" s="48">
        <v>44474</v>
      </c>
      <c r="H123" s="136">
        <v>160</v>
      </c>
      <c r="I123" s="39" t="s">
        <v>333</v>
      </c>
      <c r="J123" s="39" t="s">
        <v>258</v>
      </c>
      <c r="K123" s="156" t="s">
        <v>483</v>
      </c>
    </row>
    <row r="124" spans="1:11" hidden="1" x14ac:dyDescent="0.25">
      <c r="A124" s="48">
        <v>44468</v>
      </c>
      <c r="B124" s="49">
        <v>8284</v>
      </c>
      <c r="C124" s="49" t="s">
        <v>471</v>
      </c>
      <c r="D124" s="49" t="s">
        <v>472</v>
      </c>
      <c r="E124" s="50" t="s">
        <v>473</v>
      </c>
      <c r="F124" s="49" t="s">
        <v>474</v>
      </c>
      <c r="G124" s="48">
        <v>44497</v>
      </c>
      <c r="H124" s="51">
        <v>293</v>
      </c>
      <c r="I124" s="39" t="s">
        <v>333</v>
      </c>
      <c r="J124" s="39" t="s">
        <v>258</v>
      </c>
    </row>
    <row r="125" spans="1:11" hidden="1" x14ac:dyDescent="0.25">
      <c r="A125" s="48">
        <v>44473</v>
      </c>
      <c r="B125" s="49">
        <v>8280</v>
      </c>
      <c r="C125" s="49" t="s">
        <v>475</v>
      </c>
      <c r="D125" s="49" t="s">
        <v>402</v>
      </c>
      <c r="E125" s="50" t="s">
        <v>407</v>
      </c>
      <c r="F125" s="49" t="s">
        <v>476</v>
      </c>
      <c r="G125" s="48">
        <v>44487</v>
      </c>
      <c r="H125" s="51">
        <v>160</v>
      </c>
      <c r="I125" s="39" t="s">
        <v>333</v>
      </c>
      <c r="J125" s="39" t="s">
        <v>258</v>
      </c>
    </row>
    <row r="126" spans="1:11" hidden="1" x14ac:dyDescent="0.25">
      <c r="A126" s="48">
        <v>44474</v>
      </c>
      <c r="B126" s="49">
        <v>8371</v>
      </c>
      <c r="C126" s="49" t="s">
        <v>481</v>
      </c>
      <c r="D126" s="49" t="s">
        <v>477</v>
      </c>
      <c r="E126" s="50" t="s">
        <v>479</v>
      </c>
      <c r="F126" s="49" t="s">
        <v>480</v>
      </c>
      <c r="G126" s="48">
        <v>44499</v>
      </c>
      <c r="H126" s="51">
        <v>878</v>
      </c>
      <c r="I126" s="39" t="s">
        <v>333</v>
      </c>
      <c r="J126" s="39" t="s">
        <v>258</v>
      </c>
    </row>
    <row r="127" spans="1:11" hidden="1" x14ac:dyDescent="0.25">
      <c r="A127" s="48">
        <v>44476</v>
      </c>
      <c r="B127" s="49">
        <v>8259</v>
      </c>
      <c r="C127" s="49" t="s">
        <v>456</v>
      </c>
      <c r="D127" s="49" t="s">
        <v>53</v>
      </c>
      <c r="E127" s="50" t="s">
        <v>234</v>
      </c>
      <c r="F127" s="49" t="s">
        <v>482</v>
      </c>
      <c r="G127" s="48">
        <v>44518</v>
      </c>
      <c r="H127" s="51">
        <v>498</v>
      </c>
      <c r="I127" s="39" t="s">
        <v>333</v>
      </c>
      <c r="J127" s="39" t="s">
        <v>258</v>
      </c>
    </row>
    <row r="128" spans="1:11" hidden="1" x14ac:dyDescent="0.25">
      <c r="A128" s="48">
        <v>44510</v>
      </c>
      <c r="B128" s="49">
        <v>8244</v>
      </c>
      <c r="C128" s="49" t="s">
        <v>188</v>
      </c>
      <c r="D128" s="49" t="s">
        <v>215</v>
      </c>
      <c r="E128" s="50" t="s">
        <v>73</v>
      </c>
      <c r="F128" s="49" t="s">
        <v>484</v>
      </c>
      <c r="G128" s="48">
        <v>44530</v>
      </c>
      <c r="H128" s="51">
        <v>180</v>
      </c>
      <c r="I128" s="39" t="s">
        <v>333</v>
      </c>
      <c r="J128" s="39" t="s">
        <v>258</v>
      </c>
    </row>
    <row r="129" spans="1:10" hidden="1" x14ac:dyDescent="0.25">
      <c r="A129" s="48">
        <v>44518</v>
      </c>
      <c r="B129" s="49">
        <v>8249</v>
      </c>
      <c r="C129" s="49" t="s">
        <v>121</v>
      </c>
      <c r="D129" s="49" t="s">
        <v>169</v>
      </c>
      <c r="E129" s="50" t="s">
        <v>360</v>
      </c>
      <c r="F129" s="49" t="s">
        <v>486</v>
      </c>
      <c r="G129" s="48">
        <v>44536</v>
      </c>
      <c r="H129" s="51">
        <v>160</v>
      </c>
      <c r="I129" s="39" t="s">
        <v>333</v>
      </c>
      <c r="J129" s="39" t="s">
        <v>258</v>
      </c>
    </row>
    <row r="130" spans="1:10" hidden="1" x14ac:dyDescent="0.25">
      <c r="A130" s="48">
        <v>44522</v>
      </c>
      <c r="B130" s="49">
        <v>8264</v>
      </c>
      <c r="C130" s="49" t="s">
        <v>55</v>
      </c>
      <c r="D130" s="49" t="s">
        <v>195</v>
      </c>
      <c r="E130" s="50" t="s">
        <v>487</v>
      </c>
      <c r="F130" s="49" t="s">
        <v>488</v>
      </c>
      <c r="G130" s="48">
        <v>44547</v>
      </c>
      <c r="H130" s="51">
        <v>515</v>
      </c>
      <c r="I130" s="39" t="s">
        <v>333</v>
      </c>
      <c r="J130" s="39" t="s">
        <v>258</v>
      </c>
    </row>
    <row r="131" spans="1:10" hidden="1" x14ac:dyDescent="0.25">
      <c r="A131" s="48">
        <v>44522</v>
      </c>
      <c r="B131" s="49">
        <v>8104</v>
      </c>
      <c r="C131" s="49" t="s">
        <v>286</v>
      </c>
      <c r="D131" s="49" t="s">
        <v>489</v>
      </c>
      <c r="E131" s="50" t="s">
        <v>490</v>
      </c>
      <c r="F131" s="49" t="s">
        <v>491</v>
      </c>
      <c r="G131" s="48">
        <v>44533</v>
      </c>
      <c r="H131" s="51">
        <v>224.39</v>
      </c>
      <c r="I131" s="39" t="s">
        <v>333</v>
      </c>
      <c r="J131" s="39" t="s">
        <v>258</v>
      </c>
    </row>
    <row r="132" spans="1:10" hidden="1" x14ac:dyDescent="0.25">
      <c r="A132" s="48">
        <v>44531</v>
      </c>
      <c r="B132" s="49">
        <v>8250</v>
      </c>
      <c r="C132" s="49" t="s">
        <v>495</v>
      </c>
      <c r="D132" s="49" t="s">
        <v>226</v>
      </c>
      <c r="E132" s="50" t="s">
        <v>180</v>
      </c>
      <c r="F132" s="49" t="s">
        <v>494</v>
      </c>
      <c r="G132" s="48">
        <v>44546</v>
      </c>
      <c r="H132" s="51">
        <v>258</v>
      </c>
      <c r="I132" s="39" t="s">
        <v>333</v>
      </c>
      <c r="J132" s="39" t="s">
        <v>258</v>
      </c>
    </row>
    <row r="133" spans="1:10" x14ac:dyDescent="0.25">
      <c r="A133" s="48">
        <v>44532</v>
      </c>
      <c r="B133" s="49">
        <v>8267</v>
      </c>
      <c r="C133" s="114" t="s">
        <v>500</v>
      </c>
      <c r="D133" s="49" t="s">
        <v>402</v>
      </c>
      <c r="E133" s="50" t="s">
        <v>499</v>
      </c>
      <c r="F133" s="49" t="s">
        <v>501</v>
      </c>
      <c r="G133" s="48">
        <v>44562</v>
      </c>
      <c r="H133" s="51">
        <v>884</v>
      </c>
      <c r="I133" s="39" t="s">
        <v>257</v>
      </c>
      <c r="J133" s="39" t="s">
        <v>258</v>
      </c>
    </row>
    <row r="134" spans="1:10" hidden="1" x14ac:dyDescent="0.25">
      <c r="A134" s="48">
        <v>44533</v>
      </c>
      <c r="B134" s="49">
        <v>8286</v>
      </c>
      <c r="C134" s="49" t="s">
        <v>504</v>
      </c>
      <c r="D134" s="49" t="s">
        <v>497</v>
      </c>
      <c r="E134" s="50" t="s">
        <v>502</v>
      </c>
      <c r="F134" s="49" t="s">
        <v>503</v>
      </c>
      <c r="G134" s="48">
        <v>44560</v>
      </c>
      <c r="H134" s="51">
        <v>1528</v>
      </c>
      <c r="I134" s="39" t="s">
        <v>257</v>
      </c>
      <c r="J134" s="39" t="s">
        <v>258</v>
      </c>
    </row>
    <row r="135" spans="1:10" hidden="1" x14ac:dyDescent="0.25">
      <c r="A135" s="48">
        <v>44539</v>
      </c>
      <c r="B135" s="49">
        <v>8249</v>
      </c>
      <c r="C135" s="49" t="s">
        <v>121</v>
      </c>
      <c r="D135" s="49" t="s">
        <v>169</v>
      </c>
      <c r="E135" s="50" t="s">
        <v>360</v>
      </c>
      <c r="F135" s="49" t="s">
        <v>505</v>
      </c>
      <c r="G135" s="48">
        <v>44197</v>
      </c>
      <c r="H135" s="51">
        <v>189</v>
      </c>
      <c r="I135" s="39" t="s">
        <v>257</v>
      </c>
      <c r="J135" s="39" t="s">
        <v>258</v>
      </c>
    </row>
    <row r="136" spans="1:10" hidden="1" x14ac:dyDescent="0.25">
      <c r="A136" s="48">
        <v>44540</v>
      </c>
      <c r="B136" s="49">
        <v>8288</v>
      </c>
      <c r="C136" s="49" t="s">
        <v>498</v>
      </c>
      <c r="D136" s="49" t="s">
        <v>506</v>
      </c>
      <c r="E136" s="50" t="s">
        <v>507</v>
      </c>
      <c r="F136" s="49" t="s">
        <v>508</v>
      </c>
      <c r="G136" s="48">
        <v>44546</v>
      </c>
      <c r="H136" s="51">
        <v>702</v>
      </c>
      <c r="I136" s="39" t="s">
        <v>257</v>
      </c>
      <c r="J136" s="39" t="s">
        <v>258</v>
      </c>
    </row>
    <row r="137" spans="1:10" hidden="1" x14ac:dyDescent="0.25">
      <c r="A137" s="48">
        <v>44551</v>
      </c>
      <c r="B137" s="49">
        <v>8251</v>
      </c>
      <c r="C137" s="49" t="s">
        <v>351</v>
      </c>
      <c r="D137" s="49" t="s">
        <v>217</v>
      </c>
      <c r="E137" s="50" t="s">
        <v>158</v>
      </c>
      <c r="F137" s="49" t="s">
        <v>510</v>
      </c>
      <c r="G137" s="48">
        <v>44207</v>
      </c>
      <c r="H137" s="51">
        <v>140</v>
      </c>
      <c r="I137" s="39" t="s">
        <v>257</v>
      </c>
      <c r="J137" s="39" t="s">
        <v>258</v>
      </c>
    </row>
    <row r="138" spans="1:10" x14ac:dyDescent="0.25">
      <c r="A138" s="48">
        <v>44564</v>
      </c>
      <c r="B138" s="49">
        <v>8284</v>
      </c>
      <c r="C138" s="114" t="s">
        <v>511</v>
      </c>
      <c r="D138" s="49" t="s">
        <v>472</v>
      </c>
      <c r="E138" s="50" t="s">
        <v>473</v>
      </c>
      <c r="F138" s="49" t="s">
        <v>512</v>
      </c>
      <c r="G138" s="48">
        <v>44580</v>
      </c>
      <c r="H138" s="51">
        <v>160</v>
      </c>
      <c r="I138" s="39" t="s">
        <v>257</v>
      </c>
      <c r="J138" s="39" t="s">
        <v>258</v>
      </c>
    </row>
    <row r="139" spans="1:10" x14ac:dyDescent="0.25">
      <c r="A139" s="48">
        <v>44564</v>
      </c>
      <c r="B139" s="49">
        <v>8282</v>
      </c>
      <c r="C139" s="114" t="s">
        <v>513</v>
      </c>
      <c r="D139" s="49" t="s">
        <v>418</v>
      </c>
      <c r="E139" s="50" t="s">
        <v>419</v>
      </c>
      <c r="F139" s="49" t="s">
        <v>514</v>
      </c>
      <c r="G139" s="48">
        <v>44579</v>
      </c>
      <c r="H139" s="51">
        <v>160</v>
      </c>
      <c r="I139" s="39" t="s">
        <v>333</v>
      </c>
      <c r="J139" s="39" t="s">
        <v>258</v>
      </c>
    </row>
    <row r="140" spans="1:10" x14ac:dyDescent="0.25">
      <c r="A140" s="48">
        <v>44945</v>
      </c>
      <c r="B140" s="49">
        <v>8288</v>
      </c>
      <c r="C140" s="114" t="s">
        <v>498</v>
      </c>
      <c r="D140" s="115" t="s">
        <v>506</v>
      </c>
      <c r="E140" s="50" t="s">
        <v>507</v>
      </c>
      <c r="F140" s="49" t="s">
        <v>516</v>
      </c>
      <c r="G140" s="48">
        <v>44602</v>
      </c>
      <c r="H140" s="51">
        <v>160</v>
      </c>
      <c r="I140" s="39" t="s">
        <v>333</v>
      </c>
      <c r="J140" s="39" t="s">
        <v>258</v>
      </c>
    </row>
    <row r="141" spans="1:10" x14ac:dyDescent="0.25">
      <c r="A141" s="305">
        <v>44592</v>
      </c>
      <c r="B141" s="306">
        <v>8289</v>
      </c>
      <c r="C141" s="315" t="s">
        <v>518</v>
      </c>
      <c r="D141" s="305"/>
      <c r="E141" s="308" t="s">
        <v>517</v>
      </c>
      <c r="F141" s="49" t="s">
        <v>519</v>
      </c>
      <c r="G141" s="48">
        <v>44610</v>
      </c>
      <c r="H141" s="51">
        <v>487</v>
      </c>
      <c r="I141" s="309" t="s">
        <v>257</v>
      </c>
      <c r="J141" s="309" t="s">
        <v>258</v>
      </c>
    </row>
    <row r="142" spans="1:10" x14ac:dyDescent="0.25">
      <c r="A142" s="305"/>
      <c r="B142" s="306"/>
      <c r="C142" s="315"/>
      <c r="D142" s="305"/>
      <c r="E142" s="308"/>
      <c r="F142" s="49" t="s">
        <v>520</v>
      </c>
      <c r="G142" s="48">
        <v>44638</v>
      </c>
      <c r="H142" s="51">
        <v>487</v>
      </c>
      <c r="I142" s="309"/>
      <c r="J142" s="309"/>
    </row>
    <row r="143" spans="1:10" x14ac:dyDescent="0.25">
      <c r="A143" s="305"/>
      <c r="B143" s="306"/>
      <c r="C143" s="315"/>
      <c r="D143" s="305"/>
      <c r="E143" s="308"/>
      <c r="F143" s="49" t="s">
        <v>521</v>
      </c>
      <c r="G143" s="48">
        <v>44669</v>
      </c>
      <c r="H143" s="51">
        <v>487</v>
      </c>
      <c r="I143" s="309"/>
      <c r="J143" s="309"/>
    </row>
    <row r="144" spans="1:10" x14ac:dyDescent="0.25">
      <c r="A144" s="305"/>
      <c r="B144" s="306"/>
      <c r="C144" s="315"/>
      <c r="D144" s="305"/>
      <c r="E144" s="308"/>
      <c r="F144" s="49" t="s">
        <v>522</v>
      </c>
      <c r="G144" s="48">
        <v>44699</v>
      </c>
      <c r="H144" s="51">
        <v>487</v>
      </c>
      <c r="I144" s="309"/>
      <c r="J144" s="309"/>
    </row>
    <row r="145" spans="1:10" x14ac:dyDescent="0.25">
      <c r="A145" s="48">
        <v>44593</v>
      </c>
      <c r="B145" s="49">
        <v>8289</v>
      </c>
      <c r="C145" s="114" t="s">
        <v>527</v>
      </c>
      <c r="D145" s="49" t="s">
        <v>523</v>
      </c>
      <c r="E145" s="50" t="s">
        <v>517</v>
      </c>
      <c r="F145" s="49" t="s">
        <v>526</v>
      </c>
      <c r="G145" s="48">
        <v>44611</v>
      </c>
      <c r="H145" s="51">
        <v>160</v>
      </c>
      <c r="I145" s="39" t="s">
        <v>333</v>
      </c>
      <c r="J145" s="39" t="s">
        <v>366</v>
      </c>
    </row>
    <row r="146" spans="1:10" x14ac:dyDescent="0.25">
      <c r="A146" s="48">
        <v>44595</v>
      </c>
      <c r="B146" s="49">
        <v>8277</v>
      </c>
      <c r="C146" s="114" t="s">
        <v>355</v>
      </c>
      <c r="D146" s="49" t="s">
        <v>353</v>
      </c>
      <c r="E146" s="50" t="s">
        <v>354</v>
      </c>
      <c r="F146" s="49" t="s">
        <v>530</v>
      </c>
      <c r="G146" s="48">
        <v>44612</v>
      </c>
      <c r="H146" s="51">
        <v>160</v>
      </c>
      <c r="I146" s="39" t="s">
        <v>257</v>
      </c>
      <c r="J146" s="39" t="s">
        <v>366</v>
      </c>
    </row>
    <row r="147" spans="1:10" x14ac:dyDescent="0.25">
      <c r="A147" s="48">
        <v>44595</v>
      </c>
      <c r="B147" s="49">
        <v>8255</v>
      </c>
      <c r="C147" s="114" t="s">
        <v>176</v>
      </c>
      <c r="D147" s="49" t="s">
        <v>221</v>
      </c>
      <c r="E147" s="50" t="s">
        <v>72</v>
      </c>
      <c r="F147" s="49" t="s">
        <v>531</v>
      </c>
      <c r="G147" s="48">
        <v>44623</v>
      </c>
      <c r="H147" s="51">
        <v>658</v>
      </c>
      <c r="I147" s="39" t="s">
        <v>257</v>
      </c>
      <c r="J147" s="39" t="s">
        <v>366</v>
      </c>
    </row>
    <row r="148" spans="1:10" x14ac:dyDescent="0.25">
      <c r="A148" s="48">
        <v>44596</v>
      </c>
      <c r="B148" s="49">
        <v>8249</v>
      </c>
      <c r="C148" s="114" t="s">
        <v>291</v>
      </c>
      <c r="D148" s="49" t="s">
        <v>169</v>
      </c>
      <c r="E148" s="50" t="s">
        <v>360</v>
      </c>
      <c r="F148" s="49" t="s">
        <v>532</v>
      </c>
      <c r="G148" s="48">
        <v>44620</v>
      </c>
      <c r="H148" s="51">
        <v>160</v>
      </c>
      <c r="I148" s="39" t="s">
        <v>257</v>
      </c>
      <c r="J148" s="39" t="s">
        <v>366</v>
      </c>
    </row>
    <row r="149" spans="1:10" x14ac:dyDescent="0.25">
      <c r="A149" s="48">
        <v>44599</v>
      </c>
      <c r="B149" s="49">
        <v>8253</v>
      </c>
      <c r="C149" s="114" t="s">
        <v>535</v>
      </c>
      <c r="D149" s="49" t="s">
        <v>219</v>
      </c>
      <c r="E149" s="50" t="s">
        <v>74</v>
      </c>
      <c r="F149" s="49" t="s">
        <v>534</v>
      </c>
      <c r="G149" s="48">
        <v>44623</v>
      </c>
      <c r="H149" s="51">
        <v>368</v>
      </c>
      <c r="I149" s="39" t="s">
        <v>333</v>
      </c>
      <c r="J149" s="39" t="s">
        <v>404</v>
      </c>
    </row>
    <row r="150" spans="1:10" ht="34.5" x14ac:dyDescent="0.25">
      <c r="A150" s="48">
        <v>44600</v>
      </c>
      <c r="B150" s="49">
        <v>8245</v>
      </c>
      <c r="C150" s="114" t="s">
        <v>537</v>
      </c>
      <c r="D150" s="49" t="s">
        <v>216</v>
      </c>
      <c r="E150" s="50" t="s">
        <v>320</v>
      </c>
      <c r="F150" s="49" t="s">
        <v>536</v>
      </c>
      <c r="G150" s="48">
        <v>44621</v>
      </c>
      <c r="H150" s="51">
        <v>180</v>
      </c>
      <c r="I150" s="39" t="s">
        <v>333</v>
      </c>
      <c r="J150" s="39" t="s">
        <v>404</v>
      </c>
    </row>
    <row r="151" spans="1:10" x14ac:dyDescent="0.25">
      <c r="A151" s="48">
        <v>44601</v>
      </c>
      <c r="B151" s="49">
        <v>8272</v>
      </c>
      <c r="C151" s="114" t="s">
        <v>254</v>
      </c>
      <c r="D151" s="49" t="s">
        <v>224</v>
      </c>
      <c r="E151" s="50" t="s">
        <v>111</v>
      </c>
      <c r="F151" s="49" t="s">
        <v>538</v>
      </c>
      <c r="G151" s="48">
        <v>44618</v>
      </c>
      <c r="H151" s="51">
        <v>160</v>
      </c>
      <c r="I151" s="39" t="s">
        <v>539</v>
      </c>
      <c r="J151" s="39" t="s">
        <v>404</v>
      </c>
    </row>
    <row r="152" spans="1:10" x14ac:dyDescent="0.25">
      <c r="A152" s="48">
        <v>44609</v>
      </c>
      <c r="B152" s="49">
        <v>8282</v>
      </c>
      <c r="C152" s="114" t="s">
        <v>417</v>
      </c>
      <c r="D152" s="49" t="s">
        <v>542</v>
      </c>
      <c r="E152" s="50" t="s">
        <v>419</v>
      </c>
      <c r="F152" s="49" t="s">
        <v>543</v>
      </c>
      <c r="G152" s="48">
        <v>44630</v>
      </c>
      <c r="H152" s="51">
        <v>160</v>
      </c>
      <c r="I152" s="39" t="s">
        <v>257</v>
      </c>
      <c r="J152" s="39" t="s">
        <v>366</v>
      </c>
    </row>
    <row r="153" spans="1:10" x14ac:dyDescent="0.25">
      <c r="A153" s="305">
        <v>44622</v>
      </c>
      <c r="B153" s="306">
        <v>8267</v>
      </c>
      <c r="C153" s="307" t="s">
        <v>393</v>
      </c>
      <c r="D153" s="306" t="s">
        <v>222</v>
      </c>
      <c r="E153" s="308" t="s">
        <v>229</v>
      </c>
      <c r="F153" s="49" t="s">
        <v>546</v>
      </c>
      <c r="G153" s="48">
        <v>44642</v>
      </c>
      <c r="H153" s="51">
        <v>724</v>
      </c>
      <c r="I153" s="39" t="s">
        <v>257</v>
      </c>
      <c r="J153" s="39" t="s">
        <v>404</v>
      </c>
    </row>
    <row r="154" spans="1:10" x14ac:dyDescent="0.25">
      <c r="A154" s="305"/>
      <c r="B154" s="306"/>
      <c r="C154" s="307"/>
      <c r="D154" s="306"/>
      <c r="E154" s="308"/>
      <c r="F154" s="49" t="s">
        <v>547</v>
      </c>
      <c r="G154" s="48">
        <v>44673</v>
      </c>
      <c r="H154" s="51">
        <v>724</v>
      </c>
      <c r="I154" s="39" t="s">
        <v>257</v>
      </c>
      <c r="J154" s="39" t="s">
        <v>404</v>
      </c>
    </row>
    <row r="155" spans="1:10" ht="34.5" x14ac:dyDescent="0.25">
      <c r="A155" s="48">
        <v>44623</v>
      </c>
      <c r="B155" s="49">
        <v>8245</v>
      </c>
      <c r="C155" s="114" t="s">
        <v>548</v>
      </c>
      <c r="D155" s="49" t="s">
        <v>216</v>
      </c>
      <c r="E155" s="50" t="s">
        <v>320</v>
      </c>
      <c r="F155" s="49" t="s">
        <v>549</v>
      </c>
      <c r="G155" s="48">
        <v>44638</v>
      </c>
      <c r="H155" s="51">
        <v>797</v>
      </c>
      <c r="I155" s="39" t="s">
        <v>539</v>
      </c>
      <c r="J155" s="39" t="s">
        <v>404</v>
      </c>
    </row>
    <row r="156" spans="1:10" x14ac:dyDescent="0.25">
      <c r="A156" s="48">
        <v>44623</v>
      </c>
      <c r="B156" s="49">
        <v>8270</v>
      </c>
      <c r="C156" s="114" t="s">
        <v>553</v>
      </c>
      <c r="D156" s="49" t="s">
        <v>67</v>
      </c>
      <c r="E156" s="50" t="s">
        <v>551</v>
      </c>
      <c r="F156" s="49" t="s">
        <v>554</v>
      </c>
      <c r="G156" s="48">
        <v>44637</v>
      </c>
      <c r="H156" s="51">
        <v>160</v>
      </c>
      <c r="I156" s="39" t="s">
        <v>539</v>
      </c>
      <c r="J156" s="39" t="s">
        <v>404</v>
      </c>
    </row>
    <row r="157" spans="1:10" x14ac:dyDescent="0.25">
      <c r="A157" s="48">
        <v>44628</v>
      </c>
      <c r="B157" s="49">
        <v>8270</v>
      </c>
      <c r="C157" s="114" t="s">
        <v>553</v>
      </c>
      <c r="D157" s="49" t="s">
        <v>67</v>
      </c>
      <c r="E157" s="50" t="s">
        <v>555</v>
      </c>
      <c r="F157" s="49" t="s">
        <v>556</v>
      </c>
      <c r="G157" s="48">
        <v>44642</v>
      </c>
      <c r="H157" s="51">
        <v>160</v>
      </c>
      <c r="I157" s="39" t="s">
        <v>307</v>
      </c>
      <c r="J157" s="39" t="s">
        <v>404</v>
      </c>
    </row>
    <row r="158" spans="1:10" x14ac:dyDescent="0.25">
      <c r="A158" s="305">
        <v>44638</v>
      </c>
      <c r="B158" s="306">
        <v>8268</v>
      </c>
      <c r="C158" s="307" t="s">
        <v>560</v>
      </c>
      <c r="D158" s="307" t="s">
        <v>262</v>
      </c>
      <c r="E158" s="311" t="s">
        <v>228</v>
      </c>
      <c r="F158" s="49" t="s">
        <v>559</v>
      </c>
      <c r="G158" s="48">
        <v>44662</v>
      </c>
      <c r="H158" s="51">
        <v>763</v>
      </c>
      <c r="I158" s="309" t="s">
        <v>299</v>
      </c>
      <c r="J158" s="309" t="s">
        <v>366</v>
      </c>
    </row>
    <row r="159" spans="1:10" x14ac:dyDescent="0.25">
      <c r="A159" s="305"/>
      <c r="B159" s="306"/>
      <c r="C159" s="307"/>
      <c r="D159" s="310"/>
      <c r="E159" s="310"/>
      <c r="F159" s="49" t="s">
        <v>561</v>
      </c>
      <c r="G159" s="48">
        <v>44692</v>
      </c>
      <c r="H159" s="51">
        <v>763</v>
      </c>
      <c r="I159" s="309"/>
      <c r="J159" s="309"/>
    </row>
    <row r="160" spans="1:10" ht="0.75" customHeight="1" x14ac:dyDescent="0.25">
      <c r="A160" s="305">
        <v>44638</v>
      </c>
      <c r="B160" s="306">
        <v>8266</v>
      </c>
      <c r="C160" s="307" t="s">
        <v>153</v>
      </c>
      <c r="D160" s="306" t="s">
        <v>60</v>
      </c>
      <c r="E160" s="308" t="s">
        <v>155</v>
      </c>
      <c r="F160" s="49" t="s">
        <v>562</v>
      </c>
      <c r="G160" s="48">
        <v>44662</v>
      </c>
      <c r="H160" s="51">
        <v>1394</v>
      </c>
      <c r="I160" s="309" t="s">
        <v>299</v>
      </c>
      <c r="J160" s="309" t="s">
        <v>366</v>
      </c>
    </row>
    <row r="161" spans="1:10" x14ac:dyDescent="0.25">
      <c r="A161" s="305"/>
      <c r="B161" s="306"/>
      <c r="C161" s="307"/>
      <c r="D161" s="306"/>
      <c r="E161" s="308"/>
      <c r="F161" s="49" t="s">
        <v>563</v>
      </c>
      <c r="G161" s="48">
        <v>44692</v>
      </c>
      <c r="H161" s="51">
        <v>1394</v>
      </c>
      <c r="I161" s="309"/>
      <c r="J161" s="309"/>
    </row>
    <row r="162" spans="1:10" x14ac:dyDescent="0.25">
      <c r="A162" s="305"/>
      <c r="B162" s="306"/>
      <c r="C162" s="307"/>
      <c r="D162" s="306"/>
      <c r="E162" s="308"/>
      <c r="F162" s="49" t="s">
        <v>564</v>
      </c>
      <c r="G162" s="48">
        <v>44723</v>
      </c>
      <c r="H162" s="51">
        <v>1394</v>
      </c>
      <c r="I162" s="309"/>
      <c r="J162" s="309"/>
    </row>
    <row r="163" spans="1:10" x14ac:dyDescent="0.25">
      <c r="A163" s="140">
        <v>44638</v>
      </c>
      <c r="B163" s="142">
        <v>8259</v>
      </c>
      <c r="C163" s="177" t="s">
        <v>456</v>
      </c>
      <c r="D163" s="142" t="s">
        <v>53</v>
      </c>
      <c r="E163" s="144" t="s">
        <v>234</v>
      </c>
      <c r="F163" s="142" t="s">
        <v>565</v>
      </c>
      <c r="G163" s="140">
        <v>44648</v>
      </c>
      <c r="H163" s="145">
        <v>938</v>
      </c>
      <c r="I163" s="39" t="s">
        <v>24</v>
      </c>
      <c r="J163" s="39" t="s">
        <v>366</v>
      </c>
    </row>
    <row r="164" spans="1:10" x14ac:dyDescent="0.25">
      <c r="A164" s="48">
        <v>44644</v>
      </c>
      <c r="B164" s="49">
        <v>8284</v>
      </c>
      <c r="C164" s="114" t="s">
        <v>568</v>
      </c>
      <c r="D164" s="115">
        <v>44348</v>
      </c>
      <c r="E164" s="50" t="s">
        <v>473</v>
      </c>
      <c r="F164" s="49" t="s">
        <v>569</v>
      </c>
      <c r="G164" s="48">
        <v>44671</v>
      </c>
      <c r="H164" s="51">
        <v>160</v>
      </c>
      <c r="I164" s="39" t="s">
        <v>24</v>
      </c>
      <c r="J164" s="39" t="s">
        <v>366</v>
      </c>
    </row>
    <row r="165" spans="1:10" x14ac:dyDescent="0.25">
      <c r="A165" s="48">
        <v>44650</v>
      </c>
      <c r="B165" s="49">
        <v>8261</v>
      </c>
      <c r="C165" s="114" t="s">
        <v>460</v>
      </c>
      <c r="D165" s="115">
        <v>43709</v>
      </c>
      <c r="E165" s="50" t="s">
        <v>233</v>
      </c>
      <c r="F165" s="49" t="s">
        <v>572</v>
      </c>
      <c r="G165" s="48">
        <v>44669</v>
      </c>
      <c r="H165" s="51">
        <v>170</v>
      </c>
      <c r="I165" s="39" t="s">
        <v>24</v>
      </c>
      <c r="J165" s="39" t="s">
        <v>366</v>
      </c>
    </row>
    <row r="166" spans="1:10" x14ac:dyDescent="0.25">
      <c r="A166" s="48">
        <v>44655</v>
      </c>
      <c r="B166" s="49">
        <v>8265</v>
      </c>
      <c r="C166" s="114" t="s">
        <v>441</v>
      </c>
      <c r="D166" s="49" t="s">
        <v>195</v>
      </c>
      <c r="E166" s="50" t="s">
        <v>487</v>
      </c>
      <c r="F166" s="49" t="s">
        <v>574</v>
      </c>
      <c r="G166" s="48">
        <v>44667</v>
      </c>
      <c r="H166" s="51">
        <v>160</v>
      </c>
      <c r="I166" s="39" t="s">
        <v>24</v>
      </c>
      <c r="J166" s="39" t="s">
        <v>366</v>
      </c>
    </row>
    <row r="167" spans="1:10" ht="34.5" x14ac:dyDescent="0.25">
      <c r="A167" s="48">
        <v>44656</v>
      </c>
      <c r="B167" s="49">
        <v>8251</v>
      </c>
      <c r="C167" s="114" t="s">
        <v>575</v>
      </c>
      <c r="D167" s="49" t="s">
        <v>217</v>
      </c>
      <c r="E167" s="50" t="s">
        <v>158</v>
      </c>
      <c r="F167" s="49" t="s">
        <v>576</v>
      </c>
      <c r="G167" s="48">
        <v>44670</v>
      </c>
      <c r="H167" s="51">
        <v>160</v>
      </c>
      <c r="I167" s="39" t="s">
        <v>24</v>
      </c>
      <c r="J167" s="39" t="s">
        <v>366</v>
      </c>
    </row>
    <row r="168" spans="1:10" x14ac:dyDescent="0.25">
      <c r="A168" s="48">
        <v>44658</v>
      </c>
      <c r="B168" s="49">
        <v>8286</v>
      </c>
      <c r="C168" s="114" t="s">
        <v>579</v>
      </c>
      <c r="D168" s="49" t="s">
        <v>497</v>
      </c>
      <c r="E168" s="50" t="s">
        <v>502</v>
      </c>
      <c r="F168" s="49" t="s">
        <v>580</v>
      </c>
      <c r="G168" s="48">
        <v>44671</v>
      </c>
      <c r="H168" s="51">
        <v>160</v>
      </c>
      <c r="I168" s="39" t="s">
        <v>24</v>
      </c>
      <c r="J168" s="39" t="s">
        <v>366</v>
      </c>
    </row>
    <row r="169" spans="1:10" x14ac:dyDescent="0.25">
      <c r="A169" s="48">
        <v>44663</v>
      </c>
      <c r="B169" s="49">
        <v>8264</v>
      </c>
      <c r="C169" s="114" t="s">
        <v>441</v>
      </c>
      <c r="D169" s="49" t="s">
        <v>195</v>
      </c>
      <c r="E169" s="50" t="s">
        <v>487</v>
      </c>
      <c r="F169" s="49" t="s">
        <v>581</v>
      </c>
      <c r="G169" s="48">
        <v>44675</v>
      </c>
      <c r="H169" s="51">
        <v>160</v>
      </c>
      <c r="I169" s="39" t="s">
        <v>299</v>
      </c>
      <c r="J169" s="39" t="s">
        <v>366</v>
      </c>
    </row>
    <row r="170" spans="1:10" x14ac:dyDescent="0.25">
      <c r="A170" s="48">
        <v>44664</v>
      </c>
      <c r="B170" s="49">
        <v>8259</v>
      </c>
      <c r="C170" s="114" t="s">
        <v>456</v>
      </c>
      <c r="D170" s="49" t="s">
        <v>53</v>
      </c>
      <c r="E170" s="50" t="s">
        <v>234</v>
      </c>
      <c r="F170" s="49" t="s">
        <v>583</v>
      </c>
      <c r="G170" s="48">
        <v>44696</v>
      </c>
      <c r="H170" s="51">
        <v>160</v>
      </c>
      <c r="I170" s="39" t="s">
        <v>299</v>
      </c>
      <c r="J170" s="39" t="s">
        <v>366</v>
      </c>
    </row>
    <row r="171" spans="1:10" x14ac:dyDescent="0.25">
      <c r="A171" s="48">
        <v>44664</v>
      </c>
      <c r="B171" s="49">
        <v>8265</v>
      </c>
      <c r="C171" s="114" t="s">
        <v>585</v>
      </c>
      <c r="D171" s="49" t="s">
        <v>439</v>
      </c>
      <c r="E171" s="50" t="s">
        <v>230</v>
      </c>
      <c r="F171" s="49" t="s">
        <v>584</v>
      </c>
      <c r="G171" s="48">
        <v>44678</v>
      </c>
      <c r="H171" s="51">
        <v>160</v>
      </c>
      <c r="I171" s="39" t="s">
        <v>299</v>
      </c>
      <c r="J171" s="39" t="s">
        <v>366</v>
      </c>
    </row>
    <row r="172" spans="1:10" x14ac:dyDescent="0.25">
      <c r="A172" s="48">
        <v>44664</v>
      </c>
      <c r="B172" s="49">
        <v>8263</v>
      </c>
      <c r="C172" s="114" t="s">
        <v>586</v>
      </c>
      <c r="D172" s="49" t="s">
        <v>436</v>
      </c>
      <c r="E172" s="50" t="s">
        <v>231</v>
      </c>
      <c r="F172" s="49" t="s">
        <v>587</v>
      </c>
      <c r="G172" s="48">
        <v>44678</v>
      </c>
      <c r="H172" s="51">
        <v>160</v>
      </c>
      <c r="I172" s="39" t="s">
        <v>299</v>
      </c>
      <c r="J172" s="39" t="s">
        <v>366</v>
      </c>
    </row>
    <row r="173" spans="1:10" x14ac:dyDescent="0.25">
      <c r="A173" s="48">
        <v>44685</v>
      </c>
      <c r="B173" s="49">
        <v>8266</v>
      </c>
      <c r="C173" s="114" t="s">
        <v>153</v>
      </c>
      <c r="D173" s="49" t="s">
        <v>60</v>
      </c>
      <c r="E173" s="50" t="s">
        <v>155</v>
      </c>
      <c r="F173" s="49" t="s">
        <v>591</v>
      </c>
      <c r="G173" s="48">
        <v>44697</v>
      </c>
      <c r="H173" s="51">
        <v>180</v>
      </c>
      <c r="I173" s="39" t="s">
        <v>299</v>
      </c>
      <c r="J173" s="39" t="s">
        <v>366</v>
      </c>
    </row>
    <row r="174" spans="1:10" x14ac:dyDescent="0.25">
      <c r="A174" s="48">
        <v>44699</v>
      </c>
      <c r="B174" s="49">
        <v>8290</v>
      </c>
      <c r="C174" s="114" t="s">
        <v>121</v>
      </c>
      <c r="D174" s="49" t="s">
        <v>590</v>
      </c>
      <c r="E174" s="50" t="s">
        <v>593</v>
      </c>
      <c r="F174" s="49" t="s">
        <v>594</v>
      </c>
      <c r="G174" s="48">
        <v>44718</v>
      </c>
      <c r="H174" s="51">
        <v>536</v>
      </c>
      <c r="I174" s="39" t="s">
        <v>299</v>
      </c>
      <c r="J174" s="39" t="s">
        <v>366</v>
      </c>
    </row>
    <row r="175" spans="1:10" x14ac:dyDescent="0.25">
      <c r="A175" s="48">
        <v>44699</v>
      </c>
      <c r="B175" s="49">
        <v>8250</v>
      </c>
      <c r="C175" s="114" t="s">
        <v>178</v>
      </c>
      <c r="D175" s="49" t="s">
        <v>226</v>
      </c>
      <c r="E175" s="50" t="s">
        <v>180</v>
      </c>
      <c r="F175" s="49" t="s">
        <v>596</v>
      </c>
      <c r="G175" s="48">
        <v>44724</v>
      </c>
      <c r="H175" s="51">
        <v>180</v>
      </c>
      <c r="I175" s="39" t="s">
        <v>299</v>
      </c>
      <c r="J175" s="39" t="s">
        <v>366</v>
      </c>
    </row>
    <row r="176" spans="1:10" ht="34.5" x14ac:dyDescent="0.25">
      <c r="A176" s="48">
        <v>44704</v>
      </c>
      <c r="B176" s="49">
        <v>8268</v>
      </c>
      <c r="C176" s="114" t="s">
        <v>560</v>
      </c>
      <c r="D176" s="49" t="s">
        <v>262</v>
      </c>
      <c r="E176" s="50" t="s">
        <v>228</v>
      </c>
      <c r="F176" s="49" t="s">
        <v>598</v>
      </c>
      <c r="G176" s="48">
        <v>44718</v>
      </c>
      <c r="H176" s="51">
        <v>774</v>
      </c>
      <c r="I176" s="39" t="s">
        <v>299</v>
      </c>
      <c r="J176" s="39" t="s">
        <v>366</v>
      </c>
    </row>
    <row r="177" spans="1:10" x14ac:dyDescent="0.25">
      <c r="A177" s="48">
        <v>44704</v>
      </c>
      <c r="B177" s="49">
        <v>8286</v>
      </c>
      <c r="C177" s="114" t="s">
        <v>579</v>
      </c>
      <c r="D177" s="49" t="s">
        <v>497</v>
      </c>
      <c r="E177" s="50" t="s">
        <v>502</v>
      </c>
      <c r="F177" s="49" t="s">
        <v>599</v>
      </c>
      <c r="G177" s="48">
        <v>44713</v>
      </c>
      <c r="H177" s="51">
        <v>160</v>
      </c>
      <c r="I177" s="39" t="s">
        <v>299</v>
      </c>
      <c r="J177" s="39" t="s">
        <v>366</v>
      </c>
    </row>
    <row r="178" spans="1:10" x14ac:dyDescent="0.25">
      <c r="A178" s="48">
        <v>44704</v>
      </c>
      <c r="B178" s="49">
        <v>8265</v>
      </c>
      <c r="C178" s="114" t="s">
        <v>448</v>
      </c>
      <c r="D178" s="49" t="s">
        <v>439</v>
      </c>
      <c r="E178" s="50" t="s">
        <v>230</v>
      </c>
      <c r="F178" s="49" t="s">
        <v>600</v>
      </c>
      <c r="G178" s="48">
        <v>44724</v>
      </c>
      <c r="H178" s="51">
        <v>905</v>
      </c>
      <c r="I178" s="39" t="s">
        <v>24</v>
      </c>
      <c r="J178" s="39" t="s">
        <v>366</v>
      </c>
    </row>
    <row r="179" spans="1:10" x14ac:dyDescent="0.25">
      <c r="A179" s="305">
        <v>44704</v>
      </c>
      <c r="B179" s="306">
        <v>8263</v>
      </c>
      <c r="C179" s="307" t="s">
        <v>443</v>
      </c>
      <c r="D179" s="306" t="s">
        <v>436</v>
      </c>
      <c r="E179" s="308" t="s">
        <v>231</v>
      </c>
      <c r="F179" s="49" t="s">
        <v>601</v>
      </c>
      <c r="G179" s="48">
        <v>44723</v>
      </c>
      <c r="H179" s="51">
        <v>531</v>
      </c>
      <c r="I179" s="39" t="s">
        <v>24</v>
      </c>
      <c r="J179" s="39" t="s">
        <v>366</v>
      </c>
    </row>
    <row r="180" spans="1:10" x14ac:dyDescent="0.25">
      <c r="A180" s="305"/>
      <c r="B180" s="306"/>
      <c r="C180" s="307"/>
      <c r="D180" s="306"/>
      <c r="E180" s="308"/>
      <c r="F180" s="49" t="s">
        <v>602</v>
      </c>
      <c r="G180" s="48">
        <v>44754</v>
      </c>
      <c r="H180" s="51">
        <v>531</v>
      </c>
      <c r="I180" s="39" t="s">
        <v>24</v>
      </c>
      <c r="J180" s="39" t="s">
        <v>366</v>
      </c>
    </row>
    <row r="181" spans="1:10" x14ac:dyDescent="0.25">
      <c r="A181" s="48">
        <v>44718</v>
      </c>
      <c r="B181" s="49">
        <v>8250</v>
      </c>
      <c r="C181" s="114" t="s">
        <v>178</v>
      </c>
      <c r="D181" s="49" t="s">
        <v>226</v>
      </c>
      <c r="E181" s="50" t="s">
        <v>180</v>
      </c>
      <c r="F181" s="49" t="s">
        <v>607</v>
      </c>
      <c r="G181" s="48">
        <v>44739</v>
      </c>
      <c r="H181" s="51">
        <v>160</v>
      </c>
      <c r="I181" s="39" t="s">
        <v>24</v>
      </c>
      <c r="J181" s="39" t="s">
        <v>366</v>
      </c>
    </row>
    <row r="182" spans="1:10" x14ac:dyDescent="0.25">
      <c r="A182" s="48">
        <v>44718</v>
      </c>
      <c r="B182" s="49">
        <v>8282</v>
      </c>
      <c r="C182" s="114" t="s">
        <v>417</v>
      </c>
      <c r="D182" s="49" t="s">
        <v>542</v>
      </c>
      <c r="E182" s="50" t="s">
        <v>419</v>
      </c>
      <c r="F182" s="49" t="s">
        <v>609</v>
      </c>
      <c r="G182" s="48">
        <v>44745</v>
      </c>
      <c r="H182" s="51">
        <v>180</v>
      </c>
      <c r="I182" s="39" t="s">
        <v>24</v>
      </c>
      <c r="J182" s="39" t="s">
        <v>366</v>
      </c>
    </row>
    <row r="183" spans="1:10" x14ac:dyDescent="0.25">
      <c r="A183" s="48">
        <v>44719</v>
      </c>
      <c r="B183" s="49">
        <v>8252</v>
      </c>
      <c r="C183" s="114" t="s">
        <v>611</v>
      </c>
      <c r="D183" s="49" t="s">
        <v>218</v>
      </c>
      <c r="E183" s="50" t="s">
        <v>138</v>
      </c>
      <c r="F183" s="49" t="s">
        <v>612</v>
      </c>
      <c r="G183" s="48">
        <v>44743</v>
      </c>
      <c r="H183" s="51">
        <v>180</v>
      </c>
      <c r="I183" s="39" t="s">
        <v>24</v>
      </c>
      <c r="J183" s="39" t="s">
        <v>366</v>
      </c>
    </row>
    <row r="184" spans="1:10" x14ac:dyDescent="0.25">
      <c r="A184" s="305">
        <v>44720</v>
      </c>
      <c r="B184" s="317">
        <v>8270</v>
      </c>
      <c r="C184" s="315" t="s">
        <v>553</v>
      </c>
      <c r="D184" s="305" t="s">
        <v>67</v>
      </c>
      <c r="E184" s="308" t="s">
        <v>613</v>
      </c>
      <c r="F184" s="49" t="s">
        <v>614</v>
      </c>
      <c r="G184" s="48">
        <v>44742</v>
      </c>
      <c r="H184" s="51">
        <v>1280</v>
      </c>
      <c r="I184" s="39" t="s">
        <v>24</v>
      </c>
      <c r="J184" s="39" t="s">
        <v>366</v>
      </c>
    </row>
    <row r="185" spans="1:10" x14ac:dyDescent="0.25">
      <c r="A185" s="305"/>
      <c r="B185" s="318"/>
      <c r="C185" s="315"/>
      <c r="D185" s="305"/>
      <c r="E185" s="308"/>
      <c r="F185" s="49" t="s">
        <v>615</v>
      </c>
      <c r="G185" s="48">
        <v>44772</v>
      </c>
      <c r="H185" s="51">
        <v>1280</v>
      </c>
      <c r="I185" s="39" t="s">
        <v>24</v>
      </c>
      <c r="J185" s="39" t="s">
        <v>366</v>
      </c>
    </row>
    <row r="186" spans="1:10" x14ac:dyDescent="0.25">
      <c r="A186" s="305">
        <v>44732</v>
      </c>
      <c r="B186" s="306">
        <v>8371</v>
      </c>
      <c r="C186" s="307" t="s">
        <v>481</v>
      </c>
      <c r="D186" s="306" t="s">
        <v>621</v>
      </c>
      <c r="E186" s="308" t="s">
        <v>618</v>
      </c>
      <c r="F186" s="49" t="s">
        <v>619</v>
      </c>
      <c r="G186" s="48">
        <v>44762</v>
      </c>
      <c r="H186" s="51">
        <v>2045.92</v>
      </c>
    </row>
    <row r="187" spans="1:10" x14ac:dyDescent="0.25">
      <c r="A187" s="305"/>
      <c r="B187" s="306"/>
      <c r="C187" s="307"/>
      <c r="D187" s="306"/>
      <c r="E187" s="308"/>
      <c r="F187" s="49" t="s">
        <v>620</v>
      </c>
      <c r="G187" s="48">
        <v>44793</v>
      </c>
      <c r="H187" s="51">
        <v>2045.92</v>
      </c>
    </row>
    <row r="188" spans="1:10" x14ac:dyDescent="0.25">
      <c r="A188" s="48">
        <v>44733</v>
      </c>
      <c r="B188" s="49">
        <v>8290</v>
      </c>
      <c r="C188" s="114" t="s">
        <v>121</v>
      </c>
      <c r="D188" s="49" t="s">
        <v>624</v>
      </c>
      <c r="E188" s="50" t="s">
        <v>623</v>
      </c>
      <c r="F188" s="49" t="s">
        <v>625</v>
      </c>
      <c r="G188" s="48">
        <v>44753</v>
      </c>
      <c r="H188" s="51">
        <v>150</v>
      </c>
    </row>
    <row r="189" spans="1:10" x14ac:dyDescent="0.25">
      <c r="A189" s="48">
        <v>44734</v>
      </c>
      <c r="B189" s="49">
        <v>8269</v>
      </c>
      <c r="C189" s="178" t="s">
        <v>629</v>
      </c>
      <c r="D189" s="115">
        <v>44044</v>
      </c>
      <c r="E189" s="50" t="s">
        <v>127</v>
      </c>
      <c r="F189" s="49" t="s">
        <v>628</v>
      </c>
      <c r="G189" s="48">
        <v>44761</v>
      </c>
      <c r="H189" s="51">
        <v>760.33</v>
      </c>
    </row>
    <row r="190" spans="1:10" x14ac:dyDescent="0.25">
      <c r="A190" s="48">
        <v>44739</v>
      </c>
      <c r="B190" s="49">
        <v>8255</v>
      </c>
      <c r="C190" s="114" t="s">
        <v>176</v>
      </c>
      <c r="D190" s="49" t="s">
        <v>47</v>
      </c>
      <c r="E190" s="50" t="s">
        <v>72</v>
      </c>
      <c r="F190" s="49" t="s">
        <v>630</v>
      </c>
      <c r="G190" s="48">
        <v>44752</v>
      </c>
      <c r="H190" s="51">
        <v>317</v>
      </c>
    </row>
    <row r="191" spans="1:10" x14ac:dyDescent="0.25">
      <c r="A191" s="48">
        <v>44748</v>
      </c>
      <c r="B191" s="49">
        <v>8250</v>
      </c>
      <c r="C191" s="114" t="s">
        <v>178</v>
      </c>
      <c r="D191" s="49" t="s">
        <v>226</v>
      </c>
      <c r="E191" s="50" t="s">
        <v>180</v>
      </c>
      <c r="F191" s="49" t="s">
        <v>633</v>
      </c>
      <c r="G191" s="48">
        <v>44761</v>
      </c>
      <c r="H191" s="51">
        <v>215</v>
      </c>
    </row>
    <row r="192" spans="1:10" x14ac:dyDescent="0.25">
      <c r="A192" s="48">
        <v>44753</v>
      </c>
      <c r="B192" s="49">
        <v>8257</v>
      </c>
      <c r="C192" s="114" t="s">
        <v>191</v>
      </c>
      <c r="D192" s="49" t="s">
        <v>68</v>
      </c>
      <c r="E192" s="50" t="s">
        <v>192</v>
      </c>
      <c r="F192" s="49" t="s">
        <v>635</v>
      </c>
      <c r="G192" s="48">
        <v>44762</v>
      </c>
      <c r="H192" s="51">
        <v>1097</v>
      </c>
    </row>
    <row r="193" spans="1:8" x14ac:dyDescent="0.25">
      <c r="A193" s="48">
        <v>44754</v>
      </c>
      <c r="B193" s="49">
        <v>8284</v>
      </c>
      <c r="C193" s="114" t="s">
        <v>511</v>
      </c>
      <c r="D193" s="115">
        <v>44348</v>
      </c>
      <c r="E193" s="50" t="s">
        <v>473</v>
      </c>
      <c r="F193" s="49" t="s">
        <v>636</v>
      </c>
      <c r="G193" s="48">
        <v>44776</v>
      </c>
      <c r="H193" s="51">
        <v>180</v>
      </c>
    </row>
    <row r="194" spans="1:8" x14ac:dyDescent="0.25">
      <c r="A194" s="48">
        <v>44754</v>
      </c>
      <c r="B194" s="49">
        <v>8252</v>
      </c>
      <c r="C194" s="114" t="s">
        <v>611</v>
      </c>
      <c r="D194" s="49" t="s">
        <v>218</v>
      </c>
      <c r="E194" s="50" t="s">
        <v>138</v>
      </c>
      <c r="F194" s="49" t="s">
        <v>637</v>
      </c>
      <c r="G194" s="48">
        <v>44774</v>
      </c>
      <c r="H194" s="51">
        <v>1348</v>
      </c>
    </row>
    <row r="195" spans="1:8" x14ac:dyDescent="0.25">
      <c r="A195" s="48">
        <v>44754</v>
      </c>
      <c r="B195" s="49">
        <v>8267</v>
      </c>
      <c r="C195" s="114" t="s">
        <v>638</v>
      </c>
      <c r="D195" s="49" t="s">
        <v>222</v>
      </c>
      <c r="E195" s="50" t="s">
        <v>229</v>
      </c>
      <c r="F195" s="49" t="s">
        <v>639</v>
      </c>
      <c r="G195" s="48">
        <v>44776</v>
      </c>
      <c r="H195" s="51">
        <v>960</v>
      </c>
    </row>
    <row r="196" spans="1:8" x14ac:dyDescent="0.25">
      <c r="A196" s="305">
        <v>44761</v>
      </c>
      <c r="B196" s="306">
        <v>8277</v>
      </c>
      <c r="C196" s="307" t="s">
        <v>355</v>
      </c>
      <c r="D196" s="306" t="s">
        <v>353</v>
      </c>
      <c r="E196" s="308" t="s">
        <v>641</v>
      </c>
      <c r="F196" s="49" t="s">
        <v>642</v>
      </c>
      <c r="G196" s="48">
        <v>44781</v>
      </c>
      <c r="H196" s="51">
        <v>1464.8</v>
      </c>
    </row>
    <row r="197" spans="1:8" x14ac:dyDescent="0.25">
      <c r="A197" s="305"/>
      <c r="B197" s="306"/>
      <c r="C197" s="307"/>
      <c r="D197" s="306"/>
      <c r="E197" s="308"/>
      <c r="F197" s="49" t="s">
        <v>643</v>
      </c>
      <c r="G197" s="48">
        <v>44801</v>
      </c>
      <c r="H197" s="51">
        <v>1464.8</v>
      </c>
    </row>
    <row r="198" spans="1:8" ht="34.5" x14ac:dyDescent="0.25">
      <c r="A198" s="48">
        <v>44769</v>
      </c>
      <c r="B198" s="49">
        <v>8286</v>
      </c>
      <c r="C198" s="114" t="s">
        <v>504</v>
      </c>
      <c r="D198" s="49" t="s">
        <v>497</v>
      </c>
      <c r="E198" s="50" t="s">
        <v>502</v>
      </c>
      <c r="F198" s="49" t="s">
        <v>645</v>
      </c>
      <c r="G198" s="48">
        <v>44787</v>
      </c>
      <c r="H198" s="51">
        <v>180</v>
      </c>
    </row>
    <row r="199" spans="1:8" x14ac:dyDescent="0.25">
      <c r="A199" s="48">
        <v>44777</v>
      </c>
      <c r="B199" s="49">
        <v>8253</v>
      </c>
      <c r="C199" s="114" t="s">
        <v>535</v>
      </c>
      <c r="D199" s="49"/>
      <c r="E199" s="50" t="s">
        <v>74</v>
      </c>
      <c r="F199" s="49" t="s">
        <v>647</v>
      </c>
      <c r="G199" s="48">
        <v>44793</v>
      </c>
      <c r="H199" s="51">
        <v>505</v>
      </c>
    </row>
    <row r="200" spans="1:8" x14ac:dyDescent="0.25">
      <c r="A200" s="48">
        <v>44783</v>
      </c>
      <c r="B200" s="49">
        <v>8257</v>
      </c>
      <c r="C200" s="114" t="s">
        <v>191</v>
      </c>
      <c r="D200" s="49" t="s">
        <v>68</v>
      </c>
      <c r="E200" s="50" t="s">
        <v>192</v>
      </c>
      <c r="F200" s="49" t="s">
        <v>649</v>
      </c>
      <c r="G200" s="48">
        <v>44801</v>
      </c>
      <c r="H200" s="51">
        <v>180</v>
      </c>
    </row>
    <row r="201" spans="1:8" x14ac:dyDescent="0.25">
      <c r="A201" s="48">
        <v>44792</v>
      </c>
      <c r="B201" s="49">
        <v>8259</v>
      </c>
      <c r="C201" s="114" t="s">
        <v>456</v>
      </c>
      <c r="D201" s="49" t="s">
        <v>53</v>
      </c>
      <c r="E201" s="50" t="s">
        <v>234</v>
      </c>
      <c r="F201" s="49" t="s">
        <v>650</v>
      </c>
      <c r="G201" s="48">
        <v>44812</v>
      </c>
      <c r="H201" s="51">
        <v>180</v>
      </c>
    </row>
    <row r="202" spans="1:8" ht="34.5" x14ac:dyDescent="0.25">
      <c r="A202" s="48">
        <v>44795</v>
      </c>
      <c r="B202" s="49">
        <v>8247</v>
      </c>
      <c r="C202" s="114" t="s">
        <v>651</v>
      </c>
      <c r="D202" s="49" t="s">
        <v>225</v>
      </c>
      <c r="E202" s="50" t="s">
        <v>430</v>
      </c>
      <c r="F202" s="49" t="s">
        <v>652</v>
      </c>
      <c r="G202" s="48">
        <v>44814</v>
      </c>
      <c r="H202" s="51">
        <v>695</v>
      </c>
    </row>
    <row r="203" spans="1:8" x14ac:dyDescent="0.25">
      <c r="A203" s="48">
        <v>44813</v>
      </c>
      <c r="B203" s="49">
        <v>8261</v>
      </c>
      <c r="C203" s="114" t="s">
        <v>655</v>
      </c>
      <c r="D203" s="115">
        <v>43709</v>
      </c>
      <c r="E203" s="50" t="s">
        <v>233</v>
      </c>
      <c r="F203" s="49" t="s">
        <v>656</v>
      </c>
      <c r="G203" s="48">
        <v>44825</v>
      </c>
      <c r="H203" s="51">
        <v>170</v>
      </c>
    </row>
    <row r="204" spans="1:8" x14ac:dyDescent="0.25">
      <c r="A204" s="48">
        <v>44816</v>
      </c>
      <c r="B204" s="49">
        <v>8277</v>
      </c>
      <c r="C204" s="114" t="s">
        <v>659</v>
      </c>
      <c r="D204" s="49" t="s">
        <v>660</v>
      </c>
      <c r="E204" s="50" t="s">
        <v>641</v>
      </c>
      <c r="F204" s="49" t="s">
        <v>661</v>
      </c>
      <c r="G204" s="48">
        <v>44831</v>
      </c>
      <c r="H204" s="51">
        <v>150</v>
      </c>
    </row>
    <row r="205" spans="1:8" ht="34.5" x14ac:dyDescent="0.25">
      <c r="A205" s="48">
        <v>44817</v>
      </c>
      <c r="B205" s="49">
        <v>8286</v>
      </c>
      <c r="C205" s="114" t="s">
        <v>663</v>
      </c>
      <c r="D205" s="49" t="s">
        <v>497</v>
      </c>
      <c r="E205" s="50" t="s">
        <v>502</v>
      </c>
      <c r="F205" s="49" t="s">
        <v>662</v>
      </c>
      <c r="G205" s="48">
        <v>44847</v>
      </c>
      <c r="H205" s="51">
        <v>170</v>
      </c>
    </row>
    <row r="206" spans="1:8" x14ac:dyDescent="0.25">
      <c r="A206" s="48">
        <v>44820</v>
      </c>
      <c r="B206" s="49">
        <v>8284</v>
      </c>
      <c r="C206" s="114" t="s">
        <v>511</v>
      </c>
      <c r="D206" s="49" t="s">
        <v>472</v>
      </c>
      <c r="E206" s="50" t="s">
        <v>473</v>
      </c>
      <c r="F206" s="49" t="s">
        <v>664</v>
      </c>
      <c r="G206" s="48">
        <v>44845</v>
      </c>
      <c r="H206" s="51">
        <v>329</v>
      </c>
    </row>
    <row r="207" spans="1:8" x14ac:dyDescent="0.25">
      <c r="A207" s="48">
        <v>44824</v>
      </c>
      <c r="B207" s="49">
        <v>8292</v>
      </c>
      <c r="C207" s="114" t="s">
        <v>653</v>
      </c>
      <c r="D207" s="49" t="s">
        <v>654</v>
      </c>
      <c r="E207" s="50" t="s">
        <v>665</v>
      </c>
      <c r="F207" s="49" t="s">
        <v>666</v>
      </c>
      <c r="G207" s="48">
        <v>44847</v>
      </c>
      <c r="H207" s="51">
        <v>270</v>
      </c>
    </row>
    <row r="208" spans="1:8" x14ac:dyDescent="0.25">
      <c r="A208" s="48">
        <v>44832</v>
      </c>
      <c r="B208" s="49">
        <v>8371</v>
      </c>
      <c r="C208" s="114" t="s">
        <v>481</v>
      </c>
      <c r="D208" s="49" t="s">
        <v>477</v>
      </c>
      <c r="E208" s="50" t="s">
        <v>479</v>
      </c>
      <c r="F208" s="49" t="s">
        <v>668</v>
      </c>
      <c r="G208" s="48">
        <v>44844</v>
      </c>
      <c r="H208" s="51">
        <v>338</v>
      </c>
    </row>
    <row r="209" spans="1:8" x14ac:dyDescent="0.25">
      <c r="A209" s="48">
        <v>44832</v>
      </c>
      <c r="B209" s="49">
        <v>8272</v>
      </c>
      <c r="C209" s="114" t="s">
        <v>671</v>
      </c>
      <c r="E209" s="50" t="s">
        <v>111</v>
      </c>
      <c r="F209" s="49" t="s">
        <v>669</v>
      </c>
      <c r="G209" s="48">
        <v>44853</v>
      </c>
      <c r="H209" s="51">
        <v>924</v>
      </c>
    </row>
    <row r="210" spans="1:8" x14ac:dyDescent="0.25">
      <c r="A210" s="48">
        <v>44838</v>
      </c>
      <c r="B210" s="49">
        <v>8261</v>
      </c>
      <c r="C210" s="114" t="s">
        <v>655</v>
      </c>
      <c r="E210" s="50" t="s">
        <v>233</v>
      </c>
      <c r="F210" s="49" t="s">
        <v>674</v>
      </c>
      <c r="G210" s="48">
        <v>44848</v>
      </c>
      <c r="H210" s="51">
        <v>170</v>
      </c>
    </row>
    <row r="211" spans="1:8" x14ac:dyDescent="0.25">
      <c r="A211" s="305">
        <v>44848</v>
      </c>
      <c r="B211" s="306">
        <v>8274</v>
      </c>
      <c r="C211" s="307" t="s">
        <v>675</v>
      </c>
      <c r="E211" s="308" t="s">
        <v>278</v>
      </c>
      <c r="F211" s="49" t="s">
        <v>676</v>
      </c>
      <c r="G211" s="48">
        <v>44865</v>
      </c>
      <c r="H211" s="51">
        <v>9725.1299999999992</v>
      </c>
    </row>
    <row r="212" spans="1:8" x14ac:dyDescent="0.25">
      <c r="A212" s="305"/>
      <c r="B212" s="306"/>
      <c r="C212" s="307"/>
      <c r="E212" s="308"/>
      <c r="F212" s="49" t="s">
        <v>677</v>
      </c>
      <c r="G212" s="48">
        <v>44895</v>
      </c>
      <c r="H212" s="51">
        <v>9725.14</v>
      </c>
    </row>
    <row r="213" spans="1:8" x14ac:dyDescent="0.25">
      <c r="A213" s="305"/>
      <c r="B213" s="306"/>
      <c r="C213" s="307"/>
      <c r="E213" s="308"/>
      <c r="F213" s="49" t="s">
        <v>678</v>
      </c>
      <c r="G213" s="48">
        <v>44925</v>
      </c>
      <c r="H213" s="51">
        <v>9725.14</v>
      </c>
    </row>
    <row r="214" spans="1:8" x14ac:dyDescent="0.25">
      <c r="A214" s="305"/>
      <c r="B214" s="306"/>
      <c r="C214" s="307"/>
      <c r="E214" s="308"/>
      <c r="F214" s="49" t="s">
        <v>679</v>
      </c>
      <c r="G214" s="48">
        <v>44956</v>
      </c>
      <c r="H214" s="51">
        <v>9725.14</v>
      </c>
    </row>
    <row r="215" spans="1:8" hidden="1" x14ac:dyDescent="0.25">
      <c r="A215" s="48">
        <v>44852</v>
      </c>
      <c r="B215" s="49">
        <v>8264</v>
      </c>
      <c r="C215" s="114" t="s">
        <v>680</v>
      </c>
      <c r="E215" s="50" t="s">
        <v>487</v>
      </c>
      <c r="F215" s="49" t="s">
        <v>681</v>
      </c>
      <c r="G215" s="48"/>
      <c r="H215" s="51">
        <v>-82.12</v>
      </c>
    </row>
    <row r="216" spans="1:8" x14ac:dyDescent="0.25">
      <c r="A216" s="48">
        <v>44854</v>
      </c>
      <c r="B216" s="49">
        <v>8277</v>
      </c>
      <c r="C216" s="114" t="s">
        <v>355</v>
      </c>
      <c r="E216" s="50" t="s">
        <v>354</v>
      </c>
      <c r="F216" s="49" t="s">
        <v>684</v>
      </c>
      <c r="G216" s="48">
        <v>44870</v>
      </c>
      <c r="H216" s="51">
        <v>220</v>
      </c>
    </row>
    <row r="217" spans="1:8" x14ac:dyDescent="0.25">
      <c r="A217" s="48">
        <v>44854</v>
      </c>
      <c r="B217" s="49">
        <v>8255</v>
      </c>
      <c r="C217" s="114" t="s">
        <v>176</v>
      </c>
      <c r="E217" s="50" t="s">
        <v>72</v>
      </c>
      <c r="F217" s="49" t="s">
        <v>686</v>
      </c>
      <c r="G217" s="48">
        <v>44884</v>
      </c>
      <c r="H217" s="51">
        <v>180</v>
      </c>
    </row>
    <row r="218" spans="1:8" x14ac:dyDescent="0.25">
      <c r="A218" s="48">
        <v>44855</v>
      </c>
      <c r="B218" s="49">
        <v>8288</v>
      </c>
      <c r="C218" s="114" t="s">
        <v>498</v>
      </c>
      <c r="E218" s="50" t="s">
        <v>507</v>
      </c>
      <c r="F218" s="49" t="s">
        <v>687</v>
      </c>
      <c r="G218" s="48">
        <v>44878</v>
      </c>
      <c r="H218" s="51">
        <v>160</v>
      </c>
    </row>
    <row r="219" spans="1:8" x14ac:dyDescent="0.25">
      <c r="A219" s="48">
        <v>44858</v>
      </c>
      <c r="B219" s="49">
        <v>8265</v>
      </c>
      <c r="C219" s="114" t="s">
        <v>585</v>
      </c>
      <c r="E219" s="50" t="s">
        <v>230</v>
      </c>
      <c r="F219" s="49" t="s">
        <v>689</v>
      </c>
      <c r="G219" s="48">
        <v>44877</v>
      </c>
      <c r="H219" s="51">
        <v>180</v>
      </c>
    </row>
    <row r="220" spans="1:8" ht="34.5" x14ac:dyDescent="0.25">
      <c r="A220" s="48">
        <v>44861</v>
      </c>
      <c r="B220" s="49">
        <v>8245</v>
      </c>
      <c r="C220" s="114" t="s">
        <v>692</v>
      </c>
      <c r="E220" s="50" t="s">
        <v>320</v>
      </c>
      <c r="F220" s="49" t="s">
        <v>693</v>
      </c>
      <c r="G220" s="48">
        <v>44881</v>
      </c>
      <c r="H220" s="51">
        <v>180</v>
      </c>
    </row>
    <row r="221" spans="1:8" x14ac:dyDescent="0.25">
      <c r="A221" s="48">
        <v>44865</v>
      </c>
      <c r="B221" s="49">
        <v>8287</v>
      </c>
      <c r="C221" s="114" t="s">
        <v>500</v>
      </c>
      <c r="E221" s="50" t="s">
        <v>499</v>
      </c>
      <c r="F221" s="49" t="s">
        <v>694</v>
      </c>
      <c r="G221" s="48">
        <v>44890</v>
      </c>
      <c r="H221" s="51">
        <v>160</v>
      </c>
    </row>
    <row r="222" spans="1:8" x14ac:dyDescent="0.25">
      <c r="A222" s="305">
        <v>44865</v>
      </c>
      <c r="B222" s="306">
        <v>8253</v>
      </c>
      <c r="C222" s="307" t="s">
        <v>535</v>
      </c>
      <c r="E222" s="308" t="s">
        <v>74</v>
      </c>
      <c r="F222" s="49" t="s">
        <v>695</v>
      </c>
      <c r="G222" s="48">
        <v>44883</v>
      </c>
      <c r="H222" s="51">
        <v>2033</v>
      </c>
    </row>
    <row r="223" spans="1:8" x14ac:dyDescent="0.25">
      <c r="A223" s="305"/>
      <c r="B223" s="306"/>
      <c r="C223" s="307"/>
      <c r="E223" s="308"/>
      <c r="F223" s="49" t="s">
        <v>696</v>
      </c>
      <c r="G223" s="48">
        <v>44913</v>
      </c>
      <c r="H223" s="51">
        <v>2033</v>
      </c>
    </row>
    <row r="224" spans="1:8" x14ac:dyDescent="0.25">
      <c r="A224" s="305"/>
      <c r="B224" s="306"/>
      <c r="C224" s="307"/>
      <c r="E224" s="308"/>
      <c r="F224" s="49" t="s">
        <v>697</v>
      </c>
      <c r="G224" s="48">
        <v>44944</v>
      </c>
      <c r="H224" s="51">
        <v>2033</v>
      </c>
    </row>
    <row r="225" spans="1:8" x14ac:dyDescent="0.25">
      <c r="A225" s="305"/>
      <c r="B225" s="306"/>
      <c r="C225" s="307"/>
      <c r="E225" s="308"/>
      <c r="F225" s="49" t="s">
        <v>698</v>
      </c>
      <c r="G225" s="48">
        <v>44975</v>
      </c>
      <c r="H225" s="51">
        <v>2033</v>
      </c>
    </row>
    <row r="226" spans="1:8" x14ac:dyDescent="0.25">
      <c r="A226" s="48">
        <v>44868</v>
      </c>
      <c r="B226" s="49">
        <v>8250</v>
      </c>
      <c r="C226" s="114" t="s">
        <v>495</v>
      </c>
      <c r="E226" s="50" t="s">
        <v>180</v>
      </c>
      <c r="F226" s="49" t="s">
        <v>700</v>
      </c>
      <c r="G226" s="48">
        <v>44893</v>
      </c>
      <c r="H226" s="51">
        <v>180</v>
      </c>
    </row>
    <row r="227" spans="1:8" x14ac:dyDescent="0.25">
      <c r="A227" s="48">
        <v>44874</v>
      </c>
      <c r="B227" s="49">
        <v>8245</v>
      </c>
      <c r="C227" s="114" t="s">
        <v>702</v>
      </c>
      <c r="E227" s="50" t="s">
        <v>320</v>
      </c>
      <c r="F227" s="49" t="s">
        <v>703</v>
      </c>
      <c r="G227" s="48">
        <v>44897</v>
      </c>
      <c r="H227" s="51">
        <v>180</v>
      </c>
    </row>
    <row r="228" spans="1:8" x14ac:dyDescent="0.25">
      <c r="A228" s="48">
        <v>44875</v>
      </c>
      <c r="B228" s="49">
        <v>8264</v>
      </c>
      <c r="C228" s="114" t="s">
        <v>680</v>
      </c>
      <c r="E228" s="50" t="s">
        <v>487</v>
      </c>
      <c r="F228" s="49" t="s">
        <v>705</v>
      </c>
      <c r="G228" s="48">
        <v>44905</v>
      </c>
      <c r="H228" s="51">
        <v>562</v>
      </c>
    </row>
    <row r="229" spans="1:8" x14ac:dyDescent="0.25">
      <c r="A229" s="48">
        <v>44881</v>
      </c>
      <c r="B229" s="49">
        <v>8280</v>
      </c>
      <c r="C229" s="114" t="s">
        <v>707</v>
      </c>
      <c r="E229" s="50" t="s">
        <v>407</v>
      </c>
      <c r="F229" s="49" t="s">
        <v>708</v>
      </c>
      <c r="G229" s="48">
        <v>44910</v>
      </c>
      <c r="H229" s="51">
        <v>180</v>
      </c>
    </row>
    <row r="230" spans="1:8" x14ac:dyDescent="0.25">
      <c r="A230" s="305">
        <v>44886</v>
      </c>
      <c r="B230" s="306">
        <v>8273</v>
      </c>
      <c r="C230" s="307" t="s">
        <v>709</v>
      </c>
      <c r="E230" s="308" t="s">
        <v>200</v>
      </c>
      <c r="F230" s="49" t="s">
        <v>710</v>
      </c>
      <c r="G230" s="48">
        <v>44911</v>
      </c>
      <c r="H230" s="51">
        <v>1254</v>
      </c>
    </row>
    <row r="231" spans="1:8" x14ac:dyDescent="0.25">
      <c r="A231" s="305"/>
      <c r="B231" s="306"/>
      <c r="C231" s="307"/>
      <c r="E231" s="308"/>
      <c r="F231" s="49" t="s">
        <v>711</v>
      </c>
      <c r="G231" s="48">
        <v>44942</v>
      </c>
      <c r="H231" s="51">
        <v>1254</v>
      </c>
    </row>
    <row r="232" spans="1:8" x14ac:dyDescent="0.25">
      <c r="A232" s="48">
        <v>44888</v>
      </c>
      <c r="B232" s="49">
        <v>8270</v>
      </c>
      <c r="C232" s="114" t="s">
        <v>714</v>
      </c>
      <c r="E232" s="50" t="s">
        <v>613</v>
      </c>
      <c r="F232" s="49" t="s">
        <v>715</v>
      </c>
      <c r="G232" s="48">
        <v>44911</v>
      </c>
      <c r="H232" s="51">
        <v>180</v>
      </c>
    </row>
    <row r="233" spans="1:8" x14ac:dyDescent="0.25">
      <c r="A233" s="48">
        <v>44890</v>
      </c>
      <c r="B233" s="49">
        <v>8254</v>
      </c>
      <c r="C233" s="114" t="s">
        <v>415</v>
      </c>
      <c r="E233" s="50" t="s">
        <v>183</v>
      </c>
      <c r="F233" s="49" t="s">
        <v>716</v>
      </c>
      <c r="G233" s="48">
        <v>44905</v>
      </c>
      <c r="H233" s="51">
        <v>1382</v>
      </c>
    </row>
    <row r="234" spans="1:8" x14ac:dyDescent="0.25">
      <c r="A234" s="48">
        <v>44900</v>
      </c>
      <c r="B234" s="49">
        <v>8371</v>
      </c>
      <c r="C234" s="114" t="s">
        <v>481</v>
      </c>
      <c r="E234" s="50" t="s">
        <v>479</v>
      </c>
      <c r="F234" s="49" t="s">
        <v>719</v>
      </c>
      <c r="G234" s="48">
        <v>44927</v>
      </c>
      <c r="H234" s="51">
        <v>180</v>
      </c>
    </row>
    <row r="235" spans="1:8" x14ac:dyDescent="0.25">
      <c r="A235" s="48">
        <v>44909</v>
      </c>
      <c r="B235" s="49">
        <v>8286</v>
      </c>
      <c r="C235" s="114" t="s">
        <v>722</v>
      </c>
      <c r="E235" s="50" t="s">
        <v>502</v>
      </c>
      <c r="F235" s="49" t="s">
        <v>723</v>
      </c>
      <c r="G235" s="48">
        <v>44936</v>
      </c>
      <c r="H235" s="51">
        <v>1471</v>
      </c>
    </row>
    <row r="236" spans="1:8" ht="34.5" x14ac:dyDescent="0.25">
      <c r="A236" s="48">
        <v>44914</v>
      </c>
      <c r="B236" s="49">
        <v>8273</v>
      </c>
      <c r="C236" s="114" t="s">
        <v>724</v>
      </c>
      <c r="E236" s="50" t="s">
        <v>200</v>
      </c>
      <c r="F236" s="49" t="s">
        <v>725</v>
      </c>
      <c r="G236" s="48">
        <v>44936</v>
      </c>
      <c r="H236" s="51">
        <v>559</v>
      </c>
    </row>
    <row r="237" spans="1:8" x14ac:dyDescent="0.25">
      <c r="A237" s="48">
        <v>44922</v>
      </c>
      <c r="B237" s="49">
        <v>8288</v>
      </c>
      <c r="C237" s="114" t="s">
        <v>498</v>
      </c>
      <c r="E237" s="50" t="s">
        <v>507</v>
      </c>
      <c r="F237" s="49" t="s">
        <v>731</v>
      </c>
      <c r="G237" s="48">
        <v>44945</v>
      </c>
      <c r="H237" s="51">
        <v>713</v>
      </c>
    </row>
    <row r="238" spans="1:8" x14ac:dyDescent="0.25">
      <c r="A238" s="48">
        <v>44922</v>
      </c>
      <c r="B238" s="49">
        <v>8255</v>
      </c>
      <c r="C238" s="114" t="s">
        <v>176</v>
      </c>
      <c r="E238" s="50" t="s">
        <v>72</v>
      </c>
      <c r="F238" s="49" t="s">
        <v>732</v>
      </c>
      <c r="G238" s="48">
        <v>44952</v>
      </c>
      <c r="H238" s="51">
        <v>180</v>
      </c>
    </row>
    <row r="239" spans="1:8" ht="17.25" customHeight="1" x14ac:dyDescent="0.25">
      <c r="A239" s="48">
        <v>44924</v>
      </c>
      <c r="B239" s="49">
        <v>8266</v>
      </c>
      <c r="C239" s="114" t="s">
        <v>153</v>
      </c>
      <c r="E239" s="50" t="s">
        <v>155</v>
      </c>
      <c r="F239" s="49" t="s">
        <v>733</v>
      </c>
      <c r="G239" s="48">
        <v>44951</v>
      </c>
      <c r="H239" s="51">
        <v>287</v>
      </c>
    </row>
    <row r="240" spans="1:8" ht="17.25" customHeight="1" x14ac:dyDescent="0.25">
      <c r="A240" s="48">
        <v>44924</v>
      </c>
      <c r="B240" s="49">
        <v>8247</v>
      </c>
      <c r="C240" s="114" t="s">
        <v>651</v>
      </c>
      <c r="E240" s="50" t="s">
        <v>430</v>
      </c>
      <c r="F240" s="49" t="s">
        <v>734</v>
      </c>
      <c r="G240" s="48">
        <v>44951</v>
      </c>
      <c r="H240" s="51">
        <v>180</v>
      </c>
    </row>
    <row r="241" spans="1:8" x14ac:dyDescent="0.25">
      <c r="A241" s="48">
        <v>44924</v>
      </c>
      <c r="B241" s="49">
        <v>8257</v>
      </c>
      <c r="C241" s="114" t="s">
        <v>191</v>
      </c>
      <c r="E241" s="50" t="s">
        <v>192</v>
      </c>
      <c r="F241" s="49" t="s">
        <v>735</v>
      </c>
      <c r="G241" s="48">
        <v>44951</v>
      </c>
      <c r="H241" s="51">
        <v>180</v>
      </c>
    </row>
    <row r="242" spans="1:8" x14ac:dyDescent="0.25">
      <c r="A242" s="48">
        <v>44924</v>
      </c>
      <c r="B242" s="49">
        <v>8252</v>
      </c>
      <c r="C242" s="114" t="s">
        <v>737</v>
      </c>
      <c r="E242" s="50" t="s">
        <v>138</v>
      </c>
      <c r="F242" s="49" t="s">
        <v>736</v>
      </c>
      <c r="G242" s="48">
        <v>44573</v>
      </c>
      <c r="H242" s="51">
        <v>236</v>
      </c>
    </row>
    <row r="243" spans="1:8" x14ac:dyDescent="0.25">
      <c r="A243" s="48">
        <v>44929</v>
      </c>
      <c r="B243" s="49">
        <v>8255</v>
      </c>
      <c r="C243" s="114" t="s">
        <v>176</v>
      </c>
      <c r="E243" s="50" t="s">
        <v>72</v>
      </c>
      <c r="F243" s="49" t="s">
        <v>740</v>
      </c>
      <c r="G243" s="48">
        <v>44954</v>
      </c>
      <c r="H243" s="51">
        <v>840</v>
      </c>
    </row>
    <row r="244" spans="1:8" x14ac:dyDescent="0.25">
      <c r="A244" s="191">
        <v>44929</v>
      </c>
      <c r="B244" s="192">
        <v>8254</v>
      </c>
      <c r="C244" s="193" t="s">
        <v>415</v>
      </c>
      <c r="E244" s="194" t="s">
        <v>183</v>
      </c>
      <c r="F244" s="192" t="s">
        <v>741</v>
      </c>
      <c r="G244" s="191">
        <v>44954</v>
      </c>
      <c r="H244" s="51">
        <v>499</v>
      </c>
    </row>
    <row r="245" spans="1:8" x14ac:dyDescent="0.25">
      <c r="A245" s="191">
        <v>44584</v>
      </c>
      <c r="B245" s="192">
        <v>8290</v>
      </c>
      <c r="C245" s="193" t="s">
        <v>744</v>
      </c>
      <c r="E245" s="194" t="s">
        <v>593</v>
      </c>
      <c r="F245" s="192" t="s">
        <v>745</v>
      </c>
      <c r="G245" s="191">
        <v>44937</v>
      </c>
      <c r="H245" s="51">
        <v>180</v>
      </c>
    </row>
    <row r="246" spans="1:8" x14ac:dyDescent="0.25">
      <c r="A246" s="191">
        <v>44949</v>
      </c>
      <c r="B246" s="192">
        <v>8371</v>
      </c>
      <c r="C246" s="193" t="s">
        <v>481</v>
      </c>
      <c r="E246" s="194" t="s">
        <v>479</v>
      </c>
      <c r="F246" s="192" t="s">
        <v>746</v>
      </c>
      <c r="G246" s="191">
        <v>44956</v>
      </c>
      <c r="H246" s="51">
        <v>180</v>
      </c>
    </row>
    <row r="247" spans="1:8" x14ac:dyDescent="0.25">
      <c r="A247" s="305">
        <v>44949</v>
      </c>
      <c r="B247" s="306">
        <v>8267</v>
      </c>
      <c r="C247" s="307" t="s">
        <v>747</v>
      </c>
      <c r="E247" s="308" t="s">
        <v>229</v>
      </c>
      <c r="F247" s="192" t="s">
        <v>748</v>
      </c>
      <c r="G247" s="191">
        <v>44969</v>
      </c>
      <c r="H247" s="51">
        <v>1660</v>
      </c>
    </row>
    <row r="248" spans="1:8" x14ac:dyDescent="0.25">
      <c r="A248" s="305"/>
      <c r="B248" s="306"/>
      <c r="C248" s="307"/>
      <c r="E248" s="308"/>
      <c r="F248" s="192" t="s">
        <v>749</v>
      </c>
      <c r="G248" s="191">
        <v>44997</v>
      </c>
      <c r="H248" s="51">
        <v>1660</v>
      </c>
    </row>
    <row r="249" spans="1:8" x14ac:dyDescent="0.25">
      <c r="A249" s="305"/>
      <c r="B249" s="306"/>
      <c r="C249" s="307"/>
      <c r="E249" s="308"/>
      <c r="F249" s="192" t="s">
        <v>750</v>
      </c>
      <c r="G249" s="191">
        <v>45028</v>
      </c>
      <c r="H249" s="51">
        <v>1660</v>
      </c>
    </row>
    <row r="250" spans="1:8" x14ac:dyDescent="0.25">
      <c r="A250" s="305"/>
      <c r="B250" s="306"/>
      <c r="C250" s="307"/>
      <c r="E250" s="308"/>
      <c r="F250" s="192" t="s">
        <v>751</v>
      </c>
      <c r="G250" s="191">
        <v>45058</v>
      </c>
      <c r="H250" s="51">
        <v>1660</v>
      </c>
    </row>
    <row r="251" spans="1:8" x14ac:dyDescent="0.25">
      <c r="A251" s="305">
        <v>44949</v>
      </c>
      <c r="B251" s="306">
        <v>8289</v>
      </c>
      <c r="C251" s="307" t="s">
        <v>753</v>
      </c>
      <c r="E251" s="308" t="s">
        <v>517</v>
      </c>
      <c r="F251" s="192" t="s">
        <v>754</v>
      </c>
      <c r="G251" s="191">
        <v>44967</v>
      </c>
      <c r="H251" s="51">
        <v>1129</v>
      </c>
    </row>
    <row r="252" spans="1:8" x14ac:dyDescent="0.25">
      <c r="A252" s="305"/>
      <c r="B252" s="306"/>
      <c r="C252" s="307"/>
      <c r="E252" s="308"/>
      <c r="F252" s="192" t="s">
        <v>755</v>
      </c>
      <c r="G252" s="191">
        <v>44995</v>
      </c>
      <c r="H252" s="51">
        <v>1129</v>
      </c>
    </row>
    <row r="253" spans="1:8" x14ac:dyDescent="0.25">
      <c r="A253" s="305"/>
      <c r="B253" s="306"/>
      <c r="C253" s="307"/>
      <c r="E253" s="308"/>
      <c r="F253" s="192" t="s">
        <v>756</v>
      </c>
      <c r="G253" s="191">
        <v>45026</v>
      </c>
      <c r="H253" s="51">
        <v>1129</v>
      </c>
    </row>
    <row r="254" spans="1:8" x14ac:dyDescent="0.25">
      <c r="A254" s="305"/>
      <c r="B254" s="306"/>
      <c r="C254" s="307"/>
      <c r="E254" s="308"/>
      <c r="F254" s="192" t="s">
        <v>757</v>
      </c>
      <c r="G254" s="191">
        <v>45056</v>
      </c>
      <c r="H254" s="51">
        <v>1129</v>
      </c>
    </row>
    <row r="255" spans="1:8" x14ac:dyDescent="0.25">
      <c r="A255" s="212">
        <v>44956</v>
      </c>
      <c r="B255" s="213">
        <v>8250</v>
      </c>
      <c r="C255" s="214" t="s">
        <v>178</v>
      </c>
      <c r="E255" s="215" t="s">
        <v>180</v>
      </c>
      <c r="F255" s="213" t="s">
        <v>761</v>
      </c>
      <c r="G255" s="212">
        <v>44986</v>
      </c>
      <c r="H255" s="51">
        <v>180</v>
      </c>
    </row>
  </sheetData>
  <autoFilter ref="A3:H244" xr:uid="{B4ABD810-292B-49F1-9452-B9AC5956E997}">
    <filterColumn colId="6">
      <filters>
        <dateGroupItem year="2023" dateTimeGrouping="year"/>
        <dateGroupItem year="2022" dateTimeGrouping="year"/>
      </filters>
    </filterColumn>
  </autoFilter>
  <mergeCells count="162">
    <mergeCell ref="A247:A250"/>
    <mergeCell ref="B247:B250"/>
    <mergeCell ref="C247:C250"/>
    <mergeCell ref="E247:E250"/>
    <mergeCell ref="A251:A254"/>
    <mergeCell ref="B251:B254"/>
    <mergeCell ref="C251:C254"/>
    <mergeCell ref="E251:E254"/>
    <mergeCell ref="A230:A231"/>
    <mergeCell ref="B230:B231"/>
    <mergeCell ref="C230:C231"/>
    <mergeCell ref="E230:E231"/>
    <mergeCell ref="D153:D154"/>
    <mergeCell ref="E153:E154"/>
    <mergeCell ref="D94:D95"/>
    <mergeCell ref="E94:E95"/>
    <mergeCell ref="I101:I104"/>
    <mergeCell ref="A179:A180"/>
    <mergeCell ref="B179:B180"/>
    <mergeCell ref="C179:C180"/>
    <mergeCell ref="D179:D180"/>
    <mergeCell ref="E179:E180"/>
    <mergeCell ref="I158:I15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J101:J104"/>
    <mergeCell ref="D101:D104"/>
    <mergeCell ref="E101:E104"/>
    <mergeCell ref="I141:I144"/>
    <mergeCell ref="J141:J144"/>
    <mergeCell ref="D141:D144"/>
    <mergeCell ref="E141:E144"/>
    <mergeCell ref="D107:D108"/>
    <mergeCell ref="E107:E108"/>
    <mergeCell ref="J80:J83"/>
    <mergeCell ref="B80:B83"/>
    <mergeCell ref="C80:C83"/>
    <mergeCell ref="D80:D83"/>
    <mergeCell ref="E80:E83"/>
    <mergeCell ref="I80:I83"/>
    <mergeCell ref="E54:E55"/>
    <mergeCell ref="D54:D55"/>
    <mergeCell ref="C54:C55"/>
    <mergeCell ref="D65:D66"/>
    <mergeCell ref="E65:E66"/>
    <mergeCell ref="C77:C78"/>
    <mergeCell ref="D77:D78"/>
    <mergeCell ref="E77:E78"/>
    <mergeCell ref="J72:J75"/>
    <mergeCell ref="B72:B75"/>
    <mergeCell ref="C72:C75"/>
    <mergeCell ref="D72:D75"/>
    <mergeCell ref="E72:E75"/>
    <mergeCell ref="I72:I75"/>
    <mergeCell ref="A54:A55"/>
    <mergeCell ref="E51:E53"/>
    <mergeCell ref="D51:D53"/>
    <mergeCell ref="C51:C53"/>
    <mergeCell ref="B51:B53"/>
    <mergeCell ref="A51:A53"/>
    <mergeCell ref="B54:B55"/>
    <mergeCell ref="A44:A45"/>
    <mergeCell ref="B44:B45"/>
    <mergeCell ref="C44:C45"/>
    <mergeCell ref="D44:D45"/>
    <mergeCell ref="E44:E45"/>
    <mergeCell ref="A30:A33"/>
    <mergeCell ref="B30:B33"/>
    <mergeCell ref="C30:C33"/>
    <mergeCell ref="D30:D33"/>
    <mergeCell ref="E30:E33"/>
    <mergeCell ref="A36:A39"/>
    <mergeCell ref="B36:B39"/>
    <mergeCell ref="C36:C39"/>
    <mergeCell ref="D36:D39"/>
    <mergeCell ref="E36:E39"/>
    <mergeCell ref="A22:A24"/>
    <mergeCell ref="B22:B24"/>
    <mergeCell ref="C22:C24"/>
    <mergeCell ref="D22:D24"/>
    <mergeCell ref="E22:E24"/>
    <mergeCell ref="A25:A28"/>
    <mergeCell ref="B25:B28"/>
    <mergeCell ref="C25:C28"/>
    <mergeCell ref="D25:D28"/>
    <mergeCell ref="E25:E28"/>
    <mergeCell ref="A7:A8"/>
    <mergeCell ref="B7:B8"/>
    <mergeCell ref="C7:C8"/>
    <mergeCell ref="D7:D8"/>
    <mergeCell ref="E7:E8"/>
    <mergeCell ref="A14:A17"/>
    <mergeCell ref="B14:B17"/>
    <mergeCell ref="C14:C17"/>
    <mergeCell ref="D14:D17"/>
    <mergeCell ref="E14:E17"/>
    <mergeCell ref="A18:A19"/>
    <mergeCell ref="B18:B19"/>
    <mergeCell ref="C18:C19"/>
    <mergeCell ref="D18:D19"/>
    <mergeCell ref="E18:E19"/>
    <mergeCell ref="A9:A12"/>
    <mergeCell ref="B9:B12"/>
    <mergeCell ref="C9:C12"/>
    <mergeCell ref="D9:D12"/>
    <mergeCell ref="E9:E12"/>
    <mergeCell ref="A77:A78"/>
    <mergeCell ref="A72:A75"/>
    <mergeCell ref="A65:A66"/>
    <mergeCell ref="B77:B78"/>
    <mergeCell ref="B65:B66"/>
    <mergeCell ref="A94:A95"/>
    <mergeCell ref="B94:B95"/>
    <mergeCell ref="C94:C95"/>
    <mergeCell ref="B153:B154"/>
    <mergeCell ref="A153:A154"/>
    <mergeCell ref="C153:C154"/>
    <mergeCell ref="A101:A104"/>
    <mergeCell ref="B101:B104"/>
    <mergeCell ref="C101:C104"/>
    <mergeCell ref="A141:A144"/>
    <mergeCell ref="B141:B144"/>
    <mergeCell ref="C141:C144"/>
    <mergeCell ref="C65:C66"/>
    <mergeCell ref="A107:A108"/>
    <mergeCell ref="B107:B108"/>
    <mergeCell ref="C107:C108"/>
    <mergeCell ref="A80:A83"/>
    <mergeCell ref="J158:J159"/>
    <mergeCell ref="A158:A159"/>
    <mergeCell ref="B158:B159"/>
    <mergeCell ref="C158:C159"/>
    <mergeCell ref="D158:D159"/>
    <mergeCell ref="E158:E159"/>
    <mergeCell ref="I160:I162"/>
    <mergeCell ref="J160:J162"/>
    <mergeCell ref="A160:A162"/>
    <mergeCell ref="B160:B162"/>
    <mergeCell ref="C160:C162"/>
    <mergeCell ref="D160:D162"/>
    <mergeCell ref="E160:E162"/>
    <mergeCell ref="A222:A225"/>
    <mergeCell ref="B222:B225"/>
    <mergeCell ref="C222:C225"/>
    <mergeCell ref="E222:E225"/>
    <mergeCell ref="A196:A197"/>
    <mergeCell ref="B196:B197"/>
    <mergeCell ref="C196:C197"/>
    <mergeCell ref="D196:D197"/>
    <mergeCell ref="E196:E197"/>
    <mergeCell ref="A211:A214"/>
    <mergeCell ref="B211:B214"/>
    <mergeCell ref="C211:C214"/>
    <mergeCell ref="E211:E214"/>
  </mergeCells>
  <phoneticPr fontId="1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7F76-EF81-4F75-A53D-1238104B2559}">
  <sheetPr>
    <pageSetUpPr fitToPage="1"/>
  </sheetPr>
  <dimension ref="A1:J34"/>
  <sheetViews>
    <sheetView topLeftCell="A13" zoomScale="90" zoomScaleNormal="90" workbookViewId="0">
      <selection activeCell="D26" sqref="D26"/>
    </sheetView>
  </sheetViews>
  <sheetFormatPr defaultColWidth="9.140625" defaultRowHeight="15.75" x14ac:dyDescent="0.25"/>
  <cols>
    <col min="1" max="1" width="10.85546875" style="27" bestFit="1" customWidth="1"/>
    <col min="2" max="2" width="40" style="12" customWidth="1"/>
    <col min="3" max="4" width="9.42578125" style="28" bestFit="1" customWidth="1"/>
    <col min="5" max="5" width="12.140625" style="29" bestFit="1" customWidth="1"/>
    <col min="6" max="6" width="15.28515625" style="29" customWidth="1"/>
    <col min="7" max="7" width="30.28515625" style="29" bestFit="1" customWidth="1"/>
    <col min="8" max="9" width="9.42578125" style="32" bestFit="1" customWidth="1"/>
    <col min="10" max="10" width="46.7109375" style="33" customWidth="1"/>
    <col min="11" max="16384" width="9.140625" style="12"/>
  </cols>
  <sheetData>
    <row r="1" spans="1:10" x14ac:dyDescent="0.25">
      <c r="A1" s="319" t="s">
        <v>4</v>
      </c>
      <c r="B1" s="319"/>
      <c r="C1" s="319"/>
      <c r="D1" s="319"/>
      <c r="E1" s="320" t="s">
        <v>14</v>
      </c>
      <c r="F1" s="320"/>
      <c r="G1" s="320"/>
      <c r="H1" s="320"/>
      <c r="I1" s="320"/>
      <c r="J1" s="11"/>
    </row>
    <row r="2" spans="1:10" ht="31.5" x14ac:dyDescent="0.25">
      <c r="A2" s="13" t="s">
        <v>76</v>
      </c>
      <c r="B2" s="14" t="s">
        <v>77</v>
      </c>
      <c r="C2" s="321" t="s">
        <v>78</v>
      </c>
      <c r="D2" s="321"/>
      <c r="E2" s="15" t="s">
        <v>79</v>
      </c>
      <c r="F2" s="15" t="s">
        <v>80</v>
      </c>
      <c r="G2" s="15" t="s">
        <v>81</v>
      </c>
      <c r="H2" s="321" t="s">
        <v>78</v>
      </c>
      <c r="I2" s="321"/>
      <c r="J2" s="16" t="s">
        <v>82</v>
      </c>
    </row>
    <row r="3" spans="1:10" ht="47.25" x14ac:dyDescent="0.25">
      <c r="A3" s="17">
        <v>42450</v>
      </c>
      <c r="B3" s="18" t="s">
        <v>83</v>
      </c>
      <c r="C3" s="17">
        <v>42475</v>
      </c>
      <c r="D3" s="17">
        <v>42839</v>
      </c>
      <c r="E3" s="15" t="s">
        <v>84</v>
      </c>
      <c r="F3" s="15" t="s">
        <v>85</v>
      </c>
      <c r="G3" s="19">
        <v>998513</v>
      </c>
      <c r="H3" s="20">
        <v>42475</v>
      </c>
      <c r="I3" s="20">
        <v>42930</v>
      </c>
      <c r="J3" s="21" t="s">
        <v>86</v>
      </c>
    </row>
    <row r="4" spans="1:10" ht="31.5" x14ac:dyDescent="0.25">
      <c r="A4" s="17">
        <v>42562</v>
      </c>
      <c r="B4" s="18" t="s">
        <v>87</v>
      </c>
      <c r="C4" s="17">
        <v>42475</v>
      </c>
      <c r="D4" s="17">
        <v>42839</v>
      </c>
      <c r="E4" s="15" t="s">
        <v>84</v>
      </c>
      <c r="F4" s="15" t="s">
        <v>85</v>
      </c>
      <c r="G4" s="19">
        <v>1005174</v>
      </c>
      <c r="H4" s="20">
        <v>42475</v>
      </c>
      <c r="I4" s="20">
        <v>42930</v>
      </c>
      <c r="J4" s="11" t="s">
        <v>88</v>
      </c>
    </row>
    <row r="5" spans="1:10" ht="31.5" x14ac:dyDescent="0.25">
      <c r="A5" s="17">
        <v>42838</v>
      </c>
      <c r="B5" s="18" t="s">
        <v>89</v>
      </c>
      <c r="C5" s="17">
        <v>42840</v>
      </c>
      <c r="D5" s="17">
        <v>43204</v>
      </c>
      <c r="E5" s="15" t="s">
        <v>90</v>
      </c>
      <c r="F5" s="15" t="s">
        <v>91</v>
      </c>
      <c r="G5" s="19" t="s">
        <v>92</v>
      </c>
      <c r="H5" s="20">
        <v>42840</v>
      </c>
      <c r="I5" s="20">
        <v>43296</v>
      </c>
      <c r="J5" s="11" t="s">
        <v>93</v>
      </c>
    </row>
    <row r="6" spans="1:10" ht="63" x14ac:dyDescent="0.25">
      <c r="A6" s="17">
        <v>42900</v>
      </c>
      <c r="B6" s="18" t="s">
        <v>94</v>
      </c>
      <c r="C6" s="17">
        <v>42840</v>
      </c>
      <c r="D6" s="17">
        <v>43204</v>
      </c>
      <c r="E6" s="15"/>
      <c r="F6" s="15"/>
      <c r="G6" s="19"/>
      <c r="H6" s="20"/>
      <c r="I6" s="20"/>
      <c r="J6" s="18" t="s">
        <v>95</v>
      </c>
    </row>
    <row r="7" spans="1:10" ht="47.25" x14ac:dyDescent="0.25">
      <c r="A7" s="17">
        <v>43187</v>
      </c>
      <c r="B7" s="18" t="s">
        <v>96</v>
      </c>
      <c r="C7" s="17">
        <v>43205</v>
      </c>
      <c r="D7" s="17">
        <v>43569</v>
      </c>
      <c r="E7" s="15" t="s">
        <v>97</v>
      </c>
      <c r="F7" s="15" t="s">
        <v>85</v>
      </c>
      <c r="G7" s="19">
        <v>1019838</v>
      </c>
      <c r="H7" s="20">
        <v>43205</v>
      </c>
      <c r="I7" s="20">
        <v>43660</v>
      </c>
      <c r="J7" s="22" t="s">
        <v>98</v>
      </c>
    </row>
    <row r="8" spans="1:10" ht="31.5" x14ac:dyDescent="0.25">
      <c r="A8" s="17">
        <v>43301</v>
      </c>
      <c r="B8" s="18" t="s">
        <v>99</v>
      </c>
      <c r="C8" s="17">
        <v>43205</v>
      </c>
      <c r="D8" s="17">
        <v>43569</v>
      </c>
      <c r="E8" s="15" t="s">
        <v>84</v>
      </c>
      <c r="F8" s="15" t="s">
        <v>91</v>
      </c>
      <c r="G8" s="23" t="s">
        <v>100</v>
      </c>
      <c r="H8" s="20">
        <v>42826</v>
      </c>
      <c r="I8" s="20">
        <v>43660</v>
      </c>
      <c r="J8" s="11" t="s">
        <v>101</v>
      </c>
    </row>
    <row r="9" spans="1:10" x14ac:dyDescent="0.25">
      <c r="A9" s="24">
        <v>43566</v>
      </c>
      <c r="B9" s="25" t="s">
        <v>102</v>
      </c>
      <c r="C9" s="17">
        <v>43570</v>
      </c>
      <c r="D9" s="17">
        <v>43935</v>
      </c>
      <c r="E9" s="15" t="s">
        <v>84</v>
      </c>
      <c r="F9" s="15" t="s">
        <v>91</v>
      </c>
      <c r="G9" s="23" t="s">
        <v>71</v>
      </c>
      <c r="H9" s="20">
        <v>43570</v>
      </c>
      <c r="I9" s="20">
        <v>44026</v>
      </c>
      <c r="J9" s="11"/>
    </row>
    <row r="10" spans="1:10" ht="47.25" x14ac:dyDescent="0.25">
      <c r="A10" s="17">
        <v>43612</v>
      </c>
      <c r="B10" s="26" t="s">
        <v>103</v>
      </c>
      <c r="C10" s="17">
        <v>43570</v>
      </c>
      <c r="D10" s="17">
        <v>43935</v>
      </c>
      <c r="E10" s="15"/>
      <c r="F10" s="15"/>
      <c r="G10" s="19"/>
      <c r="H10" s="20"/>
      <c r="I10" s="20"/>
      <c r="J10" s="18" t="s">
        <v>104</v>
      </c>
    </row>
    <row r="11" spans="1:10" ht="63" x14ac:dyDescent="0.25">
      <c r="A11" s="17">
        <v>43770</v>
      </c>
      <c r="B11" s="26" t="s">
        <v>105</v>
      </c>
      <c r="C11" s="17">
        <v>43570</v>
      </c>
      <c r="D11" s="17">
        <v>43935</v>
      </c>
      <c r="E11" s="15"/>
      <c r="F11" s="15"/>
      <c r="G11" s="19"/>
      <c r="H11" s="20"/>
      <c r="I11" s="20"/>
      <c r="J11" s="18" t="s">
        <v>106</v>
      </c>
    </row>
    <row r="12" spans="1:10" ht="47.25" x14ac:dyDescent="0.25">
      <c r="A12" s="17">
        <v>43846</v>
      </c>
      <c r="B12" s="26" t="s">
        <v>107</v>
      </c>
      <c r="C12" s="17">
        <v>43570</v>
      </c>
      <c r="D12" s="17">
        <v>43935</v>
      </c>
      <c r="E12" s="26"/>
      <c r="F12" s="15"/>
      <c r="G12" s="19"/>
      <c r="H12" s="20"/>
      <c r="I12" s="20"/>
      <c r="J12" s="18" t="s">
        <v>104</v>
      </c>
    </row>
    <row r="13" spans="1:10" x14ac:dyDescent="0.25">
      <c r="A13" s="24">
        <v>43922</v>
      </c>
      <c r="B13" s="25" t="s">
        <v>108</v>
      </c>
      <c r="C13" s="17">
        <v>43935</v>
      </c>
      <c r="D13" s="17">
        <v>44301</v>
      </c>
      <c r="E13" s="26" t="s">
        <v>84</v>
      </c>
      <c r="F13" s="15" t="s">
        <v>91</v>
      </c>
      <c r="G13" s="23" t="s">
        <v>71</v>
      </c>
      <c r="H13" s="20">
        <v>43936</v>
      </c>
      <c r="I13" s="20">
        <v>44391</v>
      </c>
      <c r="J13" s="11"/>
    </row>
    <row r="14" spans="1:10" x14ac:dyDescent="0.25">
      <c r="F14" s="30"/>
      <c r="G14" s="31"/>
    </row>
    <row r="15" spans="1:10" x14ac:dyDescent="0.25">
      <c r="F15" s="30"/>
      <c r="G15" s="31"/>
    </row>
    <row r="16" spans="1:10" x14ac:dyDescent="0.25">
      <c r="F16" s="30"/>
      <c r="G16" s="31"/>
    </row>
    <row r="17" spans="6:7" x14ac:dyDescent="0.25">
      <c r="F17" s="30"/>
      <c r="G17" s="31"/>
    </row>
    <row r="18" spans="6:7" x14ac:dyDescent="0.25">
      <c r="F18" s="30"/>
      <c r="G18" s="31"/>
    </row>
    <row r="19" spans="6:7" x14ac:dyDescent="0.25">
      <c r="F19" s="30"/>
      <c r="G19" s="31"/>
    </row>
    <row r="20" spans="6:7" x14ac:dyDescent="0.25">
      <c r="G20" s="31"/>
    </row>
    <row r="21" spans="6:7" x14ac:dyDescent="0.25">
      <c r="G21" s="31"/>
    </row>
    <row r="22" spans="6:7" x14ac:dyDescent="0.25">
      <c r="G22" s="31"/>
    </row>
    <row r="23" spans="6:7" x14ac:dyDescent="0.25">
      <c r="G23" s="31"/>
    </row>
    <row r="24" spans="6:7" x14ac:dyDescent="0.25">
      <c r="G24" s="31"/>
    </row>
    <row r="25" spans="6:7" x14ac:dyDescent="0.25">
      <c r="G25" s="31"/>
    </row>
    <row r="26" spans="6:7" x14ac:dyDescent="0.25">
      <c r="G26" s="31"/>
    </row>
    <row r="27" spans="6:7" x14ac:dyDescent="0.25">
      <c r="G27" s="31"/>
    </row>
    <row r="28" spans="6:7" x14ac:dyDescent="0.25">
      <c r="G28" s="31"/>
    </row>
    <row r="29" spans="6:7" x14ac:dyDescent="0.25">
      <c r="G29" s="31"/>
    </row>
    <row r="30" spans="6:7" x14ac:dyDescent="0.25">
      <c r="G30" s="31"/>
    </row>
    <row r="31" spans="6:7" x14ac:dyDescent="0.25">
      <c r="G31" s="31"/>
    </row>
    <row r="32" spans="6:7" x14ac:dyDescent="0.25">
      <c r="G32" s="31"/>
    </row>
    <row r="33" spans="7:7" x14ac:dyDescent="0.25">
      <c r="G33" s="31"/>
    </row>
    <row r="34" spans="7:7" x14ac:dyDescent="0.25">
      <c r="G34" s="31"/>
    </row>
  </sheetData>
  <mergeCells count="4">
    <mergeCell ref="A1:D1"/>
    <mergeCell ref="E1:I1"/>
    <mergeCell ref="C2:D2"/>
    <mergeCell ref="H2:I2"/>
  </mergeCells>
  <pageMargins left="0.511811024" right="0.511811024" top="0.78740157499999996" bottom="0.78740157499999996" header="0.31496062000000002" footer="0.31496062000000002"/>
  <pageSetup paperSize="9" scale="7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7D2C-1048-4E94-9ADC-AEB4071CA666}">
  <dimension ref="A1:D14"/>
  <sheetViews>
    <sheetView workbookViewId="0">
      <selection activeCell="E14" sqref="E14"/>
    </sheetView>
  </sheetViews>
  <sheetFormatPr defaultColWidth="63" defaultRowHeight="18.75" x14ac:dyDescent="0.3"/>
  <cols>
    <col min="1" max="1" width="28.28515625" style="128" customWidth="1"/>
    <col min="2" max="2" width="21.5703125" style="129" customWidth="1"/>
    <col min="3" max="3" width="18.7109375" style="128" customWidth="1"/>
    <col min="4" max="4" width="18.28515625" style="128" customWidth="1"/>
    <col min="5" max="16384" width="63" style="128"/>
  </cols>
  <sheetData>
    <row r="1" spans="1:4" x14ac:dyDescent="0.3">
      <c r="A1" s="128" t="s">
        <v>315</v>
      </c>
      <c r="B1" s="129">
        <v>40000</v>
      </c>
      <c r="C1" s="131" t="s">
        <v>317</v>
      </c>
    </row>
    <row r="2" spans="1:4" x14ac:dyDescent="0.3">
      <c r="A2" s="128" t="s">
        <v>316</v>
      </c>
      <c r="B2" s="129">
        <v>809.87</v>
      </c>
      <c r="C2" s="130">
        <f>B1-B2</f>
        <v>39190.129999999997</v>
      </c>
    </row>
    <row r="3" spans="1:4" x14ac:dyDescent="0.3">
      <c r="A3" s="128" t="s">
        <v>321</v>
      </c>
      <c r="B3" s="129">
        <v>539</v>
      </c>
      <c r="C3" s="130">
        <f>C2-B3</f>
        <v>38651.129999999997</v>
      </c>
    </row>
    <row r="4" spans="1:4" x14ac:dyDescent="0.3">
      <c r="A4" s="128" t="s">
        <v>331</v>
      </c>
      <c r="B4" s="129">
        <v>50</v>
      </c>
      <c r="C4" s="130">
        <f t="shared" ref="C4:C12" si="0">C3-B4</f>
        <v>38601.129999999997</v>
      </c>
      <c r="D4" s="132">
        <v>44300</v>
      </c>
    </row>
    <row r="5" spans="1:4" x14ac:dyDescent="0.3">
      <c r="A5" s="128" t="s">
        <v>336</v>
      </c>
      <c r="B5" s="129">
        <v>50</v>
      </c>
      <c r="C5" s="130">
        <f t="shared" si="0"/>
        <v>38551.129999999997</v>
      </c>
      <c r="D5" s="132">
        <v>44301</v>
      </c>
    </row>
    <row r="6" spans="1:4" x14ac:dyDescent="0.3">
      <c r="A6" s="128" t="s">
        <v>345</v>
      </c>
      <c r="B6" s="129">
        <v>40</v>
      </c>
      <c r="C6" s="130">
        <f t="shared" si="0"/>
        <v>38511.129999999997</v>
      </c>
      <c r="D6" s="132">
        <v>44302</v>
      </c>
    </row>
    <row r="7" spans="1:4" x14ac:dyDescent="0.3">
      <c r="A7" s="128" t="s">
        <v>346</v>
      </c>
      <c r="B7" s="129">
        <v>1502</v>
      </c>
      <c r="C7" s="130">
        <f t="shared" si="0"/>
        <v>37009.129999999997</v>
      </c>
      <c r="D7" s="132">
        <v>44302</v>
      </c>
    </row>
    <row r="8" spans="1:4" x14ac:dyDescent="0.3">
      <c r="A8" s="128" t="s">
        <v>188</v>
      </c>
      <c r="B8" s="129">
        <v>400</v>
      </c>
      <c r="C8" s="130">
        <f t="shared" si="0"/>
        <v>36609.129999999997</v>
      </c>
      <c r="D8" s="132">
        <v>44309</v>
      </c>
    </row>
    <row r="9" spans="1:4" x14ac:dyDescent="0.3">
      <c r="A9" s="128" t="s">
        <v>355</v>
      </c>
      <c r="B9" s="129">
        <v>1300</v>
      </c>
      <c r="C9" s="130">
        <f t="shared" si="0"/>
        <v>35309.129999999997</v>
      </c>
      <c r="D9" s="132">
        <v>44320</v>
      </c>
    </row>
    <row r="10" spans="1:4" x14ac:dyDescent="0.3">
      <c r="A10" s="128" t="s">
        <v>362</v>
      </c>
      <c r="B10" s="129">
        <v>40</v>
      </c>
      <c r="C10" s="130">
        <f t="shared" si="0"/>
        <v>35269.129999999997</v>
      </c>
      <c r="D10" s="132">
        <v>44322</v>
      </c>
    </row>
    <row r="11" spans="1:4" x14ac:dyDescent="0.3">
      <c r="A11" s="128" t="s">
        <v>345</v>
      </c>
      <c r="B11" s="129">
        <v>70</v>
      </c>
      <c r="C11" s="130">
        <f t="shared" si="0"/>
        <v>35199.129999999997</v>
      </c>
      <c r="D11" s="132">
        <v>44323</v>
      </c>
    </row>
    <row r="12" spans="1:4" x14ac:dyDescent="0.3">
      <c r="A12" s="128" t="s">
        <v>374</v>
      </c>
      <c r="B12" s="129">
        <v>300</v>
      </c>
      <c r="C12" s="130">
        <f t="shared" si="0"/>
        <v>34899.129999999997</v>
      </c>
      <c r="D12" s="132">
        <v>44350</v>
      </c>
    </row>
    <row r="13" spans="1:4" x14ac:dyDescent="0.3">
      <c r="A13" s="128" t="s">
        <v>395</v>
      </c>
      <c r="B13" s="129">
        <v>70</v>
      </c>
      <c r="C13" s="130">
        <f>C12-B13</f>
        <v>34829.129999999997</v>
      </c>
      <c r="D13" s="132">
        <v>44384</v>
      </c>
    </row>
    <row r="14" spans="1:4" x14ac:dyDescent="0.3">
      <c r="A14" s="128" t="s">
        <v>433</v>
      </c>
      <c r="B14" s="129">
        <v>313</v>
      </c>
      <c r="C14" s="130">
        <f>C13-B14</f>
        <v>34516.129999999997</v>
      </c>
      <c r="D14" s="132">
        <v>44439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showGridLines="0" workbookViewId="0">
      <selection activeCell="D12" sqref="D12"/>
    </sheetView>
  </sheetViews>
  <sheetFormatPr defaultColWidth="9.140625" defaultRowHeight="16.5" x14ac:dyDescent="0.3"/>
  <cols>
    <col min="1" max="1" width="20.42578125" style="3" customWidth="1"/>
    <col min="2" max="2" width="22.42578125" style="3" customWidth="1"/>
    <col min="3" max="3" width="27" style="3" customWidth="1"/>
    <col min="4" max="4" width="55.7109375" style="55" customWidth="1"/>
    <col min="5" max="16384" width="9.140625" style="3"/>
  </cols>
  <sheetData>
    <row r="1" spans="1:4" x14ac:dyDescent="0.3">
      <c r="A1" s="6" t="s">
        <v>252</v>
      </c>
      <c r="B1" s="7" t="s">
        <v>22</v>
      </c>
      <c r="C1" s="7" t="s">
        <v>23</v>
      </c>
      <c r="D1" s="8" t="s">
        <v>24</v>
      </c>
    </row>
    <row r="2" spans="1:4" x14ac:dyDescent="0.3">
      <c r="A2" s="322" t="s">
        <v>25</v>
      </c>
      <c r="B2" s="323" t="s">
        <v>26</v>
      </c>
      <c r="C2" s="322" t="s">
        <v>27</v>
      </c>
      <c r="D2" s="324" t="s">
        <v>28</v>
      </c>
    </row>
    <row r="3" spans="1:4" x14ac:dyDescent="0.3">
      <c r="A3" s="322"/>
      <c r="B3" s="323"/>
      <c r="C3" s="322"/>
      <c r="D3" s="325"/>
    </row>
    <row r="4" spans="1:4" x14ac:dyDescent="0.3">
      <c r="A4" s="322"/>
      <c r="B4" s="323"/>
      <c r="C4" s="322"/>
      <c r="D4" s="326"/>
    </row>
    <row r="5" spans="1:4" ht="33" x14ac:dyDescent="0.3">
      <c r="A5" s="10" t="s">
        <v>21</v>
      </c>
      <c r="B5" s="9" t="s">
        <v>29</v>
      </c>
      <c r="C5" s="10" t="s">
        <v>30</v>
      </c>
      <c r="D5" s="54" t="s">
        <v>31</v>
      </c>
    </row>
    <row r="6" spans="1:4" ht="49.5" x14ac:dyDescent="0.3">
      <c r="A6" s="10" t="s">
        <v>203</v>
      </c>
      <c r="B6" s="10" t="s">
        <v>204</v>
      </c>
      <c r="C6" s="53" t="s">
        <v>205</v>
      </c>
      <c r="D6" s="54" t="s">
        <v>206</v>
      </c>
    </row>
    <row r="12" spans="1:4" x14ac:dyDescent="0.3">
      <c r="C12" s="4"/>
    </row>
    <row r="13" spans="1:4" x14ac:dyDescent="0.3">
      <c r="C13" s="5"/>
    </row>
    <row r="14" spans="1:4" x14ac:dyDescent="0.3">
      <c r="C14" s="5"/>
    </row>
  </sheetData>
  <mergeCells count="4">
    <mergeCell ref="A2:A4"/>
    <mergeCell ref="B2:B4"/>
    <mergeCell ref="C2:C4"/>
    <mergeCell ref="D2:D4"/>
  </mergeCells>
  <hyperlinks>
    <hyperlink ref="D2" r:id="rId1" display="mailto:jois.antonelli@finlandiaseguros.com.br" xr:uid="{00000000-0004-0000-0100-000000000000}"/>
    <hyperlink ref="D5" r:id="rId2" display="mailto:josealvares53@gmail.com" xr:uid="{00000000-0004-0000-0100-000001000000}"/>
  </hyperlink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2E2B-2A21-4664-9D09-2F3FF6A6DA66}">
  <dimension ref="A1:E11"/>
  <sheetViews>
    <sheetView workbookViewId="0">
      <selection activeCell="D8" sqref="D8"/>
    </sheetView>
  </sheetViews>
  <sheetFormatPr defaultRowHeight="15" x14ac:dyDescent="0.25"/>
  <cols>
    <col min="1" max="1" width="35.5703125" bestFit="1" customWidth="1"/>
    <col min="2" max="2" width="12.42578125" bestFit="1" customWidth="1"/>
    <col min="3" max="3" width="14.28515625" bestFit="1" customWidth="1"/>
    <col min="4" max="4" width="14.28515625" style="153" bestFit="1" customWidth="1"/>
    <col min="5" max="5" width="13.28515625" bestFit="1" customWidth="1"/>
  </cols>
  <sheetData>
    <row r="1" spans="1:5" x14ac:dyDescent="0.25">
      <c r="A1" s="146" t="s">
        <v>355</v>
      </c>
      <c r="B1" s="152" t="s">
        <v>353</v>
      </c>
      <c r="C1" s="148">
        <v>8036312.9699999997</v>
      </c>
      <c r="D1" s="153">
        <f>C1/24</f>
        <v>334846.37374999997</v>
      </c>
    </row>
    <row r="2" spans="1:5" x14ac:dyDescent="0.25">
      <c r="A2" s="149" t="s">
        <v>464</v>
      </c>
      <c r="B2" s="150" t="s">
        <v>380</v>
      </c>
      <c r="C2" s="148">
        <v>3465429.06</v>
      </c>
      <c r="D2" s="153">
        <f>C2/12</f>
        <v>288785.755</v>
      </c>
    </row>
    <row r="3" spans="1:5" x14ac:dyDescent="0.25">
      <c r="A3" s="149" t="s">
        <v>387</v>
      </c>
      <c r="B3" s="151">
        <v>4600000681</v>
      </c>
      <c r="C3" s="148">
        <v>670303.87</v>
      </c>
      <c r="D3" s="153">
        <f>C3</f>
        <v>670303.87</v>
      </c>
    </row>
    <row r="4" spans="1:5" x14ac:dyDescent="0.25">
      <c r="A4" s="149" t="s">
        <v>401</v>
      </c>
      <c r="B4" s="151" t="s">
        <v>402</v>
      </c>
      <c r="C4" s="148">
        <v>5400467.5800000001</v>
      </c>
      <c r="D4" s="153">
        <v>180015.59</v>
      </c>
      <c r="E4" s="154"/>
    </row>
    <row r="5" spans="1:5" x14ac:dyDescent="0.25">
      <c r="A5" s="149" t="s">
        <v>417</v>
      </c>
      <c r="B5" s="151" t="s">
        <v>418</v>
      </c>
      <c r="C5" s="148">
        <v>3764924.3</v>
      </c>
      <c r="D5" s="153">
        <f>C5/12</f>
        <v>313743.69166666665</v>
      </c>
    </row>
    <row r="6" spans="1:5" x14ac:dyDescent="0.25">
      <c r="A6" s="149" t="s">
        <v>458</v>
      </c>
      <c r="B6" s="151" t="s">
        <v>467</v>
      </c>
      <c r="C6" s="148">
        <v>23671178.640000001</v>
      </c>
      <c r="D6" s="153">
        <f>C6/24</f>
        <v>986299.11</v>
      </c>
    </row>
    <row r="7" spans="1:5" x14ac:dyDescent="0.25">
      <c r="A7" s="327" t="s">
        <v>468</v>
      </c>
      <c r="B7" s="328"/>
      <c r="C7" s="329"/>
      <c r="D7" s="147">
        <f>SUM(D1:D6)</f>
        <v>2773994.3904166664</v>
      </c>
    </row>
    <row r="8" spans="1:5" x14ac:dyDescent="0.25">
      <c r="A8" s="327" t="s">
        <v>469</v>
      </c>
      <c r="B8" s="328"/>
      <c r="C8" s="329"/>
      <c r="D8" s="155">
        <f>D7*12</f>
        <v>33287932.684999995</v>
      </c>
    </row>
    <row r="10" spans="1:5" x14ac:dyDescent="0.25">
      <c r="A10" s="56" t="s">
        <v>465</v>
      </c>
    </row>
    <row r="11" spans="1:5" x14ac:dyDescent="0.25">
      <c r="A11" s="56" t="s">
        <v>466</v>
      </c>
    </row>
  </sheetData>
  <mergeCells count="2">
    <mergeCell ref="A7:C7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C74C-6078-4C29-AB2E-9343154AA7C1}">
  <dimension ref="A1:V50"/>
  <sheetViews>
    <sheetView zoomScaleNormal="100" workbookViewId="0">
      <pane xSplit="3" ySplit="4" topLeftCell="D21" activePane="bottomRight" state="frozen"/>
      <selection pane="topRight" activeCell="D1" sqref="D1"/>
      <selection pane="bottomLeft" activeCell="A12" sqref="A12"/>
      <selection pane="bottomRight" activeCell="F34" sqref="F34"/>
    </sheetView>
  </sheetViews>
  <sheetFormatPr defaultColWidth="9.140625" defaultRowHeight="17.25" x14ac:dyDescent="0.3"/>
  <cols>
    <col min="1" max="1" width="13.7109375" style="217" bestFit="1" customWidth="1"/>
    <col min="2" max="2" width="43.28515625" style="239" bestFit="1" customWidth="1"/>
    <col min="3" max="3" width="20.140625" style="240" customWidth="1"/>
    <col min="4" max="4" width="12.140625" style="228" bestFit="1" customWidth="1"/>
    <col min="5" max="7" width="9.140625" style="229"/>
    <col min="8" max="8" width="13.42578125" style="229" bestFit="1" customWidth="1"/>
    <col min="9" max="16384" width="9.140625" style="229"/>
  </cols>
  <sheetData>
    <row r="1" spans="1:22" s="227" customFormat="1" ht="39.950000000000003" hidden="1" customHeight="1" x14ac:dyDescent="0.25">
      <c r="A1" s="330">
        <f ca="1">TODAY()</f>
        <v>44957</v>
      </c>
      <c r="B1" s="330"/>
      <c r="C1" s="330"/>
      <c r="D1" s="226"/>
    </row>
    <row r="2" spans="1:22" s="227" customFormat="1" ht="39.950000000000003" hidden="1" customHeight="1" x14ac:dyDescent="0.25">
      <c r="A2" s="331"/>
      <c r="B2" s="331"/>
      <c r="C2" s="331"/>
      <c r="D2" s="226"/>
    </row>
    <row r="3" spans="1:22" x14ac:dyDescent="0.25">
      <c r="A3" s="332" t="s">
        <v>4</v>
      </c>
      <c r="B3" s="332"/>
      <c r="C3" s="332"/>
    </row>
    <row r="4" spans="1:22" s="231" customFormat="1" ht="15" x14ac:dyDescent="0.25">
      <c r="A4" s="44" t="s">
        <v>0</v>
      </c>
      <c r="B4" s="44" t="s">
        <v>1</v>
      </c>
      <c r="C4" s="44" t="s">
        <v>2</v>
      </c>
      <c r="D4" s="230"/>
    </row>
    <row r="5" spans="1:22" x14ac:dyDescent="0.3">
      <c r="A5" s="216">
        <v>8245</v>
      </c>
      <c r="B5" s="232" t="s">
        <v>19</v>
      </c>
      <c r="C5" s="233" t="s">
        <v>216</v>
      </c>
    </row>
    <row r="6" spans="1:22" x14ac:dyDescent="0.3">
      <c r="A6" s="216">
        <v>8247</v>
      </c>
      <c r="B6" s="232" t="s">
        <v>428</v>
      </c>
      <c r="C6" s="233" t="s">
        <v>225</v>
      </c>
    </row>
    <row r="7" spans="1:22" ht="14.25" customHeight="1" x14ac:dyDescent="0.3">
      <c r="A7" s="216">
        <v>8250</v>
      </c>
      <c r="B7" s="234" t="s">
        <v>37</v>
      </c>
      <c r="C7" s="233" t="s">
        <v>226</v>
      </c>
    </row>
    <row r="8" spans="1:22" ht="15" customHeight="1" x14ac:dyDescent="0.3">
      <c r="A8" s="216">
        <v>8252</v>
      </c>
      <c r="B8" s="234" t="s">
        <v>39</v>
      </c>
      <c r="C8" s="233" t="s">
        <v>218</v>
      </c>
    </row>
    <row r="9" spans="1:22" ht="15" customHeight="1" x14ac:dyDescent="0.3">
      <c r="A9" s="216">
        <v>8253</v>
      </c>
      <c r="B9" s="234" t="s">
        <v>40</v>
      </c>
      <c r="C9" s="233" t="s">
        <v>219</v>
      </c>
    </row>
    <row r="10" spans="1:22" ht="13.5" customHeight="1" x14ac:dyDescent="0.3">
      <c r="A10" s="216">
        <v>8254</v>
      </c>
      <c r="B10" s="234" t="s">
        <v>43</v>
      </c>
      <c r="C10" s="233" t="s">
        <v>220</v>
      </c>
    </row>
    <row r="11" spans="1:22" x14ac:dyDescent="0.3">
      <c r="A11" s="216">
        <v>8255</v>
      </c>
      <c r="B11" s="234" t="s">
        <v>46</v>
      </c>
      <c r="C11" s="233" t="s">
        <v>221</v>
      </c>
    </row>
    <row r="12" spans="1:22" s="236" customFormat="1" ht="15" customHeight="1" x14ac:dyDescent="0.3">
      <c r="A12" s="216">
        <v>8257</v>
      </c>
      <c r="B12" s="234" t="s">
        <v>191</v>
      </c>
      <c r="C12" s="233" t="s">
        <v>68</v>
      </c>
      <c r="D12" s="235"/>
    </row>
    <row r="13" spans="1:22" x14ac:dyDescent="0.3">
      <c r="A13" s="216">
        <v>8259</v>
      </c>
      <c r="B13" s="234" t="s">
        <v>52</v>
      </c>
      <c r="C13" s="237" t="s">
        <v>53</v>
      </c>
    </row>
    <row r="14" spans="1:22" x14ac:dyDescent="0.3">
      <c r="A14" s="216">
        <v>8261</v>
      </c>
      <c r="B14" s="234" t="s">
        <v>263</v>
      </c>
      <c r="C14" s="238" t="s">
        <v>232</v>
      </c>
    </row>
    <row r="15" spans="1:22" x14ac:dyDescent="0.3">
      <c r="A15" s="216">
        <v>8263</v>
      </c>
      <c r="B15" s="234" t="s">
        <v>56</v>
      </c>
      <c r="C15" s="237" t="s">
        <v>436</v>
      </c>
    </row>
    <row r="16" spans="1:22" s="228" customFormat="1" ht="15" customHeight="1" x14ac:dyDescent="0.3">
      <c r="A16" s="216">
        <v>8264</v>
      </c>
      <c r="B16" s="232" t="s">
        <v>55</v>
      </c>
      <c r="C16" s="233" t="s">
        <v>195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</row>
    <row r="17" spans="1:22" s="228" customFormat="1" x14ac:dyDescent="0.3">
      <c r="A17" s="216">
        <v>8265</v>
      </c>
      <c r="B17" s="234" t="s">
        <v>57</v>
      </c>
      <c r="C17" s="237" t="s">
        <v>439</v>
      </c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</row>
    <row r="18" spans="1:22" s="228" customFormat="1" ht="15" customHeight="1" x14ac:dyDescent="0.3">
      <c r="A18" s="216">
        <v>8266</v>
      </c>
      <c r="B18" s="234" t="s">
        <v>59</v>
      </c>
      <c r="C18" s="233" t="s">
        <v>60</v>
      </c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</row>
    <row r="19" spans="1:22" x14ac:dyDescent="0.3">
      <c r="A19" s="216">
        <v>8267</v>
      </c>
      <c r="B19" s="234" t="s">
        <v>62</v>
      </c>
      <c r="C19" s="233" t="s">
        <v>222</v>
      </c>
    </row>
    <row r="20" spans="1:22" x14ac:dyDescent="0.3">
      <c r="A20" s="216">
        <v>8268</v>
      </c>
      <c r="B20" s="234" t="s">
        <v>63</v>
      </c>
      <c r="C20" s="233" t="s">
        <v>262</v>
      </c>
    </row>
    <row r="21" spans="1:22" x14ac:dyDescent="0.3">
      <c r="A21" s="216">
        <v>8269</v>
      </c>
      <c r="B21" s="234" t="s">
        <v>64</v>
      </c>
      <c r="C21" s="233" t="s">
        <v>223</v>
      </c>
    </row>
    <row r="22" spans="1:22" x14ac:dyDescent="0.3">
      <c r="A22" s="216">
        <v>8270</v>
      </c>
      <c r="B22" s="234" t="s">
        <v>66</v>
      </c>
      <c r="C22" s="233" t="s">
        <v>67</v>
      </c>
    </row>
    <row r="23" spans="1:22" x14ac:dyDescent="0.3">
      <c r="A23" s="216">
        <v>8272</v>
      </c>
      <c r="B23" s="234" t="s">
        <v>110</v>
      </c>
      <c r="C23" s="233" t="s">
        <v>224</v>
      </c>
    </row>
    <row r="24" spans="1:22" x14ac:dyDescent="0.3">
      <c r="A24" s="216">
        <v>8273</v>
      </c>
      <c r="B24" s="234" t="s">
        <v>69</v>
      </c>
      <c r="C24" s="233" t="s">
        <v>199</v>
      </c>
    </row>
    <row r="25" spans="1:22" x14ac:dyDescent="0.3">
      <c r="A25" s="216">
        <v>8274</v>
      </c>
      <c r="B25" s="232" t="s">
        <v>268</v>
      </c>
      <c r="C25" s="233" t="s">
        <v>285</v>
      </c>
    </row>
    <row r="26" spans="1:22" x14ac:dyDescent="0.3">
      <c r="A26" s="216">
        <v>8277</v>
      </c>
      <c r="B26" s="232" t="s">
        <v>764</v>
      </c>
      <c r="C26" s="238" t="s">
        <v>353</v>
      </c>
    </row>
    <row r="27" spans="1:22" x14ac:dyDescent="0.3">
      <c r="A27" s="216">
        <v>8279</v>
      </c>
      <c r="B27" s="232" t="s">
        <v>464</v>
      </c>
      <c r="C27" s="238" t="s">
        <v>380</v>
      </c>
    </row>
    <row r="28" spans="1:22" x14ac:dyDescent="0.3">
      <c r="A28" s="216">
        <v>8280</v>
      </c>
      <c r="B28" s="232" t="s">
        <v>401</v>
      </c>
      <c r="C28" s="233" t="s">
        <v>402</v>
      </c>
    </row>
    <row r="29" spans="1:22" x14ac:dyDescent="0.3">
      <c r="A29" s="216">
        <v>8283</v>
      </c>
      <c r="B29" s="232" t="s">
        <v>763</v>
      </c>
      <c r="C29" s="233" t="s">
        <v>762</v>
      </c>
    </row>
    <row r="30" spans="1:22" x14ac:dyDescent="0.3">
      <c r="A30" s="216">
        <v>8284</v>
      </c>
      <c r="B30" s="232" t="s">
        <v>471</v>
      </c>
      <c r="C30" s="233" t="s">
        <v>472</v>
      </c>
    </row>
    <row r="31" spans="1:22" x14ac:dyDescent="0.3">
      <c r="A31" s="216">
        <v>8287</v>
      </c>
      <c r="B31" s="232" t="s">
        <v>492</v>
      </c>
      <c r="C31" s="233" t="s">
        <v>402</v>
      </c>
    </row>
    <row r="32" spans="1:22" x14ac:dyDescent="0.3">
      <c r="A32" s="216">
        <v>8286</v>
      </c>
      <c r="B32" s="232" t="s">
        <v>496</v>
      </c>
      <c r="C32" s="233" t="s">
        <v>497</v>
      </c>
    </row>
    <row r="33" spans="1:3" x14ac:dyDescent="0.3">
      <c r="A33" s="216">
        <v>8288</v>
      </c>
      <c r="B33" s="232" t="s">
        <v>498</v>
      </c>
      <c r="C33" s="238" t="s">
        <v>506</v>
      </c>
    </row>
    <row r="34" spans="1:3" x14ac:dyDescent="0.3">
      <c r="A34" s="216">
        <v>8289</v>
      </c>
      <c r="B34" s="232" t="s">
        <v>753</v>
      </c>
      <c r="C34" s="233" t="s">
        <v>529</v>
      </c>
    </row>
    <row r="35" spans="1:3" x14ac:dyDescent="0.3">
      <c r="A35" s="306">
        <v>8290</v>
      </c>
      <c r="B35" s="333" t="s">
        <v>121</v>
      </c>
      <c r="C35" s="233" t="s">
        <v>590</v>
      </c>
    </row>
    <row r="36" spans="1:3" x14ac:dyDescent="0.3">
      <c r="A36" s="306"/>
      <c r="B36" s="333"/>
      <c r="C36" s="233" t="s">
        <v>616</v>
      </c>
    </row>
    <row r="37" spans="1:3" x14ac:dyDescent="0.3">
      <c r="A37" s="216">
        <v>8292</v>
      </c>
      <c r="B37" s="232" t="s">
        <v>653</v>
      </c>
      <c r="C37" s="238" t="s">
        <v>654</v>
      </c>
    </row>
    <row r="50" spans="1:22" s="241" customFormat="1" x14ac:dyDescent="0.3">
      <c r="A50" s="217"/>
      <c r="B50" s="239"/>
      <c r="C50" s="240"/>
      <c r="D50" s="228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</row>
  </sheetData>
  <mergeCells count="5">
    <mergeCell ref="A1:A2"/>
    <mergeCell ref="B1:C2"/>
    <mergeCell ref="A3:C3"/>
    <mergeCell ref="A35:A36"/>
    <mergeCell ref="B35:B36"/>
  </mergeCells>
  <phoneticPr fontId="17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Apólices</vt:lpstr>
      <vt:lpstr>Boletos</vt:lpstr>
      <vt:lpstr>8241</vt:lpstr>
      <vt:lpstr>Credito Pottencial</vt:lpstr>
      <vt:lpstr>contatos</vt:lpstr>
      <vt:lpstr>Planilha1</vt:lpstr>
      <vt:lpstr>lev fat</vt:lpstr>
      <vt:lpstr>'8241'!Area_de_impressao</vt:lpstr>
      <vt:lpstr>Apólices!Area_de_impressao</vt:lpstr>
      <vt:lpstr>'lev fat'!Area_de_impressao</vt:lpstr>
    </vt:vector>
  </TitlesOfParts>
  <Company>e3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8101-ATC-CAROLINA</cp:lastModifiedBy>
  <cp:lastPrinted>2023-01-31T12:36:29Z</cp:lastPrinted>
  <dcterms:created xsi:type="dcterms:W3CDTF">2018-01-08T12:01:08Z</dcterms:created>
  <dcterms:modified xsi:type="dcterms:W3CDTF">2023-01-31T20:21:02Z</dcterms:modified>
</cp:coreProperties>
</file>