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tudk.sharepoint.com/sites/MasterThesisatSustainabilityDivision/Shared Documents/Codes/Electrolysis Infrastructure/"/>
    </mc:Choice>
  </mc:AlternateContent>
  <xr:revisionPtr revIDLastSave="116" documentId="13_ncr:1_{B7CB3E98-DAA1-42B4-9A9E-B70D7203A9F2}" xr6:coauthVersionLast="47" xr6:coauthVersionMax="47" xr10:uidLastSave="{05FD4136-C8BA-485E-8305-6BE568CC819A}"/>
  <bookViews>
    <workbookView xWindow="1042" yWindow="1042" windowWidth="15390" windowHeight="9443" tabRatio="838" xr2:uid="{00000000-000D-0000-FFFF-FFFF00000000}"/>
  </bookViews>
  <sheets>
    <sheet name="Inputs" sheetId="1" r:id="rId1"/>
    <sheet name="FuelDemand" sheetId="11" r:id="rId2"/>
    <sheet name="BioPrices" sheetId="12" r:id="rId3"/>
    <sheet name="SteelDemand" sheetId="10" r:id="rId4"/>
    <sheet name="Pyro" sheetId="9" r:id="rId5"/>
    <sheet name="MeOH Old" sheetId="8" r:id="rId6"/>
    <sheet name="Storages" sheetId="7" r:id="rId7"/>
    <sheet name="Lester+Bramstoft" sheetId="6" r:id="rId8"/>
    <sheet name="LowBioPot" sheetId="3" r:id="rId9"/>
    <sheet name="SOEC_Breakthrough" sheetId="4" r:id="rId10"/>
    <sheet name="Sources" sheetId="2" r:id="rId11"/>
  </sheets>
  <definedNames>
    <definedName name="_xlnm._FilterDatabase" localSheetId="1" hidden="1">FuelDemand!$A$1:$G$496</definedName>
    <definedName name="_xlnm._FilterDatabase" localSheetId="0" hidden="1">Inputs!$A$1:$G$695</definedName>
    <definedName name="_xlnm._FilterDatabase" localSheetId="7" hidden="1">'Lester+Bramstoft'!$A$1:$G$128</definedName>
    <definedName name="_xlnm._FilterDatabase" localSheetId="8" hidden="1">LowBioPot!$A$1:$G$265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1" i="1" l="1"/>
  <c r="E579" i="1"/>
  <c r="E578" i="1"/>
  <c r="E576" i="1"/>
  <c r="E575" i="1"/>
  <c r="E573" i="1"/>
  <c r="E572" i="1"/>
  <c r="E570" i="1"/>
  <c r="E557" i="1"/>
  <c r="E555" i="1"/>
  <c r="E554" i="1"/>
  <c r="E552" i="1"/>
  <c r="E102" i="1"/>
  <c r="E41" i="1" l="1"/>
  <c r="E146" i="1"/>
  <c r="E145" i="1"/>
  <c r="E144" i="1"/>
  <c r="E77" i="1"/>
  <c r="E76" i="1"/>
  <c r="E75" i="1"/>
  <c r="E396" i="11"/>
  <c r="E397" i="11"/>
  <c r="E395" i="11"/>
  <c r="E387" i="11"/>
  <c r="E388" i="11"/>
  <c r="E389" i="11"/>
  <c r="E390" i="11"/>
  <c r="E391" i="11"/>
  <c r="E386" i="11"/>
  <c r="E381" i="11"/>
  <c r="E382" i="11"/>
  <c r="E380" i="11"/>
  <c r="E372" i="11"/>
  <c r="E373" i="11"/>
  <c r="E374" i="11"/>
  <c r="E375" i="11"/>
  <c r="E376" i="11"/>
  <c r="E371" i="11"/>
  <c r="E366" i="11"/>
  <c r="E367" i="11"/>
  <c r="E365" i="11"/>
  <c r="E357" i="11"/>
  <c r="E358" i="11"/>
  <c r="E359" i="11"/>
  <c r="E360" i="11"/>
  <c r="E361" i="11"/>
  <c r="E356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299" i="11"/>
  <c r="E394" i="11"/>
  <c r="E393" i="11"/>
  <c r="E392" i="11"/>
  <c r="E385" i="11"/>
  <c r="E384" i="11"/>
  <c r="E383" i="11"/>
  <c r="E379" i="11"/>
  <c r="E378" i="11"/>
  <c r="E377" i="11"/>
  <c r="E370" i="11"/>
  <c r="E369" i="11"/>
  <c r="E368" i="11"/>
  <c r="E364" i="11"/>
  <c r="E363" i="11"/>
  <c r="E362" i="11"/>
  <c r="E355" i="11"/>
  <c r="E354" i="11"/>
  <c r="E353" i="11"/>
  <c r="E295" i="11"/>
  <c r="E294" i="11"/>
  <c r="E293" i="11"/>
  <c r="E286" i="11"/>
  <c r="E285" i="11"/>
  <c r="E284" i="11"/>
  <c r="E280" i="11"/>
  <c r="E279" i="11"/>
  <c r="E278" i="11"/>
  <c r="E271" i="11"/>
  <c r="E270" i="11"/>
  <c r="E269" i="11"/>
  <c r="E265" i="11"/>
  <c r="E264" i="11"/>
  <c r="E263" i="11"/>
  <c r="E256" i="11"/>
  <c r="E255" i="11"/>
  <c r="E254" i="11"/>
  <c r="E196" i="11"/>
  <c r="E195" i="11"/>
  <c r="E194" i="11"/>
  <c r="E187" i="11"/>
  <c r="E186" i="11"/>
  <c r="E185" i="11"/>
  <c r="E181" i="11"/>
  <c r="E180" i="11"/>
  <c r="E179" i="11"/>
  <c r="E172" i="11"/>
  <c r="E171" i="11"/>
  <c r="E170" i="11"/>
  <c r="E166" i="11"/>
  <c r="E165" i="11"/>
  <c r="E164" i="11"/>
  <c r="E157" i="11"/>
  <c r="E156" i="11"/>
  <c r="E155" i="11"/>
  <c r="E158" i="11"/>
  <c r="E159" i="11"/>
  <c r="E160" i="11"/>
  <c r="E161" i="11"/>
  <c r="E162" i="11"/>
  <c r="E163" i="11"/>
  <c r="E167" i="11"/>
  <c r="E168" i="11"/>
  <c r="E169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7" i="11"/>
  <c r="E258" i="11"/>
  <c r="E259" i="11"/>
  <c r="E260" i="11"/>
  <c r="E261" i="11"/>
  <c r="E262" i="11"/>
  <c r="E266" i="11"/>
  <c r="E267" i="11"/>
  <c r="E268" i="11"/>
  <c r="E272" i="11"/>
  <c r="E273" i="11"/>
  <c r="E274" i="11"/>
  <c r="E275" i="11"/>
  <c r="E276" i="11"/>
  <c r="E277" i="11"/>
  <c r="E281" i="11"/>
  <c r="E282" i="11"/>
  <c r="E283" i="11"/>
  <c r="E287" i="11"/>
  <c r="E288" i="11"/>
  <c r="E289" i="11"/>
  <c r="E290" i="11"/>
  <c r="E291" i="11"/>
  <c r="E292" i="11"/>
  <c r="E296" i="11"/>
  <c r="E297" i="11"/>
  <c r="E298" i="11"/>
  <c r="E200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73" i="11"/>
  <c r="E174" i="11"/>
  <c r="E175" i="11"/>
  <c r="E176" i="11"/>
  <c r="E177" i="11"/>
  <c r="E178" i="11"/>
  <c r="E182" i="11"/>
  <c r="E183" i="11"/>
  <c r="E184" i="11"/>
  <c r="E188" i="11"/>
  <c r="E189" i="11"/>
  <c r="E190" i="11"/>
  <c r="E191" i="11"/>
  <c r="E192" i="11"/>
  <c r="E193" i="11"/>
  <c r="E197" i="11"/>
  <c r="E198" i="11"/>
  <c r="E199" i="11"/>
  <c r="E101" i="11"/>
  <c r="E586" i="1"/>
  <c r="E585" i="1" l="1"/>
  <c r="E589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2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335" i="1" l="1"/>
  <c r="E334" i="1"/>
  <c r="E333" i="1"/>
  <c r="E326" i="1"/>
  <c r="E325" i="1"/>
  <c r="E324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3" i="1"/>
  <c r="E232" i="1"/>
  <c r="E231" i="1"/>
  <c r="E230" i="1"/>
  <c r="E229" i="1"/>
  <c r="E228" i="1"/>
  <c r="E218" i="1"/>
  <c r="E217" i="1"/>
  <c r="E216" i="1"/>
  <c r="E226" i="1"/>
  <c r="E227" i="1"/>
  <c r="E225" i="1"/>
  <c r="E62" i="1" l="1"/>
  <c r="E61" i="1"/>
  <c r="E60" i="1"/>
  <c r="E29" i="1"/>
  <c r="E26" i="1" s="1"/>
  <c r="E28" i="1"/>
  <c r="E25" i="1" s="1"/>
  <c r="E27" i="1"/>
  <c r="E24" i="1" s="1"/>
  <c r="E69" i="1"/>
  <c r="E70" i="1"/>
  <c r="E71" i="1"/>
  <c r="E72" i="1"/>
  <c r="E73" i="1"/>
  <c r="E74" i="1"/>
  <c r="E79" i="1"/>
  <c r="E78" i="1" s="1"/>
  <c r="E82" i="1"/>
  <c r="E81" i="1" s="1"/>
  <c r="E86" i="1"/>
  <c r="E85" i="1" s="1"/>
  <c r="E84" i="1" s="1"/>
  <c r="E89" i="1"/>
  <c r="E88" i="1" s="1"/>
  <c r="E87" i="1" s="1"/>
  <c r="E92" i="1"/>
  <c r="E91" i="1" s="1"/>
  <c r="E90" i="1" s="1"/>
  <c r="E95" i="1"/>
  <c r="E94" i="1" s="1"/>
  <c r="E93" i="1" s="1"/>
  <c r="E96" i="1"/>
  <c r="E97" i="1"/>
  <c r="E98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38" i="1"/>
  <c r="E139" i="1"/>
  <c r="E140" i="1"/>
  <c r="E141" i="1"/>
  <c r="E142" i="1"/>
  <c r="E143" i="1"/>
  <c r="E222" i="1"/>
  <c r="E223" i="1"/>
  <c r="E224" i="1"/>
  <c r="E249" i="1"/>
  <c r="E250" i="1"/>
  <c r="E251" i="1"/>
  <c r="E270" i="1"/>
  <c r="E271" i="1"/>
  <c r="E272" i="1"/>
  <c r="E273" i="1"/>
  <c r="E274" i="1"/>
  <c r="E275" i="1"/>
  <c r="E277" i="1"/>
  <c r="E282" i="1"/>
  <c r="E283" i="1"/>
  <c r="E284" i="1"/>
  <c r="E285" i="1"/>
  <c r="E286" i="1"/>
  <c r="E287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21" i="1"/>
  <c r="E322" i="1"/>
  <c r="E323" i="1"/>
  <c r="E330" i="1"/>
  <c r="E331" i="1"/>
  <c r="E332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629" i="1"/>
  <c r="E628" i="1"/>
  <c r="E627" i="1"/>
  <c r="E626" i="1"/>
  <c r="E625" i="1"/>
  <c r="E624" i="1"/>
  <c r="E20" i="1"/>
  <c r="E19" i="1" s="1"/>
  <c r="E18" i="1" s="1"/>
  <c r="E17" i="1"/>
  <c r="E16" i="1" s="1"/>
  <c r="E15" i="1" s="1"/>
  <c r="E642" i="1"/>
  <c r="H642" i="1" s="1"/>
  <c r="E54" i="1"/>
  <c r="E55" i="1"/>
  <c r="E56" i="1"/>
  <c r="E57" i="1"/>
  <c r="E58" i="1"/>
  <c r="E59" i="1"/>
  <c r="E49" i="1"/>
  <c r="E48" i="1" s="1"/>
  <c r="E52" i="1"/>
  <c r="E51" i="1" s="1"/>
  <c r="E11" i="1"/>
  <c r="E10" i="1" s="1"/>
  <c r="E9" i="1" s="1"/>
  <c r="E14" i="1"/>
  <c r="E13" i="1" s="1"/>
  <c r="E12" i="1" s="1"/>
  <c r="E618" i="1"/>
  <c r="E619" i="1"/>
  <c r="E620" i="1"/>
  <c r="E621" i="1"/>
  <c r="E622" i="1"/>
  <c r="E623" i="1"/>
  <c r="E36" i="8"/>
  <c r="E35" i="8"/>
  <c r="E34" i="8"/>
  <c r="E33" i="8"/>
  <c r="E32" i="8"/>
  <c r="E31" i="8"/>
  <c r="E30" i="8"/>
  <c r="E29" i="8"/>
  <c r="E28" i="8"/>
  <c r="E27" i="8"/>
  <c r="E26" i="8"/>
  <c r="E25" i="8"/>
  <c r="E643" i="1"/>
  <c r="H643" i="1" s="1"/>
  <c r="E644" i="1"/>
  <c r="H644" i="1" s="1"/>
  <c r="E645" i="1"/>
  <c r="H645" i="1" s="1"/>
  <c r="E646" i="1"/>
  <c r="H646" i="1" s="1"/>
  <c r="E647" i="1"/>
  <c r="H647" i="1" s="1"/>
  <c r="E648" i="1"/>
  <c r="H648" i="1" s="1"/>
  <c r="E649" i="1"/>
  <c r="H649" i="1" s="1"/>
  <c r="E650" i="1"/>
  <c r="H650" i="1" s="1"/>
  <c r="E651" i="1"/>
  <c r="E17" i="6"/>
  <c r="E18" i="6"/>
  <c r="E19" i="6"/>
  <c r="E37" i="6"/>
  <c r="E36" i="6"/>
  <c r="E35" i="6"/>
  <c r="E125" i="6"/>
  <c r="E124" i="6"/>
  <c r="E123" i="6"/>
  <c r="E122" i="6"/>
  <c r="E121" i="6"/>
  <c r="E120" i="6"/>
  <c r="E114" i="6"/>
  <c r="E119" i="6"/>
  <c r="E118" i="6"/>
  <c r="E117" i="6"/>
  <c r="E115" i="6"/>
  <c r="E116" i="6"/>
  <c r="E44" i="1" l="1"/>
  <c r="E42" i="1"/>
  <c r="E39" i="1"/>
  <c r="E638" i="1"/>
  <c r="E637" i="1" s="1"/>
  <c r="E636" i="1"/>
  <c r="E6" i="7"/>
  <c r="E5" i="7"/>
  <c r="E4" i="7"/>
  <c r="E3" i="7"/>
  <c r="E2" i="7"/>
  <c r="E1" i="7"/>
  <c r="E653" i="1"/>
  <c r="E652" i="1"/>
  <c r="E40" i="1" l="1"/>
  <c r="E43" i="1"/>
  <c r="E38" i="1"/>
  <c r="E37" i="1"/>
  <c r="E36" i="1"/>
  <c r="E35" i="1"/>
  <c r="E34" i="1"/>
  <c r="E33" i="1"/>
  <c r="E48" i="6" l="1"/>
  <c r="E46" i="6"/>
  <c r="E47" i="6" s="1"/>
  <c r="E45" i="6"/>
  <c r="E43" i="6"/>
  <c r="E44" i="6" s="1"/>
  <c r="E13" i="6"/>
  <c r="E11" i="6"/>
  <c r="E12" i="6" s="1"/>
  <c r="E8" i="6"/>
  <c r="E9" i="6" s="1"/>
  <c r="E10" i="6"/>
  <c r="E83" i="6"/>
  <c r="E82" i="6"/>
  <c r="E81" i="6"/>
  <c r="E80" i="6"/>
  <c r="E79" i="6"/>
  <c r="E78" i="6"/>
  <c r="E86" i="6"/>
  <c r="E85" i="6"/>
  <c r="E84" i="6"/>
  <c r="E87" i="6"/>
  <c r="E88" i="6"/>
  <c r="E89" i="6"/>
  <c r="E23" i="1" l="1"/>
  <c r="E22" i="1"/>
  <c r="E21" i="1"/>
  <c r="E615" i="1" l="1"/>
  <c r="E616" i="1"/>
  <c r="E617" i="1"/>
  <c r="E5" i="4" l="1"/>
  <c r="E3" i="4"/>
  <c r="E2" i="4"/>
  <c r="E4" i="4" s="1"/>
</calcChain>
</file>

<file path=xl/sharedStrings.xml><?xml version="1.0" encoding="utf-8"?>
<sst xmlns="http://schemas.openxmlformats.org/spreadsheetml/2006/main" count="8773" uniqueCount="455">
  <si>
    <t>unit</t>
  </si>
  <si>
    <t>source</t>
  </si>
  <si>
    <t>Base</t>
  </si>
  <si>
    <t>years</t>
  </si>
  <si>
    <t>seasons</t>
  </si>
  <si>
    <t>hours</t>
  </si>
  <si>
    <t>year</t>
  </si>
  <si>
    <t>weeks</t>
  </si>
  <si>
    <t>input</t>
  </si>
  <si>
    <t>regions</t>
  </si>
  <si>
    <t>all_regions</t>
  </si>
  <si>
    <t>parameter</t>
  </si>
  <si>
    <t>temp_scope</t>
  </si>
  <si>
    <t>geo_scope</t>
  </si>
  <si>
    <t>category</t>
  </si>
  <si>
    <t>scenario</t>
  </si>
  <si>
    <t>index</t>
  </si>
  <si>
    <t>value</t>
  </si>
  <si>
    <t>CAPEX</t>
  </si>
  <si>
    <t>EURO15/MW</t>
  </si>
  <si>
    <t>H2_STO_LAR</t>
  </si>
  <si>
    <t>[1]</t>
  </si>
  <si>
    <t>OptiFlow raw input</t>
  </si>
  <si>
    <t>demand</t>
  </si>
  <si>
    <t>[2]</t>
  </si>
  <si>
    <t>[3]</t>
  </si>
  <si>
    <t>"Hydrogen demand" sheet in EI_Data.xlsx</t>
  </si>
  <si>
    <t>MWh/h</t>
  </si>
  <si>
    <t>CCU_PS</t>
  </si>
  <si>
    <t>CCU_DAC</t>
  </si>
  <si>
    <t>Electrolyser_AEC</t>
  </si>
  <si>
    <t>Electrolyser_SOEC</t>
  </si>
  <si>
    <t>H2_STO_SMA</t>
  </si>
  <si>
    <t>MWh/yr</t>
  </si>
  <si>
    <t>[4]</t>
  </si>
  <si>
    <t>[5]</t>
  </si>
  <si>
    <t>S2Biom sheet in biomass availability excel from Sara</t>
  </si>
  <si>
    <r>
      <t xml:space="preserve">Nordic Energy Research. (2019). </t>
    </r>
    <r>
      <rPr>
        <i/>
        <sz val="11"/>
        <color theme="1"/>
        <rFont val="Calibri"/>
        <family val="2"/>
        <scheme val="minor"/>
      </rPr>
      <t>Potential for Bioenergy in the Nordics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January</t>
    </r>
    <r>
      <rPr>
        <sz val="11"/>
        <color theme="1"/>
        <rFont val="Calibri"/>
        <family val="2"/>
        <scheme val="minor"/>
      </rPr>
      <t>.</t>
    </r>
  </si>
  <si>
    <t>Lester, M. S., Bramstoft, R., &amp; Münster, M. (2020). Analysis on Electrofuels in Future Energy Systems: A 2050 Case Study. Energy, 199, 117408. https://doi.org/10.1016/j.energy.2020.117408</t>
  </si>
  <si>
    <t>DK1_Straw</t>
  </si>
  <si>
    <t>DK2_Straw</t>
  </si>
  <si>
    <t>NO1_Straw</t>
  </si>
  <si>
    <t>NO2_Straw</t>
  </si>
  <si>
    <t>NO3_Straw</t>
  </si>
  <si>
    <t>NO4_Straw</t>
  </si>
  <si>
    <t>NO5_Straw</t>
  </si>
  <si>
    <t>SE1_Straw</t>
  </si>
  <si>
    <t>SE2_Straw</t>
  </si>
  <si>
    <t>SE3_Straw</t>
  </si>
  <si>
    <t>SE4_Straw</t>
  </si>
  <si>
    <t>DK1_Wood</t>
  </si>
  <si>
    <t>DK2_Wood</t>
  </si>
  <si>
    <t>NO1_Wood</t>
  </si>
  <si>
    <t>NO2_Wood</t>
  </si>
  <si>
    <t>NO3_Wood</t>
  </si>
  <si>
    <t>NO4_Wood</t>
  </si>
  <si>
    <t>NO5_Wood</t>
  </si>
  <si>
    <t>SE1_Wood</t>
  </si>
  <si>
    <t>SE2_Wood</t>
  </si>
  <si>
    <t>SE3_Wood</t>
  </si>
  <si>
    <t>SE4_Wood</t>
  </si>
  <si>
    <t>ST_TG-FT</t>
  </si>
  <si>
    <t>WO_TG-FT</t>
  </si>
  <si>
    <t>Fixed OM</t>
  </si>
  <si>
    <t>Lifetime</t>
  </si>
  <si>
    <t>yr</t>
  </si>
  <si>
    <t>[6]</t>
  </si>
  <si>
    <r>
      <t xml:space="preserve">Danish Energy Agency. (2021). </t>
    </r>
    <r>
      <rPr>
        <i/>
        <sz val="11"/>
        <color theme="1"/>
        <rFont val="Calibri"/>
        <family val="2"/>
        <scheme val="minor"/>
      </rPr>
      <t>Technology Data for Renewable Fuels</t>
    </r>
    <r>
      <rPr>
        <sz val="11"/>
        <color theme="1"/>
        <rFont val="Calibri"/>
        <family val="2"/>
        <scheme val="minor"/>
      </rPr>
      <t>. 1–259.</t>
    </r>
  </si>
  <si>
    <t>ST_TG-MeOH</t>
  </si>
  <si>
    <t>WO_TG-MeOH</t>
  </si>
  <si>
    <t>efficiency</t>
  </si>
  <si>
    <t>[ST_TG-FT, Electricity, Straw]</t>
  </si>
  <si>
    <t>frac</t>
  </si>
  <si>
    <t>[6], nr. 97</t>
  </si>
  <si>
    <t>[6], nr. 85</t>
  </si>
  <si>
    <t>[ST_TG-FT, Biogasoline, Straw]</t>
  </si>
  <si>
    <t>[ST_TG-FT, Jetfuel, Straw]</t>
  </si>
  <si>
    <t>[WO_TG-FT, Electricity, Wood]</t>
  </si>
  <si>
    <t>[WO_TG-FT, Biogasoline, Wood]</t>
  </si>
  <si>
    <t>[WO_TG-FT, Jetfuel, Wood]</t>
  </si>
  <si>
    <t>TG-FT</t>
  </si>
  <si>
    <t>TG-MeOH</t>
  </si>
  <si>
    <t>AmmoniaSynth</t>
  </si>
  <si>
    <t>[6], nr. 103</t>
  </si>
  <si>
    <t>[6], nr. 103, with ASU markup</t>
  </si>
  <si>
    <t>[6], nr. 103, capacity defined as ammonia output</t>
  </si>
  <si>
    <t>[6], nr. 86, 100 MW AEC</t>
  </si>
  <si>
    <t>[Electrolyser_AEC, H2, Electricity]</t>
  </si>
  <si>
    <t>[6], nr. 86, 1 MW SOEC</t>
  </si>
  <si>
    <t>[Electrolyser_SOEC, H2, Electricity]</t>
  </si>
  <si>
    <t>[Electrolyser_AEC, DH, Electricity]</t>
  </si>
  <si>
    <t>SOEC</t>
  </si>
  <si>
    <t>AEC</t>
  </si>
  <si>
    <t>[7]</t>
  </si>
  <si>
    <r>
      <t xml:space="preserve">Bramstoft, R., Pizarro-Alonso, A., Jensen, I. G., Ravn, H., &amp; Münster, M. (2020). Modelling of renewable gas and renewable liquid fuels in future integrated energy systems. </t>
    </r>
    <r>
      <rPr>
        <i/>
        <sz val="11"/>
        <color theme="1"/>
        <rFont val="Calibri"/>
        <family val="2"/>
        <scheme val="minor"/>
      </rPr>
      <t>Applied Energy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268</t>
    </r>
    <r>
      <rPr>
        <sz val="11"/>
        <color theme="1"/>
        <rFont val="Calibri"/>
        <family val="2"/>
        <scheme val="minor"/>
      </rPr>
      <t>(October 2019), 114869. https://doi.org/10.1016/j.apenergy.2020.114869</t>
    </r>
  </si>
  <si>
    <t>[ST_TG-FT, DH, Straw]</t>
  </si>
  <si>
    <t>[WO_TG-FT, DH, Wood]</t>
  </si>
  <si>
    <t>eFT</t>
  </si>
  <si>
    <t>done, capacity out</t>
  </si>
  <si>
    <t>done, assumed 100% el input, corrected for capacity out</t>
  </si>
  <si>
    <t>[6], nr. 86, 1 MW SOEC, corrected to H2 output capacity</t>
  </si>
  <si>
    <t>done, costs from [6], efficiencies (jet fuel mode) from [7], jet fuel capacity out</t>
  </si>
  <si>
    <t>Status</t>
  </si>
  <si>
    <t>Checked Tech</t>
  </si>
  <si>
    <t>[CCU_PS, CO2, Electricity]</t>
  </si>
  <si>
    <t>[CCU_PS, CO2, CO2_PS]</t>
  </si>
  <si>
    <t>tCO2/tCO2</t>
  </si>
  <si>
    <t>tCO2/MWh</t>
  </si>
  <si>
    <t>done, capacity tCO2 out</t>
  </si>
  <si>
    <t>[7], supp. material</t>
  </si>
  <si>
    <t>ST_TG-FT-H2</t>
  </si>
  <si>
    <t>WO_TG-FT-H2</t>
  </si>
  <si>
    <t>[WO_TG-FT-H2, Electricity, Wood]</t>
  </si>
  <si>
    <t>[WO_TG-FT-H2, Biogasoline, Wood]</t>
  </si>
  <si>
    <t>[WO_TG-FT-H2, Jetfuel, Wood]</t>
  </si>
  <si>
    <t>[WO_TG-FT-H2, DH, Wood]</t>
  </si>
  <si>
    <t>[ST_TG-FT-H2, Electricity, Straw]</t>
  </si>
  <si>
    <t>[ST_TG-FT-H2, Biogasoline, Straw]</t>
  </si>
  <si>
    <t>[ST_TG-FT-H2, Jetfuel, Straw]</t>
  </si>
  <si>
    <t>[ST_TG-FT-H2, DH, Straw]</t>
  </si>
  <si>
    <t>[ST_TG-FT-H2, Jetfuel, H2]</t>
  </si>
  <si>
    <t>[WO_TG-FT-H2, Jetfuel, H2]</t>
  </si>
  <si>
    <t>TG-FT-H2</t>
  </si>
  <si>
    <t>done</t>
  </si>
  <si>
    <t>eNH3</t>
  </si>
  <si>
    <t>[eNH3, NH3, Electricity]</t>
  </si>
  <si>
    <t>[eNH3, NH3, H2]</t>
  </si>
  <si>
    <t>[8]</t>
  </si>
  <si>
    <r>
      <t xml:space="preserve">Danish Energy Agency. (2021). </t>
    </r>
    <r>
      <rPr>
        <i/>
        <sz val="11"/>
        <color theme="1"/>
        <rFont val="Calibri"/>
        <family val="2"/>
        <scheme val="minor"/>
      </rPr>
      <t>Technology Data for Carbon Capture, Transport and Storage</t>
    </r>
    <r>
      <rPr>
        <sz val="11"/>
        <color theme="1"/>
        <rFont val="Calibri"/>
        <family val="2"/>
        <scheme val="minor"/>
      </rPr>
      <t>. 1–151.</t>
    </r>
  </si>
  <si>
    <t>[CCU_DAC, CO2, Electricity]</t>
  </si>
  <si>
    <t>eMeOH</t>
  </si>
  <si>
    <t>CO2_STO</t>
  </si>
  <si>
    <t>[7], capacity diesel out</t>
  </si>
  <si>
    <t>[7], capacity diesel out, assumed 5% learning curve pr. 5 year</t>
  </si>
  <si>
    <t>[eFT, Diesel, Electricity]</t>
  </si>
  <si>
    <t>[eFT, Jetfuel, Electricity]</t>
  </si>
  <si>
    <t>[eFT, DH, Electricity]</t>
  </si>
  <si>
    <t>[eFT, Jetfuel, H2]</t>
  </si>
  <si>
    <t>[eFT, Jetfuel, CO2]</t>
  </si>
  <si>
    <t>done, capacity diesel out</t>
  </si>
  <si>
    <t>[ST_TG-MeOH, Electricity, Straw]</t>
  </si>
  <si>
    <t>[ST_TG-MeOH, DH, Straw]</t>
  </si>
  <si>
    <t>[WO_TG-MeOH, Electricity, Wood]</t>
  </si>
  <si>
    <t>[WO_TG-MeOH, DH, Wood]</t>
  </si>
  <si>
    <t>[ST_TG-MeOH, MeOH, Straw]</t>
  </si>
  <si>
    <t>[WO_TG-MeOH, MeOH, Wood]</t>
  </si>
  <si>
    <t>done, capacity MeOH out</t>
  </si>
  <si>
    <t>[6], nr. 98</t>
  </si>
  <si>
    <t>[eMeOH, MeOH, Electricity]</t>
  </si>
  <si>
    <t>[eMeOH, MeOH, CO2]</t>
  </si>
  <si>
    <t>[eMeOH, MeOH, H2]</t>
  </si>
  <si>
    <t>[eMeOH, DH, Electricity]</t>
  </si>
  <si>
    <t>MWh/tCO2</t>
  </si>
  <si>
    <t>EURO15/tCO2</t>
  </si>
  <si>
    <t>done, but consider inserting capacity for compressor (only tCO2 capacity now, no tCO2/h)</t>
  </si>
  <si>
    <t>[6], nr. 100</t>
  </si>
  <si>
    <t>ST_HTL</t>
  </si>
  <si>
    <t>WO_HTL</t>
  </si>
  <si>
    <t>[ST_HTL, Bio-Oil, Electricity]</t>
  </si>
  <si>
    <t>[ST_HTL, Bio-Oil, Straw]</t>
  </si>
  <si>
    <t>[WO_HTL, Bio-Oil, Electricity]</t>
  </si>
  <si>
    <t>[WO_HTL, Bio-Oil, Wood]</t>
  </si>
  <si>
    <t>ST_Pyro</t>
  </si>
  <si>
    <t>WO_Pyro</t>
  </si>
  <si>
    <t>[6], nr. 94</t>
  </si>
  <si>
    <t>[ST_Pyro, Electricity, Straw]</t>
  </si>
  <si>
    <t>[ST_Pyro, Bio-Oil, Straw]</t>
  </si>
  <si>
    <t>[WO_Pyro, Electricity, Wood]</t>
  </si>
  <si>
    <t>[WO_Pyro, Bio-Oil, Wood]</t>
  </si>
  <si>
    <t>biomass potential</t>
  </si>
  <si>
    <t>biomass price</t>
  </si>
  <si>
    <t>Straw</t>
  </si>
  <si>
    <t>Wood</t>
  </si>
  <si>
    <t>€/MWh</t>
  </si>
  <si>
    <t>[9]</t>
  </si>
  <si>
    <t>EI_data.xlsx</t>
  </si>
  <si>
    <t>[10]</t>
  </si>
  <si>
    <r>
      <t xml:space="preserve">Danish Energy Agency. (2020). </t>
    </r>
    <r>
      <rPr>
        <i/>
        <sz val="11"/>
        <color theme="1"/>
        <rFont val="Calibri"/>
        <family val="2"/>
        <scheme val="minor"/>
      </rPr>
      <t>Technology Data for Energy Storage</t>
    </r>
    <r>
      <rPr>
        <sz val="11"/>
        <color theme="1"/>
        <rFont val="Calibri"/>
        <family val="2"/>
        <scheme val="minor"/>
      </rPr>
      <t xml:space="preserve"> (Vol. 44, Issue 8). https://doi.org/10.1088/1751-8113/44/8/085201</t>
    </r>
  </si>
  <si>
    <t>EURO15/MWh</t>
  </si>
  <si>
    <t>[10], nr. 151a</t>
  </si>
  <si>
    <t>[10], 151a</t>
  </si>
  <si>
    <t>[10], 151c</t>
  </si>
  <si>
    <t>[4] + [5]</t>
  </si>
  <si>
    <t>JetTuned</t>
  </si>
  <si>
    <t>[7], assuming jet fuel out at jet tuned = diesel fuel out at diesel tune</t>
  </si>
  <si>
    <t>[5] + Jåstad NFSM ratios</t>
  </si>
  <si>
    <t>SOEC_Breakthrough</t>
  </si>
  <si>
    <t>DK1_Shipping</t>
  </si>
  <si>
    <t>DK2_Shipping</t>
  </si>
  <si>
    <t>SE1_Jetfuel</t>
  </si>
  <si>
    <t>SE2_Jetfuel</t>
  </si>
  <si>
    <t>SE3_Jetfuel</t>
  </si>
  <si>
    <t>SE4_Jetfuel</t>
  </si>
  <si>
    <t>DK2_Road</t>
  </si>
  <si>
    <t>DK1_Road</t>
  </si>
  <si>
    <t>SE1_Road</t>
  </si>
  <si>
    <t>SE2_Road</t>
  </si>
  <si>
    <t>SE3_Road</t>
  </si>
  <si>
    <t>SE4_Road</t>
  </si>
  <si>
    <t>SE1_Shipping</t>
  </si>
  <si>
    <t>SE2_Shipping</t>
  </si>
  <si>
    <t>SE3_Shipping</t>
  </si>
  <si>
    <t>SE4_Shipping</t>
  </si>
  <si>
    <t>NO1_Shipping</t>
  </si>
  <si>
    <t>NO2_Shipping</t>
  </si>
  <si>
    <t>NO3_Shipping</t>
  </si>
  <si>
    <t>NO4_Shipping</t>
  </si>
  <si>
    <t>NO5_Shipping</t>
  </si>
  <si>
    <t>NO1_Jetfuel</t>
  </si>
  <si>
    <t>NO2_Jetfuel</t>
  </si>
  <si>
    <t>NO3_Jetfuel</t>
  </si>
  <si>
    <t>NO4_Jetfuel</t>
  </si>
  <si>
    <t>NO5_Jetfuel</t>
  </si>
  <si>
    <t>DK2_Jetfuel</t>
  </si>
  <si>
    <t>DK1_Jetfuel</t>
  </si>
  <si>
    <t>NO1_Road</t>
  </si>
  <si>
    <t>NO2_Road</t>
  </si>
  <si>
    <t>NO3_Road</t>
  </si>
  <si>
    <t>NO4_Road</t>
  </si>
  <si>
    <t>NO5_Road</t>
  </si>
  <si>
    <t>[7], jet fuel capacity out</t>
  </si>
  <si>
    <t>[2050]</t>
  </si>
  <si>
    <t>VOM</t>
  </si>
  <si>
    <t>[eNH3, NH3]</t>
  </si>
  <si>
    <t>[WO_HTL, Bio-Oil]</t>
  </si>
  <si>
    <t>[ST_HTL, Bio-Oil]</t>
  </si>
  <si>
    <t>[ST_Pyro, Bio-Oil]</t>
  </si>
  <si>
    <t>[WO_Pyro, Bio-Oil]</t>
  </si>
  <si>
    <t>[ST_TG-MeOH, MeOH]</t>
  </si>
  <si>
    <t>[WO_TG-MeOH, MeOH]</t>
  </si>
  <si>
    <t>[eMeOH, MeOH]</t>
  </si>
  <si>
    <t>[eFT, Jetfuel]</t>
  </si>
  <si>
    <t>[ST_TG-FT, Jetfuel]</t>
  </si>
  <si>
    <t>[WO_TG-FT, Jetfuel]</t>
  </si>
  <si>
    <t>[6], nr. 102, assuming 60% jet fuel pr. sum of liquids</t>
  </si>
  <si>
    <t>[6], nr. 85, assuming 50% jet fuel pr. sum of liquids</t>
  </si>
  <si>
    <t>[CCU_PS, CO2]</t>
  </si>
  <si>
    <t>[CCU_DAC, CO2]</t>
  </si>
  <si>
    <t>[6], nr.102</t>
  </si>
  <si>
    <t>[6], nr. 102</t>
  </si>
  <si>
    <t>[11]</t>
  </si>
  <si>
    <t>Nordic Energy Research Technology Catalogue</t>
  </si>
  <si>
    <t>[11], jet capacity</t>
  </si>
  <si>
    <t>[8], nr. 401b</t>
  </si>
  <si>
    <t>[8], nr. 403.a</t>
  </si>
  <si>
    <t>[8], nr. 403.a, assuming 100% electrical heating</t>
  </si>
  <si>
    <t>Wood Import</t>
  </si>
  <si>
    <t>[2], defined as compress out</t>
  </si>
  <si>
    <t>[2], defined as compress in</t>
  </si>
  <si>
    <t>CO2 Tax</t>
  </si>
  <si>
    <t>Balmorel input</t>
  </si>
  <si>
    <t>Fossil fuel price</t>
  </si>
  <si>
    <t>Jetfuel</t>
  </si>
  <si>
    <t>Heavy fuel oil</t>
  </si>
  <si>
    <t>Fossil fuel emissions</t>
  </si>
  <si>
    <t>https://www.cement-co2-protocol.org/v3/Content/Internet_Manual/constants.htm</t>
  </si>
  <si>
    <t>https://www.epa.gov/sites/default/files/2015-07/documents/emission-factors_2014.pdf</t>
  </si>
  <si>
    <t>[12]</t>
  </si>
  <si>
    <t>[13]</t>
  </si>
  <si>
    <t>kg/MWh</t>
  </si>
  <si>
    <t>[7, 23, 36, 49]</t>
  </si>
  <si>
    <t>[2], Jet fuel out</t>
  </si>
  <si>
    <t>[MeOH-Upgrade, Jetfuel]</t>
  </si>
  <si>
    <t>[MeOH-Upgrade, Jetfuel, MeOH]</t>
  </si>
  <si>
    <t>[MeOH-Upgrade, DH, MeOH]</t>
  </si>
  <si>
    <t>MeOH-Upgrade</t>
  </si>
  <si>
    <t>[11], corrected to H2 output capacity</t>
  </si>
  <si>
    <t>tariff</t>
  </si>
  <si>
    <t>[14]</t>
  </si>
  <si>
    <r>
      <t xml:space="preserve">Entso-E. (2011). ENTSO-E Overview of transmission tariffs in Europe. In </t>
    </r>
    <r>
      <rPr>
        <i/>
        <sz val="11"/>
        <color theme="1"/>
        <rFont val="Calibri"/>
        <family val="2"/>
        <scheme val="minor"/>
      </rPr>
      <t>Network</t>
    </r>
    <r>
      <rPr>
        <sz val="11"/>
        <color theme="1"/>
        <rFont val="Calibri"/>
        <family val="2"/>
        <scheme val="minor"/>
      </rPr>
      <t xml:space="preserve"> (Issue June).</t>
    </r>
  </si>
  <si>
    <t>[eFT, Gasoline, Electricity]</t>
  </si>
  <si>
    <t>[ST_TG-FT, Gasoline, Straw]</t>
  </si>
  <si>
    <t>[MeOH-Upgrade, Gasoline, MeOH]</t>
  </si>
  <si>
    <t>Diesel</t>
  </si>
  <si>
    <t>[15]</t>
  </si>
  <si>
    <r>
      <t xml:space="preserve">Energistyrelsen. (2022). </t>
    </r>
    <r>
      <rPr>
        <i/>
        <sz val="11"/>
        <color theme="1"/>
        <rFont val="Calibri"/>
        <family val="2"/>
        <scheme val="minor"/>
      </rPr>
      <t>Samfundsøkonomiske beregningsforudsætninger for energipriser og emissioner</t>
    </r>
    <r>
      <rPr>
        <sz val="11"/>
        <color theme="1"/>
        <rFont val="Calibri"/>
        <family val="2"/>
        <scheme val="minor"/>
      </rPr>
      <t>.</t>
    </r>
  </si>
  <si>
    <t>fossil share</t>
  </si>
  <si>
    <t>Fossil_Jetfuel</t>
  </si>
  <si>
    <t>Fossil_Diesel</t>
  </si>
  <si>
    <t>Fossil_FuelOil</t>
  </si>
  <si>
    <t>NCE, CNN Scenario -electricity, assuming 40% in NO1, 30% in NO5, NO2</t>
  </si>
  <si>
    <t>NCE, CNN Scenario -electricity, assuming 50% in NO3 and NO4</t>
  </si>
  <si>
    <t>NCE, CNN Scenario -electricity, assuming 60% in NO1, 20% in NO5, NO2</t>
  </si>
  <si>
    <t>NCE, CNN Scenario -electricity</t>
  </si>
  <si>
    <t>[CCU_PS, CO2, DH]</t>
  </si>
  <si>
    <r>
      <t xml:space="preserve">Nami, H., Butera, G., Campion, N., Frandsen, H. L., &amp; Hendriksen, P. V. (2021). </t>
    </r>
    <r>
      <rPr>
        <i/>
        <sz val="11"/>
        <color theme="1"/>
        <rFont val="Calibri"/>
        <family val="2"/>
        <scheme val="minor"/>
      </rPr>
      <t>MarE-fuel: Energy efficiencies in synthesising green fuels and their expected cost</t>
    </r>
    <r>
      <rPr>
        <sz val="11"/>
        <color theme="1"/>
        <rFont val="Calibri"/>
        <family val="2"/>
        <scheme val="minor"/>
      </rPr>
      <t>.</t>
    </r>
  </si>
  <si>
    <t>[16]</t>
  </si>
  <si>
    <t>[6], nr. 94 + 4 €/GJ refining penalty from [16]</t>
  </si>
  <si>
    <t>[ST_TG-MeOH, MeOH, H2]</t>
  </si>
  <si>
    <t>[WO_TG-MeOH, MeOH, H2]</t>
  </si>
  <si>
    <t>[7], jet capacity</t>
  </si>
  <si>
    <t>[6], nr. 86 and [11]</t>
  </si>
  <si>
    <t>SMR</t>
  </si>
  <si>
    <t>https://energy.nl/wp-content/uploads/steam-methane-reforming-smr-for-hydrogen-production-1-5.pdf</t>
  </si>
  <si>
    <t>[17]</t>
  </si>
  <si>
    <t>[CCU_DAC, CO2, DH]</t>
  </si>
  <si>
    <t>[Electrolyser_SOEC, H2, DH]</t>
  </si>
  <si>
    <t>[ST_TG-FT-H2, Gasoline, Straw]</t>
  </si>
  <si>
    <t>[ST_TG-FT-H2, Jetfuel]</t>
  </si>
  <si>
    <t>[WO_TG-FT-H2, Jetfuel]</t>
  </si>
  <si>
    <t>[18]</t>
  </si>
  <si>
    <r>
      <t xml:space="preserve">Wang, A., Jens, J., Mavins, D., Moultak, M., Schimmel, M., Van Der Leun, K., Peters, D., &amp; Buseman, M. (2021). Analysing future demand, supply, and transport of hydrogen. </t>
    </r>
    <r>
      <rPr>
        <i/>
        <sz val="11"/>
        <color theme="1"/>
        <rFont val="Calibri"/>
        <family val="2"/>
        <scheme val="minor"/>
      </rPr>
      <t>European Hydrogen Backbone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June</t>
    </r>
    <r>
      <rPr>
        <sz val="11"/>
        <color theme="1"/>
        <rFont val="Calibri"/>
        <family val="2"/>
        <scheme val="minor"/>
      </rPr>
      <t>. https://transparency.entsog.eu/</t>
    </r>
  </si>
  <si>
    <t>[19]</t>
  </si>
  <si>
    <r>
      <t xml:space="preserve">Olje- og energidepartementet, &amp; Klima- og miljødepartementet. (2020). </t>
    </r>
    <r>
      <rPr>
        <i/>
        <sz val="11"/>
        <color theme="1"/>
        <rFont val="Calibri"/>
        <family val="2"/>
        <scheme val="minor"/>
      </rPr>
      <t>Regjeringens hydrogenstrategi</t>
    </r>
    <r>
      <rPr>
        <sz val="11"/>
        <color theme="1"/>
        <rFont val="Calibri"/>
        <family val="2"/>
        <scheme val="minor"/>
      </rPr>
      <t>. 56. https://www.regjeringen.no/contentassets/8ffd54808d7e42e8bce81340b13b6b7d/regjeringens-hydrogenstrategi.pdf</t>
    </r>
  </si>
  <si>
    <t>[18]+[19]</t>
  </si>
  <si>
    <t>DK2_H2</t>
  </si>
  <si>
    <t>DK1_H2</t>
  </si>
  <si>
    <t>SE1_H2</t>
  </si>
  <si>
    <t>SE2_H2</t>
  </si>
  <si>
    <t>SE3_H2</t>
  </si>
  <si>
    <t>SE4_H2</t>
  </si>
  <si>
    <t>NO1_H2</t>
  </si>
  <si>
    <t>NO2_H2</t>
  </si>
  <si>
    <t>NO3_H2</t>
  </si>
  <si>
    <t>NO4_H2</t>
  </si>
  <si>
    <t>NO5_H2</t>
  </si>
  <si>
    <t>[20]</t>
  </si>
  <si>
    <r>
      <t xml:space="preserve">Evald, A., Hu, G., &amp; Hansen, M. T. (2013). </t>
    </r>
    <r>
      <rPr>
        <i/>
        <sz val="11"/>
        <color theme="1"/>
        <rFont val="Calibri"/>
        <family val="2"/>
        <scheme val="minor"/>
      </rPr>
      <t>Technology data for advanced bioenergy fuels. Study performed for Danish Energy Agency,</t>
    </r>
    <r>
      <rPr>
        <sz val="11"/>
        <color theme="1"/>
        <rFont val="Calibri"/>
        <family val="2"/>
        <scheme val="minor"/>
      </rPr>
      <t>. https://ens.dk/sites/ens.dk/files/Analyser/technology_data_for_advanced_bioenergy_fuels.pdf</t>
    </r>
  </si>
  <si>
    <t>H2_STO_SMA_CON</t>
  </si>
  <si>
    <t>CO2_STO_CON</t>
  </si>
  <si>
    <t>[11]+[6], corrected to H2 output capacity</t>
  </si>
  <si>
    <t>EU_H2</t>
  </si>
  <si>
    <t>FIN_H2</t>
  </si>
  <si>
    <t>[ST_TG-FT-H2, Electricity, Gasoline]</t>
  </si>
  <si>
    <t>[ST_TG-FT-H2, Jetfuel, Gasoline]</t>
  </si>
  <si>
    <t>[ST_TG-FT-H2, DH, Gasoline]</t>
  </si>
  <si>
    <t>[WO_TG-FT-H2, Electricity, Gasoline]</t>
  </si>
  <si>
    <t>[WO_TG-FT-H2, Jetfuel, Gasoline]</t>
  </si>
  <si>
    <t>[WO_TG-FT-H2, DH, Gasoline]</t>
  </si>
  <si>
    <t>[ST_TG-FT, Electricity, Gasoline]</t>
  </si>
  <si>
    <t>[ST_TG-FT, Jetfuel, Gasoline]</t>
  </si>
  <si>
    <t>[ST_TG-FT, DH, Gasoline]</t>
  </si>
  <si>
    <t>[WO_TG-FT, Electricity, Gasoline]</t>
  </si>
  <si>
    <t>[WO_TG-FT, Jetfuel, Gasoline]</t>
  </si>
  <si>
    <t>[WO_TG-FT, DH, Gasoline]</t>
  </si>
  <si>
    <t>[ST_TG-MeOH, DH, MeOH]</t>
  </si>
  <si>
    <t>[WO_TG-MeOH, DH, MeOH]</t>
  </si>
  <si>
    <t>[WO_TG-FT-H2, Gasoline, Wood]</t>
  </si>
  <si>
    <t>[WO_TG-FT, Gasoline, Wood]</t>
  </si>
  <si>
    <r>
      <t xml:space="preserve">Koivisto, M., Gea-Bermúdez, J., &amp; Sørensen, P. (2020). North Sea offshore grid development: Combined optimisation of grid and generation investments towards 2050. </t>
    </r>
    <r>
      <rPr>
        <i/>
        <sz val="11"/>
        <color theme="1"/>
        <rFont val="Calibri"/>
        <family val="2"/>
        <scheme val="minor"/>
      </rPr>
      <t>IET Renewable Power Generation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(8), 1259–1267. https://doi.org/10.1049/iet-rpg.2019.0693</t>
    </r>
  </si>
  <si>
    <t>[21]</t>
  </si>
  <si>
    <t>[22]</t>
  </si>
  <si>
    <t>See H2 Grid data</t>
  </si>
  <si>
    <t>[21],[22]</t>
  </si>
  <si>
    <t>[Electrolyser_AECOFFDK, H2]</t>
  </si>
  <si>
    <t>[Electrolyser_AECOFFNO, H2]</t>
  </si>
  <si>
    <t>Pipes</t>
  </si>
  <si>
    <t>50%LowBio</t>
  </si>
  <si>
    <t>25%LowBio</t>
  </si>
  <si>
    <t>75%LowBio</t>
  </si>
  <si>
    <t>HighBioP</t>
  </si>
  <si>
    <t>Electrolyser_AECOFF</t>
  </si>
  <si>
    <t>FD+50%</t>
  </si>
  <si>
    <t>FD+100%</t>
  </si>
  <si>
    <t>FD+200%</t>
  </si>
  <si>
    <t>Parameter</t>
  </si>
  <si>
    <t>Node</t>
  </si>
  <si>
    <t>SC</t>
  </si>
  <si>
    <t>Y</t>
  </si>
  <si>
    <t>Val</t>
  </si>
  <si>
    <t>Unit</t>
  </si>
  <si>
    <t>Source</t>
  </si>
  <si>
    <t>Factor</t>
  </si>
  <si>
    <t>MoreFuel</t>
  </si>
  <si>
    <t>Z01_Straw</t>
  </si>
  <si>
    <t>Z01_Wood</t>
  </si>
  <si>
    <t>Z01_Shipping</t>
  </si>
  <si>
    <t>Z01_Jetfuel</t>
  </si>
  <si>
    <t>Z01_Road</t>
  </si>
  <si>
    <t>Z01_H2</t>
  </si>
  <si>
    <t>Z01</t>
  </si>
  <si>
    <t>Z02_Straw</t>
  </si>
  <si>
    <t>Z02_Wood</t>
  </si>
  <si>
    <t>Z02_Shipping</t>
  </si>
  <si>
    <t>Z02_Jetfuel</t>
  </si>
  <si>
    <t>Z02_Road</t>
  </si>
  <si>
    <t>Z02_H2</t>
  </si>
  <si>
    <t>Z02</t>
  </si>
  <si>
    <t>Z03_Straw</t>
  </si>
  <si>
    <t>Z03_Wood</t>
  </si>
  <si>
    <t>Z03_Shipping</t>
  </si>
  <si>
    <t>Z03_Jetfuel</t>
  </si>
  <si>
    <t>Z03_Road</t>
  </si>
  <si>
    <t>Z03_H2</t>
  </si>
  <si>
    <t>Z03</t>
  </si>
  <si>
    <t>Z04_Straw</t>
  </si>
  <si>
    <t>Z04_Wood</t>
  </si>
  <si>
    <t>Z04_Shipping</t>
  </si>
  <si>
    <t>Z04_Jetfuel</t>
  </si>
  <si>
    <t>Z04_Road</t>
  </si>
  <si>
    <t>Z04_H2</t>
  </si>
  <si>
    <t>Z04</t>
  </si>
  <si>
    <t>Z05_Straw</t>
  </si>
  <si>
    <t>Z05_Wood</t>
  </si>
  <si>
    <t>Z05_Shipping</t>
  </si>
  <si>
    <t>Z05_Jetfuel</t>
  </si>
  <si>
    <t>Z05_Road</t>
  </si>
  <si>
    <t>Z05_H2</t>
  </si>
  <si>
    <t>Z05</t>
  </si>
  <si>
    <t>Z06_Straw</t>
  </si>
  <si>
    <t>Z06_Wood</t>
  </si>
  <si>
    <t>Z06_Shipping</t>
  </si>
  <si>
    <t>Z06_Jetfuel</t>
  </si>
  <si>
    <t>Z06_Road</t>
  </si>
  <si>
    <t>Z06_H2</t>
  </si>
  <si>
    <t>Z06</t>
  </si>
  <si>
    <t>Z07_Straw</t>
  </si>
  <si>
    <t>Z07_Wood</t>
  </si>
  <si>
    <t>Z07_Shipping</t>
  </si>
  <si>
    <t>Z07_Jetfuel</t>
  </si>
  <si>
    <t>Z07_Road</t>
  </si>
  <si>
    <t>Z07_H2</t>
  </si>
  <si>
    <t>Z07</t>
  </si>
  <si>
    <t>Z08_Straw</t>
  </si>
  <si>
    <t>Z08_Wood</t>
  </si>
  <si>
    <t>Z08_Jetfuel</t>
  </si>
  <si>
    <t>Z08_Road</t>
  </si>
  <si>
    <t>Z08_Shipping</t>
  </si>
  <si>
    <t>Z08_H2</t>
  </si>
  <si>
    <t>Z08</t>
  </si>
  <si>
    <t>Z09_Straw</t>
  </si>
  <si>
    <t>Z09_Wood</t>
  </si>
  <si>
    <t>Z09_Jetfuel</t>
  </si>
  <si>
    <t>Z09_Road</t>
  </si>
  <si>
    <t>Z09_Shipping</t>
  </si>
  <si>
    <t>Z09_H2</t>
  </si>
  <si>
    <t>Z09</t>
  </si>
  <si>
    <t>Z10_Straw</t>
  </si>
  <si>
    <t>Z10_Wood</t>
  </si>
  <si>
    <t>Z10_Jetfuel</t>
  </si>
  <si>
    <t>Z10_Road</t>
  </si>
  <si>
    <t>Z10_Shipping</t>
  </si>
  <si>
    <t>Z10_H2</t>
  </si>
  <si>
    <t>Z10</t>
  </si>
  <si>
    <t>Z11_Straw</t>
  </si>
  <si>
    <t>Z11_Wood</t>
  </si>
  <si>
    <t>Z11_Jetfuel</t>
  </si>
  <si>
    <t>Z11_Road</t>
  </si>
  <si>
    <t>Z11_Shipping</t>
  </si>
  <si>
    <t>Z11_H2</t>
  </si>
  <si>
    <t>Z11</t>
  </si>
  <si>
    <t>region</t>
  </si>
  <si>
    <t>balmorel_mapping</t>
  </si>
  <si>
    <t>balmorel_areas</t>
  </si>
  <si>
    <t>area</t>
  </si>
  <si>
    <t>[Z01, Z02, Z03, Z04, Z05, Z06, Z07, Z08, Z09, Z10, Z11]</t>
  </si>
  <si>
    <t>[23]</t>
  </si>
  <si>
    <r>
      <t xml:space="preserve">Danish Energy Agency. (2016). </t>
    </r>
    <r>
      <rPr>
        <i/>
        <sz val="11"/>
        <color theme="1"/>
        <rFont val="Calibri"/>
        <family val="2"/>
        <scheme val="minor"/>
      </rPr>
      <t xml:space="preserve">Technology Data for Generation of Electricity and District Heating </t>
    </r>
  </si>
  <si>
    <t>[23], nr. 22</t>
  </si>
  <si>
    <t>UtilityFixedPV</t>
  </si>
  <si>
    <t>{Z01 : None, Z02 : None, Z03 : None, Z04 : None, Z05 : None, Z06 : None, Z07 : NO5_A2, Z08 : SE1_medium, Z09 : SE2_medium, Z10 : SE3_large, Z11 : SE4_large}</t>
  </si>
  <si>
    <t>[Z01, Z02, Z03, Z04, Z05, Z06]</t>
  </si>
  <si>
    <t>{Z01 : IT, Z02 : IT, Z03 : IT, Z04 : IT, Z05 : IT, Z06 : IT, Z07 : NO5, Z08 : SE1, Z09 : SE2, Z10 : SE3, Z11 : SE4}</t>
  </si>
  <si>
    <t>MW</t>
  </si>
  <si>
    <t>[2030]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</si>
</sst>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center" indent="3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1" applyAlignment="1">
      <alignment horizontal="left" vertical="center" indent="3"/>
    </xf>
    <xf numFmtId="0" fontId="3" fillId="0" borderId="0" xfId="1"/>
    <xf numFmtId="167" fontId="0" fillId="0" borderId="0" xfId="0" applyNumberFormat="1"/>
    <xf numFmtId="1" fontId="0" fillId="0" borderId="0" xfId="0" quotePrefix="1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pa.gov/sites/default/files/2015-07/documents/emission-factors_2014.pdf" TargetMode="External"/><Relationship Id="rId2" Type="http://schemas.openxmlformats.org/officeDocument/2006/relationships/hyperlink" Target="https://www.cement-co2-protocol.org/v3/Content/Internet_Manual/constants.htm" TargetMode="External"/><Relationship Id="rId1" Type="http://schemas.openxmlformats.org/officeDocument/2006/relationships/hyperlink" Target="https://energy.nl/wp-content/uploads/steam-methane-reforming-smr-for-hydrogen-production-1-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0"/>
  <sheetViews>
    <sheetView tabSelected="1" zoomScale="53" zoomScaleNormal="53" workbookViewId="0">
      <selection activeCell="E3" sqref="E3"/>
    </sheetView>
  </sheetViews>
  <sheetFormatPr defaultRowHeight="14.25" x14ac:dyDescent="0.45"/>
  <cols>
    <col min="1" max="1" width="18.53125" customWidth="1"/>
    <col min="2" max="2" width="29" customWidth="1"/>
    <col min="3" max="3" width="10.33203125" customWidth="1"/>
    <col min="4" max="4" width="8.33203125" customWidth="1"/>
    <col min="5" max="5" width="14.796875" customWidth="1"/>
    <col min="6" max="6" width="13.46484375" customWidth="1"/>
    <col min="8" max="9" width="9.796875" bestFit="1" customWidth="1"/>
    <col min="10" max="10" width="12.19921875" customWidth="1"/>
    <col min="13" max="13" width="10.796875" bestFit="1" customWidth="1"/>
    <col min="14" max="14" width="13.1328125" bestFit="1" customWidth="1"/>
    <col min="15" max="15" width="11.796875" bestFit="1" customWidth="1"/>
  </cols>
  <sheetData>
    <row r="1" spans="1:10" x14ac:dyDescent="0.45">
      <c r="A1" s="2" t="s">
        <v>14</v>
      </c>
      <c r="B1" s="2" t="s">
        <v>11</v>
      </c>
      <c r="C1" s="2" t="s">
        <v>15</v>
      </c>
      <c r="D1" s="2" t="s">
        <v>16</v>
      </c>
      <c r="E1" s="2" t="s">
        <v>17</v>
      </c>
      <c r="F1" s="2" t="s">
        <v>0</v>
      </c>
      <c r="G1" s="2" t="s">
        <v>1</v>
      </c>
    </row>
    <row r="2" spans="1:10" x14ac:dyDescent="0.45">
      <c r="A2" t="s">
        <v>12</v>
      </c>
      <c r="B2" t="s">
        <v>3</v>
      </c>
      <c r="C2" t="s">
        <v>2</v>
      </c>
      <c r="E2" t="s">
        <v>454</v>
      </c>
      <c r="F2" t="s">
        <v>6</v>
      </c>
      <c r="G2" t="s">
        <v>8</v>
      </c>
    </row>
    <row r="3" spans="1:10" x14ac:dyDescent="0.45">
      <c r="A3" t="s">
        <v>12</v>
      </c>
      <c r="B3" t="s">
        <v>4</v>
      </c>
      <c r="C3" t="s">
        <v>2</v>
      </c>
      <c r="E3" t="s">
        <v>260</v>
      </c>
      <c r="F3" t="s">
        <v>7</v>
      </c>
      <c r="G3" t="s">
        <v>8</v>
      </c>
    </row>
    <row r="4" spans="1:10" x14ac:dyDescent="0.45">
      <c r="A4" t="s">
        <v>12</v>
      </c>
      <c r="B4" t="s">
        <v>5</v>
      </c>
      <c r="C4" t="s">
        <v>2</v>
      </c>
      <c r="E4">
        <v>168</v>
      </c>
      <c r="F4" t="s">
        <v>5</v>
      </c>
      <c r="G4" t="s">
        <v>8</v>
      </c>
    </row>
    <row r="5" spans="1:10" x14ac:dyDescent="0.45">
      <c r="A5" t="s">
        <v>13</v>
      </c>
      <c r="B5" t="s">
        <v>10</v>
      </c>
      <c r="C5" t="s">
        <v>2</v>
      </c>
      <c r="E5" t="s">
        <v>445</v>
      </c>
      <c r="F5" t="s">
        <v>441</v>
      </c>
      <c r="G5" t="s">
        <v>8</v>
      </c>
    </row>
    <row r="6" spans="1:10" x14ac:dyDescent="0.45">
      <c r="A6" t="s">
        <v>13</v>
      </c>
      <c r="B6" t="s">
        <v>9</v>
      </c>
      <c r="C6" t="s">
        <v>2</v>
      </c>
      <c r="E6" t="s">
        <v>451</v>
      </c>
      <c r="F6" t="s">
        <v>441</v>
      </c>
      <c r="G6" t="s">
        <v>8</v>
      </c>
    </row>
    <row r="7" spans="1:10" x14ac:dyDescent="0.45">
      <c r="A7" t="s">
        <v>13</v>
      </c>
      <c r="B7" t="s">
        <v>442</v>
      </c>
      <c r="C7" t="s">
        <v>2</v>
      </c>
      <c r="E7" t="s">
        <v>452</v>
      </c>
      <c r="F7" t="s">
        <v>441</v>
      </c>
      <c r="G7" t="s">
        <v>8</v>
      </c>
    </row>
    <row r="8" spans="1:10" x14ac:dyDescent="0.45">
      <c r="A8" t="s">
        <v>13</v>
      </c>
      <c r="B8" t="s">
        <v>443</v>
      </c>
      <c r="C8" t="s">
        <v>2</v>
      </c>
      <c r="E8" t="s">
        <v>450</v>
      </c>
      <c r="F8" t="s">
        <v>444</v>
      </c>
      <c r="G8" t="s">
        <v>8</v>
      </c>
    </row>
    <row r="9" spans="1:10" x14ac:dyDescent="0.45">
      <c r="A9" t="s">
        <v>18</v>
      </c>
      <c r="B9" t="s">
        <v>61</v>
      </c>
      <c r="C9" t="s">
        <v>2</v>
      </c>
      <c r="D9">
        <v>2030</v>
      </c>
      <c r="E9" s="1">
        <f>E10/0.9</f>
        <v>4104938.2716049384</v>
      </c>
      <c r="F9" t="s">
        <v>19</v>
      </c>
      <c r="G9" t="s">
        <v>290</v>
      </c>
    </row>
    <row r="10" spans="1:10" x14ac:dyDescent="0.45">
      <c r="A10" t="s">
        <v>18</v>
      </c>
      <c r="B10" t="s">
        <v>61</v>
      </c>
      <c r="C10" t="s">
        <v>2</v>
      </c>
      <c r="D10">
        <v>2040</v>
      </c>
      <c r="E10" s="1">
        <f>E11/0.9</f>
        <v>3694444.4444444445</v>
      </c>
      <c r="F10" t="s">
        <v>19</v>
      </c>
      <c r="G10" t="s">
        <v>290</v>
      </c>
      <c r="J10" s="4"/>
    </row>
    <row r="11" spans="1:10" x14ac:dyDescent="0.45">
      <c r="A11" t="s">
        <v>18</v>
      </c>
      <c r="B11" t="s">
        <v>61</v>
      </c>
      <c r="C11" t="s">
        <v>2</v>
      </c>
      <c r="D11">
        <v>2050</v>
      </c>
      <c r="E11" s="1">
        <f>1.33/0.4*1000000</f>
        <v>3325000</v>
      </c>
      <c r="F11" t="s">
        <v>19</v>
      </c>
      <c r="G11" t="s">
        <v>290</v>
      </c>
    </row>
    <row r="12" spans="1:10" x14ac:dyDescent="0.45">
      <c r="A12" t="s">
        <v>18</v>
      </c>
      <c r="B12" t="s">
        <v>62</v>
      </c>
      <c r="C12" t="s">
        <v>2</v>
      </c>
      <c r="D12">
        <v>2030</v>
      </c>
      <c r="E12" s="1">
        <f>E13/0.9</f>
        <v>4104938.2716049384</v>
      </c>
      <c r="F12" t="s">
        <v>19</v>
      </c>
      <c r="G12" t="s">
        <v>290</v>
      </c>
    </row>
    <row r="13" spans="1:10" ht="13.5" customHeight="1" x14ac:dyDescent="0.45">
      <c r="A13" t="s">
        <v>18</v>
      </c>
      <c r="B13" t="s">
        <v>62</v>
      </c>
      <c r="C13" t="s">
        <v>2</v>
      </c>
      <c r="D13">
        <v>2040</v>
      </c>
      <c r="E13" s="1">
        <f>E14/0.9</f>
        <v>3694444.4444444445</v>
      </c>
      <c r="F13" t="s">
        <v>19</v>
      </c>
      <c r="G13" t="s">
        <v>290</v>
      </c>
    </row>
    <row r="14" spans="1:10" ht="13.5" customHeight="1" x14ac:dyDescent="0.45">
      <c r="A14" t="s">
        <v>18</v>
      </c>
      <c r="B14" t="s">
        <v>62</v>
      </c>
      <c r="C14" t="s">
        <v>2</v>
      </c>
      <c r="D14">
        <v>2050</v>
      </c>
      <c r="E14" s="1">
        <f>1.33/0.4*1000000</f>
        <v>3325000</v>
      </c>
      <c r="F14" t="s">
        <v>19</v>
      </c>
      <c r="G14" t="s">
        <v>290</v>
      </c>
    </row>
    <row r="15" spans="1:10" x14ac:dyDescent="0.45">
      <c r="A15" t="s">
        <v>18</v>
      </c>
      <c r="B15" t="s">
        <v>110</v>
      </c>
      <c r="C15" t="s">
        <v>2</v>
      </c>
      <c r="D15">
        <v>2030</v>
      </c>
      <c r="E15" s="1">
        <f>E16/0.9</f>
        <v>4104938.2716049384</v>
      </c>
      <c r="F15" t="s">
        <v>19</v>
      </c>
      <c r="G15" t="s">
        <v>290</v>
      </c>
    </row>
    <row r="16" spans="1:10" x14ac:dyDescent="0.45">
      <c r="A16" t="s">
        <v>18</v>
      </c>
      <c r="B16" t="s">
        <v>110</v>
      </c>
      <c r="C16" t="s">
        <v>2</v>
      </c>
      <c r="D16">
        <v>2040</v>
      </c>
      <c r="E16" s="1">
        <f>E17/0.9</f>
        <v>3694444.4444444445</v>
      </c>
      <c r="F16" t="s">
        <v>19</v>
      </c>
      <c r="G16" t="s">
        <v>290</v>
      </c>
      <c r="J16" s="4"/>
    </row>
    <row r="17" spans="1:9" x14ac:dyDescent="0.45">
      <c r="A17" t="s">
        <v>18</v>
      </c>
      <c r="B17" t="s">
        <v>110</v>
      </c>
      <c r="C17" t="s">
        <v>2</v>
      </c>
      <c r="D17">
        <v>2050</v>
      </c>
      <c r="E17" s="1">
        <f>1.33/0.4*1000000</f>
        <v>3325000</v>
      </c>
      <c r="F17" t="s">
        <v>19</v>
      </c>
      <c r="G17" t="s">
        <v>290</v>
      </c>
    </row>
    <row r="18" spans="1:9" x14ac:dyDescent="0.45">
      <c r="A18" t="s">
        <v>18</v>
      </c>
      <c r="B18" t="s">
        <v>111</v>
      </c>
      <c r="C18" t="s">
        <v>2</v>
      </c>
      <c r="D18">
        <v>2030</v>
      </c>
      <c r="E18" s="1">
        <f>E19/0.9</f>
        <v>4104938.2716049384</v>
      </c>
      <c r="F18" t="s">
        <v>19</v>
      </c>
      <c r="G18" t="s">
        <v>290</v>
      </c>
    </row>
    <row r="19" spans="1:9" ht="13.5" customHeight="1" x14ac:dyDescent="0.45">
      <c r="A19" t="s">
        <v>18</v>
      </c>
      <c r="B19" t="s">
        <v>111</v>
      </c>
      <c r="C19" t="s">
        <v>2</v>
      </c>
      <c r="D19">
        <v>2040</v>
      </c>
      <c r="E19" s="1">
        <f>E20/0.9</f>
        <v>3694444.4444444445</v>
      </c>
      <c r="F19" t="s">
        <v>19</v>
      </c>
      <c r="G19" t="s">
        <v>290</v>
      </c>
    </row>
    <row r="20" spans="1:9" ht="13.5" customHeight="1" x14ac:dyDescent="0.45">
      <c r="A20" t="s">
        <v>18</v>
      </c>
      <c r="B20" t="s">
        <v>111</v>
      </c>
      <c r="C20" t="s">
        <v>2</v>
      </c>
      <c r="D20">
        <v>2050</v>
      </c>
      <c r="E20" s="1">
        <f>1.33/0.4*1000000</f>
        <v>3325000</v>
      </c>
      <c r="F20" t="s">
        <v>19</v>
      </c>
      <c r="G20" t="s">
        <v>290</v>
      </c>
    </row>
    <row r="21" spans="1:9" x14ac:dyDescent="0.45">
      <c r="A21" t="s">
        <v>18</v>
      </c>
      <c r="B21" t="s">
        <v>97</v>
      </c>
      <c r="C21" t="s">
        <v>2</v>
      </c>
      <c r="D21">
        <v>2030</v>
      </c>
      <c r="E21" s="1">
        <f>1.6*1000000/0.42</f>
        <v>3809523.8095238097</v>
      </c>
      <c r="F21" t="s">
        <v>19</v>
      </c>
      <c r="G21" t="s">
        <v>239</v>
      </c>
    </row>
    <row r="22" spans="1:9" x14ac:dyDescent="0.45">
      <c r="A22" t="s">
        <v>18</v>
      </c>
      <c r="B22" t="s">
        <v>97</v>
      </c>
      <c r="C22" t="s">
        <v>2</v>
      </c>
      <c r="D22">
        <v>2040</v>
      </c>
      <c r="E22" s="1">
        <f>1.1*1000000/0.438</f>
        <v>2511415.5251141554</v>
      </c>
      <c r="F22" t="s">
        <v>19</v>
      </c>
      <c r="G22" t="s">
        <v>239</v>
      </c>
      <c r="I22" s="10"/>
    </row>
    <row r="23" spans="1:9" x14ac:dyDescent="0.45">
      <c r="A23" t="s">
        <v>18</v>
      </c>
      <c r="B23" t="s">
        <v>97</v>
      </c>
      <c r="C23" t="s">
        <v>2</v>
      </c>
      <c r="D23">
        <v>2050</v>
      </c>
      <c r="E23" s="1">
        <f>0.9*1000000/0.45</f>
        <v>2000000</v>
      </c>
      <c r="F23" t="s">
        <v>19</v>
      </c>
      <c r="G23" t="s">
        <v>239</v>
      </c>
    </row>
    <row r="24" spans="1:9" x14ac:dyDescent="0.45">
      <c r="A24" t="s">
        <v>18</v>
      </c>
      <c r="B24" t="s">
        <v>318</v>
      </c>
      <c r="C24" t="s">
        <v>2</v>
      </c>
      <c r="D24">
        <v>2030</v>
      </c>
      <c r="E24" s="1">
        <f>0.09*3.6*1000000-E27</f>
        <v>315000</v>
      </c>
      <c r="F24" t="s">
        <v>19</v>
      </c>
      <c r="G24" t="s">
        <v>24</v>
      </c>
    </row>
    <row r="25" spans="1:9" x14ac:dyDescent="0.45">
      <c r="A25" t="s">
        <v>18</v>
      </c>
      <c r="B25" t="s">
        <v>318</v>
      </c>
      <c r="C25" t="s">
        <v>2</v>
      </c>
      <c r="D25">
        <v>2040</v>
      </c>
      <c r="E25" s="1">
        <f t="shared" ref="E25:E26" si="0">0.09*3.6*1000000-E28</f>
        <v>315000</v>
      </c>
      <c r="F25" t="s">
        <v>19</v>
      </c>
      <c r="G25" t="s">
        <v>24</v>
      </c>
    </row>
    <row r="26" spans="1:9" x14ac:dyDescent="0.45">
      <c r="A26" t="s">
        <v>18</v>
      </c>
      <c r="B26" t="s">
        <v>318</v>
      </c>
      <c r="C26" t="s">
        <v>2</v>
      </c>
      <c r="D26">
        <v>2050</v>
      </c>
      <c r="E26" s="1">
        <f t="shared" si="0"/>
        <v>315000</v>
      </c>
      <c r="F26" t="s">
        <v>19</v>
      </c>
      <c r="G26" t="s">
        <v>24</v>
      </c>
    </row>
    <row r="27" spans="1:9" x14ac:dyDescent="0.45">
      <c r="A27" t="s">
        <v>18</v>
      </c>
      <c r="B27" t="s">
        <v>32</v>
      </c>
      <c r="C27" t="s">
        <v>2</v>
      </c>
      <c r="D27">
        <v>2030</v>
      </c>
      <c r="E27" s="1">
        <f>0.009*1000000</f>
        <v>9000</v>
      </c>
      <c r="F27" t="s">
        <v>178</v>
      </c>
      <c r="G27" t="s">
        <v>176</v>
      </c>
    </row>
    <row r="28" spans="1:9" x14ac:dyDescent="0.45">
      <c r="A28" t="s">
        <v>18</v>
      </c>
      <c r="B28" t="s">
        <v>32</v>
      </c>
      <c r="C28" t="s">
        <v>2</v>
      </c>
      <c r="D28">
        <v>2040</v>
      </c>
      <c r="E28" s="1">
        <f t="shared" ref="E28:E29" si="1">0.009*1000000</f>
        <v>9000</v>
      </c>
      <c r="F28" t="s">
        <v>178</v>
      </c>
      <c r="G28" t="s">
        <v>176</v>
      </c>
    </row>
    <row r="29" spans="1:9" x14ac:dyDescent="0.45">
      <c r="A29" t="s">
        <v>18</v>
      </c>
      <c r="B29" t="s">
        <v>32</v>
      </c>
      <c r="C29" t="s">
        <v>2</v>
      </c>
      <c r="D29">
        <v>2050</v>
      </c>
      <c r="E29" s="1">
        <f t="shared" si="1"/>
        <v>9000</v>
      </c>
      <c r="F29" t="s">
        <v>178</v>
      </c>
      <c r="G29" t="s">
        <v>176</v>
      </c>
    </row>
    <row r="30" spans="1:9" x14ac:dyDescent="0.45">
      <c r="A30" t="s">
        <v>18</v>
      </c>
      <c r="B30" t="s">
        <v>131</v>
      </c>
      <c r="C30" t="s">
        <v>2</v>
      </c>
      <c r="D30">
        <v>2030</v>
      </c>
      <c r="E30" s="1">
        <v>6818</v>
      </c>
      <c r="F30" t="s">
        <v>153</v>
      </c>
      <c r="G30" t="s">
        <v>176</v>
      </c>
    </row>
    <row r="31" spans="1:9" x14ac:dyDescent="0.45">
      <c r="A31" t="s">
        <v>18</v>
      </c>
      <c r="B31" t="s">
        <v>131</v>
      </c>
      <c r="C31" t="s">
        <v>2</v>
      </c>
      <c r="D31">
        <v>2040</v>
      </c>
      <c r="E31" s="1">
        <v>6818</v>
      </c>
      <c r="F31" t="s">
        <v>153</v>
      </c>
      <c r="G31" t="s">
        <v>176</v>
      </c>
    </row>
    <row r="32" spans="1:9" x14ac:dyDescent="0.45">
      <c r="A32" t="s">
        <v>18</v>
      </c>
      <c r="B32" t="s">
        <v>131</v>
      </c>
      <c r="C32" t="s">
        <v>2</v>
      </c>
      <c r="D32">
        <v>2050</v>
      </c>
      <c r="E32" s="1">
        <v>6818</v>
      </c>
      <c r="F32" t="s">
        <v>153</v>
      </c>
      <c r="G32" t="s">
        <v>176</v>
      </c>
    </row>
    <row r="33" spans="1:7" x14ac:dyDescent="0.45">
      <c r="A33" t="s">
        <v>18</v>
      </c>
      <c r="B33" t="s">
        <v>28</v>
      </c>
      <c r="C33" t="s">
        <v>2</v>
      </c>
      <c r="D33">
        <v>2030</v>
      </c>
      <c r="E33" s="1">
        <f>0.971817298347911*2.3*1000000</f>
        <v>2235179.7862001951</v>
      </c>
      <c r="F33" t="s">
        <v>19</v>
      </c>
      <c r="G33" t="s">
        <v>243</v>
      </c>
    </row>
    <row r="34" spans="1:7" x14ac:dyDescent="0.45">
      <c r="A34" t="s">
        <v>18</v>
      </c>
      <c r="B34" t="s">
        <v>28</v>
      </c>
      <c r="C34" t="s">
        <v>2</v>
      </c>
      <c r="D34">
        <v>2040</v>
      </c>
      <c r="E34" s="1">
        <f>0.971817298347911*2*1000000</f>
        <v>1943634.596695822</v>
      </c>
      <c r="F34" t="s">
        <v>19</v>
      </c>
      <c r="G34" t="s">
        <v>243</v>
      </c>
    </row>
    <row r="35" spans="1:7" x14ac:dyDescent="0.45">
      <c r="A35" t="s">
        <v>18</v>
      </c>
      <c r="B35" t="s">
        <v>28</v>
      </c>
      <c r="C35" t="s">
        <v>2</v>
      </c>
      <c r="D35">
        <v>2050</v>
      </c>
      <c r="E35" s="1">
        <f>0.971817298347911*1.6*1000000</f>
        <v>1554907.6773566578</v>
      </c>
      <c r="F35" t="s">
        <v>19</v>
      </c>
      <c r="G35" t="s">
        <v>243</v>
      </c>
    </row>
    <row r="36" spans="1:7" x14ac:dyDescent="0.45">
      <c r="A36" t="s">
        <v>18</v>
      </c>
      <c r="B36" t="s">
        <v>29</v>
      </c>
      <c r="C36" t="s">
        <v>2</v>
      </c>
      <c r="D36">
        <v>2030</v>
      </c>
      <c r="E36" s="1">
        <f>6*1000000</f>
        <v>6000000</v>
      </c>
      <c r="F36" t="s">
        <v>19</v>
      </c>
      <c r="G36" t="s">
        <v>244</v>
      </c>
    </row>
    <row r="37" spans="1:7" x14ac:dyDescent="0.45">
      <c r="A37" t="s">
        <v>18</v>
      </c>
      <c r="B37" t="s">
        <v>29</v>
      </c>
      <c r="C37" t="s">
        <v>2</v>
      </c>
      <c r="D37">
        <v>2040</v>
      </c>
      <c r="E37" s="1">
        <f>5*1000000</f>
        <v>5000000</v>
      </c>
      <c r="F37" t="s">
        <v>19</v>
      </c>
      <c r="G37" t="s">
        <v>244</v>
      </c>
    </row>
    <row r="38" spans="1:7" x14ac:dyDescent="0.45">
      <c r="A38" t="s">
        <v>18</v>
      </c>
      <c r="B38" t="s">
        <v>29</v>
      </c>
      <c r="C38" t="s">
        <v>2</v>
      </c>
      <c r="D38">
        <v>2050</v>
      </c>
      <c r="E38" s="1">
        <f>4*1000000</f>
        <v>4000000</v>
      </c>
      <c r="F38" t="s">
        <v>19</v>
      </c>
      <c r="G38" t="s">
        <v>244</v>
      </c>
    </row>
    <row r="39" spans="1:7" x14ac:dyDescent="0.45">
      <c r="A39" t="s">
        <v>18</v>
      </c>
      <c r="B39" t="s">
        <v>30</v>
      </c>
      <c r="C39" t="s">
        <v>2</v>
      </c>
      <c r="D39">
        <v>2030</v>
      </c>
      <c r="E39" s="1">
        <f>0.63*1000000/0.68</f>
        <v>926470.5882352941</v>
      </c>
      <c r="F39" t="s">
        <v>19</v>
      </c>
      <c r="G39" t="s">
        <v>266</v>
      </c>
    </row>
    <row r="40" spans="1:7" x14ac:dyDescent="0.45">
      <c r="A40" t="s">
        <v>18</v>
      </c>
      <c r="B40" t="s">
        <v>30</v>
      </c>
      <c r="C40" t="s">
        <v>2</v>
      </c>
      <c r="D40">
        <v>2040</v>
      </c>
      <c r="E40" s="1">
        <f>AVERAGE(E39,E41)</f>
        <v>637148.33759590797</v>
      </c>
      <c r="F40" t="s">
        <v>19</v>
      </c>
      <c r="G40" t="s">
        <v>266</v>
      </c>
    </row>
    <row r="41" spans="1:7" x14ac:dyDescent="0.45">
      <c r="A41" t="s">
        <v>18</v>
      </c>
      <c r="B41" t="s">
        <v>30</v>
      </c>
      <c r="C41" t="s">
        <v>2</v>
      </c>
      <c r="D41">
        <v>2050</v>
      </c>
      <c r="E41" s="1">
        <f>0.24*1000000/0.69</f>
        <v>347826.08695652179</v>
      </c>
      <c r="F41" t="s">
        <v>19</v>
      </c>
      <c r="G41" t="s">
        <v>266</v>
      </c>
    </row>
    <row r="42" spans="1:7" x14ac:dyDescent="0.45">
      <c r="A42" t="s">
        <v>18</v>
      </c>
      <c r="B42" t="s">
        <v>31</v>
      </c>
      <c r="C42" t="s">
        <v>2</v>
      </c>
      <c r="D42">
        <v>2030</v>
      </c>
      <c r="E42" s="1">
        <f>0.8*1000000/0.79</f>
        <v>1012658.2278481012</v>
      </c>
      <c r="F42" t="s">
        <v>19</v>
      </c>
      <c r="G42" t="s">
        <v>266</v>
      </c>
    </row>
    <row r="43" spans="1:7" x14ac:dyDescent="0.45">
      <c r="A43" t="s">
        <v>18</v>
      </c>
      <c r="B43" t="s">
        <v>31</v>
      </c>
      <c r="C43" t="s">
        <v>2</v>
      </c>
      <c r="D43">
        <v>2040</v>
      </c>
      <c r="E43" s="1">
        <f>AVERAGE(E42,E44)</f>
        <v>841772.15189873404</v>
      </c>
      <c r="F43" t="s">
        <v>19</v>
      </c>
      <c r="G43" t="s">
        <v>266</v>
      </c>
    </row>
    <row r="44" spans="1:7" x14ac:dyDescent="0.45">
      <c r="A44" t="s">
        <v>18</v>
      </c>
      <c r="B44" t="s">
        <v>31</v>
      </c>
      <c r="C44" t="s">
        <v>2</v>
      </c>
      <c r="D44">
        <v>2050</v>
      </c>
      <c r="E44" s="1">
        <f>0.53*1000000/0.79</f>
        <v>670886.07594936702</v>
      </c>
      <c r="F44" t="s">
        <v>19</v>
      </c>
      <c r="G44" t="s">
        <v>266</v>
      </c>
    </row>
    <row r="45" spans="1:7" x14ac:dyDescent="0.45">
      <c r="A45" t="s">
        <v>18</v>
      </c>
      <c r="B45" t="s">
        <v>351</v>
      </c>
      <c r="C45" t="s">
        <v>2</v>
      </c>
      <c r="D45">
        <v>2030</v>
      </c>
      <c r="E45" s="1">
        <v>4354781</v>
      </c>
      <c r="F45" t="s">
        <v>19</v>
      </c>
      <c r="G45" t="s">
        <v>343</v>
      </c>
    </row>
    <row r="46" spans="1:7" x14ac:dyDescent="0.45">
      <c r="A46" t="s">
        <v>18</v>
      </c>
      <c r="B46" t="s">
        <v>351</v>
      </c>
      <c r="C46" t="s">
        <v>2</v>
      </c>
      <c r="D46">
        <v>2040</v>
      </c>
      <c r="E46" s="1">
        <v>3655574</v>
      </c>
      <c r="F46" t="s">
        <v>19</v>
      </c>
      <c r="G46" t="s">
        <v>343</v>
      </c>
    </row>
    <row r="47" spans="1:7" x14ac:dyDescent="0.45">
      <c r="A47" t="s">
        <v>18</v>
      </c>
      <c r="B47" t="s">
        <v>351</v>
      </c>
      <c r="C47" t="s">
        <v>2</v>
      </c>
      <c r="D47">
        <v>2050</v>
      </c>
      <c r="E47" s="1">
        <v>3130453</v>
      </c>
      <c r="F47" t="s">
        <v>19</v>
      </c>
      <c r="G47" t="s">
        <v>343</v>
      </c>
    </row>
    <row r="48" spans="1:7" x14ac:dyDescent="0.45">
      <c r="A48" t="s">
        <v>18</v>
      </c>
      <c r="B48" t="s">
        <v>68</v>
      </c>
      <c r="C48" t="s">
        <v>2</v>
      </c>
      <c r="D48">
        <v>2030</v>
      </c>
      <c r="E48" s="1">
        <f>E49/0.9</f>
        <v>995555.5555555555</v>
      </c>
      <c r="F48" t="s">
        <v>19</v>
      </c>
      <c r="G48" t="s">
        <v>93</v>
      </c>
    </row>
    <row r="49" spans="1:11" x14ac:dyDescent="0.45">
      <c r="A49" t="s">
        <v>18</v>
      </c>
      <c r="B49" t="s">
        <v>68</v>
      </c>
      <c r="C49" t="s">
        <v>2</v>
      </c>
      <c r="D49">
        <v>2040</v>
      </c>
      <c r="E49" s="1">
        <f>E50/0.9</f>
        <v>896000</v>
      </c>
      <c r="F49" t="s">
        <v>19</v>
      </c>
      <c r="G49" t="s">
        <v>93</v>
      </c>
    </row>
    <row r="50" spans="1:11" x14ac:dyDescent="0.45">
      <c r="A50" t="s">
        <v>18</v>
      </c>
      <c r="B50" t="s">
        <v>68</v>
      </c>
      <c r="C50" t="s">
        <v>2</v>
      </c>
      <c r="D50">
        <v>2050</v>
      </c>
      <c r="E50" s="1">
        <v>806400</v>
      </c>
      <c r="F50" t="s">
        <v>19</v>
      </c>
      <c r="G50" t="s">
        <v>93</v>
      </c>
    </row>
    <row r="51" spans="1:11" ht="15.5" customHeight="1" x14ac:dyDescent="0.45">
      <c r="A51" t="s">
        <v>18</v>
      </c>
      <c r="B51" t="s">
        <v>69</v>
      </c>
      <c r="C51" t="s">
        <v>2</v>
      </c>
      <c r="D51">
        <v>2030</v>
      </c>
      <c r="E51" s="1">
        <f>E52/0.9</f>
        <v>995555.5555555555</v>
      </c>
      <c r="F51" t="s">
        <v>19</v>
      </c>
      <c r="G51" t="s">
        <v>93</v>
      </c>
      <c r="K51" s="1"/>
    </row>
    <row r="52" spans="1:11" x14ac:dyDescent="0.45">
      <c r="A52" t="s">
        <v>18</v>
      </c>
      <c r="B52" t="s">
        <v>69</v>
      </c>
      <c r="C52" t="s">
        <v>2</v>
      </c>
      <c r="D52">
        <v>2040</v>
      </c>
      <c r="E52" s="1">
        <f>E53/0.9</f>
        <v>896000</v>
      </c>
      <c r="F52" t="s">
        <v>19</v>
      </c>
      <c r="G52" t="s">
        <v>93</v>
      </c>
      <c r="K52" s="1"/>
    </row>
    <row r="53" spans="1:11" x14ac:dyDescent="0.45">
      <c r="A53" t="s">
        <v>18</v>
      </c>
      <c r="B53" t="s">
        <v>69</v>
      </c>
      <c r="C53" t="s">
        <v>2</v>
      </c>
      <c r="D53">
        <v>2050</v>
      </c>
      <c r="E53" s="1">
        <v>806400</v>
      </c>
      <c r="F53" t="s">
        <v>19</v>
      </c>
      <c r="G53" t="s">
        <v>93</v>
      </c>
      <c r="K53" s="1"/>
    </row>
    <row r="54" spans="1:11" x14ac:dyDescent="0.45">
      <c r="A54" t="s">
        <v>18</v>
      </c>
      <c r="B54" t="s">
        <v>130</v>
      </c>
      <c r="C54" t="s">
        <v>2</v>
      </c>
      <c r="D54">
        <v>2030</v>
      </c>
      <c r="E54" s="1">
        <f>0.15*1000000*3.6</f>
        <v>540000</v>
      </c>
      <c r="F54" t="s">
        <v>19</v>
      </c>
      <c r="G54" t="s">
        <v>24</v>
      </c>
    </row>
    <row r="55" spans="1:11" x14ac:dyDescent="0.45">
      <c r="A55" t="s">
        <v>18</v>
      </c>
      <c r="B55" t="s">
        <v>130</v>
      </c>
      <c r="C55" t="s">
        <v>2</v>
      </c>
      <c r="D55">
        <v>2040</v>
      </c>
      <c r="E55" s="1">
        <f>0.15*1000000*3.6</f>
        <v>540000</v>
      </c>
      <c r="F55" t="s">
        <v>19</v>
      </c>
      <c r="G55" t="s">
        <v>24</v>
      </c>
    </row>
    <row r="56" spans="1:11" x14ac:dyDescent="0.45">
      <c r="A56" t="s">
        <v>18</v>
      </c>
      <c r="B56" t="s">
        <v>130</v>
      </c>
      <c r="C56" t="s">
        <v>2</v>
      </c>
      <c r="D56">
        <v>2050</v>
      </c>
      <c r="E56" s="1">
        <f>0.15*1000000*3.6</f>
        <v>540000</v>
      </c>
      <c r="F56" t="s">
        <v>19</v>
      </c>
      <c r="G56" t="s">
        <v>24</v>
      </c>
    </row>
    <row r="57" spans="1:11" x14ac:dyDescent="0.45">
      <c r="A57" t="s">
        <v>18</v>
      </c>
      <c r="B57" t="s">
        <v>124</v>
      </c>
      <c r="C57" t="s">
        <v>2</v>
      </c>
      <c r="D57">
        <v>2030</v>
      </c>
      <c r="E57">
        <f>1.3*1000000*1.09</f>
        <v>1417000</v>
      </c>
      <c r="F57" t="s">
        <v>19</v>
      </c>
      <c r="G57" t="s">
        <v>84</v>
      </c>
    </row>
    <row r="58" spans="1:11" x14ac:dyDescent="0.45">
      <c r="A58" t="s">
        <v>18</v>
      </c>
      <c r="B58" t="s">
        <v>124</v>
      </c>
      <c r="C58" t="s">
        <v>2</v>
      </c>
      <c r="D58">
        <v>2040</v>
      </c>
      <c r="E58">
        <f>1.1*1000000*1.09</f>
        <v>1199000</v>
      </c>
      <c r="F58" t="s">
        <v>19</v>
      </c>
      <c r="G58" t="s">
        <v>84</v>
      </c>
    </row>
    <row r="59" spans="1:11" x14ac:dyDescent="0.45">
      <c r="A59" t="s">
        <v>18</v>
      </c>
      <c r="B59" t="s">
        <v>124</v>
      </c>
      <c r="C59" t="s">
        <v>2</v>
      </c>
      <c r="D59">
        <v>2050</v>
      </c>
      <c r="E59">
        <f>0.8*1000000*1.09</f>
        <v>872000.00000000012</v>
      </c>
      <c r="F59" t="s">
        <v>19</v>
      </c>
      <c r="G59" t="s">
        <v>84</v>
      </c>
    </row>
    <row r="60" spans="1:11" x14ac:dyDescent="0.45">
      <c r="A60" t="s">
        <v>18</v>
      </c>
      <c r="B60" t="s">
        <v>319</v>
      </c>
      <c r="C60" t="s">
        <v>2</v>
      </c>
      <c r="D60">
        <v>2030</v>
      </c>
      <c r="E60">
        <f>1.52*1000000-E30</f>
        <v>1513182</v>
      </c>
      <c r="F60" t="s">
        <v>153</v>
      </c>
      <c r="G60" t="s">
        <v>248</v>
      </c>
    </row>
    <row r="61" spans="1:11" x14ac:dyDescent="0.45">
      <c r="A61" t="s">
        <v>18</v>
      </c>
      <c r="B61" t="s">
        <v>319</v>
      </c>
      <c r="C61" t="s">
        <v>2</v>
      </c>
      <c r="D61">
        <v>2040</v>
      </c>
      <c r="E61">
        <f>1.52*1000000-E31</f>
        <v>1513182</v>
      </c>
      <c r="F61" t="s">
        <v>153</v>
      </c>
      <c r="G61" t="s">
        <v>248</v>
      </c>
    </row>
    <row r="62" spans="1:11" x14ac:dyDescent="0.45">
      <c r="A62" t="s">
        <v>18</v>
      </c>
      <c r="B62" t="s">
        <v>319</v>
      </c>
      <c r="C62" t="s">
        <v>2</v>
      </c>
      <c r="D62">
        <v>2050</v>
      </c>
      <c r="E62">
        <f>1.52*1000000-E32</f>
        <v>1513182</v>
      </c>
      <c r="F62" t="s">
        <v>153</v>
      </c>
      <c r="G62" t="s">
        <v>248</v>
      </c>
    </row>
    <row r="63" spans="1:11" x14ac:dyDescent="0.45">
      <c r="A63" t="s">
        <v>18</v>
      </c>
      <c r="B63" t="s">
        <v>156</v>
      </c>
      <c r="C63" t="s">
        <v>2</v>
      </c>
      <c r="D63">
        <v>2030</v>
      </c>
      <c r="E63" s="1">
        <v>1650000</v>
      </c>
      <c r="F63" t="s">
        <v>19</v>
      </c>
      <c r="G63" t="s">
        <v>155</v>
      </c>
    </row>
    <row r="64" spans="1:11" x14ac:dyDescent="0.45">
      <c r="A64" t="s">
        <v>18</v>
      </c>
      <c r="B64" t="s">
        <v>156</v>
      </c>
      <c r="C64" t="s">
        <v>2</v>
      </c>
      <c r="D64">
        <v>2040</v>
      </c>
      <c r="E64" s="1">
        <v>1240000</v>
      </c>
      <c r="F64" t="s">
        <v>19</v>
      </c>
      <c r="G64" t="s">
        <v>155</v>
      </c>
    </row>
    <row r="65" spans="1:7" x14ac:dyDescent="0.45">
      <c r="A65" t="s">
        <v>18</v>
      </c>
      <c r="B65" t="s">
        <v>156</v>
      </c>
      <c r="C65" t="s">
        <v>2</v>
      </c>
      <c r="D65">
        <v>2050</v>
      </c>
      <c r="E65" s="1">
        <v>1100000</v>
      </c>
      <c r="F65" t="s">
        <v>19</v>
      </c>
      <c r="G65" t="s">
        <v>155</v>
      </c>
    </row>
    <row r="66" spans="1:7" x14ac:dyDescent="0.45">
      <c r="A66" t="s">
        <v>18</v>
      </c>
      <c r="B66" t="s">
        <v>157</v>
      </c>
      <c r="C66" t="s">
        <v>2</v>
      </c>
      <c r="D66">
        <v>2030</v>
      </c>
      <c r="E66" s="1">
        <v>1650000</v>
      </c>
      <c r="F66" t="s">
        <v>19</v>
      </c>
      <c r="G66" t="s">
        <v>155</v>
      </c>
    </row>
    <row r="67" spans="1:7" x14ac:dyDescent="0.45">
      <c r="A67" t="s">
        <v>18</v>
      </c>
      <c r="B67" t="s">
        <v>157</v>
      </c>
      <c r="C67" t="s">
        <v>2</v>
      </c>
      <c r="D67">
        <v>2040</v>
      </c>
      <c r="E67" s="1">
        <v>1240000</v>
      </c>
      <c r="F67" t="s">
        <v>19</v>
      </c>
      <c r="G67" t="s">
        <v>155</v>
      </c>
    </row>
    <row r="68" spans="1:7" x14ac:dyDescent="0.45">
      <c r="A68" t="s">
        <v>18</v>
      </c>
      <c r="B68" t="s">
        <v>157</v>
      </c>
      <c r="C68" t="s">
        <v>2</v>
      </c>
      <c r="D68">
        <v>2050</v>
      </c>
      <c r="E68" s="1">
        <v>1100000</v>
      </c>
      <c r="F68" t="s">
        <v>19</v>
      </c>
      <c r="G68" t="s">
        <v>155</v>
      </c>
    </row>
    <row r="69" spans="1:7" x14ac:dyDescent="0.45">
      <c r="A69" t="s">
        <v>18</v>
      </c>
      <c r="B69" t="s">
        <v>265</v>
      </c>
      <c r="C69" t="s">
        <v>2</v>
      </c>
      <c r="D69">
        <v>2030</v>
      </c>
      <c r="E69" s="1">
        <f>0.07*1000000/0.65*3.6</f>
        <v>387692.30769230769</v>
      </c>
      <c r="F69" t="s">
        <v>19</v>
      </c>
      <c r="G69" t="s">
        <v>261</v>
      </c>
    </row>
    <row r="70" spans="1:7" x14ac:dyDescent="0.45">
      <c r="A70" t="s">
        <v>18</v>
      </c>
      <c r="B70" t="s">
        <v>265</v>
      </c>
      <c r="C70" t="s">
        <v>2</v>
      </c>
      <c r="D70">
        <v>2040</v>
      </c>
      <c r="E70" s="1">
        <f>0.07*1000000/0.65*3.6</f>
        <v>387692.30769230769</v>
      </c>
      <c r="F70" t="s">
        <v>19</v>
      </c>
      <c r="G70" t="s">
        <v>261</v>
      </c>
    </row>
    <row r="71" spans="1:7" x14ac:dyDescent="0.45">
      <c r="A71" t="s">
        <v>18</v>
      </c>
      <c r="B71" t="s">
        <v>265</v>
      </c>
      <c r="C71" t="s">
        <v>2</v>
      </c>
      <c r="D71">
        <v>2050</v>
      </c>
      <c r="E71" s="1">
        <f>0.07*1000000/0.65*3.6</f>
        <v>387692.30769230769</v>
      </c>
      <c r="F71" t="s">
        <v>19</v>
      </c>
      <c r="G71" t="s">
        <v>261</v>
      </c>
    </row>
    <row r="72" spans="1:7" x14ac:dyDescent="0.45">
      <c r="A72" t="s">
        <v>18</v>
      </c>
      <c r="B72" t="s">
        <v>292</v>
      </c>
      <c r="C72" t="s">
        <v>2</v>
      </c>
      <c r="D72">
        <v>2030</v>
      </c>
      <c r="E72" s="1">
        <f>0.24*1000000</f>
        <v>240000</v>
      </c>
      <c r="F72" t="s">
        <v>19</v>
      </c>
      <c r="G72" t="s">
        <v>240</v>
      </c>
    </row>
    <row r="73" spans="1:7" x14ac:dyDescent="0.45">
      <c r="A73" t="s">
        <v>18</v>
      </c>
      <c r="B73" t="s">
        <v>292</v>
      </c>
      <c r="C73" t="s">
        <v>2</v>
      </c>
      <c r="D73">
        <v>2040</v>
      </c>
      <c r="E73" s="1">
        <f>0.24*1000000</f>
        <v>240000</v>
      </c>
      <c r="F73" t="s">
        <v>19</v>
      </c>
      <c r="G73" t="s">
        <v>240</v>
      </c>
    </row>
    <row r="74" spans="1:7" x14ac:dyDescent="0.45">
      <c r="A74" t="s">
        <v>18</v>
      </c>
      <c r="B74" t="s">
        <v>292</v>
      </c>
      <c r="C74" t="s">
        <v>2</v>
      </c>
      <c r="D74">
        <v>2050</v>
      </c>
      <c r="E74" s="1">
        <f>0.24*1000000</f>
        <v>240000</v>
      </c>
      <c r="F74" t="s">
        <v>19</v>
      </c>
      <c r="G74" t="s">
        <v>240</v>
      </c>
    </row>
    <row r="75" spans="1:7" x14ac:dyDescent="0.45">
      <c r="A75" t="s">
        <v>18</v>
      </c>
      <c r="B75" t="s">
        <v>449</v>
      </c>
      <c r="C75" t="s">
        <v>2</v>
      </c>
      <c r="D75">
        <v>2030</v>
      </c>
      <c r="E75" s="1">
        <f>0.38/(1+0.02)^5*1000000</f>
        <v>344177.70773536805</v>
      </c>
      <c r="F75" t="s">
        <v>19</v>
      </c>
      <c r="G75" t="s">
        <v>448</v>
      </c>
    </row>
    <row r="76" spans="1:7" x14ac:dyDescent="0.45">
      <c r="A76" t="s">
        <v>18</v>
      </c>
      <c r="B76" t="s">
        <v>449</v>
      </c>
      <c r="C76" t="s">
        <v>2</v>
      </c>
      <c r="D76">
        <v>2040</v>
      </c>
      <c r="E76" s="1">
        <f>0.32/(1+0.02)^5*1000000</f>
        <v>289833.85914557311</v>
      </c>
      <c r="F76" t="s">
        <v>19</v>
      </c>
      <c r="G76" t="s">
        <v>448</v>
      </c>
    </row>
    <row r="77" spans="1:7" x14ac:dyDescent="0.45">
      <c r="A77" t="s">
        <v>18</v>
      </c>
      <c r="B77" t="s">
        <v>449</v>
      </c>
      <c r="C77" t="s">
        <v>2</v>
      </c>
      <c r="D77">
        <v>2050</v>
      </c>
      <c r="E77" s="1">
        <f>0.29/(1+0.02)^5*1000000</f>
        <v>262661.93485067558</v>
      </c>
      <c r="F77" t="s">
        <v>19</v>
      </c>
      <c r="G77" t="s">
        <v>448</v>
      </c>
    </row>
    <row r="78" spans="1:7" x14ac:dyDescent="0.45">
      <c r="A78" t="s">
        <v>63</v>
      </c>
      <c r="B78" t="s">
        <v>69</v>
      </c>
      <c r="C78" t="s">
        <v>2</v>
      </c>
      <c r="D78">
        <v>2030</v>
      </c>
      <c r="E78" s="1">
        <f>E79/0.9</f>
        <v>6519.7530864197524</v>
      </c>
      <c r="F78" t="s">
        <v>19</v>
      </c>
      <c r="G78" t="s">
        <v>93</v>
      </c>
    </row>
    <row r="79" spans="1:7" x14ac:dyDescent="0.45">
      <c r="A79" t="s">
        <v>63</v>
      </c>
      <c r="B79" t="s">
        <v>69</v>
      </c>
      <c r="C79" t="s">
        <v>2</v>
      </c>
      <c r="D79">
        <v>2040</v>
      </c>
      <c r="E79" s="1">
        <f>E80/0.9</f>
        <v>5867.7777777777774</v>
      </c>
      <c r="F79" t="s">
        <v>19</v>
      </c>
      <c r="G79" t="s">
        <v>93</v>
      </c>
    </row>
    <row r="80" spans="1:7" x14ac:dyDescent="0.45">
      <c r="A80" t="s">
        <v>63</v>
      </c>
      <c r="B80" t="s">
        <v>69</v>
      </c>
      <c r="C80" t="s">
        <v>2</v>
      </c>
      <c r="D80">
        <v>2050</v>
      </c>
      <c r="E80" s="1">
        <v>5281</v>
      </c>
      <c r="F80" t="s">
        <v>19</v>
      </c>
      <c r="G80" t="s">
        <v>93</v>
      </c>
    </row>
    <row r="81" spans="1:7" x14ac:dyDescent="0.45">
      <c r="A81" t="s">
        <v>63</v>
      </c>
      <c r="B81" t="s">
        <v>68</v>
      </c>
      <c r="C81" t="s">
        <v>2</v>
      </c>
      <c r="D81">
        <v>2030</v>
      </c>
      <c r="E81" s="1">
        <f>E82/0.9</f>
        <v>6519.7530864197524</v>
      </c>
      <c r="F81" t="s">
        <v>19</v>
      </c>
      <c r="G81" t="s">
        <v>93</v>
      </c>
    </row>
    <row r="82" spans="1:7" x14ac:dyDescent="0.45">
      <c r="A82" t="s">
        <v>63</v>
      </c>
      <c r="B82" t="s">
        <v>68</v>
      </c>
      <c r="C82" t="s">
        <v>2</v>
      </c>
      <c r="D82">
        <v>2040</v>
      </c>
      <c r="E82" s="1">
        <f>E83/0.9</f>
        <v>5867.7777777777774</v>
      </c>
      <c r="F82" t="s">
        <v>19</v>
      </c>
      <c r="G82" t="s">
        <v>93</v>
      </c>
    </row>
    <row r="83" spans="1:7" x14ac:dyDescent="0.45">
      <c r="A83" t="s">
        <v>63</v>
      </c>
      <c r="B83" t="s">
        <v>68</v>
      </c>
      <c r="C83" t="s">
        <v>2</v>
      </c>
      <c r="D83">
        <v>2050</v>
      </c>
      <c r="E83" s="1">
        <v>5281</v>
      </c>
      <c r="F83" t="s">
        <v>19</v>
      </c>
      <c r="G83" t="s">
        <v>93</v>
      </c>
    </row>
    <row r="84" spans="1:7" x14ac:dyDescent="0.45">
      <c r="A84" t="s">
        <v>63</v>
      </c>
      <c r="B84" t="s">
        <v>61</v>
      </c>
      <c r="C84" t="s">
        <v>2</v>
      </c>
      <c r="D84">
        <v>2030</v>
      </c>
      <c r="E84" s="1">
        <f>E85/0.9</f>
        <v>180833.33333333334</v>
      </c>
      <c r="F84" t="s">
        <v>19</v>
      </c>
      <c r="G84" t="s">
        <v>290</v>
      </c>
    </row>
    <row r="85" spans="1:7" x14ac:dyDescent="0.45">
      <c r="A85" t="s">
        <v>63</v>
      </c>
      <c r="B85" t="s">
        <v>61</v>
      </c>
      <c r="C85" t="s">
        <v>2</v>
      </c>
      <c r="D85">
        <v>2040</v>
      </c>
      <c r="E85" s="1">
        <f>E86/0.9</f>
        <v>162750</v>
      </c>
      <c r="F85" t="s">
        <v>19</v>
      </c>
      <c r="G85" t="s">
        <v>290</v>
      </c>
    </row>
    <row r="86" spans="1:7" x14ac:dyDescent="0.45">
      <c r="A86" t="s">
        <v>63</v>
      </c>
      <c r="B86" t="s">
        <v>61</v>
      </c>
      <c r="C86" t="s">
        <v>2</v>
      </c>
      <c r="D86">
        <v>2050</v>
      </c>
      <c r="E86" s="1">
        <f>58590/0.4</f>
        <v>146475</v>
      </c>
      <c r="F86" t="s">
        <v>19</v>
      </c>
      <c r="G86" t="s">
        <v>290</v>
      </c>
    </row>
    <row r="87" spans="1:7" x14ac:dyDescent="0.45">
      <c r="A87" t="s">
        <v>63</v>
      </c>
      <c r="B87" t="s">
        <v>62</v>
      </c>
      <c r="C87" t="s">
        <v>2</v>
      </c>
      <c r="D87">
        <v>2030</v>
      </c>
      <c r="E87" s="1">
        <f>E88/0.9</f>
        <v>180833.33333333334</v>
      </c>
      <c r="F87" t="s">
        <v>19</v>
      </c>
      <c r="G87" t="s">
        <v>290</v>
      </c>
    </row>
    <row r="88" spans="1:7" x14ac:dyDescent="0.45">
      <c r="A88" t="s">
        <v>63</v>
      </c>
      <c r="B88" t="s">
        <v>62</v>
      </c>
      <c r="C88" t="s">
        <v>2</v>
      </c>
      <c r="D88">
        <v>2040</v>
      </c>
      <c r="E88" s="1">
        <f>E89/0.9</f>
        <v>162750</v>
      </c>
      <c r="F88" t="s">
        <v>19</v>
      </c>
      <c r="G88" t="s">
        <v>290</v>
      </c>
    </row>
    <row r="89" spans="1:7" x14ac:dyDescent="0.45">
      <c r="A89" t="s">
        <v>63</v>
      </c>
      <c r="B89" t="s">
        <v>62</v>
      </c>
      <c r="C89" t="s">
        <v>2</v>
      </c>
      <c r="D89">
        <v>2050</v>
      </c>
      <c r="E89" s="1">
        <f>58590/0.4</f>
        <v>146475</v>
      </c>
      <c r="F89" t="s">
        <v>19</v>
      </c>
      <c r="G89" t="s">
        <v>290</v>
      </c>
    </row>
    <row r="90" spans="1:7" x14ac:dyDescent="0.45">
      <c r="A90" t="s">
        <v>63</v>
      </c>
      <c r="B90" t="s">
        <v>110</v>
      </c>
      <c r="C90" t="s">
        <v>2</v>
      </c>
      <c r="D90">
        <v>2030</v>
      </c>
      <c r="E90" s="1">
        <f>E91/0.9</f>
        <v>180833.33333333334</v>
      </c>
      <c r="F90" t="s">
        <v>19</v>
      </c>
      <c r="G90" t="s">
        <v>290</v>
      </c>
    </row>
    <row r="91" spans="1:7" x14ac:dyDescent="0.45">
      <c r="A91" t="s">
        <v>63</v>
      </c>
      <c r="B91" t="s">
        <v>110</v>
      </c>
      <c r="C91" t="s">
        <v>2</v>
      </c>
      <c r="D91">
        <v>2040</v>
      </c>
      <c r="E91" s="1">
        <f>E92/0.9</f>
        <v>162750</v>
      </c>
      <c r="F91" t="s">
        <v>19</v>
      </c>
      <c r="G91" t="s">
        <v>290</v>
      </c>
    </row>
    <row r="92" spans="1:7" x14ac:dyDescent="0.45">
      <c r="A92" t="s">
        <v>63</v>
      </c>
      <c r="B92" t="s">
        <v>110</v>
      </c>
      <c r="C92" t="s">
        <v>2</v>
      </c>
      <c r="D92">
        <v>2050</v>
      </c>
      <c r="E92" s="1">
        <f>58590/0.4</f>
        <v>146475</v>
      </c>
      <c r="F92" t="s">
        <v>19</v>
      </c>
      <c r="G92" t="s">
        <v>290</v>
      </c>
    </row>
    <row r="93" spans="1:7" x14ac:dyDescent="0.45">
      <c r="A93" t="s">
        <v>63</v>
      </c>
      <c r="B93" t="s">
        <v>111</v>
      </c>
      <c r="C93" t="s">
        <v>2</v>
      </c>
      <c r="D93">
        <v>2030</v>
      </c>
      <c r="E93" s="1">
        <f>E94/0.9</f>
        <v>180833.33333333334</v>
      </c>
      <c r="F93" t="s">
        <v>19</v>
      </c>
      <c r="G93" t="s">
        <v>290</v>
      </c>
    </row>
    <row r="94" spans="1:7" x14ac:dyDescent="0.45">
      <c r="A94" t="s">
        <v>63</v>
      </c>
      <c r="B94" t="s">
        <v>111</v>
      </c>
      <c r="C94" t="s">
        <v>2</v>
      </c>
      <c r="D94">
        <v>2040</v>
      </c>
      <c r="E94" s="1">
        <f>E95/0.9</f>
        <v>162750</v>
      </c>
      <c r="F94" t="s">
        <v>19</v>
      </c>
      <c r="G94" t="s">
        <v>290</v>
      </c>
    </row>
    <row r="95" spans="1:7" x14ac:dyDescent="0.45">
      <c r="A95" t="s">
        <v>63</v>
      </c>
      <c r="B95" t="s">
        <v>111</v>
      </c>
      <c r="C95" t="s">
        <v>2</v>
      </c>
      <c r="D95">
        <v>2050</v>
      </c>
      <c r="E95" s="1">
        <f>58590/0.4</f>
        <v>146475</v>
      </c>
      <c r="F95" t="s">
        <v>19</v>
      </c>
      <c r="G95" t="s">
        <v>290</v>
      </c>
    </row>
    <row r="96" spans="1:7" x14ac:dyDescent="0.45">
      <c r="A96" t="s">
        <v>63</v>
      </c>
      <c r="B96" t="s">
        <v>130</v>
      </c>
      <c r="C96" t="s">
        <v>2</v>
      </c>
      <c r="D96">
        <v>2030</v>
      </c>
      <c r="E96" s="1">
        <f>5320*3.6</f>
        <v>19152</v>
      </c>
      <c r="F96" t="s">
        <v>19</v>
      </c>
      <c r="G96" t="s">
        <v>24</v>
      </c>
    </row>
    <row r="97" spans="1:7" x14ac:dyDescent="0.45">
      <c r="A97" t="s">
        <v>63</v>
      </c>
      <c r="B97" t="s">
        <v>130</v>
      </c>
      <c r="C97" t="s">
        <v>2</v>
      </c>
      <c r="D97">
        <v>2040</v>
      </c>
      <c r="E97" s="1">
        <f>5320*3.6</f>
        <v>19152</v>
      </c>
      <c r="F97" t="s">
        <v>19</v>
      </c>
      <c r="G97" t="s">
        <v>24</v>
      </c>
    </row>
    <row r="98" spans="1:7" x14ac:dyDescent="0.45">
      <c r="A98" t="s">
        <v>63</v>
      </c>
      <c r="B98" t="s">
        <v>130</v>
      </c>
      <c r="C98" t="s">
        <v>2</v>
      </c>
      <c r="D98">
        <v>2050</v>
      </c>
      <c r="E98" s="1">
        <f>5320*3.6</f>
        <v>19152</v>
      </c>
      <c r="F98" t="s">
        <v>19</v>
      </c>
      <c r="G98" t="s">
        <v>24</v>
      </c>
    </row>
    <row r="99" spans="1:7" x14ac:dyDescent="0.45">
      <c r="A99" t="s">
        <v>63</v>
      </c>
      <c r="B99" t="s">
        <v>124</v>
      </c>
      <c r="C99" t="s">
        <v>2</v>
      </c>
      <c r="D99">
        <v>2030</v>
      </c>
      <c r="E99" s="1">
        <v>39000</v>
      </c>
      <c r="F99" t="s">
        <v>19</v>
      </c>
      <c r="G99" t="s">
        <v>83</v>
      </c>
    </row>
    <row r="100" spans="1:7" x14ac:dyDescent="0.45">
      <c r="A100" t="s">
        <v>63</v>
      </c>
      <c r="B100" t="s">
        <v>124</v>
      </c>
      <c r="C100" t="s">
        <v>2</v>
      </c>
      <c r="D100">
        <v>2040</v>
      </c>
      <c r="E100" s="1">
        <v>32000</v>
      </c>
      <c r="F100" t="s">
        <v>19</v>
      </c>
      <c r="G100" t="s">
        <v>83</v>
      </c>
    </row>
    <row r="101" spans="1:7" x14ac:dyDescent="0.45">
      <c r="A101" t="s">
        <v>63</v>
      </c>
      <c r="B101" t="s">
        <v>124</v>
      </c>
      <c r="C101" t="s">
        <v>2</v>
      </c>
      <c r="D101">
        <v>2050</v>
      </c>
      <c r="E101" s="1">
        <v>24000</v>
      </c>
      <c r="F101" t="s">
        <v>19</v>
      </c>
      <c r="G101" t="s">
        <v>83</v>
      </c>
    </row>
    <row r="102" spans="1:7" x14ac:dyDescent="0.45">
      <c r="A102" t="s">
        <v>63</v>
      </c>
      <c r="B102" t="s">
        <v>30</v>
      </c>
      <c r="C102" t="s">
        <v>2</v>
      </c>
      <c r="D102">
        <v>2030</v>
      </c>
      <c r="E102" s="1">
        <f>18000+6750</f>
        <v>24750</v>
      </c>
      <c r="F102" t="s">
        <v>19</v>
      </c>
      <c r="G102" t="s">
        <v>320</v>
      </c>
    </row>
    <row r="103" spans="1:7" x14ac:dyDescent="0.45">
      <c r="A103" t="s">
        <v>63</v>
      </c>
      <c r="B103" t="s">
        <v>30</v>
      </c>
      <c r="C103" t="s">
        <v>2</v>
      </c>
      <c r="D103">
        <v>2040</v>
      </c>
      <c r="E103" s="1">
        <v>31857.416879795401</v>
      </c>
      <c r="F103" t="s">
        <v>19</v>
      </c>
      <c r="G103" t="s">
        <v>320</v>
      </c>
    </row>
    <row r="104" spans="1:7" x14ac:dyDescent="0.45">
      <c r="A104" t="s">
        <v>63</v>
      </c>
      <c r="B104" t="s">
        <v>30</v>
      </c>
      <c r="C104" t="s">
        <v>2</v>
      </c>
      <c r="D104">
        <v>2050</v>
      </c>
      <c r="E104" s="1">
        <v>17391.304347826092</v>
      </c>
      <c r="F104" t="s">
        <v>19</v>
      </c>
      <c r="G104" t="s">
        <v>320</v>
      </c>
    </row>
    <row r="105" spans="1:7" x14ac:dyDescent="0.45">
      <c r="A105" t="s">
        <v>63</v>
      </c>
      <c r="B105" t="s">
        <v>31</v>
      </c>
      <c r="C105" t="s">
        <v>2</v>
      </c>
      <c r="D105">
        <v>2030</v>
      </c>
      <c r="E105" s="1">
        <v>121518.98734177214</v>
      </c>
      <c r="F105" t="s">
        <v>19</v>
      </c>
      <c r="G105" t="s">
        <v>320</v>
      </c>
    </row>
    <row r="106" spans="1:7" x14ac:dyDescent="0.45">
      <c r="A106" t="s">
        <v>63</v>
      </c>
      <c r="B106" t="s">
        <v>31</v>
      </c>
      <c r="C106" t="s">
        <v>2</v>
      </c>
      <c r="D106">
        <v>2040</v>
      </c>
      <c r="E106" s="1">
        <v>101012.65822784808</v>
      </c>
      <c r="F106" t="s">
        <v>19</v>
      </c>
      <c r="G106" t="s">
        <v>320</v>
      </c>
    </row>
    <row r="107" spans="1:7" x14ac:dyDescent="0.45">
      <c r="A107" t="s">
        <v>63</v>
      </c>
      <c r="B107" t="s">
        <v>31</v>
      </c>
      <c r="C107" t="s">
        <v>2</v>
      </c>
      <c r="D107">
        <v>2050</v>
      </c>
      <c r="E107" s="1">
        <v>80506.329113924046</v>
      </c>
      <c r="F107" t="s">
        <v>19</v>
      </c>
      <c r="G107" t="s">
        <v>320</v>
      </c>
    </row>
    <row r="108" spans="1:7" x14ac:dyDescent="0.45">
      <c r="A108" t="s">
        <v>63</v>
      </c>
      <c r="B108" t="s">
        <v>351</v>
      </c>
      <c r="C108" t="s">
        <v>2</v>
      </c>
      <c r="D108">
        <v>2030</v>
      </c>
      <c r="E108" s="1">
        <v>103075</v>
      </c>
      <c r="F108" t="s">
        <v>19</v>
      </c>
      <c r="G108" t="s">
        <v>343</v>
      </c>
    </row>
    <row r="109" spans="1:7" x14ac:dyDescent="0.45">
      <c r="A109" t="s">
        <v>63</v>
      </c>
      <c r="B109" t="s">
        <v>351</v>
      </c>
      <c r="C109" t="s">
        <v>2</v>
      </c>
      <c r="D109">
        <v>2040</v>
      </c>
      <c r="E109" s="1">
        <v>79877</v>
      </c>
      <c r="F109" t="s">
        <v>19</v>
      </c>
      <c r="G109" t="s">
        <v>343</v>
      </c>
    </row>
    <row r="110" spans="1:7" x14ac:dyDescent="0.45">
      <c r="A110" t="s">
        <v>63</v>
      </c>
      <c r="B110" t="s">
        <v>351</v>
      </c>
      <c r="C110" t="s">
        <v>2</v>
      </c>
      <c r="D110">
        <v>2050</v>
      </c>
      <c r="E110" s="1">
        <v>63323</v>
      </c>
      <c r="F110" t="s">
        <v>19</v>
      </c>
      <c r="G110" t="s">
        <v>343</v>
      </c>
    </row>
    <row r="111" spans="1:7" x14ac:dyDescent="0.45">
      <c r="A111" t="s">
        <v>63</v>
      </c>
      <c r="B111" t="s">
        <v>97</v>
      </c>
      <c r="C111" t="s">
        <v>2</v>
      </c>
      <c r="D111">
        <v>2030</v>
      </c>
      <c r="E111" s="1">
        <f>12.7*8736/0.42</f>
        <v>264160</v>
      </c>
      <c r="F111" t="s">
        <v>19</v>
      </c>
      <c r="G111" t="s">
        <v>239</v>
      </c>
    </row>
    <row r="112" spans="1:7" x14ac:dyDescent="0.45">
      <c r="A112" t="s">
        <v>63</v>
      </c>
      <c r="B112" t="s">
        <v>97</v>
      </c>
      <c r="C112" t="s">
        <v>2</v>
      </c>
      <c r="D112">
        <v>2040</v>
      </c>
      <c r="E112" s="1">
        <f>8.5*8736/0.438</f>
        <v>169534.24657534246</v>
      </c>
      <c r="F112" t="s">
        <v>19</v>
      </c>
      <c r="G112" t="s">
        <v>239</v>
      </c>
    </row>
    <row r="113" spans="1:7" x14ac:dyDescent="0.45">
      <c r="A113" t="s">
        <v>63</v>
      </c>
      <c r="B113" t="s">
        <v>97</v>
      </c>
      <c r="C113" t="s">
        <v>2</v>
      </c>
      <c r="D113">
        <v>2050</v>
      </c>
      <c r="E113" s="1">
        <f>7.4*8736/0.45</f>
        <v>143658.66666666666</v>
      </c>
      <c r="F113" t="s">
        <v>19</v>
      </c>
      <c r="G113" t="s">
        <v>239</v>
      </c>
    </row>
    <row r="114" spans="1:7" x14ac:dyDescent="0.45">
      <c r="A114" t="s">
        <v>63</v>
      </c>
      <c r="B114" t="s">
        <v>28</v>
      </c>
      <c r="C114" t="s">
        <v>2</v>
      </c>
      <c r="D114">
        <v>2030</v>
      </c>
      <c r="E114" s="1">
        <f>0.971817298347911*0.069*1000000</f>
        <v>67055.393586005855</v>
      </c>
      <c r="F114" t="s">
        <v>19</v>
      </c>
      <c r="G114" t="s">
        <v>243</v>
      </c>
    </row>
    <row r="115" spans="1:7" x14ac:dyDescent="0.45">
      <c r="A115" t="s">
        <v>63</v>
      </c>
      <c r="B115" t="s">
        <v>28</v>
      </c>
      <c r="C115" t="s">
        <v>2</v>
      </c>
      <c r="D115">
        <v>2040</v>
      </c>
      <c r="E115" s="1">
        <f>0.971817298347911*0.06*1000000</f>
        <v>58309.037900874653</v>
      </c>
      <c r="F115" t="s">
        <v>19</v>
      </c>
      <c r="G115" t="s">
        <v>243</v>
      </c>
    </row>
    <row r="116" spans="1:7" x14ac:dyDescent="0.45">
      <c r="A116" t="s">
        <v>63</v>
      </c>
      <c r="B116" t="s">
        <v>28</v>
      </c>
      <c r="C116" t="s">
        <v>2</v>
      </c>
      <c r="D116">
        <v>2050</v>
      </c>
      <c r="E116" s="1">
        <f>0.971817298347911*0.048*1000000</f>
        <v>46647.230320699731</v>
      </c>
      <c r="F116" t="s">
        <v>19</v>
      </c>
      <c r="G116" t="s">
        <v>243</v>
      </c>
    </row>
    <row r="117" spans="1:7" x14ac:dyDescent="0.45">
      <c r="A117" t="s">
        <v>63</v>
      </c>
      <c r="B117" t="s">
        <v>29</v>
      </c>
      <c r="C117" t="s">
        <v>2</v>
      </c>
      <c r="D117">
        <v>2030</v>
      </c>
      <c r="E117" s="1">
        <f>0.3*1000000</f>
        <v>300000</v>
      </c>
      <c r="F117" t="s">
        <v>19</v>
      </c>
      <c r="G117" t="s">
        <v>244</v>
      </c>
    </row>
    <row r="118" spans="1:7" x14ac:dyDescent="0.45">
      <c r="A118" t="s">
        <v>63</v>
      </c>
      <c r="B118" t="s">
        <v>29</v>
      </c>
      <c r="C118" t="s">
        <v>2</v>
      </c>
      <c r="D118">
        <v>2040</v>
      </c>
      <c r="E118" s="1">
        <f>0.25*1000000</f>
        <v>250000</v>
      </c>
      <c r="F118" t="s">
        <v>19</v>
      </c>
      <c r="G118" t="s">
        <v>244</v>
      </c>
    </row>
    <row r="119" spans="1:7" x14ac:dyDescent="0.45">
      <c r="A119" t="s">
        <v>63</v>
      </c>
      <c r="B119" t="s">
        <v>29</v>
      </c>
      <c r="C119" t="s">
        <v>2</v>
      </c>
      <c r="D119">
        <v>2050</v>
      </c>
      <c r="E119" s="1">
        <f>0.2*1000000</f>
        <v>200000</v>
      </c>
      <c r="F119" t="s">
        <v>19</v>
      </c>
      <c r="G119" t="s">
        <v>244</v>
      </c>
    </row>
    <row r="120" spans="1:7" x14ac:dyDescent="0.45">
      <c r="A120" t="s">
        <v>63</v>
      </c>
      <c r="B120" t="s">
        <v>318</v>
      </c>
      <c r="C120" t="s">
        <v>2</v>
      </c>
      <c r="D120">
        <v>2030</v>
      </c>
      <c r="E120" s="1">
        <f>4.45*1000*3.6</f>
        <v>16020</v>
      </c>
      <c r="F120" t="s">
        <v>178</v>
      </c>
      <c r="G120" t="s">
        <v>24</v>
      </c>
    </row>
    <row r="121" spans="1:7" x14ac:dyDescent="0.45">
      <c r="A121" t="s">
        <v>63</v>
      </c>
      <c r="B121" t="s">
        <v>318</v>
      </c>
      <c r="C121" t="s">
        <v>2</v>
      </c>
      <c r="D121">
        <v>2040</v>
      </c>
      <c r="E121" s="1">
        <f>4.45*1000*3.6</f>
        <v>16020</v>
      </c>
      <c r="F121" t="s">
        <v>178</v>
      </c>
      <c r="G121" t="s">
        <v>24</v>
      </c>
    </row>
    <row r="122" spans="1:7" x14ac:dyDescent="0.45">
      <c r="A122" t="s">
        <v>63</v>
      </c>
      <c r="B122" t="s">
        <v>318</v>
      </c>
      <c r="C122" t="s">
        <v>2</v>
      </c>
      <c r="D122">
        <v>2050</v>
      </c>
      <c r="E122" s="1">
        <f>4.45*1000*3.6</f>
        <v>16020</v>
      </c>
      <c r="F122" t="s">
        <v>178</v>
      </c>
      <c r="G122" t="s">
        <v>24</v>
      </c>
    </row>
    <row r="123" spans="1:7" x14ac:dyDescent="0.45">
      <c r="A123" t="s">
        <v>63</v>
      </c>
      <c r="B123" t="s">
        <v>32</v>
      </c>
      <c r="C123" t="s">
        <v>2</v>
      </c>
      <c r="D123">
        <v>2030</v>
      </c>
      <c r="E123" s="1">
        <v>0</v>
      </c>
      <c r="F123" t="s">
        <v>178</v>
      </c>
      <c r="G123" t="s">
        <v>24</v>
      </c>
    </row>
    <row r="124" spans="1:7" x14ac:dyDescent="0.45">
      <c r="A124" t="s">
        <v>63</v>
      </c>
      <c r="B124" t="s">
        <v>32</v>
      </c>
      <c r="C124" t="s">
        <v>2</v>
      </c>
      <c r="D124">
        <v>2040</v>
      </c>
      <c r="E124" s="1">
        <v>0</v>
      </c>
      <c r="F124" t="s">
        <v>178</v>
      </c>
      <c r="G124" t="s">
        <v>24</v>
      </c>
    </row>
    <row r="125" spans="1:7" x14ac:dyDescent="0.45">
      <c r="A125" t="s">
        <v>63</v>
      </c>
      <c r="B125" t="s">
        <v>32</v>
      </c>
      <c r="C125" t="s">
        <v>2</v>
      </c>
      <c r="D125">
        <v>2050</v>
      </c>
      <c r="E125" s="1">
        <v>0</v>
      </c>
      <c r="F125" t="s">
        <v>178</v>
      </c>
      <c r="G125" t="s">
        <v>24</v>
      </c>
    </row>
    <row r="126" spans="1:7" x14ac:dyDescent="0.45">
      <c r="A126" t="s">
        <v>63</v>
      </c>
      <c r="B126" t="s">
        <v>131</v>
      </c>
      <c r="C126" t="s">
        <v>2</v>
      </c>
      <c r="D126">
        <v>2030</v>
      </c>
      <c r="E126" s="1">
        <v>0</v>
      </c>
      <c r="F126" t="s">
        <v>178</v>
      </c>
      <c r="G126" t="s">
        <v>24</v>
      </c>
    </row>
    <row r="127" spans="1:7" x14ac:dyDescent="0.45">
      <c r="A127" t="s">
        <v>63</v>
      </c>
      <c r="B127" t="s">
        <v>131</v>
      </c>
      <c r="C127" t="s">
        <v>2</v>
      </c>
      <c r="D127">
        <v>2040</v>
      </c>
      <c r="E127" s="1">
        <v>0</v>
      </c>
      <c r="F127" t="s">
        <v>178</v>
      </c>
      <c r="G127" t="s">
        <v>24</v>
      </c>
    </row>
    <row r="128" spans="1:7" x14ac:dyDescent="0.45">
      <c r="A128" t="s">
        <v>63</v>
      </c>
      <c r="B128" t="s">
        <v>131</v>
      </c>
      <c r="C128" t="s">
        <v>2</v>
      </c>
      <c r="D128">
        <v>2050</v>
      </c>
      <c r="E128" s="1">
        <v>0</v>
      </c>
      <c r="F128" t="s">
        <v>178</v>
      </c>
      <c r="G128" t="s">
        <v>24</v>
      </c>
    </row>
    <row r="129" spans="1:7" x14ac:dyDescent="0.45">
      <c r="A129" t="s">
        <v>63</v>
      </c>
      <c r="B129" t="s">
        <v>319</v>
      </c>
      <c r="C129" t="s">
        <v>2</v>
      </c>
      <c r="D129">
        <v>2030</v>
      </c>
      <c r="E129">
        <v>30400</v>
      </c>
      <c r="F129" t="s">
        <v>153</v>
      </c>
      <c r="G129" t="s">
        <v>247</v>
      </c>
    </row>
    <row r="130" spans="1:7" x14ac:dyDescent="0.45">
      <c r="A130" t="s">
        <v>63</v>
      </c>
      <c r="B130" t="s">
        <v>319</v>
      </c>
      <c r="C130" t="s">
        <v>2</v>
      </c>
      <c r="D130">
        <v>2040</v>
      </c>
      <c r="E130">
        <v>30400</v>
      </c>
      <c r="F130" t="s">
        <v>153</v>
      </c>
      <c r="G130" t="s">
        <v>247</v>
      </c>
    </row>
    <row r="131" spans="1:7" x14ac:dyDescent="0.45">
      <c r="A131" t="s">
        <v>63</v>
      </c>
      <c r="B131" t="s">
        <v>319</v>
      </c>
      <c r="C131" t="s">
        <v>2</v>
      </c>
      <c r="D131">
        <v>2050</v>
      </c>
      <c r="E131">
        <v>30400</v>
      </c>
      <c r="F131" t="s">
        <v>153</v>
      </c>
      <c r="G131" t="s">
        <v>247</v>
      </c>
    </row>
    <row r="132" spans="1:7" x14ac:dyDescent="0.45">
      <c r="A132" t="s">
        <v>63</v>
      </c>
      <c r="B132" t="s">
        <v>156</v>
      </c>
      <c r="C132" t="s">
        <v>2</v>
      </c>
      <c r="D132">
        <v>2030</v>
      </c>
      <c r="E132" s="1">
        <v>63000</v>
      </c>
      <c r="F132" t="s">
        <v>19</v>
      </c>
      <c r="G132" t="s">
        <v>155</v>
      </c>
    </row>
    <row r="133" spans="1:7" x14ac:dyDescent="0.45">
      <c r="A133" t="s">
        <v>63</v>
      </c>
      <c r="B133" t="s">
        <v>156</v>
      </c>
      <c r="C133" t="s">
        <v>2</v>
      </c>
      <c r="D133">
        <v>2040</v>
      </c>
      <c r="E133" s="1">
        <v>63000</v>
      </c>
      <c r="F133" t="s">
        <v>19</v>
      </c>
      <c r="G133" t="s">
        <v>155</v>
      </c>
    </row>
    <row r="134" spans="1:7" x14ac:dyDescent="0.45">
      <c r="A134" t="s">
        <v>63</v>
      </c>
      <c r="B134" t="s">
        <v>156</v>
      </c>
      <c r="C134" t="s">
        <v>2</v>
      </c>
      <c r="D134">
        <v>2050</v>
      </c>
      <c r="E134" s="1">
        <v>63000</v>
      </c>
      <c r="F134" t="s">
        <v>19</v>
      </c>
      <c r="G134" t="s">
        <v>155</v>
      </c>
    </row>
    <row r="135" spans="1:7" x14ac:dyDescent="0.45">
      <c r="A135" t="s">
        <v>63</v>
      </c>
      <c r="B135" t="s">
        <v>157</v>
      </c>
      <c r="C135" t="s">
        <v>2</v>
      </c>
      <c r="D135">
        <v>2030</v>
      </c>
      <c r="E135" s="1">
        <v>63000</v>
      </c>
      <c r="F135" t="s">
        <v>19</v>
      </c>
      <c r="G135" t="s">
        <v>155</v>
      </c>
    </row>
    <row r="136" spans="1:7" x14ac:dyDescent="0.45">
      <c r="A136" t="s">
        <v>63</v>
      </c>
      <c r="B136" t="s">
        <v>157</v>
      </c>
      <c r="C136" t="s">
        <v>2</v>
      </c>
      <c r="D136">
        <v>2040</v>
      </c>
      <c r="E136" s="1">
        <v>63000</v>
      </c>
      <c r="F136" t="s">
        <v>19</v>
      </c>
      <c r="G136" t="s">
        <v>155</v>
      </c>
    </row>
    <row r="137" spans="1:7" x14ac:dyDescent="0.45">
      <c r="A137" t="s">
        <v>63</v>
      </c>
      <c r="B137" t="s">
        <v>157</v>
      </c>
      <c r="C137" t="s">
        <v>2</v>
      </c>
      <c r="D137">
        <v>2050</v>
      </c>
      <c r="E137" s="1">
        <v>63000</v>
      </c>
      <c r="F137" t="s">
        <v>19</v>
      </c>
      <c r="G137" t="s">
        <v>155</v>
      </c>
    </row>
    <row r="138" spans="1:7" x14ac:dyDescent="0.45">
      <c r="A138" t="s">
        <v>63</v>
      </c>
      <c r="B138" t="s">
        <v>265</v>
      </c>
      <c r="C138" t="s">
        <v>2</v>
      </c>
      <c r="D138">
        <v>2030</v>
      </c>
      <c r="E138" s="1">
        <f>2600/0.65*3.6</f>
        <v>14400</v>
      </c>
      <c r="F138" t="s">
        <v>19</v>
      </c>
      <c r="G138" t="s">
        <v>261</v>
      </c>
    </row>
    <row r="139" spans="1:7" x14ac:dyDescent="0.45">
      <c r="A139" t="s">
        <v>63</v>
      </c>
      <c r="B139" t="s">
        <v>265</v>
      </c>
      <c r="C139" t="s">
        <v>2</v>
      </c>
      <c r="D139">
        <v>2040</v>
      </c>
      <c r="E139" s="1">
        <f>2600/0.65*3.6</f>
        <v>14400</v>
      </c>
      <c r="F139" t="s">
        <v>19</v>
      </c>
      <c r="G139" t="s">
        <v>261</v>
      </c>
    </row>
    <row r="140" spans="1:7" x14ac:dyDescent="0.45">
      <c r="A140" t="s">
        <v>63</v>
      </c>
      <c r="B140" t="s">
        <v>265</v>
      </c>
      <c r="C140" t="s">
        <v>2</v>
      </c>
      <c r="D140">
        <v>2050</v>
      </c>
      <c r="E140" s="1">
        <f>2600/0.65*3.6</f>
        <v>14400</v>
      </c>
      <c r="F140" t="s">
        <v>19</v>
      </c>
      <c r="G140" t="s">
        <v>261</v>
      </c>
    </row>
    <row r="141" spans="1:7" x14ac:dyDescent="0.45">
      <c r="A141" t="s">
        <v>63</v>
      </c>
      <c r="B141" t="s">
        <v>292</v>
      </c>
      <c r="C141" t="s">
        <v>2</v>
      </c>
      <c r="D141">
        <v>2030</v>
      </c>
      <c r="E141" s="1">
        <f>11.91*1000</f>
        <v>11910</v>
      </c>
      <c r="F141" t="s">
        <v>19</v>
      </c>
      <c r="G141" t="s">
        <v>240</v>
      </c>
    </row>
    <row r="142" spans="1:7" x14ac:dyDescent="0.45">
      <c r="A142" t="s">
        <v>63</v>
      </c>
      <c r="B142" t="s">
        <v>292</v>
      </c>
      <c r="C142" t="s">
        <v>2</v>
      </c>
      <c r="D142">
        <v>2040</v>
      </c>
      <c r="E142" s="1">
        <f>11.91*1000</f>
        <v>11910</v>
      </c>
      <c r="F142" t="s">
        <v>19</v>
      </c>
      <c r="G142" t="s">
        <v>240</v>
      </c>
    </row>
    <row r="143" spans="1:7" x14ac:dyDescent="0.45">
      <c r="A143" t="s">
        <v>63</v>
      </c>
      <c r="B143" t="s">
        <v>292</v>
      </c>
      <c r="C143" t="s">
        <v>2</v>
      </c>
      <c r="D143">
        <v>2050</v>
      </c>
      <c r="E143" s="1">
        <f>11.91*1000</f>
        <v>11910</v>
      </c>
      <c r="F143" t="s">
        <v>19</v>
      </c>
      <c r="G143" t="s">
        <v>240</v>
      </c>
    </row>
    <row r="144" spans="1:7" x14ac:dyDescent="0.45">
      <c r="A144" t="s">
        <v>63</v>
      </c>
      <c r="B144" t="s">
        <v>449</v>
      </c>
      <c r="C144" t="s">
        <v>2</v>
      </c>
      <c r="D144">
        <v>2030</v>
      </c>
      <c r="E144" s="1">
        <f>9500/(1+0.02)^5</f>
        <v>8604.4426933842005</v>
      </c>
      <c r="F144" t="s">
        <v>19</v>
      </c>
      <c r="G144" t="s">
        <v>448</v>
      </c>
    </row>
    <row r="145" spans="1:7" x14ac:dyDescent="0.45">
      <c r="A145" t="s">
        <v>63</v>
      </c>
      <c r="B145" t="s">
        <v>449</v>
      </c>
      <c r="C145" t="s">
        <v>2</v>
      </c>
      <c r="D145">
        <v>2040</v>
      </c>
      <c r="E145" s="1">
        <f>8100/(1+0.02)^5</f>
        <v>7336.419559622319</v>
      </c>
      <c r="F145" t="s">
        <v>19</v>
      </c>
      <c r="G145" t="s">
        <v>448</v>
      </c>
    </row>
    <row r="146" spans="1:7" x14ac:dyDescent="0.45">
      <c r="A146" t="s">
        <v>63</v>
      </c>
      <c r="B146" t="s">
        <v>449</v>
      </c>
      <c r="C146" t="s">
        <v>2</v>
      </c>
      <c r="D146">
        <v>2050</v>
      </c>
      <c r="E146" s="1">
        <f>7400/(1+0.02)^5</f>
        <v>6702.4079927413777</v>
      </c>
      <c r="F146" t="s">
        <v>19</v>
      </c>
      <c r="G146" t="s">
        <v>448</v>
      </c>
    </row>
    <row r="147" spans="1:7" x14ac:dyDescent="0.45">
      <c r="A147" t="s">
        <v>64</v>
      </c>
      <c r="B147" t="s">
        <v>69</v>
      </c>
      <c r="C147" t="s">
        <v>2</v>
      </c>
      <c r="D147">
        <v>2030</v>
      </c>
      <c r="E147" s="1">
        <v>25</v>
      </c>
      <c r="F147" t="s">
        <v>65</v>
      </c>
      <c r="G147" t="s">
        <v>93</v>
      </c>
    </row>
    <row r="148" spans="1:7" x14ac:dyDescent="0.45">
      <c r="A148" t="s">
        <v>64</v>
      </c>
      <c r="B148" t="s">
        <v>69</v>
      </c>
      <c r="C148" t="s">
        <v>2</v>
      </c>
      <c r="D148">
        <v>2040</v>
      </c>
      <c r="E148" s="1">
        <v>25</v>
      </c>
      <c r="F148" t="s">
        <v>65</v>
      </c>
      <c r="G148" t="s">
        <v>93</v>
      </c>
    </row>
    <row r="149" spans="1:7" x14ac:dyDescent="0.45">
      <c r="A149" t="s">
        <v>64</v>
      </c>
      <c r="B149" t="s">
        <v>69</v>
      </c>
      <c r="C149" t="s">
        <v>2</v>
      </c>
      <c r="D149">
        <v>2050</v>
      </c>
      <c r="E149" s="1">
        <v>25</v>
      </c>
      <c r="F149" t="s">
        <v>65</v>
      </c>
      <c r="G149" t="s">
        <v>93</v>
      </c>
    </row>
    <row r="150" spans="1:7" x14ac:dyDescent="0.45">
      <c r="A150" t="s">
        <v>64</v>
      </c>
      <c r="B150" t="s">
        <v>68</v>
      </c>
      <c r="C150" t="s">
        <v>2</v>
      </c>
      <c r="D150">
        <v>2030</v>
      </c>
      <c r="E150" s="1">
        <v>25</v>
      </c>
      <c r="F150" t="s">
        <v>65</v>
      </c>
      <c r="G150" t="s">
        <v>93</v>
      </c>
    </row>
    <row r="151" spans="1:7" x14ac:dyDescent="0.45">
      <c r="A151" t="s">
        <v>64</v>
      </c>
      <c r="B151" t="s">
        <v>68</v>
      </c>
      <c r="C151" t="s">
        <v>2</v>
      </c>
      <c r="D151">
        <v>2040</v>
      </c>
      <c r="E151" s="1">
        <v>25</v>
      </c>
      <c r="F151" t="s">
        <v>65</v>
      </c>
      <c r="G151" t="s">
        <v>93</v>
      </c>
    </row>
    <row r="152" spans="1:7" x14ac:dyDescent="0.45">
      <c r="A152" t="s">
        <v>64</v>
      </c>
      <c r="B152" t="s">
        <v>68</v>
      </c>
      <c r="C152" t="s">
        <v>2</v>
      </c>
      <c r="D152">
        <v>2050</v>
      </c>
      <c r="E152" s="1">
        <v>25</v>
      </c>
      <c r="F152" t="s">
        <v>65</v>
      </c>
      <c r="G152" t="s">
        <v>93</v>
      </c>
    </row>
    <row r="153" spans="1:7" x14ac:dyDescent="0.45">
      <c r="A153" t="s">
        <v>64</v>
      </c>
      <c r="B153" t="s">
        <v>61</v>
      </c>
      <c r="C153" t="s">
        <v>2</v>
      </c>
      <c r="D153">
        <v>2030</v>
      </c>
      <c r="E153">
        <v>25</v>
      </c>
      <c r="F153" t="s">
        <v>65</v>
      </c>
      <c r="G153" t="s">
        <v>74</v>
      </c>
    </row>
    <row r="154" spans="1:7" x14ac:dyDescent="0.45">
      <c r="A154" t="s">
        <v>64</v>
      </c>
      <c r="B154" t="s">
        <v>61</v>
      </c>
      <c r="C154" t="s">
        <v>2</v>
      </c>
      <c r="D154">
        <v>2040</v>
      </c>
      <c r="E154">
        <v>25</v>
      </c>
      <c r="F154" t="s">
        <v>65</v>
      </c>
      <c r="G154" t="s">
        <v>74</v>
      </c>
    </row>
    <row r="155" spans="1:7" x14ac:dyDescent="0.45">
      <c r="A155" t="s">
        <v>64</v>
      </c>
      <c r="B155" t="s">
        <v>61</v>
      </c>
      <c r="C155" t="s">
        <v>2</v>
      </c>
      <c r="D155">
        <v>2050</v>
      </c>
      <c r="E155">
        <v>25</v>
      </c>
      <c r="F155" t="s">
        <v>65</v>
      </c>
      <c r="G155" t="s">
        <v>74</v>
      </c>
    </row>
    <row r="156" spans="1:7" x14ac:dyDescent="0.45">
      <c r="A156" t="s">
        <v>64</v>
      </c>
      <c r="B156" t="s">
        <v>62</v>
      </c>
      <c r="C156" t="s">
        <v>2</v>
      </c>
      <c r="D156">
        <v>2030</v>
      </c>
      <c r="E156">
        <v>25</v>
      </c>
      <c r="F156" t="s">
        <v>65</v>
      </c>
      <c r="G156" t="s">
        <v>74</v>
      </c>
    </row>
    <row r="157" spans="1:7" x14ac:dyDescent="0.45">
      <c r="A157" t="s">
        <v>64</v>
      </c>
      <c r="B157" t="s">
        <v>62</v>
      </c>
      <c r="C157" t="s">
        <v>2</v>
      </c>
      <c r="D157">
        <v>2040</v>
      </c>
      <c r="E157">
        <v>25</v>
      </c>
      <c r="F157" t="s">
        <v>65</v>
      </c>
      <c r="G157" t="s">
        <v>74</v>
      </c>
    </row>
    <row r="158" spans="1:7" x14ac:dyDescent="0.45">
      <c r="A158" t="s">
        <v>64</v>
      </c>
      <c r="B158" t="s">
        <v>62</v>
      </c>
      <c r="C158" t="s">
        <v>2</v>
      </c>
      <c r="D158">
        <v>2050</v>
      </c>
      <c r="E158">
        <v>25</v>
      </c>
      <c r="F158" t="s">
        <v>65</v>
      </c>
      <c r="G158" t="s">
        <v>74</v>
      </c>
    </row>
    <row r="159" spans="1:7" x14ac:dyDescent="0.45">
      <c r="A159" t="s">
        <v>64</v>
      </c>
      <c r="B159" t="s">
        <v>110</v>
      </c>
      <c r="C159" t="s">
        <v>2</v>
      </c>
      <c r="D159">
        <v>2030</v>
      </c>
      <c r="E159">
        <v>25</v>
      </c>
      <c r="F159" t="s">
        <v>65</v>
      </c>
      <c r="G159" t="s">
        <v>74</v>
      </c>
    </row>
    <row r="160" spans="1:7" x14ac:dyDescent="0.45">
      <c r="A160" t="s">
        <v>64</v>
      </c>
      <c r="B160" t="s">
        <v>110</v>
      </c>
      <c r="C160" t="s">
        <v>2</v>
      </c>
      <c r="D160">
        <v>2040</v>
      </c>
      <c r="E160">
        <v>25</v>
      </c>
      <c r="F160" t="s">
        <v>65</v>
      </c>
      <c r="G160" t="s">
        <v>74</v>
      </c>
    </row>
    <row r="161" spans="1:7" x14ac:dyDescent="0.45">
      <c r="A161" t="s">
        <v>64</v>
      </c>
      <c r="B161" t="s">
        <v>110</v>
      </c>
      <c r="C161" t="s">
        <v>2</v>
      </c>
      <c r="D161">
        <v>2050</v>
      </c>
      <c r="E161">
        <v>25</v>
      </c>
      <c r="F161" t="s">
        <v>65</v>
      </c>
      <c r="G161" t="s">
        <v>74</v>
      </c>
    </row>
    <row r="162" spans="1:7" x14ac:dyDescent="0.45">
      <c r="A162" t="s">
        <v>64</v>
      </c>
      <c r="B162" t="s">
        <v>111</v>
      </c>
      <c r="C162" t="s">
        <v>2</v>
      </c>
      <c r="D162">
        <v>2030</v>
      </c>
      <c r="E162">
        <v>25</v>
      </c>
      <c r="F162" t="s">
        <v>65</v>
      </c>
      <c r="G162" t="s">
        <v>74</v>
      </c>
    </row>
    <row r="163" spans="1:7" x14ac:dyDescent="0.45">
      <c r="A163" t="s">
        <v>64</v>
      </c>
      <c r="B163" t="s">
        <v>111</v>
      </c>
      <c r="C163" t="s">
        <v>2</v>
      </c>
      <c r="D163">
        <v>2040</v>
      </c>
      <c r="E163">
        <v>25</v>
      </c>
      <c r="F163" t="s">
        <v>65</v>
      </c>
      <c r="G163" t="s">
        <v>74</v>
      </c>
    </row>
    <row r="164" spans="1:7" x14ac:dyDescent="0.45">
      <c r="A164" t="s">
        <v>64</v>
      </c>
      <c r="B164" t="s">
        <v>111</v>
      </c>
      <c r="C164" t="s">
        <v>2</v>
      </c>
      <c r="D164">
        <v>2050</v>
      </c>
      <c r="E164">
        <v>25</v>
      </c>
      <c r="F164" t="s">
        <v>65</v>
      </c>
      <c r="G164" t="s">
        <v>74</v>
      </c>
    </row>
    <row r="165" spans="1:7" x14ac:dyDescent="0.45">
      <c r="A165" t="s">
        <v>64</v>
      </c>
      <c r="B165" t="s">
        <v>130</v>
      </c>
      <c r="C165" t="s">
        <v>2</v>
      </c>
      <c r="D165">
        <v>2030</v>
      </c>
      <c r="E165" s="1">
        <v>20</v>
      </c>
      <c r="F165" t="s">
        <v>65</v>
      </c>
      <c r="G165" t="s">
        <v>24</v>
      </c>
    </row>
    <row r="166" spans="1:7" x14ac:dyDescent="0.45">
      <c r="A166" t="s">
        <v>64</v>
      </c>
      <c r="B166" t="s">
        <v>130</v>
      </c>
      <c r="C166" t="s">
        <v>2</v>
      </c>
      <c r="D166">
        <v>2040</v>
      </c>
      <c r="E166" s="1">
        <v>20</v>
      </c>
      <c r="F166" t="s">
        <v>65</v>
      </c>
      <c r="G166" t="s">
        <v>24</v>
      </c>
    </row>
    <row r="167" spans="1:7" x14ac:dyDescent="0.45">
      <c r="A167" t="s">
        <v>64</v>
      </c>
      <c r="B167" t="s">
        <v>130</v>
      </c>
      <c r="C167" t="s">
        <v>2</v>
      </c>
      <c r="D167">
        <v>2050</v>
      </c>
      <c r="E167" s="1">
        <v>20</v>
      </c>
      <c r="F167" t="s">
        <v>65</v>
      </c>
      <c r="G167" t="s">
        <v>24</v>
      </c>
    </row>
    <row r="168" spans="1:7" x14ac:dyDescent="0.45">
      <c r="A168" t="s">
        <v>64</v>
      </c>
      <c r="B168" t="s">
        <v>124</v>
      </c>
      <c r="C168" t="s">
        <v>2</v>
      </c>
      <c r="D168">
        <v>2030</v>
      </c>
      <c r="E168" s="1">
        <v>30</v>
      </c>
      <c r="F168" t="s">
        <v>65</v>
      </c>
      <c r="G168" t="s">
        <v>83</v>
      </c>
    </row>
    <row r="169" spans="1:7" x14ac:dyDescent="0.45">
      <c r="A169" t="s">
        <v>64</v>
      </c>
      <c r="B169" t="s">
        <v>124</v>
      </c>
      <c r="C169" t="s">
        <v>2</v>
      </c>
      <c r="D169">
        <v>2040</v>
      </c>
      <c r="E169" s="1">
        <v>30</v>
      </c>
      <c r="F169" t="s">
        <v>65</v>
      </c>
      <c r="G169" t="s">
        <v>83</v>
      </c>
    </row>
    <row r="170" spans="1:7" x14ac:dyDescent="0.45">
      <c r="A170" t="s">
        <v>64</v>
      </c>
      <c r="B170" t="s">
        <v>124</v>
      </c>
      <c r="C170" t="s">
        <v>2</v>
      </c>
      <c r="D170">
        <v>2050</v>
      </c>
      <c r="E170" s="1">
        <v>30</v>
      </c>
      <c r="F170" t="s">
        <v>65</v>
      </c>
      <c r="G170" t="s">
        <v>83</v>
      </c>
    </row>
    <row r="171" spans="1:7" x14ac:dyDescent="0.45">
      <c r="A171" t="s">
        <v>64</v>
      </c>
      <c r="B171" t="s">
        <v>30</v>
      </c>
      <c r="C171" t="s">
        <v>2</v>
      </c>
      <c r="D171">
        <v>2030</v>
      </c>
      <c r="E171" s="1">
        <v>20</v>
      </c>
      <c r="F171" t="s">
        <v>65</v>
      </c>
      <c r="G171" t="s">
        <v>86</v>
      </c>
    </row>
    <row r="172" spans="1:7" x14ac:dyDescent="0.45">
      <c r="A172" t="s">
        <v>64</v>
      </c>
      <c r="B172" t="s">
        <v>30</v>
      </c>
      <c r="C172" t="s">
        <v>2</v>
      </c>
      <c r="D172">
        <v>2040</v>
      </c>
      <c r="E172" s="1">
        <v>35</v>
      </c>
      <c r="F172" t="s">
        <v>65</v>
      </c>
      <c r="G172" t="s">
        <v>86</v>
      </c>
    </row>
    <row r="173" spans="1:7" x14ac:dyDescent="0.45">
      <c r="A173" t="s">
        <v>64</v>
      </c>
      <c r="B173" t="s">
        <v>30</v>
      </c>
      <c r="C173" t="s">
        <v>2</v>
      </c>
      <c r="D173">
        <v>2050</v>
      </c>
      <c r="E173" s="1">
        <v>35</v>
      </c>
      <c r="F173" t="s">
        <v>65</v>
      </c>
      <c r="G173" t="s">
        <v>86</v>
      </c>
    </row>
    <row r="174" spans="1:7" x14ac:dyDescent="0.45">
      <c r="A174" t="s">
        <v>64</v>
      </c>
      <c r="B174" t="s">
        <v>31</v>
      </c>
      <c r="C174" t="s">
        <v>2</v>
      </c>
      <c r="D174">
        <v>2030</v>
      </c>
      <c r="E174" s="1">
        <v>20</v>
      </c>
      <c r="F174" t="s">
        <v>65</v>
      </c>
      <c r="G174" t="s">
        <v>88</v>
      </c>
    </row>
    <row r="175" spans="1:7" x14ac:dyDescent="0.45">
      <c r="A175" t="s">
        <v>64</v>
      </c>
      <c r="B175" t="s">
        <v>31</v>
      </c>
      <c r="C175" t="s">
        <v>2</v>
      </c>
      <c r="D175">
        <v>2040</v>
      </c>
      <c r="E175" s="1">
        <v>20</v>
      </c>
      <c r="F175" t="s">
        <v>65</v>
      </c>
      <c r="G175" t="s">
        <v>88</v>
      </c>
    </row>
    <row r="176" spans="1:7" x14ac:dyDescent="0.45">
      <c r="A176" t="s">
        <v>64</v>
      </c>
      <c r="B176" t="s">
        <v>31</v>
      </c>
      <c r="C176" t="s">
        <v>2</v>
      </c>
      <c r="D176">
        <v>2050</v>
      </c>
      <c r="E176" s="1">
        <v>20</v>
      </c>
      <c r="F176" t="s">
        <v>65</v>
      </c>
      <c r="G176" t="s">
        <v>88</v>
      </c>
    </row>
    <row r="177" spans="1:7" x14ac:dyDescent="0.45">
      <c r="A177" t="s">
        <v>64</v>
      </c>
      <c r="B177" t="s">
        <v>351</v>
      </c>
      <c r="C177" t="s">
        <v>2</v>
      </c>
      <c r="D177">
        <v>2030</v>
      </c>
      <c r="E177" s="1">
        <v>30</v>
      </c>
      <c r="F177" t="s">
        <v>65</v>
      </c>
      <c r="G177" t="s">
        <v>343</v>
      </c>
    </row>
    <row r="178" spans="1:7" x14ac:dyDescent="0.45">
      <c r="A178" t="s">
        <v>64</v>
      </c>
      <c r="B178" t="s">
        <v>351</v>
      </c>
      <c r="C178" t="s">
        <v>2</v>
      </c>
      <c r="D178">
        <v>2040</v>
      </c>
      <c r="E178" s="1">
        <v>30</v>
      </c>
      <c r="F178" t="s">
        <v>65</v>
      </c>
      <c r="G178" t="s">
        <v>343</v>
      </c>
    </row>
    <row r="179" spans="1:7" x14ac:dyDescent="0.45">
      <c r="A179" t="s">
        <v>64</v>
      </c>
      <c r="B179" t="s">
        <v>351</v>
      </c>
      <c r="C179" t="s">
        <v>2</v>
      </c>
      <c r="D179">
        <v>2050</v>
      </c>
      <c r="E179" s="1">
        <v>30</v>
      </c>
      <c r="F179" t="s">
        <v>65</v>
      </c>
      <c r="G179" t="s">
        <v>343</v>
      </c>
    </row>
    <row r="180" spans="1:7" x14ac:dyDescent="0.45">
      <c r="A180" t="s">
        <v>64</v>
      </c>
      <c r="B180" t="s">
        <v>97</v>
      </c>
      <c r="C180" t="s">
        <v>2</v>
      </c>
      <c r="D180">
        <v>2030</v>
      </c>
      <c r="E180" s="1">
        <v>25</v>
      </c>
      <c r="F180" t="s">
        <v>65</v>
      </c>
      <c r="G180" t="s">
        <v>239</v>
      </c>
    </row>
    <row r="181" spans="1:7" x14ac:dyDescent="0.45">
      <c r="A181" t="s">
        <v>64</v>
      </c>
      <c r="B181" t="s">
        <v>97</v>
      </c>
      <c r="C181" t="s">
        <v>2</v>
      </c>
      <c r="D181">
        <v>2040</v>
      </c>
      <c r="E181" s="1">
        <v>25</v>
      </c>
      <c r="F181" t="s">
        <v>65</v>
      </c>
      <c r="G181" t="s">
        <v>239</v>
      </c>
    </row>
    <row r="182" spans="1:7" x14ac:dyDescent="0.45">
      <c r="A182" t="s">
        <v>64</v>
      </c>
      <c r="B182" t="s">
        <v>97</v>
      </c>
      <c r="C182" t="s">
        <v>2</v>
      </c>
      <c r="D182">
        <v>2050</v>
      </c>
      <c r="E182" s="1">
        <v>25</v>
      </c>
      <c r="F182" t="s">
        <v>65</v>
      </c>
      <c r="G182" t="s">
        <v>239</v>
      </c>
    </row>
    <row r="183" spans="1:7" x14ac:dyDescent="0.45">
      <c r="A183" t="s">
        <v>64</v>
      </c>
      <c r="B183" t="s">
        <v>28</v>
      </c>
      <c r="C183" t="s">
        <v>2</v>
      </c>
      <c r="D183">
        <v>2030</v>
      </c>
      <c r="E183" s="1">
        <v>25</v>
      </c>
      <c r="F183" t="s">
        <v>65</v>
      </c>
      <c r="G183" t="s">
        <v>243</v>
      </c>
    </row>
    <row r="184" spans="1:7" x14ac:dyDescent="0.45">
      <c r="A184" t="s">
        <v>64</v>
      </c>
      <c r="B184" t="s">
        <v>28</v>
      </c>
      <c r="C184" t="s">
        <v>2</v>
      </c>
      <c r="D184">
        <v>2040</v>
      </c>
      <c r="E184" s="1">
        <v>25</v>
      </c>
      <c r="F184" t="s">
        <v>65</v>
      </c>
      <c r="G184" t="s">
        <v>243</v>
      </c>
    </row>
    <row r="185" spans="1:7" x14ac:dyDescent="0.45">
      <c r="A185" t="s">
        <v>64</v>
      </c>
      <c r="B185" t="s">
        <v>28</v>
      </c>
      <c r="C185" t="s">
        <v>2</v>
      </c>
      <c r="D185">
        <v>2050</v>
      </c>
      <c r="E185" s="1">
        <v>25</v>
      </c>
      <c r="F185" t="s">
        <v>65</v>
      </c>
      <c r="G185" t="s">
        <v>243</v>
      </c>
    </row>
    <row r="186" spans="1:7" x14ac:dyDescent="0.45">
      <c r="A186" t="s">
        <v>64</v>
      </c>
      <c r="B186" t="s">
        <v>29</v>
      </c>
      <c r="C186" t="s">
        <v>2</v>
      </c>
      <c r="D186">
        <v>2030</v>
      </c>
      <c r="E186" s="1">
        <v>20</v>
      </c>
      <c r="F186" t="s">
        <v>65</v>
      </c>
      <c r="G186" t="s">
        <v>245</v>
      </c>
    </row>
    <row r="187" spans="1:7" x14ac:dyDescent="0.45">
      <c r="A187" t="s">
        <v>64</v>
      </c>
      <c r="B187" t="s">
        <v>29</v>
      </c>
      <c r="C187" t="s">
        <v>2</v>
      </c>
      <c r="D187">
        <v>2040</v>
      </c>
      <c r="E187" s="1">
        <v>20</v>
      </c>
      <c r="F187" t="s">
        <v>65</v>
      </c>
      <c r="G187" t="s">
        <v>245</v>
      </c>
    </row>
    <row r="188" spans="1:7" x14ac:dyDescent="0.45">
      <c r="A188" t="s">
        <v>64</v>
      </c>
      <c r="B188" t="s">
        <v>29</v>
      </c>
      <c r="C188" t="s">
        <v>2</v>
      </c>
      <c r="D188">
        <v>2050</v>
      </c>
      <c r="E188" s="1">
        <v>20</v>
      </c>
      <c r="F188" t="s">
        <v>65</v>
      </c>
      <c r="G188" t="s">
        <v>245</v>
      </c>
    </row>
    <row r="189" spans="1:7" x14ac:dyDescent="0.45">
      <c r="A189" t="s">
        <v>64</v>
      </c>
      <c r="B189" t="s">
        <v>318</v>
      </c>
      <c r="C189" t="s">
        <v>2</v>
      </c>
      <c r="D189">
        <v>2030</v>
      </c>
      <c r="E189" s="1">
        <v>20</v>
      </c>
      <c r="F189" t="s">
        <v>65</v>
      </c>
      <c r="G189" t="s">
        <v>24</v>
      </c>
    </row>
    <row r="190" spans="1:7" x14ac:dyDescent="0.45">
      <c r="A190" t="s">
        <v>64</v>
      </c>
      <c r="B190" t="s">
        <v>318</v>
      </c>
      <c r="C190" t="s">
        <v>2</v>
      </c>
      <c r="D190">
        <v>2040</v>
      </c>
      <c r="E190" s="1">
        <v>20</v>
      </c>
      <c r="F190" t="s">
        <v>65</v>
      </c>
      <c r="G190" t="s">
        <v>24</v>
      </c>
    </row>
    <row r="191" spans="1:7" x14ac:dyDescent="0.45">
      <c r="A191" t="s">
        <v>64</v>
      </c>
      <c r="B191" t="s">
        <v>318</v>
      </c>
      <c r="C191" t="s">
        <v>2</v>
      </c>
      <c r="D191">
        <v>2050</v>
      </c>
      <c r="E191" s="1">
        <v>20</v>
      </c>
      <c r="F191" t="s">
        <v>65</v>
      </c>
      <c r="G191" t="s">
        <v>24</v>
      </c>
    </row>
    <row r="192" spans="1:7" x14ac:dyDescent="0.45">
      <c r="A192" t="s">
        <v>64</v>
      </c>
      <c r="B192" t="s">
        <v>319</v>
      </c>
      <c r="C192" t="s">
        <v>2</v>
      </c>
      <c r="D192">
        <v>2030</v>
      </c>
      <c r="E192">
        <v>20</v>
      </c>
      <c r="F192" t="s">
        <v>65</v>
      </c>
      <c r="G192" t="s">
        <v>248</v>
      </c>
    </row>
    <row r="193" spans="1:7" x14ac:dyDescent="0.45">
      <c r="A193" t="s">
        <v>64</v>
      </c>
      <c r="B193" t="s">
        <v>319</v>
      </c>
      <c r="C193" t="s">
        <v>2</v>
      </c>
      <c r="D193">
        <v>2040</v>
      </c>
      <c r="E193">
        <v>20</v>
      </c>
      <c r="F193" t="s">
        <v>65</v>
      </c>
      <c r="G193" t="s">
        <v>248</v>
      </c>
    </row>
    <row r="194" spans="1:7" x14ac:dyDescent="0.45">
      <c r="A194" t="s">
        <v>64</v>
      </c>
      <c r="B194" t="s">
        <v>319</v>
      </c>
      <c r="C194" t="s">
        <v>2</v>
      </c>
      <c r="D194">
        <v>2050</v>
      </c>
      <c r="E194">
        <v>20</v>
      </c>
      <c r="F194" t="s">
        <v>65</v>
      </c>
      <c r="G194" t="s">
        <v>248</v>
      </c>
    </row>
    <row r="195" spans="1:7" x14ac:dyDescent="0.45">
      <c r="A195" t="s">
        <v>64</v>
      </c>
      <c r="B195" t="s">
        <v>32</v>
      </c>
      <c r="C195" t="s">
        <v>2</v>
      </c>
      <c r="D195">
        <v>2030</v>
      </c>
      <c r="E195" s="1">
        <v>30</v>
      </c>
      <c r="F195" t="s">
        <v>65</v>
      </c>
      <c r="G195" t="s">
        <v>24</v>
      </c>
    </row>
    <row r="196" spans="1:7" x14ac:dyDescent="0.45">
      <c r="A196" t="s">
        <v>64</v>
      </c>
      <c r="B196" t="s">
        <v>32</v>
      </c>
      <c r="C196" t="s">
        <v>2</v>
      </c>
      <c r="D196">
        <v>2040</v>
      </c>
      <c r="E196" s="1">
        <v>30</v>
      </c>
      <c r="F196" t="s">
        <v>65</v>
      </c>
      <c r="G196" t="s">
        <v>24</v>
      </c>
    </row>
    <row r="197" spans="1:7" x14ac:dyDescent="0.45">
      <c r="A197" t="s">
        <v>64</v>
      </c>
      <c r="B197" t="s">
        <v>32</v>
      </c>
      <c r="C197" t="s">
        <v>2</v>
      </c>
      <c r="D197">
        <v>2050</v>
      </c>
      <c r="E197" s="1">
        <v>30</v>
      </c>
      <c r="F197" t="s">
        <v>65</v>
      </c>
      <c r="G197" t="s">
        <v>24</v>
      </c>
    </row>
    <row r="198" spans="1:7" x14ac:dyDescent="0.45">
      <c r="A198" t="s">
        <v>64</v>
      </c>
      <c r="B198" t="s">
        <v>131</v>
      </c>
      <c r="C198" t="s">
        <v>2</v>
      </c>
      <c r="D198">
        <v>2030</v>
      </c>
      <c r="E198" s="1">
        <v>30</v>
      </c>
      <c r="F198" t="s">
        <v>65</v>
      </c>
      <c r="G198" t="s">
        <v>24</v>
      </c>
    </row>
    <row r="199" spans="1:7" x14ac:dyDescent="0.45">
      <c r="A199" t="s">
        <v>64</v>
      </c>
      <c r="B199" t="s">
        <v>131</v>
      </c>
      <c r="C199" t="s">
        <v>2</v>
      </c>
      <c r="D199">
        <v>2040</v>
      </c>
      <c r="E199" s="1">
        <v>30</v>
      </c>
      <c r="F199" t="s">
        <v>65</v>
      </c>
      <c r="G199" t="s">
        <v>24</v>
      </c>
    </row>
    <row r="200" spans="1:7" x14ac:dyDescent="0.45">
      <c r="A200" t="s">
        <v>64</v>
      </c>
      <c r="B200" t="s">
        <v>131</v>
      </c>
      <c r="C200" t="s">
        <v>2</v>
      </c>
      <c r="D200">
        <v>2050</v>
      </c>
      <c r="E200" s="1">
        <v>30</v>
      </c>
      <c r="F200" t="s">
        <v>65</v>
      </c>
      <c r="G200" t="s">
        <v>24</v>
      </c>
    </row>
    <row r="201" spans="1:7" x14ac:dyDescent="0.45">
      <c r="A201" t="s">
        <v>64</v>
      </c>
      <c r="B201" t="s">
        <v>156</v>
      </c>
      <c r="C201" t="s">
        <v>2</v>
      </c>
      <c r="D201">
        <v>2030</v>
      </c>
      <c r="E201" s="1">
        <v>20</v>
      </c>
      <c r="F201" t="s">
        <v>65</v>
      </c>
      <c r="G201" t="s">
        <v>155</v>
      </c>
    </row>
    <row r="202" spans="1:7" x14ac:dyDescent="0.45">
      <c r="A202" t="s">
        <v>64</v>
      </c>
      <c r="B202" t="s">
        <v>156</v>
      </c>
      <c r="C202" t="s">
        <v>2</v>
      </c>
      <c r="D202">
        <v>2040</v>
      </c>
      <c r="E202" s="1">
        <v>20</v>
      </c>
      <c r="F202" t="s">
        <v>65</v>
      </c>
      <c r="G202" t="s">
        <v>155</v>
      </c>
    </row>
    <row r="203" spans="1:7" x14ac:dyDescent="0.45">
      <c r="A203" t="s">
        <v>64</v>
      </c>
      <c r="B203" t="s">
        <v>156</v>
      </c>
      <c r="C203" t="s">
        <v>2</v>
      </c>
      <c r="D203">
        <v>2050</v>
      </c>
      <c r="E203" s="1">
        <v>20</v>
      </c>
      <c r="F203" t="s">
        <v>65</v>
      </c>
      <c r="G203" t="s">
        <v>155</v>
      </c>
    </row>
    <row r="204" spans="1:7" x14ac:dyDescent="0.45">
      <c r="A204" t="s">
        <v>64</v>
      </c>
      <c r="B204" t="s">
        <v>157</v>
      </c>
      <c r="C204" t="s">
        <v>2</v>
      </c>
      <c r="D204">
        <v>2030</v>
      </c>
      <c r="E204" s="1">
        <v>20</v>
      </c>
      <c r="F204" t="s">
        <v>65</v>
      </c>
      <c r="G204" t="s">
        <v>155</v>
      </c>
    </row>
    <row r="205" spans="1:7" x14ac:dyDescent="0.45">
      <c r="A205" t="s">
        <v>64</v>
      </c>
      <c r="B205" t="s">
        <v>157</v>
      </c>
      <c r="C205" t="s">
        <v>2</v>
      </c>
      <c r="D205">
        <v>2040</v>
      </c>
      <c r="E205" s="1">
        <v>20</v>
      </c>
      <c r="F205" t="s">
        <v>65</v>
      </c>
      <c r="G205" t="s">
        <v>155</v>
      </c>
    </row>
    <row r="206" spans="1:7" x14ac:dyDescent="0.45">
      <c r="A206" t="s">
        <v>64</v>
      </c>
      <c r="B206" t="s">
        <v>157</v>
      </c>
      <c r="C206" t="s">
        <v>2</v>
      </c>
      <c r="D206">
        <v>2050</v>
      </c>
      <c r="E206" s="1">
        <v>20</v>
      </c>
      <c r="F206" t="s">
        <v>65</v>
      </c>
      <c r="G206" t="s">
        <v>155</v>
      </c>
    </row>
    <row r="207" spans="1:7" x14ac:dyDescent="0.45">
      <c r="A207" t="s">
        <v>64</v>
      </c>
      <c r="B207" t="s">
        <v>265</v>
      </c>
      <c r="C207" t="s">
        <v>2</v>
      </c>
      <c r="D207">
        <v>2030</v>
      </c>
      <c r="E207" s="1">
        <v>20</v>
      </c>
      <c r="F207" t="s">
        <v>65</v>
      </c>
      <c r="G207" t="s">
        <v>24</v>
      </c>
    </row>
    <row r="208" spans="1:7" x14ac:dyDescent="0.45">
      <c r="A208" t="s">
        <v>64</v>
      </c>
      <c r="B208" t="s">
        <v>265</v>
      </c>
      <c r="C208" t="s">
        <v>2</v>
      </c>
      <c r="D208">
        <v>2040</v>
      </c>
      <c r="E208" s="1">
        <v>20</v>
      </c>
      <c r="F208" t="s">
        <v>65</v>
      </c>
      <c r="G208" t="s">
        <v>24</v>
      </c>
    </row>
    <row r="209" spans="1:10" x14ac:dyDescent="0.45">
      <c r="A209" t="s">
        <v>64</v>
      </c>
      <c r="B209" t="s">
        <v>265</v>
      </c>
      <c r="C209" t="s">
        <v>2</v>
      </c>
      <c r="D209">
        <v>2050</v>
      </c>
      <c r="E209" s="1">
        <v>20</v>
      </c>
      <c r="F209" t="s">
        <v>65</v>
      </c>
      <c r="G209" t="s">
        <v>24</v>
      </c>
    </row>
    <row r="210" spans="1:10" x14ac:dyDescent="0.45">
      <c r="A210" t="s">
        <v>64</v>
      </c>
      <c r="B210" t="s">
        <v>292</v>
      </c>
      <c r="C210" t="s">
        <v>2</v>
      </c>
      <c r="D210">
        <v>2030</v>
      </c>
      <c r="E210" s="1">
        <v>25</v>
      </c>
      <c r="F210" t="s">
        <v>65</v>
      </c>
      <c r="G210" t="s">
        <v>294</v>
      </c>
    </row>
    <row r="211" spans="1:10" x14ac:dyDescent="0.45">
      <c r="A211" t="s">
        <v>64</v>
      </c>
      <c r="B211" t="s">
        <v>292</v>
      </c>
      <c r="C211" t="s">
        <v>2</v>
      </c>
      <c r="D211">
        <v>2040</v>
      </c>
      <c r="E211" s="1">
        <v>25</v>
      </c>
      <c r="F211" t="s">
        <v>65</v>
      </c>
      <c r="G211" t="s">
        <v>294</v>
      </c>
    </row>
    <row r="212" spans="1:10" x14ac:dyDescent="0.45">
      <c r="A212" t="s">
        <v>64</v>
      </c>
      <c r="B212" t="s">
        <v>292</v>
      </c>
      <c r="C212" t="s">
        <v>2</v>
      </c>
      <c r="D212">
        <v>2050</v>
      </c>
      <c r="E212" s="1">
        <v>25</v>
      </c>
      <c r="F212" t="s">
        <v>65</v>
      </c>
      <c r="G212" t="s">
        <v>294</v>
      </c>
    </row>
    <row r="213" spans="1:10" x14ac:dyDescent="0.45">
      <c r="A213" t="s">
        <v>64</v>
      </c>
      <c r="B213" t="s">
        <v>449</v>
      </c>
      <c r="C213" t="s">
        <v>2</v>
      </c>
      <c r="D213">
        <v>2030</v>
      </c>
      <c r="E213" s="1">
        <v>40</v>
      </c>
      <c r="F213" t="s">
        <v>65</v>
      </c>
      <c r="G213" t="s">
        <v>448</v>
      </c>
    </row>
    <row r="214" spans="1:10" x14ac:dyDescent="0.45">
      <c r="A214" t="s">
        <v>64</v>
      </c>
      <c r="B214" t="s">
        <v>449</v>
      </c>
      <c r="C214" t="s">
        <v>2</v>
      </c>
      <c r="D214">
        <v>2040</v>
      </c>
      <c r="E214" s="1">
        <v>40</v>
      </c>
      <c r="F214" t="s">
        <v>65</v>
      </c>
      <c r="G214" t="s">
        <v>448</v>
      </c>
    </row>
    <row r="215" spans="1:10" x14ac:dyDescent="0.45">
      <c r="A215" t="s">
        <v>64</v>
      </c>
      <c r="B215" t="s">
        <v>449</v>
      </c>
      <c r="C215" t="s">
        <v>2</v>
      </c>
      <c r="D215">
        <v>2050</v>
      </c>
      <c r="E215" s="1">
        <v>40</v>
      </c>
      <c r="F215" t="s">
        <v>65</v>
      </c>
      <c r="G215" t="s">
        <v>448</v>
      </c>
    </row>
    <row r="216" spans="1:10" x14ac:dyDescent="0.45">
      <c r="A216" t="s">
        <v>70</v>
      </c>
      <c r="B216" t="s">
        <v>323</v>
      </c>
      <c r="C216" t="s">
        <v>2</v>
      </c>
      <c r="D216">
        <v>2030</v>
      </c>
      <c r="E216" s="5">
        <f>0.034/0.232</f>
        <v>0.14655172413793105</v>
      </c>
      <c r="F216" t="s">
        <v>72</v>
      </c>
      <c r="G216" t="s">
        <v>93</v>
      </c>
      <c r="H216" s="5"/>
    </row>
    <row r="217" spans="1:10" x14ac:dyDescent="0.45">
      <c r="A217" t="s">
        <v>70</v>
      </c>
      <c r="B217" t="s">
        <v>323</v>
      </c>
      <c r="C217" t="s">
        <v>2</v>
      </c>
      <c r="D217">
        <v>2040</v>
      </c>
      <c r="E217" s="5">
        <f>0.034/0.232</f>
        <v>0.14655172413793105</v>
      </c>
      <c r="F217" t="s">
        <v>72</v>
      </c>
      <c r="G217" t="s">
        <v>93</v>
      </c>
      <c r="H217" s="5"/>
    </row>
    <row r="218" spans="1:10" x14ac:dyDescent="0.45">
      <c r="A218" t="s">
        <v>70</v>
      </c>
      <c r="B218" t="s">
        <v>323</v>
      </c>
      <c r="C218" t="s">
        <v>2</v>
      </c>
      <c r="D218">
        <v>2050</v>
      </c>
      <c r="E218" s="5">
        <f>0.034/0.232</f>
        <v>0.14655172413793105</v>
      </c>
      <c r="F218" t="s">
        <v>72</v>
      </c>
      <c r="G218" t="s">
        <v>93</v>
      </c>
      <c r="H218" s="5"/>
    </row>
    <row r="219" spans="1:10" x14ac:dyDescent="0.45">
      <c r="A219" t="s">
        <v>70</v>
      </c>
      <c r="B219" t="s">
        <v>297</v>
      </c>
      <c r="C219" t="s">
        <v>2</v>
      </c>
      <c r="D219">
        <v>2030</v>
      </c>
      <c r="E219" s="5">
        <v>0.23200000000000001</v>
      </c>
      <c r="F219" t="s">
        <v>72</v>
      </c>
      <c r="G219" t="s">
        <v>93</v>
      </c>
    </row>
    <row r="220" spans="1:10" x14ac:dyDescent="0.45">
      <c r="A220" t="s">
        <v>70</v>
      </c>
      <c r="B220" t="s">
        <v>297</v>
      </c>
      <c r="C220" t="s">
        <v>2</v>
      </c>
      <c r="D220">
        <v>2040</v>
      </c>
      <c r="E220" s="5">
        <v>0.23200000000000001</v>
      </c>
      <c r="F220" t="s">
        <v>72</v>
      </c>
      <c r="G220" t="s">
        <v>93</v>
      </c>
    </row>
    <row r="221" spans="1:10" x14ac:dyDescent="0.45">
      <c r="A221" t="s">
        <v>70</v>
      </c>
      <c r="B221" t="s">
        <v>297</v>
      </c>
      <c r="C221" t="s">
        <v>2</v>
      </c>
      <c r="D221">
        <v>2050</v>
      </c>
      <c r="E221" s="5">
        <v>0.23200000000000001</v>
      </c>
      <c r="F221" t="s">
        <v>72</v>
      </c>
      <c r="G221" t="s">
        <v>93</v>
      </c>
    </row>
    <row r="222" spans="1:10" x14ac:dyDescent="0.45">
      <c r="A222" t="s">
        <v>70</v>
      </c>
      <c r="B222" t="s">
        <v>120</v>
      </c>
      <c r="C222" t="s">
        <v>2</v>
      </c>
      <c r="D222">
        <v>2030</v>
      </c>
      <c r="E222" s="5">
        <f>0.554/0.34</f>
        <v>1.6294117647058823</v>
      </c>
      <c r="F222" t="s">
        <v>72</v>
      </c>
      <c r="G222" t="s">
        <v>93</v>
      </c>
      <c r="J222" s="5"/>
    </row>
    <row r="223" spans="1:10" x14ac:dyDescent="0.45">
      <c r="A223" t="s">
        <v>70</v>
      </c>
      <c r="B223" t="s">
        <v>120</v>
      </c>
      <c r="C223" t="s">
        <v>2</v>
      </c>
      <c r="D223">
        <v>2040</v>
      </c>
      <c r="E223" s="5">
        <f>0.554/0.34</f>
        <v>1.6294117647058823</v>
      </c>
      <c r="F223" t="s">
        <v>72</v>
      </c>
      <c r="G223" t="s">
        <v>93</v>
      </c>
      <c r="J223" s="5"/>
    </row>
    <row r="224" spans="1:10" x14ac:dyDescent="0.45">
      <c r="A224" t="s">
        <v>70</v>
      </c>
      <c r="B224" t="s">
        <v>120</v>
      </c>
      <c r="C224" t="s">
        <v>2</v>
      </c>
      <c r="D224">
        <v>2050</v>
      </c>
      <c r="E224" s="5">
        <f>0.554/0.34</f>
        <v>1.6294117647058823</v>
      </c>
      <c r="F224" t="s">
        <v>72</v>
      </c>
      <c r="G224" t="s">
        <v>93</v>
      </c>
      <c r="J224" s="5"/>
    </row>
    <row r="225" spans="1:10" x14ac:dyDescent="0.45">
      <c r="A225" t="s">
        <v>70</v>
      </c>
      <c r="B225" t="s">
        <v>324</v>
      </c>
      <c r="C225" t="s">
        <v>2</v>
      </c>
      <c r="D225">
        <v>2030</v>
      </c>
      <c r="E225" s="5">
        <f>0.554/0.232</f>
        <v>2.3879310344827589</v>
      </c>
      <c r="F225" t="s">
        <v>72</v>
      </c>
      <c r="G225" t="s">
        <v>93</v>
      </c>
      <c r="J225" s="5"/>
    </row>
    <row r="226" spans="1:10" x14ac:dyDescent="0.45">
      <c r="A226" t="s">
        <v>70</v>
      </c>
      <c r="B226" t="s">
        <v>324</v>
      </c>
      <c r="C226" t="s">
        <v>2</v>
      </c>
      <c r="D226">
        <v>2040</v>
      </c>
      <c r="E226" s="5">
        <f t="shared" ref="E226:E227" si="2">0.554/0.232</f>
        <v>2.3879310344827589</v>
      </c>
      <c r="F226" t="s">
        <v>72</v>
      </c>
      <c r="G226" t="s">
        <v>93</v>
      </c>
      <c r="J226" s="5"/>
    </row>
    <row r="227" spans="1:10" x14ac:dyDescent="0.45">
      <c r="A227" t="s">
        <v>70</v>
      </c>
      <c r="B227" t="s">
        <v>324</v>
      </c>
      <c r="C227" t="s">
        <v>2</v>
      </c>
      <c r="D227">
        <v>2050</v>
      </c>
      <c r="E227" s="5">
        <f t="shared" si="2"/>
        <v>2.3879310344827589</v>
      </c>
      <c r="F227" t="s">
        <v>72</v>
      </c>
      <c r="G227" t="s">
        <v>93</v>
      </c>
      <c r="J227" s="5"/>
    </row>
    <row r="228" spans="1:10" x14ac:dyDescent="0.45">
      <c r="A228" t="s">
        <v>70</v>
      </c>
      <c r="B228" t="s">
        <v>325</v>
      </c>
      <c r="C228" t="s">
        <v>2</v>
      </c>
      <c r="D228">
        <v>2030</v>
      </c>
      <c r="E228" s="5">
        <f>0.25/0.232</f>
        <v>1.0775862068965516</v>
      </c>
      <c r="F228" t="s">
        <v>72</v>
      </c>
      <c r="G228" t="s">
        <v>93</v>
      </c>
    </row>
    <row r="229" spans="1:10" x14ac:dyDescent="0.45">
      <c r="A229" t="s">
        <v>70</v>
      </c>
      <c r="B229" t="s">
        <v>325</v>
      </c>
      <c r="C229" t="s">
        <v>2</v>
      </c>
      <c r="D229">
        <v>2040</v>
      </c>
      <c r="E229" s="5">
        <f>0.25/0.232</f>
        <v>1.0775862068965516</v>
      </c>
      <c r="F229" t="s">
        <v>72</v>
      </c>
      <c r="G229" t="s">
        <v>93</v>
      </c>
    </row>
    <row r="230" spans="1:10" x14ac:dyDescent="0.45">
      <c r="A230" t="s">
        <v>70</v>
      </c>
      <c r="B230" t="s">
        <v>325</v>
      </c>
      <c r="C230" t="s">
        <v>2</v>
      </c>
      <c r="D230">
        <v>2050</v>
      </c>
      <c r="E230" s="5">
        <f>0.25/0.232</f>
        <v>1.0775862068965516</v>
      </c>
      <c r="F230" t="s">
        <v>72</v>
      </c>
      <c r="G230" t="s">
        <v>93</v>
      </c>
    </row>
    <row r="231" spans="1:10" x14ac:dyDescent="0.45">
      <c r="A231" t="s">
        <v>70</v>
      </c>
      <c r="B231" t="s">
        <v>326</v>
      </c>
      <c r="C231" t="s">
        <v>2</v>
      </c>
      <c r="D231">
        <v>2030</v>
      </c>
      <c r="E231" s="5">
        <f>0.034/0.232</f>
        <v>0.14655172413793105</v>
      </c>
      <c r="F231" t="s">
        <v>72</v>
      </c>
      <c r="G231" t="s">
        <v>93</v>
      </c>
    </row>
    <row r="232" spans="1:10" x14ac:dyDescent="0.45">
      <c r="A232" t="s">
        <v>70</v>
      </c>
      <c r="B232" t="s">
        <v>326</v>
      </c>
      <c r="C232" t="s">
        <v>2</v>
      </c>
      <c r="D232">
        <v>2040</v>
      </c>
      <c r="E232" s="5">
        <f>0.034/0.232</f>
        <v>0.14655172413793105</v>
      </c>
      <c r="F232" t="s">
        <v>72</v>
      </c>
      <c r="G232" t="s">
        <v>93</v>
      </c>
    </row>
    <row r="233" spans="1:10" x14ac:dyDescent="0.45">
      <c r="A233" t="s">
        <v>70</v>
      </c>
      <c r="B233" t="s">
        <v>326</v>
      </c>
      <c r="C233" t="s">
        <v>2</v>
      </c>
      <c r="D233">
        <v>2050</v>
      </c>
      <c r="E233" s="5">
        <f>0.034/0.232</f>
        <v>0.14655172413793105</v>
      </c>
      <c r="F233" t="s">
        <v>72</v>
      </c>
      <c r="G233" t="s">
        <v>93</v>
      </c>
    </row>
    <row r="234" spans="1:10" x14ac:dyDescent="0.45">
      <c r="A234" t="s">
        <v>70</v>
      </c>
      <c r="B234" t="s">
        <v>337</v>
      </c>
      <c r="C234" t="s">
        <v>2</v>
      </c>
      <c r="D234">
        <v>2030</v>
      </c>
      <c r="E234" s="5">
        <v>0.23200000000000001</v>
      </c>
      <c r="F234" t="s">
        <v>72</v>
      </c>
      <c r="G234" t="s">
        <v>93</v>
      </c>
    </row>
    <row r="235" spans="1:10" x14ac:dyDescent="0.45">
      <c r="A235" t="s">
        <v>70</v>
      </c>
      <c r="B235" t="s">
        <v>337</v>
      </c>
      <c r="C235" t="s">
        <v>2</v>
      </c>
      <c r="D235">
        <v>2040</v>
      </c>
      <c r="E235" s="5">
        <v>0.23200000000000001</v>
      </c>
      <c r="F235" t="s">
        <v>72</v>
      </c>
      <c r="G235" t="s">
        <v>93</v>
      </c>
    </row>
    <row r="236" spans="1:10" x14ac:dyDescent="0.45">
      <c r="A236" t="s">
        <v>70</v>
      </c>
      <c r="B236" t="s">
        <v>337</v>
      </c>
      <c r="C236" t="s">
        <v>2</v>
      </c>
      <c r="D236">
        <v>2050</v>
      </c>
      <c r="E236" s="5">
        <v>0.23200000000000001</v>
      </c>
      <c r="F236" t="s">
        <v>72</v>
      </c>
      <c r="G236" t="s">
        <v>93</v>
      </c>
    </row>
    <row r="237" spans="1:10" x14ac:dyDescent="0.45">
      <c r="A237" t="s">
        <v>70</v>
      </c>
      <c r="B237" t="s">
        <v>121</v>
      </c>
      <c r="C237" t="s">
        <v>2</v>
      </c>
      <c r="D237">
        <v>2030</v>
      </c>
      <c r="E237" s="5">
        <f>0.554/0.34</f>
        <v>1.6294117647058823</v>
      </c>
      <c r="F237" t="s">
        <v>72</v>
      </c>
      <c r="G237" t="s">
        <v>93</v>
      </c>
    </row>
    <row r="238" spans="1:10" x14ac:dyDescent="0.45">
      <c r="A238" t="s">
        <v>70</v>
      </c>
      <c r="B238" t="s">
        <v>121</v>
      </c>
      <c r="C238" t="s">
        <v>2</v>
      </c>
      <c r="D238">
        <v>2040</v>
      </c>
      <c r="E238" s="5">
        <f>0.554/0.34</f>
        <v>1.6294117647058823</v>
      </c>
      <c r="F238" t="s">
        <v>72</v>
      </c>
      <c r="G238" t="s">
        <v>93</v>
      </c>
    </row>
    <row r="239" spans="1:10" x14ac:dyDescent="0.45">
      <c r="A239" t="s">
        <v>70</v>
      </c>
      <c r="B239" t="s">
        <v>121</v>
      </c>
      <c r="C239" t="s">
        <v>2</v>
      </c>
      <c r="D239">
        <v>2050</v>
      </c>
      <c r="E239" s="5">
        <f>0.554/0.34</f>
        <v>1.6294117647058823</v>
      </c>
      <c r="F239" t="s">
        <v>72</v>
      </c>
      <c r="G239" t="s">
        <v>93</v>
      </c>
    </row>
    <row r="240" spans="1:10" x14ac:dyDescent="0.45">
      <c r="A240" t="s">
        <v>70</v>
      </c>
      <c r="B240" t="s">
        <v>327</v>
      </c>
      <c r="C240" t="s">
        <v>2</v>
      </c>
      <c r="D240">
        <v>2030</v>
      </c>
      <c r="E240" s="5">
        <f>0.554/0.232</f>
        <v>2.3879310344827589</v>
      </c>
      <c r="F240" t="s">
        <v>72</v>
      </c>
      <c r="G240" t="s">
        <v>93</v>
      </c>
    </row>
    <row r="241" spans="1:10" x14ac:dyDescent="0.45">
      <c r="A241" t="s">
        <v>70</v>
      </c>
      <c r="B241" t="s">
        <v>327</v>
      </c>
      <c r="C241" t="s">
        <v>2</v>
      </c>
      <c r="D241">
        <v>2040</v>
      </c>
      <c r="E241" s="5">
        <f t="shared" ref="E241:E242" si="3">0.554/0.232</f>
        <v>2.3879310344827589</v>
      </c>
      <c r="F241" t="s">
        <v>72</v>
      </c>
      <c r="G241" t="s">
        <v>93</v>
      </c>
    </row>
    <row r="242" spans="1:10" x14ac:dyDescent="0.45">
      <c r="A242" t="s">
        <v>70</v>
      </c>
      <c r="B242" t="s">
        <v>327</v>
      </c>
      <c r="C242" t="s">
        <v>2</v>
      </c>
      <c r="D242">
        <v>2050</v>
      </c>
      <c r="E242" s="5">
        <f t="shared" si="3"/>
        <v>2.3879310344827589</v>
      </c>
      <c r="F242" t="s">
        <v>72</v>
      </c>
      <c r="G242" t="s">
        <v>93</v>
      </c>
    </row>
    <row r="243" spans="1:10" x14ac:dyDescent="0.45">
      <c r="A243" t="s">
        <v>70</v>
      </c>
      <c r="B243" t="s">
        <v>328</v>
      </c>
      <c r="C243" t="s">
        <v>2</v>
      </c>
      <c r="D243">
        <v>2030</v>
      </c>
      <c r="E243" s="5">
        <f>0.25/0.232</f>
        <v>1.0775862068965516</v>
      </c>
      <c r="F243" t="s">
        <v>72</v>
      </c>
      <c r="G243" t="s">
        <v>93</v>
      </c>
    </row>
    <row r="244" spans="1:10" x14ac:dyDescent="0.45">
      <c r="A244" t="s">
        <v>70</v>
      </c>
      <c r="B244" t="s">
        <v>328</v>
      </c>
      <c r="C244" t="s">
        <v>2</v>
      </c>
      <c r="D244">
        <v>2040</v>
      </c>
      <c r="E244" s="5">
        <f>0.25/0.232</f>
        <v>1.0775862068965516</v>
      </c>
      <c r="F244" t="s">
        <v>72</v>
      </c>
      <c r="G244" t="s">
        <v>93</v>
      </c>
    </row>
    <row r="245" spans="1:10" x14ac:dyDescent="0.45">
      <c r="A245" t="s">
        <v>70</v>
      </c>
      <c r="B245" t="s">
        <v>328</v>
      </c>
      <c r="C245" t="s">
        <v>2</v>
      </c>
      <c r="D245">
        <v>2050</v>
      </c>
      <c r="E245" s="5">
        <f>0.25/0.232</f>
        <v>1.0775862068965516</v>
      </c>
      <c r="F245" t="s">
        <v>72</v>
      </c>
      <c r="G245" t="s">
        <v>93</v>
      </c>
    </row>
    <row r="246" spans="1:10" x14ac:dyDescent="0.45">
      <c r="A246" t="s">
        <v>70</v>
      </c>
      <c r="B246" t="s">
        <v>329</v>
      </c>
      <c r="C246" t="s">
        <v>2</v>
      </c>
      <c r="D246">
        <v>2030</v>
      </c>
      <c r="E246" s="5">
        <f>0.03/0.17</f>
        <v>0.1764705882352941</v>
      </c>
      <c r="F246" t="s">
        <v>72</v>
      </c>
      <c r="G246" t="s">
        <v>93</v>
      </c>
    </row>
    <row r="247" spans="1:10" x14ac:dyDescent="0.45">
      <c r="A247" t="s">
        <v>70</v>
      </c>
      <c r="B247" t="s">
        <v>329</v>
      </c>
      <c r="C247" t="s">
        <v>2</v>
      </c>
      <c r="D247">
        <v>2040</v>
      </c>
      <c r="E247" s="5">
        <f>0.03/0.17</f>
        <v>0.1764705882352941</v>
      </c>
      <c r="F247" t="s">
        <v>72</v>
      </c>
      <c r="G247" t="s">
        <v>93</v>
      </c>
    </row>
    <row r="248" spans="1:10" x14ac:dyDescent="0.45">
      <c r="A248" t="s">
        <v>70</v>
      </c>
      <c r="B248" t="s">
        <v>329</v>
      </c>
      <c r="C248" t="s">
        <v>2</v>
      </c>
      <c r="D248">
        <v>2050</v>
      </c>
      <c r="E248" s="5">
        <f>0.03/0.17</f>
        <v>0.1764705882352941</v>
      </c>
      <c r="F248" t="s">
        <v>72</v>
      </c>
      <c r="G248" t="s">
        <v>93</v>
      </c>
    </row>
    <row r="249" spans="1:10" x14ac:dyDescent="0.45">
      <c r="A249" t="s">
        <v>70</v>
      </c>
      <c r="B249" t="s">
        <v>271</v>
      </c>
      <c r="C249" t="s">
        <v>2</v>
      </c>
      <c r="D249">
        <v>2030</v>
      </c>
      <c r="E249" s="5">
        <f>0.17</f>
        <v>0.17</v>
      </c>
      <c r="F249" t="s">
        <v>72</v>
      </c>
      <c r="G249" t="s">
        <v>93</v>
      </c>
    </row>
    <row r="250" spans="1:10" x14ac:dyDescent="0.45">
      <c r="A250" t="s">
        <v>70</v>
      </c>
      <c r="B250" t="s">
        <v>271</v>
      </c>
      <c r="C250" t="s">
        <v>2</v>
      </c>
      <c r="D250">
        <v>2040</v>
      </c>
      <c r="E250" s="5">
        <f>0.17</f>
        <v>0.17</v>
      </c>
      <c r="F250" t="s">
        <v>72</v>
      </c>
      <c r="G250" t="s">
        <v>93</v>
      </c>
    </row>
    <row r="251" spans="1:10" x14ac:dyDescent="0.45">
      <c r="A251" t="s">
        <v>70</v>
      </c>
      <c r="B251" t="s">
        <v>271</v>
      </c>
      <c r="C251" t="s">
        <v>2</v>
      </c>
      <c r="D251">
        <v>2050</v>
      </c>
      <c r="E251" s="5">
        <f>0.17</f>
        <v>0.17</v>
      </c>
      <c r="F251" t="s">
        <v>72</v>
      </c>
      <c r="G251" t="s">
        <v>93</v>
      </c>
    </row>
    <row r="252" spans="1:10" x14ac:dyDescent="0.45">
      <c r="A252" t="s">
        <v>70</v>
      </c>
      <c r="B252" t="s">
        <v>330</v>
      </c>
      <c r="C252" t="s">
        <v>2</v>
      </c>
      <c r="D252">
        <v>2030</v>
      </c>
      <c r="E252" s="5">
        <f>0.39/0.17</f>
        <v>2.2941176470588234</v>
      </c>
      <c r="F252" t="s">
        <v>72</v>
      </c>
      <c r="G252" t="s">
        <v>93</v>
      </c>
      <c r="J252" s="5"/>
    </row>
    <row r="253" spans="1:10" x14ac:dyDescent="0.45">
      <c r="A253" t="s">
        <v>70</v>
      </c>
      <c r="B253" t="s">
        <v>330</v>
      </c>
      <c r="C253" t="s">
        <v>2</v>
      </c>
      <c r="D253">
        <v>2040</v>
      </c>
      <c r="E253" s="5">
        <f>0.39/0.17</f>
        <v>2.2941176470588234</v>
      </c>
      <c r="F253" t="s">
        <v>72</v>
      </c>
      <c r="G253" t="s">
        <v>93</v>
      </c>
      <c r="J253" s="5"/>
    </row>
    <row r="254" spans="1:10" x14ac:dyDescent="0.45">
      <c r="A254" t="s">
        <v>70</v>
      </c>
      <c r="B254" t="s">
        <v>330</v>
      </c>
      <c r="C254" t="s">
        <v>2</v>
      </c>
      <c r="D254">
        <v>2050</v>
      </c>
      <c r="E254" s="5">
        <f>0.39/0.17</f>
        <v>2.2941176470588234</v>
      </c>
      <c r="F254" t="s">
        <v>72</v>
      </c>
      <c r="G254" t="s">
        <v>93</v>
      </c>
      <c r="J254" s="5"/>
    </row>
    <row r="255" spans="1:10" x14ac:dyDescent="0.45">
      <c r="A255" t="s">
        <v>70</v>
      </c>
      <c r="B255" t="s">
        <v>331</v>
      </c>
      <c r="C255" t="s">
        <v>2</v>
      </c>
      <c r="D255">
        <v>2030</v>
      </c>
      <c r="E255" s="5">
        <f>0.21/0.17</f>
        <v>1.2352941176470587</v>
      </c>
      <c r="F255" t="s">
        <v>72</v>
      </c>
      <c r="G255" t="s">
        <v>93</v>
      </c>
    </row>
    <row r="256" spans="1:10" x14ac:dyDescent="0.45">
      <c r="A256" t="s">
        <v>70</v>
      </c>
      <c r="B256" t="s">
        <v>331</v>
      </c>
      <c r="C256" t="s">
        <v>2</v>
      </c>
      <c r="D256">
        <v>2040</v>
      </c>
      <c r="E256" s="5">
        <f>0.21/0.17</f>
        <v>1.2352941176470587</v>
      </c>
      <c r="F256" t="s">
        <v>72</v>
      </c>
      <c r="G256" t="s">
        <v>93</v>
      </c>
    </row>
    <row r="257" spans="1:7" x14ac:dyDescent="0.45">
      <c r="A257" t="s">
        <v>70</v>
      </c>
      <c r="B257" t="s">
        <v>331</v>
      </c>
      <c r="C257" t="s">
        <v>2</v>
      </c>
      <c r="D257">
        <v>2050</v>
      </c>
      <c r="E257" s="5">
        <f>0.21/0.17</f>
        <v>1.2352941176470587</v>
      </c>
      <c r="F257" t="s">
        <v>72</v>
      </c>
      <c r="G257" t="s">
        <v>93</v>
      </c>
    </row>
    <row r="258" spans="1:7" x14ac:dyDescent="0.45">
      <c r="A258" t="s">
        <v>70</v>
      </c>
      <c r="B258" t="s">
        <v>332</v>
      </c>
      <c r="C258" t="s">
        <v>2</v>
      </c>
      <c r="D258">
        <v>2030</v>
      </c>
      <c r="E258" s="5">
        <f>0.03/0.17</f>
        <v>0.1764705882352941</v>
      </c>
      <c r="F258" t="s">
        <v>72</v>
      </c>
      <c r="G258" t="s">
        <v>93</v>
      </c>
    </row>
    <row r="259" spans="1:7" x14ac:dyDescent="0.45">
      <c r="A259" t="s">
        <v>70</v>
      </c>
      <c r="B259" t="s">
        <v>332</v>
      </c>
      <c r="C259" t="s">
        <v>2</v>
      </c>
      <c r="D259">
        <v>2040</v>
      </c>
      <c r="E259" s="5">
        <f>0.03/0.17</f>
        <v>0.1764705882352941</v>
      </c>
      <c r="F259" t="s">
        <v>72</v>
      </c>
      <c r="G259" t="s">
        <v>93</v>
      </c>
    </row>
    <row r="260" spans="1:7" x14ac:dyDescent="0.45">
      <c r="A260" t="s">
        <v>70</v>
      </c>
      <c r="B260" t="s">
        <v>332</v>
      </c>
      <c r="C260" t="s">
        <v>2</v>
      </c>
      <c r="D260">
        <v>2050</v>
      </c>
      <c r="E260" s="5">
        <f>0.03/0.17</f>
        <v>0.1764705882352941</v>
      </c>
      <c r="F260" t="s">
        <v>72</v>
      </c>
      <c r="G260" t="s">
        <v>93</v>
      </c>
    </row>
    <row r="261" spans="1:7" x14ac:dyDescent="0.45">
      <c r="A261" t="s">
        <v>70</v>
      </c>
      <c r="B261" t="s">
        <v>338</v>
      </c>
      <c r="C261" t="s">
        <v>2</v>
      </c>
      <c r="D261">
        <v>2030</v>
      </c>
      <c r="E261" s="5">
        <f>0.17</f>
        <v>0.17</v>
      </c>
      <c r="F261" t="s">
        <v>72</v>
      </c>
      <c r="G261" t="s">
        <v>93</v>
      </c>
    </row>
    <row r="262" spans="1:7" x14ac:dyDescent="0.45">
      <c r="A262" t="s">
        <v>70</v>
      </c>
      <c r="B262" t="s">
        <v>338</v>
      </c>
      <c r="C262" t="s">
        <v>2</v>
      </c>
      <c r="D262">
        <v>2040</v>
      </c>
      <c r="E262" s="5">
        <f>0.17</f>
        <v>0.17</v>
      </c>
      <c r="F262" t="s">
        <v>72</v>
      </c>
      <c r="G262" t="s">
        <v>93</v>
      </c>
    </row>
    <row r="263" spans="1:7" x14ac:dyDescent="0.45">
      <c r="A263" t="s">
        <v>70</v>
      </c>
      <c r="B263" t="s">
        <v>338</v>
      </c>
      <c r="C263" t="s">
        <v>2</v>
      </c>
      <c r="D263">
        <v>2050</v>
      </c>
      <c r="E263" s="5">
        <f>0.17</f>
        <v>0.17</v>
      </c>
      <c r="F263" t="s">
        <v>72</v>
      </c>
      <c r="G263" t="s">
        <v>93</v>
      </c>
    </row>
    <row r="264" spans="1:7" x14ac:dyDescent="0.45">
      <c r="A264" t="s">
        <v>70</v>
      </c>
      <c r="B264" t="s">
        <v>333</v>
      </c>
      <c r="C264" t="s">
        <v>2</v>
      </c>
      <c r="D264">
        <v>2030</v>
      </c>
      <c r="E264" s="5">
        <f>0.39/0.17</f>
        <v>2.2941176470588234</v>
      </c>
      <c r="F264" t="s">
        <v>72</v>
      </c>
      <c r="G264" t="s">
        <v>93</v>
      </c>
    </row>
    <row r="265" spans="1:7" x14ac:dyDescent="0.45">
      <c r="A265" t="s">
        <v>70</v>
      </c>
      <c r="B265" t="s">
        <v>333</v>
      </c>
      <c r="C265" t="s">
        <v>2</v>
      </c>
      <c r="D265">
        <v>2040</v>
      </c>
      <c r="E265" s="5">
        <f>0.39/0.17</f>
        <v>2.2941176470588234</v>
      </c>
      <c r="F265" t="s">
        <v>72</v>
      </c>
      <c r="G265" t="s">
        <v>93</v>
      </c>
    </row>
    <row r="266" spans="1:7" x14ac:dyDescent="0.45">
      <c r="A266" t="s">
        <v>70</v>
      </c>
      <c r="B266" t="s">
        <v>333</v>
      </c>
      <c r="C266" t="s">
        <v>2</v>
      </c>
      <c r="D266">
        <v>2050</v>
      </c>
      <c r="E266" s="5">
        <f>0.39/0.17</f>
        <v>2.2941176470588234</v>
      </c>
      <c r="F266" t="s">
        <v>72</v>
      </c>
      <c r="G266" t="s">
        <v>93</v>
      </c>
    </row>
    <row r="267" spans="1:7" x14ac:dyDescent="0.45">
      <c r="A267" t="s">
        <v>70</v>
      </c>
      <c r="B267" t="s">
        <v>334</v>
      </c>
      <c r="C267" t="s">
        <v>2</v>
      </c>
      <c r="D267">
        <v>2030</v>
      </c>
      <c r="E267" s="5">
        <f>0.21/0.17</f>
        <v>1.2352941176470587</v>
      </c>
      <c r="F267" t="s">
        <v>72</v>
      </c>
      <c r="G267" t="s">
        <v>93</v>
      </c>
    </row>
    <row r="268" spans="1:7" x14ac:dyDescent="0.45">
      <c r="A268" t="s">
        <v>70</v>
      </c>
      <c r="B268" t="s">
        <v>334</v>
      </c>
      <c r="C268" t="s">
        <v>2</v>
      </c>
      <c r="D268">
        <v>2040</v>
      </c>
      <c r="E268" s="5">
        <f>0.21/0.17</f>
        <v>1.2352941176470587</v>
      </c>
      <c r="F268" t="s">
        <v>72</v>
      </c>
      <c r="G268" t="s">
        <v>93</v>
      </c>
    </row>
    <row r="269" spans="1:7" x14ac:dyDescent="0.45">
      <c r="A269" t="s">
        <v>70</v>
      </c>
      <c r="B269" t="s">
        <v>334</v>
      </c>
      <c r="C269" t="s">
        <v>2</v>
      </c>
      <c r="D269">
        <v>2050</v>
      </c>
      <c r="E269" s="5">
        <f>0.21/0.17</f>
        <v>1.2352941176470587</v>
      </c>
      <c r="F269" t="s">
        <v>72</v>
      </c>
      <c r="G269" t="s">
        <v>93</v>
      </c>
    </row>
    <row r="270" spans="1:7" x14ac:dyDescent="0.45">
      <c r="A270" t="s">
        <v>70</v>
      </c>
      <c r="B270" t="s">
        <v>125</v>
      </c>
      <c r="C270" t="s">
        <v>2</v>
      </c>
      <c r="D270">
        <v>2030</v>
      </c>
      <c r="E270" s="4">
        <f>0.82/0.05</f>
        <v>16.399999999999999</v>
      </c>
      <c r="F270" t="s">
        <v>72</v>
      </c>
      <c r="G270" t="s">
        <v>85</v>
      </c>
    </row>
    <row r="271" spans="1:7" x14ac:dyDescent="0.45">
      <c r="A271" t="s">
        <v>70</v>
      </c>
      <c r="B271" t="s">
        <v>125</v>
      </c>
      <c r="C271" t="s">
        <v>2</v>
      </c>
      <c r="D271">
        <v>2040</v>
      </c>
      <c r="E271" s="4">
        <f>0.82/0.05</f>
        <v>16.399999999999999</v>
      </c>
      <c r="F271" t="s">
        <v>72</v>
      </c>
      <c r="G271" t="s">
        <v>85</v>
      </c>
    </row>
    <row r="272" spans="1:7" x14ac:dyDescent="0.45">
      <c r="A272" t="s">
        <v>70</v>
      </c>
      <c r="B272" t="s">
        <v>125</v>
      </c>
      <c r="C272" t="s">
        <v>2</v>
      </c>
      <c r="D272">
        <v>2050</v>
      </c>
      <c r="E272" s="4">
        <f>0.82/0.05</f>
        <v>16.399999999999999</v>
      </c>
      <c r="F272" t="s">
        <v>72</v>
      </c>
      <c r="G272" t="s">
        <v>85</v>
      </c>
    </row>
    <row r="273" spans="1:7" x14ac:dyDescent="0.45">
      <c r="A273" t="s">
        <v>70</v>
      </c>
      <c r="B273" t="s">
        <v>126</v>
      </c>
      <c r="C273" t="s">
        <v>2</v>
      </c>
      <c r="D273">
        <v>2030</v>
      </c>
      <c r="E273" s="4">
        <f>0.82/0.95</f>
        <v>0.86315789473684212</v>
      </c>
      <c r="F273" t="s">
        <v>72</v>
      </c>
      <c r="G273" t="s">
        <v>85</v>
      </c>
    </row>
    <row r="274" spans="1:7" x14ac:dyDescent="0.45">
      <c r="A274" t="s">
        <v>70</v>
      </c>
      <c r="B274" t="s">
        <v>126</v>
      </c>
      <c r="C274" t="s">
        <v>2</v>
      </c>
      <c r="D274">
        <v>2040</v>
      </c>
      <c r="E274" s="4">
        <f>0.82/0.95</f>
        <v>0.86315789473684212</v>
      </c>
      <c r="F274" t="s">
        <v>72</v>
      </c>
      <c r="G274" t="s">
        <v>85</v>
      </c>
    </row>
    <row r="275" spans="1:7" x14ac:dyDescent="0.45">
      <c r="A275" t="s">
        <v>70</v>
      </c>
      <c r="B275" t="s">
        <v>126</v>
      </c>
      <c r="C275" t="s">
        <v>2</v>
      </c>
      <c r="D275">
        <v>2050</v>
      </c>
      <c r="E275" s="4">
        <f>0.82/0.95</f>
        <v>0.86315789473684212</v>
      </c>
      <c r="F275" t="s">
        <v>72</v>
      </c>
      <c r="G275" t="s">
        <v>85</v>
      </c>
    </row>
    <row r="276" spans="1:7" x14ac:dyDescent="0.45">
      <c r="A276" t="s">
        <v>70</v>
      </c>
      <c r="B276" t="s">
        <v>87</v>
      </c>
      <c r="C276" t="s">
        <v>2</v>
      </c>
      <c r="D276">
        <v>2030</v>
      </c>
      <c r="E276" s="4">
        <v>0.6875</v>
      </c>
      <c r="F276" t="s">
        <v>72</v>
      </c>
      <c r="G276" t="s">
        <v>240</v>
      </c>
    </row>
    <row r="277" spans="1:7" x14ac:dyDescent="0.45">
      <c r="A277" t="s">
        <v>70</v>
      </c>
      <c r="B277" t="s">
        <v>87</v>
      </c>
      <c r="C277" t="s">
        <v>2</v>
      </c>
      <c r="D277">
        <v>2040</v>
      </c>
      <c r="E277" s="4">
        <f>AVERAGE(E276,E278)</f>
        <v>0.68874999999999997</v>
      </c>
      <c r="F277" t="s">
        <v>72</v>
      </c>
      <c r="G277" t="s">
        <v>240</v>
      </c>
    </row>
    <row r="278" spans="1:7" x14ac:dyDescent="0.45">
      <c r="A278" t="s">
        <v>70</v>
      </c>
      <c r="B278" t="s">
        <v>87</v>
      </c>
      <c r="C278" t="s">
        <v>2</v>
      </c>
      <c r="D278">
        <v>2050</v>
      </c>
      <c r="E278" s="4">
        <v>0.69</v>
      </c>
      <c r="F278" t="s">
        <v>72</v>
      </c>
      <c r="G278" t="s">
        <v>240</v>
      </c>
    </row>
    <row r="279" spans="1:7" x14ac:dyDescent="0.45">
      <c r="A279" t="s">
        <v>70</v>
      </c>
      <c r="B279" t="s">
        <v>90</v>
      </c>
      <c r="C279" t="s">
        <v>2</v>
      </c>
      <c r="D279">
        <v>2030</v>
      </c>
      <c r="E279" s="4">
        <v>0.16600000000000001</v>
      </c>
      <c r="F279" t="s">
        <v>72</v>
      </c>
      <c r="G279" t="s">
        <v>86</v>
      </c>
    </row>
    <row r="280" spans="1:7" x14ac:dyDescent="0.45">
      <c r="A280" t="s">
        <v>70</v>
      </c>
      <c r="B280" t="s">
        <v>90</v>
      </c>
      <c r="C280" t="s">
        <v>2</v>
      </c>
      <c r="D280">
        <v>2040</v>
      </c>
      <c r="E280" s="4">
        <v>0.125</v>
      </c>
      <c r="F280" t="s">
        <v>72</v>
      </c>
      <c r="G280" t="s">
        <v>86</v>
      </c>
    </row>
    <row r="281" spans="1:7" x14ac:dyDescent="0.45">
      <c r="A281" t="s">
        <v>70</v>
      </c>
      <c r="B281" t="s">
        <v>90</v>
      </c>
      <c r="C281" t="s">
        <v>2</v>
      </c>
      <c r="D281">
        <v>2050</v>
      </c>
      <c r="E281" s="4">
        <v>8.3000000000000004E-2</v>
      </c>
      <c r="F281" t="s">
        <v>72</v>
      </c>
      <c r="G281" t="s">
        <v>86</v>
      </c>
    </row>
    <row r="282" spans="1:7" x14ac:dyDescent="0.45">
      <c r="A282" t="s">
        <v>70</v>
      </c>
      <c r="B282" t="s">
        <v>89</v>
      </c>
      <c r="C282" t="s">
        <v>2</v>
      </c>
      <c r="D282">
        <v>2030</v>
      </c>
      <c r="E282" s="4">
        <f>0.79/0.805</f>
        <v>0.98136645962732916</v>
      </c>
      <c r="F282" t="s">
        <v>72</v>
      </c>
      <c r="G282" t="s">
        <v>291</v>
      </c>
    </row>
    <row r="283" spans="1:7" x14ac:dyDescent="0.45">
      <c r="A283" t="s">
        <v>70</v>
      </c>
      <c r="B283" t="s">
        <v>89</v>
      </c>
      <c r="C283" t="s">
        <v>2</v>
      </c>
      <c r="D283">
        <v>2040</v>
      </c>
      <c r="E283" s="4">
        <f>0.79/0.814</f>
        <v>0.97051597051597061</v>
      </c>
      <c r="F283" t="s">
        <v>72</v>
      </c>
      <c r="G283" t="s">
        <v>291</v>
      </c>
    </row>
    <row r="284" spans="1:7" x14ac:dyDescent="0.45">
      <c r="A284" t="s">
        <v>70</v>
      </c>
      <c r="B284" t="s">
        <v>89</v>
      </c>
      <c r="C284" t="s">
        <v>2</v>
      </c>
      <c r="D284">
        <v>2050</v>
      </c>
      <c r="E284" s="4">
        <f>0.79/0.814</f>
        <v>0.97051597051597061</v>
      </c>
      <c r="F284" t="s">
        <v>72</v>
      </c>
      <c r="G284" t="s">
        <v>291</v>
      </c>
    </row>
    <row r="285" spans="1:7" x14ac:dyDescent="0.45">
      <c r="A285" t="s">
        <v>70</v>
      </c>
      <c r="B285" t="s">
        <v>296</v>
      </c>
      <c r="C285" t="s">
        <v>2</v>
      </c>
      <c r="D285">
        <v>2030</v>
      </c>
      <c r="E285" s="4">
        <f>(79/19.5)</f>
        <v>4.0512820512820511</v>
      </c>
      <c r="F285" t="s">
        <v>72</v>
      </c>
      <c r="G285" t="s">
        <v>291</v>
      </c>
    </row>
    <row r="286" spans="1:7" x14ac:dyDescent="0.45">
      <c r="A286" t="s">
        <v>70</v>
      </c>
      <c r="B286" t="s">
        <v>296</v>
      </c>
      <c r="C286" t="s">
        <v>2</v>
      </c>
      <c r="D286">
        <v>2040</v>
      </c>
      <c r="E286" s="4">
        <f>(79/18.6)</f>
        <v>4.247311827956989</v>
      </c>
      <c r="F286" t="s">
        <v>72</v>
      </c>
      <c r="G286" t="s">
        <v>291</v>
      </c>
    </row>
    <row r="287" spans="1:7" x14ac:dyDescent="0.45">
      <c r="A287" t="s">
        <v>70</v>
      </c>
      <c r="B287" t="s">
        <v>296</v>
      </c>
      <c r="C287" t="s">
        <v>2</v>
      </c>
      <c r="D287">
        <v>2050</v>
      </c>
      <c r="E287" s="4">
        <f>(79/18.6)</f>
        <v>4.247311827956989</v>
      </c>
      <c r="F287" t="s">
        <v>72</v>
      </c>
      <c r="G287" t="s">
        <v>291</v>
      </c>
    </row>
    <row r="288" spans="1:7" x14ac:dyDescent="0.45">
      <c r="A288" t="s">
        <v>70</v>
      </c>
      <c r="B288" t="s">
        <v>105</v>
      </c>
      <c r="C288" t="s">
        <v>2</v>
      </c>
      <c r="D288">
        <v>2030</v>
      </c>
      <c r="E288" s="4">
        <v>0.9</v>
      </c>
      <c r="F288" t="s">
        <v>106</v>
      </c>
      <c r="G288" t="s">
        <v>243</v>
      </c>
    </row>
    <row r="289" spans="1:7" x14ac:dyDescent="0.45">
      <c r="A289" t="s">
        <v>70</v>
      </c>
      <c r="B289" t="s">
        <v>105</v>
      </c>
      <c r="C289" t="s">
        <v>2</v>
      </c>
      <c r="D289">
        <v>2040</v>
      </c>
      <c r="E289" s="4">
        <v>0.95</v>
      </c>
      <c r="F289" t="s">
        <v>106</v>
      </c>
      <c r="G289" t="s">
        <v>243</v>
      </c>
    </row>
    <row r="290" spans="1:7" x14ac:dyDescent="0.45">
      <c r="A290" t="s">
        <v>70</v>
      </c>
      <c r="B290" t="s">
        <v>105</v>
      </c>
      <c r="C290" t="s">
        <v>2</v>
      </c>
      <c r="D290">
        <v>2050</v>
      </c>
      <c r="E290" s="4">
        <v>0.95</v>
      </c>
      <c r="F290" t="s">
        <v>106</v>
      </c>
      <c r="G290" t="s">
        <v>243</v>
      </c>
    </row>
    <row r="291" spans="1:7" x14ac:dyDescent="0.45">
      <c r="A291" t="s">
        <v>70</v>
      </c>
      <c r="B291" t="s">
        <v>104</v>
      </c>
      <c r="C291" t="s">
        <v>2</v>
      </c>
      <c r="D291">
        <v>2030</v>
      </c>
      <c r="E291" s="4">
        <f>1/(0.025)</f>
        <v>40</v>
      </c>
      <c r="F291" t="s">
        <v>107</v>
      </c>
      <c r="G291" t="s">
        <v>243</v>
      </c>
    </row>
    <row r="292" spans="1:7" x14ac:dyDescent="0.45">
      <c r="A292" t="s">
        <v>70</v>
      </c>
      <c r="B292" t="s">
        <v>104</v>
      </c>
      <c r="C292" t="s">
        <v>2</v>
      </c>
      <c r="D292">
        <v>2040</v>
      </c>
      <c r="E292" s="4">
        <f>1/(0.023)</f>
        <v>43.478260869565219</v>
      </c>
      <c r="F292" t="s">
        <v>107</v>
      </c>
      <c r="G292" t="s">
        <v>243</v>
      </c>
    </row>
    <row r="293" spans="1:7" x14ac:dyDescent="0.45">
      <c r="A293" t="s">
        <v>70</v>
      </c>
      <c r="B293" t="s">
        <v>104</v>
      </c>
      <c r="C293" t="s">
        <v>2</v>
      </c>
      <c r="D293">
        <v>2050</v>
      </c>
      <c r="E293" s="4">
        <f>1/(0.02)</f>
        <v>50</v>
      </c>
      <c r="F293" t="s">
        <v>107</v>
      </c>
      <c r="G293" t="s">
        <v>243</v>
      </c>
    </row>
    <row r="294" spans="1:7" x14ac:dyDescent="0.45">
      <c r="A294" t="s">
        <v>70</v>
      </c>
      <c r="B294" t="s">
        <v>284</v>
      </c>
      <c r="C294" t="s">
        <v>2</v>
      </c>
      <c r="D294">
        <v>2030</v>
      </c>
      <c r="E294" s="4">
        <f>1/0.72</f>
        <v>1.3888888888888888</v>
      </c>
      <c r="F294" t="s">
        <v>107</v>
      </c>
      <c r="G294" t="s">
        <v>243</v>
      </c>
    </row>
    <row r="295" spans="1:7" x14ac:dyDescent="0.45">
      <c r="A295" t="s">
        <v>70</v>
      </c>
      <c r="B295" t="s">
        <v>284</v>
      </c>
      <c r="C295" t="s">
        <v>2</v>
      </c>
      <c r="D295">
        <v>2040</v>
      </c>
      <c r="E295" s="4">
        <f>1/0.66</f>
        <v>1.5151515151515151</v>
      </c>
      <c r="F295" t="s">
        <v>107</v>
      </c>
      <c r="G295" t="s">
        <v>243</v>
      </c>
    </row>
    <row r="296" spans="1:7" x14ac:dyDescent="0.45">
      <c r="A296" t="s">
        <v>70</v>
      </c>
      <c r="B296" t="s">
        <v>284</v>
      </c>
      <c r="C296" t="s">
        <v>2</v>
      </c>
      <c r="D296">
        <v>2050</v>
      </c>
      <c r="E296" s="4">
        <f>1/0.66</f>
        <v>1.5151515151515151</v>
      </c>
      <c r="F296" t="s">
        <v>107</v>
      </c>
      <c r="G296" t="s">
        <v>243</v>
      </c>
    </row>
    <row r="297" spans="1:7" x14ac:dyDescent="0.45">
      <c r="A297" t="s">
        <v>70</v>
      </c>
      <c r="B297" t="s">
        <v>129</v>
      </c>
      <c r="C297" t="s">
        <v>2</v>
      </c>
      <c r="D297">
        <v>2030</v>
      </c>
      <c r="E297" s="4">
        <f>1/(0.32)</f>
        <v>3.125</v>
      </c>
      <c r="F297" t="s">
        <v>107</v>
      </c>
      <c r="G297" t="s">
        <v>244</v>
      </c>
    </row>
    <row r="298" spans="1:7" x14ac:dyDescent="0.45">
      <c r="A298" t="s">
        <v>70</v>
      </c>
      <c r="B298" t="s">
        <v>129</v>
      </c>
      <c r="C298" t="s">
        <v>2</v>
      </c>
      <c r="D298">
        <v>2040</v>
      </c>
      <c r="E298" s="4">
        <f>1/(0.3)</f>
        <v>3.3333333333333335</v>
      </c>
      <c r="F298" t="s">
        <v>107</v>
      </c>
      <c r="G298" t="s">
        <v>244</v>
      </c>
    </row>
    <row r="299" spans="1:7" x14ac:dyDescent="0.45">
      <c r="A299" t="s">
        <v>70</v>
      </c>
      <c r="B299" t="s">
        <v>129</v>
      </c>
      <c r="C299" t="s">
        <v>2</v>
      </c>
      <c r="D299">
        <v>2050</v>
      </c>
      <c r="E299" s="4">
        <f>1/(0.28)</f>
        <v>3.5714285714285712</v>
      </c>
      <c r="F299" t="s">
        <v>107</v>
      </c>
      <c r="G299" t="s">
        <v>244</v>
      </c>
    </row>
    <row r="300" spans="1:7" x14ac:dyDescent="0.45">
      <c r="A300" t="s">
        <v>70</v>
      </c>
      <c r="B300" t="s">
        <v>295</v>
      </c>
      <c r="C300" t="s">
        <v>2</v>
      </c>
      <c r="D300">
        <v>2030</v>
      </c>
      <c r="E300" s="4">
        <f>1/2</f>
        <v>0.5</v>
      </c>
      <c r="F300" t="s">
        <v>107</v>
      </c>
      <c r="G300" t="s">
        <v>244</v>
      </c>
    </row>
    <row r="301" spans="1:7" x14ac:dyDescent="0.45">
      <c r="A301" t="s">
        <v>70</v>
      </c>
      <c r="B301" t="s">
        <v>295</v>
      </c>
      <c r="C301" t="s">
        <v>2</v>
      </c>
      <c r="D301">
        <v>2040</v>
      </c>
      <c r="E301" s="4">
        <f>1/1.5</f>
        <v>0.66666666666666663</v>
      </c>
      <c r="F301" t="s">
        <v>107</v>
      </c>
      <c r="G301" t="s">
        <v>244</v>
      </c>
    </row>
    <row r="302" spans="1:7" x14ac:dyDescent="0.45">
      <c r="A302" t="s">
        <v>70</v>
      </c>
      <c r="B302" t="s">
        <v>295</v>
      </c>
      <c r="C302" t="s">
        <v>2</v>
      </c>
      <c r="D302">
        <v>2050</v>
      </c>
      <c r="E302" s="4">
        <f>1/1.5</f>
        <v>0.66666666666666663</v>
      </c>
      <c r="F302" t="s">
        <v>107</v>
      </c>
      <c r="G302" t="s">
        <v>244</v>
      </c>
    </row>
    <row r="303" spans="1:7" x14ac:dyDescent="0.45">
      <c r="A303" t="s">
        <v>70</v>
      </c>
      <c r="B303" t="s">
        <v>270</v>
      </c>
      <c r="C303" t="s">
        <v>2</v>
      </c>
      <c r="D303">
        <v>2030</v>
      </c>
      <c r="E303" s="4">
        <f>0.14/0.005</f>
        <v>28.000000000000004</v>
      </c>
      <c r="F303" t="s">
        <v>72</v>
      </c>
      <c r="G303" t="s">
        <v>238</v>
      </c>
    </row>
    <row r="304" spans="1:7" x14ac:dyDescent="0.45">
      <c r="A304" t="s">
        <v>70</v>
      </c>
      <c r="B304" t="s">
        <v>270</v>
      </c>
      <c r="C304" t="s">
        <v>2</v>
      </c>
      <c r="D304">
        <v>2040</v>
      </c>
      <c r="E304" s="4">
        <f>0.146/0.005</f>
        <v>29.2</v>
      </c>
      <c r="F304" t="s">
        <v>72</v>
      </c>
      <c r="G304" t="s">
        <v>238</v>
      </c>
    </row>
    <row r="305" spans="1:8" x14ac:dyDescent="0.45">
      <c r="A305" t="s">
        <v>70</v>
      </c>
      <c r="B305" t="s">
        <v>270</v>
      </c>
      <c r="C305" t="s">
        <v>2</v>
      </c>
      <c r="D305">
        <v>2050</v>
      </c>
      <c r="E305" s="4">
        <f>0.15/0.005</f>
        <v>30</v>
      </c>
      <c r="F305" t="s">
        <v>72</v>
      </c>
      <c r="G305" t="s">
        <v>238</v>
      </c>
    </row>
    <row r="306" spans="1:8" x14ac:dyDescent="0.45">
      <c r="A306" t="s">
        <v>70</v>
      </c>
      <c r="B306" t="s">
        <v>135</v>
      </c>
      <c r="C306" t="s">
        <v>2</v>
      </c>
      <c r="D306">
        <v>2030</v>
      </c>
      <c r="E306" s="4">
        <f>0.42/0.005</f>
        <v>84</v>
      </c>
      <c r="F306" t="s">
        <v>72</v>
      </c>
      <c r="G306" t="s">
        <v>238</v>
      </c>
    </row>
    <row r="307" spans="1:8" x14ac:dyDescent="0.45">
      <c r="A307" t="s">
        <v>70</v>
      </c>
      <c r="B307" t="s">
        <v>135</v>
      </c>
      <c r="C307" t="s">
        <v>2</v>
      </c>
      <c r="D307">
        <v>2040</v>
      </c>
      <c r="E307" s="4">
        <f>0.438/0.005</f>
        <v>87.6</v>
      </c>
      <c r="F307" t="s">
        <v>72</v>
      </c>
      <c r="G307" t="s">
        <v>238</v>
      </c>
    </row>
    <row r="308" spans="1:8" x14ac:dyDescent="0.45">
      <c r="A308" t="s">
        <v>70</v>
      </c>
      <c r="B308" t="s">
        <v>135</v>
      </c>
      <c r="C308" t="s">
        <v>2</v>
      </c>
      <c r="D308">
        <v>2050</v>
      </c>
      <c r="E308" s="4">
        <f>0.45/0.005</f>
        <v>90</v>
      </c>
      <c r="F308" t="s">
        <v>72</v>
      </c>
      <c r="G308" t="s">
        <v>238</v>
      </c>
    </row>
    <row r="309" spans="1:8" x14ac:dyDescent="0.45">
      <c r="A309" t="s">
        <v>70</v>
      </c>
      <c r="B309" t="s">
        <v>136</v>
      </c>
      <c r="C309" t="s">
        <v>2</v>
      </c>
      <c r="D309">
        <v>2030</v>
      </c>
      <c r="E309" s="4">
        <f>0.2/0.005</f>
        <v>40</v>
      </c>
      <c r="F309" t="s">
        <v>72</v>
      </c>
      <c r="G309" t="s">
        <v>238</v>
      </c>
      <c r="H309" s="7"/>
    </row>
    <row r="310" spans="1:8" x14ac:dyDescent="0.45">
      <c r="A310" t="s">
        <v>70</v>
      </c>
      <c r="B310" t="s">
        <v>136</v>
      </c>
      <c r="C310" t="s">
        <v>2</v>
      </c>
      <c r="D310">
        <v>2040</v>
      </c>
      <c r="E310" s="4">
        <f>0.17/0.005</f>
        <v>34</v>
      </c>
      <c r="F310" t="s">
        <v>72</v>
      </c>
      <c r="G310" t="s">
        <v>238</v>
      </c>
    </row>
    <row r="311" spans="1:8" x14ac:dyDescent="0.45">
      <c r="A311" t="s">
        <v>70</v>
      </c>
      <c r="B311" t="s">
        <v>136</v>
      </c>
      <c r="C311" t="s">
        <v>2</v>
      </c>
      <c r="D311">
        <v>2050</v>
      </c>
      <c r="E311" s="4">
        <f>0.15/0.005</f>
        <v>30</v>
      </c>
      <c r="F311" t="s">
        <v>72</v>
      </c>
      <c r="G311" t="s">
        <v>238</v>
      </c>
    </row>
    <row r="312" spans="1:8" x14ac:dyDescent="0.45">
      <c r="A312" t="s">
        <v>70</v>
      </c>
      <c r="B312" t="s">
        <v>137</v>
      </c>
      <c r="C312" t="s">
        <v>2</v>
      </c>
      <c r="D312">
        <v>2030</v>
      </c>
      <c r="E312" s="4">
        <f>0.42/0.995</f>
        <v>0.42211055276381909</v>
      </c>
      <c r="F312" t="s">
        <v>72</v>
      </c>
      <c r="G312" t="s">
        <v>238</v>
      </c>
    </row>
    <row r="313" spans="1:8" x14ac:dyDescent="0.45">
      <c r="A313" t="s">
        <v>70</v>
      </c>
      <c r="B313" t="s">
        <v>137</v>
      </c>
      <c r="C313" t="s">
        <v>2</v>
      </c>
      <c r="D313">
        <v>2040</v>
      </c>
      <c r="E313" s="4">
        <f>0.438/0.995</f>
        <v>0.44020100502512566</v>
      </c>
      <c r="F313" t="s">
        <v>72</v>
      </c>
      <c r="G313" t="s">
        <v>238</v>
      </c>
    </row>
    <row r="314" spans="1:8" x14ac:dyDescent="0.45">
      <c r="A314" t="s">
        <v>70</v>
      </c>
      <c r="B314" t="s">
        <v>137</v>
      </c>
      <c r="C314" t="s">
        <v>2</v>
      </c>
      <c r="D314">
        <v>2050</v>
      </c>
      <c r="E314" s="4">
        <f>0.45/0.995</f>
        <v>0.45226130653266333</v>
      </c>
      <c r="F314" t="s">
        <v>72</v>
      </c>
      <c r="G314" t="s">
        <v>238</v>
      </c>
    </row>
    <row r="315" spans="1:8" x14ac:dyDescent="0.45">
      <c r="A315" t="s">
        <v>70</v>
      </c>
      <c r="B315" t="s">
        <v>138</v>
      </c>
      <c r="C315" t="s">
        <v>2</v>
      </c>
      <c r="D315">
        <v>2030</v>
      </c>
      <c r="E315" s="4">
        <f>1/0.53</f>
        <v>1.8867924528301885</v>
      </c>
      <c r="F315" t="s">
        <v>152</v>
      </c>
      <c r="G315" t="s">
        <v>238</v>
      </c>
    </row>
    <row r="316" spans="1:8" x14ac:dyDescent="0.45">
      <c r="A316" t="s">
        <v>70</v>
      </c>
      <c r="B316" t="s">
        <v>138</v>
      </c>
      <c r="C316" t="s">
        <v>2</v>
      </c>
      <c r="D316">
        <v>2040</v>
      </c>
      <c r="E316" s="4">
        <f>1/0.49</f>
        <v>2.0408163265306123</v>
      </c>
      <c r="F316" t="s">
        <v>152</v>
      </c>
      <c r="G316" t="s">
        <v>238</v>
      </c>
    </row>
    <row r="317" spans="1:8" x14ac:dyDescent="0.45">
      <c r="A317" t="s">
        <v>70</v>
      </c>
      <c r="B317" t="s">
        <v>138</v>
      </c>
      <c r="C317" t="s">
        <v>2</v>
      </c>
      <c r="D317">
        <v>2050</v>
      </c>
      <c r="E317" s="4">
        <f>1/0.45</f>
        <v>2.2222222222222223</v>
      </c>
      <c r="F317" t="s">
        <v>152</v>
      </c>
      <c r="G317" t="s">
        <v>238</v>
      </c>
    </row>
    <row r="318" spans="1:8" x14ac:dyDescent="0.45">
      <c r="A318" t="s">
        <v>70</v>
      </c>
      <c r="B318" t="s">
        <v>144</v>
      </c>
      <c r="C318" t="s">
        <v>2</v>
      </c>
      <c r="D318">
        <v>2030</v>
      </c>
      <c r="E318" s="4">
        <v>0.85499999999999998</v>
      </c>
      <c r="F318" t="s">
        <v>72</v>
      </c>
      <c r="G318" t="s">
        <v>93</v>
      </c>
    </row>
    <row r="319" spans="1:8" x14ac:dyDescent="0.45">
      <c r="A319" t="s">
        <v>70</v>
      </c>
      <c r="B319" t="s">
        <v>144</v>
      </c>
      <c r="C319" t="s">
        <v>2</v>
      </c>
      <c r="D319">
        <v>2040</v>
      </c>
      <c r="E319" s="4">
        <v>0.85499999999999998</v>
      </c>
      <c r="F319" t="s">
        <v>72</v>
      </c>
      <c r="G319" t="s">
        <v>93</v>
      </c>
    </row>
    <row r="320" spans="1:8" x14ac:dyDescent="0.45">
      <c r="A320" t="s">
        <v>70</v>
      </c>
      <c r="B320" t="s">
        <v>144</v>
      </c>
      <c r="C320" t="s">
        <v>2</v>
      </c>
      <c r="D320">
        <v>2050</v>
      </c>
      <c r="E320" s="4">
        <v>0.85499999999999998</v>
      </c>
      <c r="F320" t="s">
        <v>72</v>
      </c>
      <c r="G320" t="s">
        <v>93</v>
      </c>
    </row>
    <row r="321" spans="1:7" x14ac:dyDescent="0.45">
      <c r="A321" t="s">
        <v>70</v>
      </c>
      <c r="B321" t="s">
        <v>288</v>
      </c>
      <c r="C321" t="s">
        <v>2</v>
      </c>
      <c r="D321">
        <v>2030</v>
      </c>
      <c r="E321" s="4">
        <f>E318/0.3375</f>
        <v>2.5333333333333332</v>
      </c>
      <c r="F321" t="s">
        <v>72</v>
      </c>
      <c r="G321" t="s">
        <v>93</v>
      </c>
    </row>
    <row r="322" spans="1:7" x14ac:dyDescent="0.45">
      <c r="A322" t="s">
        <v>70</v>
      </c>
      <c r="B322" t="s">
        <v>288</v>
      </c>
      <c r="C322" t="s">
        <v>2</v>
      </c>
      <c r="D322">
        <v>2040</v>
      </c>
      <c r="E322" s="4">
        <f>E319/0.3375</f>
        <v>2.5333333333333332</v>
      </c>
      <c r="F322" t="s">
        <v>72</v>
      </c>
      <c r="G322" t="s">
        <v>93</v>
      </c>
    </row>
    <row r="323" spans="1:7" x14ac:dyDescent="0.45">
      <c r="A323" t="s">
        <v>70</v>
      </c>
      <c r="B323" t="s">
        <v>288</v>
      </c>
      <c r="C323" t="s">
        <v>2</v>
      </c>
      <c r="D323">
        <v>2050</v>
      </c>
      <c r="E323" s="4">
        <f>E320/0.3375</f>
        <v>2.5333333333333332</v>
      </c>
      <c r="F323" t="s">
        <v>72</v>
      </c>
      <c r="G323" t="s">
        <v>93</v>
      </c>
    </row>
    <row r="324" spans="1:7" x14ac:dyDescent="0.45">
      <c r="A324" t="s">
        <v>70</v>
      </c>
      <c r="B324" t="s">
        <v>335</v>
      </c>
      <c r="C324" t="s">
        <v>2</v>
      </c>
      <c r="D324">
        <v>2030</v>
      </c>
      <c r="E324" s="4">
        <f>0.23/0.86</f>
        <v>0.26744186046511631</v>
      </c>
      <c r="F324" t="s">
        <v>72</v>
      </c>
      <c r="G324" t="s">
        <v>93</v>
      </c>
    </row>
    <row r="325" spans="1:7" x14ac:dyDescent="0.45">
      <c r="A325" t="s">
        <v>70</v>
      </c>
      <c r="B325" t="s">
        <v>335</v>
      </c>
      <c r="C325" t="s">
        <v>2</v>
      </c>
      <c r="D325">
        <v>2040</v>
      </c>
      <c r="E325" s="4">
        <f>0.23/0.86</f>
        <v>0.26744186046511631</v>
      </c>
      <c r="F325" t="s">
        <v>72</v>
      </c>
      <c r="G325" t="s">
        <v>93</v>
      </c>
    </row>
    <row r="326" spans="1:7" x14ac:dyDescent="0.45">
      <c r="A326" t="s">
        <v>70</v>
      </c>
      <c r="B326" t="s">
        <v>335</v>
      </c>
      <c r="C326" t="s">
        <v>2</v>
      </c>
      <c r="D326">
        <v>2050</v>
      </c>
      <c r="E326" s="4">
        <f>0.23/0.86</f>
        <v>0.26744186046511631</v>
      </c>
      <c r="F326" t="s">
        <v>72</v>
      </c>
      <c r="G326" t="s">
        <v>93</v>
      </c>
    </row>
    <row r="327" spans="1:7" x14ac:dyDescent="0.45">
      <c r="A327" t="s">
        <v>70</v>
      </c>
      <c r="B327" t="s">
        <v>145</v>
      </c>
      <c r="C327" t="s">
        <v>2</v>
      </c>
      <c r="D327">
        <v>2030</v>
      </c>
      <c r="E327" s="4">
        <v>0.85499999999999998</v>
      </c>
      <c r="F327" t="s">
        <v>72</v>
      </c>
      <c r="G327" t="s">
        <v>93</v>
      </c>
    </row>
    <row r="328" spans="1:7" x14ac:dyDescent="0.45">
      <c r="A328" t="s">
        <v>70</v>
      </c>
      <c r="B328" t="s">
        <v>145</v>
      </c>
      <c r="C328" t="s">
        <v>2</v>
      </c>
      <c r="D328">
        <v>2040</v>
      </c>
      <c r="E328" s="4">
        <v>0.85499999999999998</v>
      </c>
      <c r="F328" t="s">
        <v>72</v>
      </c>
      <c r="G328" t="s">
        <v>93</v>
      </c>
    </row>
    <row r="329" spans="1:7" x14ac:dyDescent="0.45">
      <c r="A329" t="s">
        <v>70</v>
      </c>
      <c r="B329" t="s">
        <v>145</v>
      </c>
      <c r="C329" t="s">
        <v>2</v>
      </c>
      <c r="D329">
        <v>2050</v>
      </c>
      <c r="E329" s="4">
        <v>0.85499999999999998</v>
      </c>
      <c r="F329" t="s">
        <v>72</v>
      </c>
      <c r="G329" t="s">
        <v>93</v>
      </c>
    </row>
    <row r="330" spans="1:7" x14ac:dyDescent="0.45">
      <c r="A330" t="s">
        <v>70</v>
      </c>
      <c r="B330" t="s">
        <v>289</v>
      </c>
      <c r="C330" t="s">
        <v>2</v>
      </c>
      <c r="D330">
        <v>2030</v>
      </c>
      <c r="E330" s="4">
        <f>E327/0.3375</f>
        <v>2.5333333333333332</v>
      </c>
      <c r="F330" t="s">
        <v>72</v>
      </c>
      <c r="G330" t="s">
        <v>93</v>
      </c>
    </row>
    <row r="331" spans="1:7" x14ac:dyDescent="0.45">
      <c r="A331" t="s">
        <v>70</v>
      </c>
      <c r="B331" t="s">
        <v>289</v>
      </c>
      <c r="C331" t="s">
        <v>2</v>
      </c>
      <c r="D331">
        <v>2040</v>
      </c>
      <c r="E331" s="4">
        <f>E328/0.3375</f>
        <v>2.5333333333333332</v>
      </c>
      <c r="F331" t="s">
        <v>72</v>
      </c>
      <c r="G331" t="s">
        <v>93</v>
      </c>
    </row>
    <row r="332" spans="1:7" x14ac:dyDescent="0.45">
      <c r="A332" t="s">
        <v>70</v>
      </c>
      <c r="B332" t="s">
        <v>289</v>
      </c>
      <c r="C332" t="s">
        <v>2</v>
      </c>
      <c r="D332">
        <v>2050</v>
      </c>
      <c r="E332" s="4">
        <f>E329/0.3375</f>
        <v>2.5333333333333332</v>
      </c>
      <c r="F332" t="s">
        <v>72</v>
      </c>
      <c r="G332" t="s">
        <v>93</v>
      </c>
    </row>
    <row r="333" spans="1:7" x14ac:dyDescent="0.45">
      <c r="A333" t="s">
        <v>70</v>
      </c>
      <c r="B333" t="s">
        <v>336</v>
      </c>
      <c r="C333" t="s">
        <v>2</v>
      </c>
      <c r="D333">
        <v>2030</v>
      </c>
      <c r="E333" s="4">
        <f>0.23/0.86</f>
        <v>0.26744186046511631</v>
      </c>
      <c r="F333" t="s">
        <v>72</v>
      </c>
      <c r="G333" t="s">
        <v>93</v>
      </c>
    </row>
    <row r="334" spans="1:7" x14ac:dyDescent="0.45">
      <c r="A334" t="s">
        <v>70</v>
      </c>
      <c r="B334" t="s">
        <v>336</v>
      </c>
      <c r="C334" t="s">
        <v>2</v>
      </c>
      <c r="D334">
        <v>2040</v>
      </c>
      <c r="E334" s="4">
        <f>0.23/0.86</f>
        <v>0.26744186046511631</v>
      </c>
      <c r="F334" t="s">
        <v>72</v>
      </c>
      <c r="G334" t="s">
        <v>93</v>
      </c>
    </row>
    <row r="335" spans="1:7" x14ac:dyDescent="0.45">
      <c r="A335" t="s">
        <v>70</v>
      </c>
      <c r="B335" t="s">
        <v>336</v>
      </c>
      <c r="C335" t="s">
        <v>2</v>
      </c>
      <c r="D335">
        <v>2050</v>
      </c>
      <c r="E335" s="4">
        <f>0.23/0.86</f>
        <v>0.26744186046511631</v>
      </c>
      <c r="F335" t="s">
        <v>72</v>
      </c>
      <c r="G335" t="s">
        <v>93</v>
      </c>
    </row>
    <row r="336" spans="1:7" x14ac:dyDescent="0.45">
      <c r="A336" t="s">
        <v>70</v>
      </c>
      <c r="B336" t="s">
        <v>148</v>
      </c>
      <c r="C336" t="s">
        <v>2</v>
      </c>
      <c r="D336">
        <v>2030</v>
      </c>
      <c r="E336" s="4">
        <f>1/0.37</f>
        <v>2.7027027027027026</v>
      </c>
      <c r="F336" t="s">
        <v>72</v>
      </c>
      <c r="G336" t="s">
        <v>24</v>
      </c>
    </row>
    <row r="337" spans="1:7" x14ac:dyDescent="0.45">
      <c r="A337" t="s">
        <v>70</v>
      </c>
      <c r="B337" t="s">
        <v>148</v>
      </c>
      <c r="C337" t="s">
        <v>2</v>
      </c>
      <c r="D337">
        <v>2040</v>
      </c>
      <c r="E337" s="4">
        <f>1/0.37</f>
        <v>2.7027027027027026</v>
      </c>
      <c r="F337" t="s">
        <v>72</v>
      </c>
      <c r="G337" t="s">
        <v>24</v>
      </c>
    </row>
    <row r="338" spans="1:7" x14ac:dyDescent="0.45">
      <c r="A338" t="s">
        <v>70</v>
      </c>
      <c r="B338" t="s">
        <v>148</v>
      </c>
      <c r="C338" t="s">
        <v>2</v>
      </c>
      <c r="D338">
        <v>2050</v>
      </c>
      <c r="E338" s="4">
        <f>1/0.37</f>
        <v>2.7027027027027026</v>
      </c>
      <c r="F338" t="s">
        <v>72</v>
      </c>
      <c r="G338" t="s">
        <v>24</v>
      </c>
    </row>
    <row r="339" spans="1:7" x14ac:dyDescent="0.45">
      <c r="A339" t="s">
        <v>70</v>
      </c>
      <c r="B339" t="s">
        <v>149</v>
      </c>
      <c r="C339" t="s">
        <v>2</v>
      </c>
      <c r="D339">
        <v>2030</v>
      </c>
      <c r="E339" s="4">
        <f>1/0.07</f>
        <v>14.285714285714285</v>
      </c>
      <c r="F339" t="s">
        <v>152</v>
      </c>
      <c r="G339" t="s">
        <v>24</v>
      </c>
    </row>
    <row r="340" spans="1:7" x14ac:dyDescent="0.45">
      <c r="A340" t="s">
        <v>70</v>
      </c>
      <c r="B340" t="s">
        <v>149</v>
      </c>
      <c r="C340" t="s">
        <v>2</v>
      </c>
      <c r="D340">
        <v>2040</v>
      </c>
      <c r="E340" s="4">
        <f>1/0.07</f>
        <v>14.285714285714285</v>
      </c>
      <c r="F340" t="s">
        <v>152</v>
      </c>
      <c r="G340" t="s">
        <v>24</v>
      </c>
    </row>
    <row r="341" spans="1:7" x14ac:dyDescent="0.45">
      <c r="A341" t="s">
        <v>70</v>
      </c>
      <c r="B341" t="s">
        <v>149</v>
      </c>
      <c r="C341" t="s">
        <v>2</v>
      </c>
      <c r="D341">
        <v>2050</v>
      </c>
      <c r="E341" s="4">
        <f>1/0.07</f>
        <v>14.285714285714285</v>
      </c>
      <c r="F341" t="s">
        <v>152</v>
      </c>
      <c r="G341" t="s">
        <v>24</v>
      </c>
    </row>
    <row r="342" spans="1:7" x14ac:dyDescent="0.45">
      <c r="A342" t="s">
        <v>70</v>
      </c>
      <c r="B342" t="s">
        <v>150</v>
      </c>
      <c r="C342" t="s">
        <v>2</v>
      </c>
      <c r="D342">
        <v>2030</v>
      </c>
      <c r="E342" s="4">
        <f>1/0.84</f>
        <v>1.1904761904761905</v>
      </c>
      <c r="F342" t="s">
        <v>72</v>
      </c>
      <c r="G342" t="s">
        <v>24</v>
      </c>
    </row>
    <row r="343" spans="1:7" x14ac:dyDescent="0.45">
      <c r="A343" t="s">
        <v>70</v>
      </c>
      <c r="B343" t="s">
        <v>150</v>
      </c>
      <c r="C343" t="s">
        <v>2</v>
      </c>
      <c r="D343">
        <v>2040</v>
      </c>
      <c r="E343" s="4">
        <f>1/0.84</f>
        <v>1.1904761904761905</v>
      </c>
      <c r="F343" t="s">
        <v>72</v>
      </c>
      <c r="G343" t="s">
        <v>24</v>
      </c>
    </row>
    <row r="344" spans="1:7" x14ac:dyDescent="0.45">
      <c r="A344" t="s">
        <v>70</v>
      </c>
      <c r="B344" t="s">
        <v>150</v>
      </c>
      <c r="C344" t="s">
        <v>2</v>
      </c>
      <c r="D344">
        <v>2050</v>
      </c>
      <c r="E344" s="4">
        <f>1/0.84</f>
        <v>1.1904761904761905</v>
      </c>
      <c r="F344" t="s">
        <v>72</v>
      </c>
      <c r="G344" t="s">
        <v>24</v>
      </c>
    </row>
    <row r="345" spans="1:7" x14ac:dyDescent="0.45">
      <c r="A345" t="s">
        <v>70</v>
      </c>
      <c r="B345" t="s">
        <v>151</v>
      </c>
      <c r="C345" t="s">
        <v>2</v>
      </c>
      <c r="D345">
        <v>2030</v>
      </c>
      <c r="E345" s="4">
        <f>0.11/(0.37)</f>
        <v>0.29729729729729731</v>
      </c>
      <c r="F345" t="s">
        <v>72</v>
      </c>
      <c r="G345" t="s">
        <v>24</v>
      </c>
    </row>
    <row r="346" spans="1:7" x14ac:dyDescent="0.45">
      <c r="A346" t="s">
        <v>70</v>
      </c>
      <c r="B346" t="s">
        <v>151</v>
      </c>
      <c r="C346" t="s">
        <v>2</v>
      </c>
      <c r="D346">
        <v>2040</v>
      </c>
      <c r="E346" s="4">
        <f>0.11/(0.37)</f>
        <v>0.29729729729729731</v>
      </c>
      <c r="F346" t="s">
        <v>72</v>
      </c>
      <c r="G346" t="s">
        <v>24</v>
      </c>
    </row>
    <row r="347" spans="1:7" x14ac:dyDescent="0.45">
      <c r="A347" t="s">
        <v>70</v>
      </c>
      <c r="B347" t="s">
        <v>151</v>
      </c>
      <c r="C347" t="s">
        <v>2</v>
      </c>
      <c r="D347">
        <v>2050</v>
      </c>
      <c r="E347" s="4">
        <f>0.11/(0.37)</f>
        <v>0.29729729729729731</v>
      </c>
      <c r="F347" t="s">
        <v>72</v>
      </c>
      <c r="G347" t="s">
        <v>24</v>
      </c>
    </row>
    <row r="348" spans="1:7" x14ac:dyDescent="0.45">
      <c r="A348" t="s">
        <v>70</v>
      </c>
      <c r="B348" t="s">
        <v>158</v>
      </c>
      <c r="C348" t="s">
        <v>2</v>
      </c>
      <c r="D348">
        <v>2030</v>
      </c>
      <c r="E348" s="4">
        <v>16.399999999999999</v>
      </c>
      <c r="F348" t="s">
        <v>72</v>
      </c>
      <c r="G348" t="s">
        <v>155</v>
      </c>
    </row>
    <row r="349" spans="1:7" x14ac:dyDescent="0.45">
      <c r="A349" t="s">
        <v>70</v>
      </c>
      <c r="B349" t="s">
        <v>158</v>
      </c>
      <c r="C349" t="s">
        <v>2</v>
      </c>
      <c r="D349">
        <v>2040</v>
      </c>
      <c r="E349" s="4">
        <v>16.399999999999999</v>
      </c>
      <c r="F349" t="s">
        <v>72</v>
      </c>
      <c r="G349" t="s">
        <v>155</v>
      </c>
    </row>
    <row r="350" spans="1:7" x14ac:dyDescent="0.45">
      <c r="A350" t="s">
        <v>70</v>
      </c>
      <c r="B350" t="s">
        <v>158</v>
      </c>
      <c r="C350" t="s">
        <v>2</v>
      </c>
      <c r="D350">
        <v>2050</v>
      </c>
      <c r="E350" s="4">
        <v>16.399999999999999</v>
      </c>
      <c r="F350" t="s">
        <v>72</v>
      </c>
      <c r="G350" t="s">
        <v>155</v>
      </c>
    </row>
    <row r="351" spans="1:7" x14ac:dyDescent="0.45">
      <c r="A351" t="s">
        <v>70</v>
      </c>
      <c r="B351" t="s">
        <v>159</v>
      </c>
      <c r="C351" t="s">
        <v>2</v>
      </c>
      <c r="D351">
        <v>2030</v>
      </c>
      <c r="E351" s="4">
        <v>0.86315789473684212</v>
      </c>
      <c r="F351" t="s">
        <v>72</v>
      </c>
      <c r="G351" t="s">
        <v>155</v>
      </c>
    </row>
    <row r="352" spans="1:7" x14ac:dyDescent="0.45">
      <c r="A352" t="s">
        <v>70</v>
      </c>
      <c r="B352" t="s">
        <v>159</v>
      </c>
      <c r="C352" t="s">
        <v>2</v>
      </c>
      <c r="D352">
        <v>2040</v>
      </c>
      <c r="E352" s="4">
        <v>0.86315789473684212</v>
      </c>
      <c r="F352" t="s">
        <v>72</v>
      </c>
      <c r="G352" t="s">
        <v>155</v>
      </c>
    </row>
    <row r="353" spans="1:7" x14ac:dyDescent="0.45">
      <c r="A353" t="s">
        <v>70</v>
      </c>
      <c r="B353" t="s">
        <v>159</v>
      </c>
      <c r="C353" t="s">
        <v>2</v>
      </c>
      <c r="D353">
        <v>2050</v>
      </c>
      <c r="E353" s="4">
        <v>0.86315789473684212</v>
      </c>
      <c r="F353" t="s">
        <v>72</v>
      </c>
      <c r="G353" t="s">
        <v>155</v>
      </c>
    </row>
    <row r="354" spans="1:7" x14ac:dyDescent="0.45">
      <c r="A354" t="s">
        <v>70</v>
      </c>
      <c r="B354" t="s">
        <v>160</v>
      </c>
      <c r="C354" t="s">
        <v>2</v>
      </c>
      <c r="D354">
        <v>2030</v>
      </c>
      <c r="E354" s="4">
        <v>16.399999999999999</v>
      </c>
      <c r="F354" t="s">
        <v>72</v>
      </c>
      <c r="G354" t="s">
        <v>155</v>
      </c>
    </row>
    <row r="355" spans="1:7" x14ac:dyDescent="0.45">
      <c r="A355" t="s">
        <v>70</v>
      </c>
      <c r="B355" t="s">
        <v>160</v>
      </c>
      <c r="C355" t="s">
        <v>2</v>
      </c>
      <c r="D355">
        <v>2040</v>
      </c>
      <c r="E355" s="4">
        <v>16.399999999999999</v>
      </c>
      <c r="F355" t="s">
        <v>72</v>
      </c>
      <c r="G355" t="s">
        <v>155</v>
      </c>
    </row>
    <row r="356" spans="1:7" x14ac:dyDescent="0.45">
      <c r="A356" t="s">
        <v>70</v>
      </c>
      <c r="B356" t="s">
        <v>160</v>
      </c>
      <c r="C356" t="s">
        <v>2</v>
      </c>
      <c r="D356">
        <v>2050</v>
      </c>
      <c r="E356" s="4">
        <v>16.399999999999999</v>
      </c>
      <c r="F356" t="s">
        <v>72</v>
      </c>
      <c r="G356" t="s">
        <v>155</v>
      </c>
    </row>
    <row r="357" spans="1:7" x14ac:dyDescent="0.45">
      <c r="A357" t="s">
        <v>70</v>
      </c>
      <c r="B357" t="s">
        <v>161</v>
      </c>
      <c r="C357" t="s">
        <v>2</v>
      </c>
      <c r="D357">
        <v>2030</v>
      </c>
      <c r="E357" s="4">
        <v>0.86315789473684212</v>
      </c>
      <c r="F357" t="s">
        <v>72</v>
      </c>
      <c r="G357" t="s">
        <v>155</v>
      </c>
    </row>
    <row r="358" spans="1:7" x14ac:dyDescent="0.45">
      <c r="A358" t="s">
        <v>70</v>
      </c>
      <c r="B358" t="s">
        <v>161</v>
      </c>
      <c r="C358" t="s">
        <v>2</v>
      </c>
      <c r="D358">
        <v>2040</v>
      </c>
      <c r="E358" s="4">
        <v>0.86315789473684212</v>
      </c>
      <c r="F358" t="s">
        <v>72</v>
      </c>
      <c r="G358" t="s">
        <v>155</v>
      </c>
    </row>
    <row r="359" spans="1:7" x14ac:dyDescent="0.45">
      <c r="A359" t="s">
        <v>70</v>
      </c>
      <c r="B359" t="s">
        <v>161</v>
      </c>
      <c r="C359" t="s">
        <v>2</v>
      </c>
      <c r="D359">
        <v>2050</v>
      </c>
      <c r="E359" s="4">
        <v>0.86315789473684212</v>
      </c>
      <c r="F359" t="s">
        <v>72</v>
      </c>
      <c r="G359" t="s">
        <v>155</v>
      </c>
    </row>
    <row r="360" spans="1:7" x14ac:dyDescent="0.45">
      <c r="A360" t="s">
        <v>70</v>
      </c>
      <c r="B360" t="s">
        <v>263</v>
      </c>
      <c r="C360" t="s">
        <v>2</v>
      </c>
      <c r="D360">
        <v>2030</v>
      </c>
      <c r="E360" s="4">
        <v>0.65</v>
      </c>
      <c r="F360" t="s">
        <v>72</v>
      </c>
      <c r="G360" t="s">
        <v>261</v>
      </c>
    </row>
    <row r="361" spans="1:7" x14ac:dyDescent="0.45">
      <c r="A361" t="s">
        <v>70</v>
      </c>
      <c r="B361" t="s">
        <v>263</v>
      </c>
      <c r="C361" t="s">
        <v>2</v>
      </c>
      <c r="D361">
        <v>2040</v>
      </c>
      <c r="E361" s="4">
        <v>0.65</v>
      </c>
      <c r="F361" t="s">
        <v>72</v>
      </c>
      <c r="G361" t="s">
        <v>261</v>
      </c>
    </row>
    <row r="362" spans="1:7" x14ac:dyDescent="0.45">
      <c r="A362" t="s">
        <v>70</v>
      </c>
      <c r="B362" t="s">
        <v>263</v>
      </c>
      <c r="C362" t="s">
        <v>2</v>
      </c>
      <c r="D362">
        <v>2050</v>
      </c>
      <c r="E362" s="4">
        <v>0.65</v>
      </c>
      <c r="F362" t="s">
        <v>72</v>
      </c>
      <c r="G362" t="s">
        <v>261</v>
      </c>
    </row>
    <row r="363" spans="1:7" x14ac:dyDescent="0.45">
      <c r="A363" t="s">
        <v>70</v>
      </c>
      <c r="B363" t="s">
        <v>272</v>
      </c>
      <c r="C363" t="s">
        <v>2</v>
      </c>
      <c r="D363">
        <v>2030</v>
      </c>
      <c r="E363" s="4">
        <v>0.08</v>
      </c>
      <c r="F363" t="s">
        <v>72</v>
      </c>
      <c r="G363" t="s">
        <v>261</v>
      </c>
    </row>
    <row r="364" spans="1:7" x14ac:dyDescent="0.45">
      <c r="A364" t="s">
        <v>70</v>
      </c>
      <c r="B364" t="s">
        <v>272</v>
      </c>
      <c r="C364" t="s">
        <v>2</v>
      </c>
      <c r="D364">
        <v>2040</v>
      </c>
      <c r="E364" s="4">
        <v>0.08</v>
      </c>
      <c r="F364" t="s">
        <v>72</v>
      </c>
      <c r="G364" t="s">
        <v>261</v>
      </c>
    </row>
    <row r="365" spans="1:7" x14ac:dyDescent="0.45">
      <c r="A365" t="s">
        <v>70</v>
      </c>
      <c r="B365" t="s">
        <v>272</v>
      </c>
      <c r="C365" t="s">
        <v>2</v>
      </c>
      <c r="D365">
        <v>2050</v>
      </c>
      <c r="E365" s="4">
        <v>0.08</v>
      </c>
      <c r="F365" t="s">
        <v>72</v>
      </c>
      <c r="G365" t="s">
        <v>261</v>
      </c>
    </row>
    <row r="366" spans="1:7" x14ac:dyDescent="0.45">
      <c r="A366" t="s">
        <v>70</v>
      </c>
      <c r="B366" t="s">
        <v>264</v>
      </c>
      <c r="C366" t="s">
        <v>2</v>
      </c>
      <c r="D366">
        <v>2030</v>
      </c>
      <c r="E366" s="4">
        <v>0.1</v>
      </c>
      <c r="F366" t="s">
        <v>72</v>
      </c>
      <c r="G366" t="s">
        <v>261</v>
      </c>
    </row>
    <row r="367" spans="1:7" x14ac:dyDescent="0.45">
      <c r="A367" t="s">
        <v>70</v>
      </c>
      <c r="B367" t="s">
        <v>264</v>
      </c>
      <c r="C367" t="s">
        <v>2</v>
      </c>
      <c r="D367">
        <v>2040</v>
      </c>
      <c r="E367" s="4">
        <v>0.1</v>
      </c>
      <c r="F367" t="s">
        <v>72</v>
      </c>
      <c r="G367" t="s">
        <v>261</v>
      </c>
    </row>
    <row r="368" spans="1:7" x14ac:dyDescent="0.45">
      <c r="A368" t="s">
        <v>70</v>
      </c>
      <c r="B368" t="s">
        <v>264</v>
      </c>
      <c r="C368" t="s">
        <v>2</v>
      </c>
      <c r="D368">
        <v>2050</v>
      </c>
      <c r="E368" s="4">
        <v>0.1</v>
      </c>
      <c r="F368" t="s">
        <v>72</v>
      </c>
      <c r="G368" t="s">
        <v>261</v>
      </c>
    </row>
    <row r="369" spans="1:6" x14ac:dyDescent="0.45">
      <c r="A369" t="s">
        <v>169</v>
      </c>
      <c r="B369" t="s">
        <v>364</v>
      </c>
      <c r="C369" t="s">
        <v>2</v>
      </c>
      <c r="D369">
        <v>2030</v>
      </c>
      <c r="E369" s="1">
        <v>19117</v>
      </c>
      <c r="F369" t="s">
        <v>33</v>
      </c>
    </row>
    <row r="370" spans="1:6" x14ac:dyDescent="0.45">
      <c r="A370" t="s">
        <v>169</v>
      </c>
      <c r="B370" t="s">
        <v>371</v>
      </c>
      <c r="C370" t="s">
        <v>2</v>
      </c>
      <c r="D370">
        <v>2030</v>
      </c>
      <c r="E370" s="1">
        <v>20332</v>
      </c>
      <c r="F370" t="s">
        <v>33</v>
      </c>
    </row>
    <row r="371" spans="1:6" x14ac:dyDescent="0.45">
      <c r="A371" t="s">
        <v>169</v>
      </c>
      <c r="B371" t="s">
        <v>378</v>
      </c>
      <c r="C371" t="s">
        <v>2</v>
      </c>
      <c r="D371">
        <v>2030</v>
      </c>
      <c r="E371" s="1">
        <v>40665</v>
      </c>
      <c r="F371" t="s">
        <v>33</v>
      </c>
    </row>
    <row r="372" spans="1:6" x14ac:dyDescent="0.45">
      <c r="A372" t="s">
        <v>169</v>
      </c>
      <c r="B372" t="s">
        <v>385</v>
      </c>
      <c r="C372" t="s">
        <v>2</v>
      </c>
      <c r="D372">
        <v>2030</v>
      </c>
      <c r="E372" s="1">
        <v>21824</v>
      </c>
      <c r="F372" t="s">
        <v>33</v>
      </c>
    </row>
    <row r="373" spans="1:6" x14ac:dyDescent="0.45">
      <c r="A373" t="s">
        <v>169</v>
      </c>
      <c r="B373" t="s">
        <v>392</v>
      </c>
      <c r="C373" t="s">
        <v>2</v>
      </c>
      <c r="D373">
        <v>2030</v>
      </c>
      <c r="E373" s="1">
        <v>16426</v>
      </c>
      <c r="F373" t="s">
        <v>33</v>
      </c>
    </row>
    <row r="374" spans="1:6" x14ac:dyDescent="0.45">
      <c r="A374" t="s">
        <v>169</v>
      </c>
      <c r="B374" t="s">
        <v>399</v>
      </c>
      <c r="C374" t="s">
        <v>2</v>
      </c>
      <c r="D374">
        <v>2030</v>
      </c>
      <c r="E374" s="1">
        <v>32859</v>
      </c>
      <c r="F374" t="s">
        <v>33</v>
      </c>
    </row>
    <row r="375" spans="1:6" x14ac:dyDescent="0.45">
      <c r="A375" t="s">
        <v>169</v>
      </c>
      <c r="B375" t="s">
        <v>406</v>
      </c>
      <c r="C375" t="s">
        <v>2</v>
      </c>
      <c r="D375">
        <v>2030</v>
      </c>
      <c r="E375" s="1"/>
      <c r="F375" t="s">
        <v>33</v>
      </c>
    </row>
    <row r="376" spans="1:6" x14ac:dyDescent="0.45">
      <c r="A376" t="s">
        <v>169</v>
      </c>
      <c r="B376" t="s">
        <v>413</v>
      </c>
      <c r="C376" t="s">
        <v>2</v>
      </c>
      <c r="D376">
        <v>2030</v>
      </c>
      <c r="E376" s="1"/>
      <c r="F376" t="s">
        <v>33</v>
      </c>
    </row>
    <row r="377" spans="1:6" x14ac:dyDescent="0.45">
      <c r="A377" t="s">
        <v>169</v>
      </c>
      <c r="B377" t="s">
        <v>420</v>
      </c>
      <c r="C377" t="s">
        <v>2</v>
      </c>
      <c r="D377">
        <v>2030</v>
      </c>
      <c r="E377" s="1"/>
      <c r="F377" t="s">
        <v>33</v>
      </c>
    </row>
    <row r="378" spans="1:6" x14ac:dyDescent="0.45">
      <c r="A378" t="s">
        <v>169</v>
      </c>
      <c r="B378" t="s">
        <v>427</v>
      </c>
      <c r="C378" t="s">
        <v>2</v>
      </c>
      <c r="D378">
        <v>2030</v>
      </c>
      <c r="E378" s="1"/>
      <c r="F378" t="s">
        <v>33</v>
      </c>
    </row>
    <row r="379" spans="1:6" x14ac:dyDescent="0.45">
      <c r="A379" t="s">
        <v>169</v>
      </c>
      <c r="B379" t="s">
        <v>434</v>
      </c>
      <c r="C379" t="s">
        <v>2</v>
      </c>
      <c r="D379">
        <v>2030</v>
      </c>
      <c r="E379" s="1"/>
      <c r="F379" t="s">
        <v>33</v>
      </c>
    </row>
    <row r="380" spans="1:6" x14ac:dyDescent="0.45">
      <c r="A380" t="s">
        <v>169</v>
      </c>
      <c r="B380" t="s">
        <v>365</v>
      </c>
      <c r="C380" t="s">
        <v>2</v>
      </c>
      <c r="D380">
        <v>2030</v>
      </c>
      <c r="E380" s="1">
        <v>314076</v>
      </c>
      <c r="F380" t="s">
        <v>33</v>
      </c>
    </row>
    <row r="381" spans="1:6" x14ac:dyDescent="0.45">
      <c r="A381" t="s">
        <v>169</v>
      </c>
      <c r="B381" t="s">
        <v>372</v>
      </c>
      <c r="C381" t="s">
        <v>2</v>
      </c>
      <c r="D381">
        <v>2030</v>
      </c>
      <c r="E381" s="1">
        <v>165658</v>
      </c>
      <c r="F381" t="s">
        <v>33</v>
      </c>
    </row>
    <row r="382" spans="1:6" x14ac:dyDescent="0.45">
      <c r="A382" t="s">
        <v>169</v>
      </c>
      <c r="B382" t="s">
        <v>379</v>
      </c>
      <c r="C382" t="s">
        <v>2</v>
      </c>
      <c r="D382">
        <v>2030</v>
      </c>
      <c r="E382" s="1">
        <v>331317</v>
      </c>
      <c r="F382" t="s">
        <v>33</v>
      </c>
    </row>
    <row r="383" spans="1:6" x14ac:dyDescent="0.45">
      <c r="A383" t="s">
        <v>169</v>
      </c>
      <c r="B383" t="s">
        <v>386</v>
      </c>
      <c r="C383" t="s">
        <v>2</v>
      </c>
      <c r="D383">
        <v>2030</v>
      </c>
      <c r="E383" s="1">
        <v>167286</v>
      </c>
      <c r="F383" t="s">
        <v>33</v>
      </c>
    </row>
    <row r="384" spans="1:6" x14ac:dyDescent="0.45">
      <c r="A384" t="s">
        <v>169</v>
      </c>
      <c r="B384" t="s">
        <v>393</v>
      </c>
      <c r="C384" t="s">
        <v>2</v>
      </c>
      <c r="D384">
        <v>2030</v>
      </c>
      <c r="E384" s="1">
        <v>23642.5</v>
      </c>
      <c r="F384" t="s">
        <v>33</v>
      </c>
    </row>
    <row r="385" spans="1:6" x14ac:dyDescent="0.45">
      <c r="A385" t="s">
        <v>169</v>
      </c>
      <c r="B385" t="s">
        <v>400</v>
      </c>
      <c r="C385" t="s">
        <v>2</v>
      </c>
      <c r="D385">
        <v>2030</v>
      </c>
      <c r="E385" s="1">
        <v>215062</v>
      </c>
      <c r="F385" t="s">
        <v>33</v>
      </c>
    </row>
    <row r="386" spans="1:6" x14ac:dyDescent="0.45">
      <c r="A386" t="s">
        <v>169</v>
      </c>
      <c r="B386" t="s">
        <v>407</v>
      </c>
      <c r="C386" t="s">
        <v>2</v>
      </c>
      <c r="D386">
        <v>2030</v>
      </c>
      <c r="E386" s="1"/>
      <c r="F386" t="s">
        <v>33</v>
      </c>
    </row>
    <row r="387" spans="1:6" x14ac:dyDescent="0.45">
      <c r="A387" t="s">
        <v>169</v>
      </c>
      <c r="B387" t="s">
        <v>414</v>
      </c>
      <c r="C387" t="s">
        <v>2</v>
      </c>
      <c r="D387">
        <v>2030</v>
      </c>
      <c r="E387" s="1"/>
      <c r="F387" t="s">
        <v>33</v>
      </c>
    </row>
    <row r="388" spans="1:6" x14ac:dyDescent="0.45">
      <c r="A388" t="s">
        <v>169</v>
      </c>
      <c r="B388" t="s">
        <v>421</v>
      </c>
      <c r="C388" t="s">
        <v>2</v>
      </c>
      <c r="D388">
        <v>2030</v>
      </c>
      <c r="E388" s="1"/>
      <c r="F388" t="s">
        <v>33</v>
      </c>
    </row>
    <row r="389" spans="1:6" x14ac:dyDescent="0.45">
      <c r="A389" t="s">
        <v>169</v>
      </c>
      <c r="B389" t="s">
        <v>428</v>
      </c>
      <c r="C389" t="s">
        <v>2</v>
      </c>
      <c r="D389">
        <v>2030</v>
      </c>
      <c r="E389" s="1"/>
      <c r="F389" t="s">
        <v>33</v>
      </c>
    </row>
    <row r="390" spans="1:6" x14ac:dyDescent="0.45">
      <c r="A390" t="s">
        <v>169</v>
      </c>
      <c r="B390" t="s">
        <v>435</v>
      </c>
      <c r="C390" t="s">
        <v>2</v>
      </c>
      <c r="D390">
        <v>2030</v>
      </c>
      <c r="E390" s="1"/>
      <c r="F390" t="s">
        <v>33</v>
      </c>
    </row>
    <row r="391" spans="1:6" x14ac:dyDescent="0.45">
      <c r="A391" t="s">
        <v>169</v>
      </c>
      <c r="B391" t="s">
        <v>364</v>
      </c>
      <c r="C391" t="s">
        <v>2</v>
      </c>
      <c r="D391">
        <v>2040</v>
      </c>
      <c r="E391" s="1">
        <v>19117</v>
      </c>
      <c r="F391" t="s">
        <v>33</v>
      </c>
    </row>
    <row r="392" spans="1:6" x14ac:dyDescent="0.45">
      <c r="A392" t="s">
        <v>169</v>
      </c>
      <c r="B392" t="s">
        <v>371</v>
      </c>
      <c r="C392" t="s">
        <v>2</v>
      </c>
      <c r="D392">
        <v>2040</v>
      </c>
      <c r="E392" s="1">
        <v>20332</v>
      </c>
      <c r="F392" t="s">
        <v>33</v>
      </c>
    </row>
    <row r="393" spans="1:6" x14ac:dyDescent="0.45">
      <c r="A393" t="s">
        <v>169</v>
      </c>
      <c r="B393" t="s">
        <v>378</v>
      </c>
      <c r="C393" t="s">
        <v>2</v>
      </c>
      <c r="D393">
        <v>2040</v>
      </c>
      <c r="E393" s="1">
        <v>40665</v>
      </c>
      <c r="F393" t="s">
        <v>33</v>
      </c>
    </row>
    <row r="394" spans="1:6" x14ac:dyDescent="0.45">
      <c r="A394" t="s">
        <v>169</v>
      </c>
      <c r="B394" t="s">
        <v>385</v>
      </c>
      <c r="C394" t="s">
        <v>2</v>
      </c>
      <c r="D394">
        <v>2040</v>
      </c>
      <c r="E394" s="1">
        <v>21824</v>
      </c>
      <c r="F394" t="s">
        <v>33</v>
      </c>
    </row>
    <row r="395" spans="1:6" x14ac:dyDescent="0.45">
      <c r="A395" t="s">
        <v>169</v>
      </c>
      <c r="B395" t="s">
        <v>392</v>
      </c>
      <c r="C395" t="s">
        <v>2</v>
      </c>
      <c r="D395">
        <v>2040</v>
      </c>
      <c r="E395" s="1">
        <v>16426</v>
      </c>
      <c r="F395" t="s">
        <v>33</v>
      </c>
    </row>
    <row r="396" spans="1:6" x14ac:dyDescent="0.45">
      <c r="A396" t="s">
        <v>169</v>
      </c>
      <c r="B396" t="s">
        <v>399</v>
      </c>
      <c r="C396" t="s">
        <v>2</v>
      </c>
      <c r="D396">
        <v>2040</v>
      </c>
      <c r="E396" s="1">
        <v>32859</v>
      </c>
      <c r="F396" t="s">
        <v>33</v>
      </c>
    </row>
    <row r="397" spans="1:6" x14ac:dyDescent="0.45">
      <c r="A397" t="s">
        <v>169</v>
      </c>
      <c r="B397" t="s">
        <v>406</v>
      </c>
      <c r="C397" t="s">
        <v>2</v>
      </c>
      <c r="D397">
        <v>2040</v>
      </c>
      <c r="E397" s="1"/>
      <c r="F397" t="s">
        <v>33</v>
      </c>
    </row>
    <row r="398" spans="1:6" x14ac:dyDescent="0.45">
      <c r="A398" t="s">
        <v>169</v>
      </c>
      <c r="B398" t="s">
        <v>413</v>
      </c>
      <c r="C398" t="s">
        <v>2</v>
      </c>
      <c r="D398">
        <v>2040</v>
      </c>
      <c r="E398" s="1"/>
      <c r="F398" t="s">
        <v>33</v>
      </c>
    </row>
    <row r="399" spans="1:6" x14ac:dyDescent="0.45">
      <c r="A399" t="s">
        <v>169</v>
      </c>
      <c r="B399" t="s">
        <v>420</v>
      </c>
      <c r="C399" t="s">
        <v>2</v>
      </c>
      <c r="D399">
        <v>2040</v>
      </c>
      <c r="E399" s="1"/>
      <c r="F399" t="s">
        <v>33</v>
      </c>
    </row>
    <row r="400" spans="1:6" x14ac:dyDescent="0.45">
      <c r="A400" t="s">
        <v>169</v>
      </c>
      <c r="B400" t="s">
        <v>427</v>
      </c>
      <c r="C400" t="s">
        <v>2</v>
      </c>
      <c r="D400">
        <v>2040</v>
      </c>
      <c r="E400" s="1"/>
      <c r="F400" t="s">
        <v>33</v>
      </c>
    </row>
    <row r="401" spans="1:6" x14ac:dyDescent="0.45">
      <c r="A401" t="s">
        <v>169</v>
      </c>
      <c r="B401" t="s">
        <v>434</v>
      </c>
      <c r="C401" t="s">
        <v>2</v>
      </c>
      <c r="D401">
        <v>2040</v>
      </c>
      <c r="E401" s="1"/>
      <c r="F401" t="s">
        <v>33</v>
      </c>
    </row>
    <row r="402" spans="1:6" x14ac:dyDescent="0.45">
      <c r="A402" t="s">
        <v>169</v>
      </c>
      <c r="B402" t="s">
        <v>365</v>
      </c>
      <c r="C402" t="s">
        <v>2</v>
      </c>
      <c r="D402">
        <v>2040</v>
      </c>
      <c r="E402" s="1">
        <v>314076</v>
      </c>
      <c r="F402" t="s">
        <v>33</v>
      </c>
    </row>
    <row r="403" spans="1:6" x14ac:dyDescent="0.45">
      <c r="A403" t="s">
        <v>169</v>
      </c>
      <c r="B403" t="s">
        <v>372</v>
      </c>
      <c r="C403" t="s">
        <v>2</v>
      </c>
      <c r="D403">
        <v>2040</v>
      </c>
      <c r="E403" s="1">
        <v>165658</v>
      </c>
      <c r="F403" t="s">
        <v>33</v>
      </c>
    </row>
    <row r="404" spans="1:6" x14ac:dyDescent="0.45">
      <c r="A404" t="s">
        <v>169</v>
      </c>
      <c r="B404" t="s">
        <v>379</v>
      </c>
      <c r="C404" t="s">
        <v>2</v>
      </c>
      <c r="D404">
        <v>2040</v>
      </c>
      <c r="E404" s="1">
        <v>331317</v>
      </c>
      <c r="F404" t="s">
        <v>33</v>
      </c>
    </row>
    <row r="405" spans="1:6" x14ac:dyDescent="0.45">
      <c r="A405" t="s">
        <v>169</v>
      </c>
      <c r="B405" t="s">
        <v>386</v>
      </c>
      <c r="C405" t="s">
        <v>2</v>
      </c>
      <c r="D405">
        <v>2040</v>
      </c>
      <c r="E405" s="1">
        <v>167286</v>
      </c>
      <c r="F405" t="s">
        <v>33</v>
      </c>
    </row>
    <row r="406" spans="1:6" x14ac:dyDescent="0.45">
      <c r="A406" t="s">
        <v>169</v>
      </c>
      <c r="B406" t="s">
        <v>393</v>
      </c>
      <c r="C406" t="s">
        <v>2</v>
      </c>
      <c r="D406">
        <v>2040</v>
      </c>
      <c r="E406" s="1">
        <v>23642.5</v>
      </c>
      <c r="F406" t="s">
        <v>33</v>
      </c>
    </row>
    <row r="407" spans="1:6" x14ac:dyDescent="0.45">
      <c r="A407" t="s">
        <v>169</v>
      </c>
      <c r="B407" t="s">
        <v>400</v>
      </c>
      <c r="C407" t="s">
        <v>2</v>
      </c>
      <c r="D407">
        <v>2040</v>
      </c>
      <c r="E407" s="1">
        <v>215062</v>
      </c>
      <c r="F407" t="s">
        <v>33</v>
      </c>
    </row>
    <row r="408" spans="1:6" x14ac:dyDescent="0.45">
      <c r="A408" t="s">
        <v>169</v>
      </c>
      <c r="B408" t="s">
        <v>407</v>
      </c>
      <c r="C408" t="s">
        <v>2</v>
      </c>
      <c r="D408">
        <v>2040</v>
      </c>
      <c r="E408" s="1"/>
      <c r="F408" t="s">
        <v>33</v>
      </c>
    </row>
    <row r="409" spans="1:6" x14ac:dyDescent="0.45">
      <c r="A409" t="s">
        <v>169</v>
      </c>
      <c r="B409" t="s">
        <v>414</v>
      </c>
      <c r="C409" t="s">
        <v>2</v>
      </c>
      <c r="D409">
        <v>2040</v>
      </c>
      <c r="E409" s="1"/>
      <c r="F409" t="s">
        <v>33</v>
      </c>
    </row>
    <row r="410" spans="1:6" x14ac:dyDescent="0.45">
      <c r="A410" t="s">
        <v>169</v>
      </c>
      <c r="B410" t="s">
        <v>421</v>
      </c>
      <c r="C410" t="s">
        <v>2</v>
      </c>
      <c r="D410">
        <v>2040</v>
      </c>
      <c r="E410" s="1"/>
      <c r="F410" t="s">
        <v>33</v>
      </c>
    </row>
    <row r="411" spans="1:6" x14ac:dyDescent="0.45">
      <c r="A411" t="s">
        <v>169</v>
      </c>
      <c r="B411" t="s">
        <v>428</v>
      </c>
      <c r="C411" t="s">
        <v>2</v>
      </c>
      <c r="D411">
        <v>2040</v>
      </c>
      <c r="E411" s="1"/>
      <c r="F411" t="s">
        <v>33</v>
      </c>
    </row>
    <row r="412" spans="1:6" x14ac:dyDescent="0.45">
      <c r="A412" t="s">
        <v>169</v>
      </c>
      <c r="B412" t="s">
        <v>435</v>
      </c>
      <c r="C412" t="s">
        <v>2</v>
      </c>
      <c r="D412">
        <v>2040</v>
      </c>
      <c r="E412" s="1"/>
      <c r="F412" t="s">
        <v>33</v>
      </c>
    </row>
    <row r="413" spans="1:6" x14ac:dyDescent="0.45">
      <c r="A413" t="s">
        <v>169</v>
      </c>
      <c r="B413" t="s">
        <v>364</v>
      </c>
      <c r="C413" t="s">
        <v>2</v>
      </c>
      <c r="D413">
        <v>2050</v>
      </c>
      <c r="E413" s="1">
        <v>19117</v>
      </c>
      <c r="F413" t="s">
        <v>33</v>
      </c>
    </row>
    <row r="414" spans="1:6" x14ac:dyDescent="0.45">
      <c r="A414" t="s">
        <v>169</v>
      </c>
      <c r="B414" t="s">
        <v>371</v>
      </c>
      <c r="C414" t="s">
        <v>2</v>
      </c>
      <c r="D414">
        <v>2050</v>
      </c>
      <c r="E414" s="1">
        <v>20332</v>
      </c>
      <c r="F414" t="s">
        <v>33</v>
      </c>
    </row>
    <row r="415" spans="1:6" x14ac:dyDescent="0.45">
      <c r="A415" t="s">
        <v>169</v>
      </c>
      <c r="B415" t="s">
        <v>378</v>
      </c>
      <c r="C415" t="s">
        <v>2</v>
      </c>
      <c r="D415">
        <v>2050</v>
      </c>
      <c r="E415" s="1">
        <v>40665</v>
      </c>
      <c r="F415" t="s">
        <v>33</v>
      </c>
    </row>
    <row r="416" spans="1:6" x14ac:dyDescent="0.45">
      <c r="A416" t="s">
        <v>169</v>
      </c>
      <c r="B416" t="s">
        <v>385</v>
      </c>
      <c r="C416" t="s">
        <v>2</v>
      </c>
      <c r="D416">
        <v>2050</v>
      </c>
      <c r="E416" s="1">
        <v>21824</v>
      </c>
      <c r="F416" t="s">
        <v>33</v>
      </c>
    </row>
    <row r="417" spans="1:6" x14ac:dyDescent="0.45">
      <c r="A417" t="s">
        <v>169</v>
      </c>
      <c r="B417" t="s">
        <v>392</v>
      </c>
      <c r="C417" t="s">
        <v>2</v>
      </c>
      <c r="D417">
        <v>2050</v>
      </c>
      <c r="E417" s="1">
        <v>16426</v>
      </c>
      <c r="F417" t="s">
        <v>33</v>
      </c>
    </row>
    <row r="418" spans="1:6" x14ac:dyDescent="0.45">
      <c r="A418" t="s">
        <v>169</v>
      </c>
      <c r="B418" t="s">
        <v>399</v>
      </c>
      <c r="C418" t="s">
        <v>2</v>
      </c>
      <c r="D418">
        <v>2050</v>
      </c>
      <c r="E418" s="1">
        <v>32859</v>
      </c>
      <c r="F418" t="s">
        <v>33</v>
      </c>
    </row>
    <row r="419" spans="1:6" x14ac:dyDescent="0.45">
      <c r="A419" t="s">
        <v>169</v>
      </c>
      <c r="B419" t="s">
        <v>406</v>
      </c>
      <c r="C419" t="s">
        <v>2</v>
      </c>
      <c r="D419">
        <v>2050</v>
      </c>
      <c r="E419" s="1"/>
      <c r="F419" t="s">
        <v>33</v>
      </c>
    </row>
    <row r="420" spans="1:6" x14ac:dyDescent="0.45">
      <c r="A420" t="s">
        <v>169</v>
      </c>
      <c r="B420" t="s">
        <v>413</v>
      </c>
      <c r="C420" t="s">
        <v>2</v>
      </c>
      <c r="D420">
        <v>2050</v>
      </c>
      <c r="E420" s="1"/>
      <c r="F420" t="s">
        <v>33</v>
      </c>
    </row>
    <row r="421" spans="1:6" x14ac:dyDescent="0.45">
      <c r="A421" t="s">
        <v>169</v>
      </c>
      <c r="B421" t="s">
        <v>420</v>
      </c>
      <c r="C421" t="s">
        <v>2</v>
      </c>
      <c r="D421">
        <v>2050</v>
      </c>
      <c r="E421" s="1"/>
      <c r="F421" t="s">
        <v>33</v>
      </c>
    </row>
    <row r="422" spans="1:6" x14ac:dyDescent="0.45">
      <c r="A422" t="s">
        <v>169</v>
      </c>
      <c r="B422" t="s">
        <v>427</v>
      </c>
      <c r="C422" t="s">
        <v>2</v>
      </c>
      <c r="D422">
        <v>2050</v>
      </c>
      <c r="E422" s="1"/>
      <c r="F422" t="s">
        <v>33</v>
      </c>
    </row>
    <row r="423" spans="1:6" x14ac:dyDescent="0.45">
      <c r="A423" t="s">
        <v>169</v>
      </c>
      <c r="B423" t="s">
        <v>434</v>
      </c>
      <c r="C423" t="s">
        <v>2</v>
      </c>
      <c r="D423">
        <v>2050</v>
      </c>
      <c r="E423" s="1"/>
      <c r="F423" t="s">
        <v>33</v>
      </c>
    </row>
    <row r="424" spans="1:6" x14ac:dyDescent="0.45">
      <c r="A424" t="s">
        <v>169</v>
      </c>
      <c r="B424" t="s">
        <v>365</v>
      </c>
      <c r="C424" t="s">
        <v>2</v>
      </c>
      <c r="D424">
        <v>2050</v>
      </c>
      <c r="E424" s="1">
        <v>314076</v>
      </c>
      <c r="F424" t="s">
        <v>33</v>
      </c>
    </row>
    <row r="425" spans="1:6" x14ac:dyDescent="0.45">
      <c r="A425" t="s">
        <v>169</v>
      </c>
      <c r="B425" t="s">
        <v>372</v>
      </c>
      <c r="C425" t="s">
        <v>2</v>
      </c>
      <c r="D425">
        <v>2050</v>
      </c>
      <c r="E425" s="1">
        <v>165658</v>
      </c>
      <c r="F425" t="s">
        <v>33</v>
      </c>
    </row>
    <row r="426" spans="1:6" x14ac:dyDescent="0.45">
      <c r="A426" t="s">
        <v>169</v>
      </c>
      <c r="B426" t="s">
        <v>379</v>
      </c>
      <c r="C426" t="s">
        <v>2</v>
      </c>
      <c r="D426">
        <v>2050</v>
      </c>
      <c r="E426" s="1">
        <v>331317</v>
      </c>
      <c r="F426" t="s">
        <v>33</v>
      </c>
    </row>
    <row r="427" spans="1:6" x14ac:dyDescent="0.45">
      <c r="A427" t="s">
        <v>169</v>
      </c>
      <c r="B427" t="s">
        <v>386</v>
      </c>
      <c r="C427" t="s">
        <v>2</v>
      </c>
      <c r="D427">
        <v>2050</v>
      </c>
      <c r="E427" s="1">
        <v>167286</v>
      </c>
      <c r="F427" t="s">
        <v>33</v>
      </c>
    </row>
    <row r="428" spans="1:6" x14ac:dyDescent="0.45">
      <c r="A428" t="s">
        <v>169</v>
      </c>
      <c r="B428" t="s">
        <v>393</v>
      </c>
      <c r="C428" t="s">
        <v>2</v>
      </c>
      <c r="D428">
        <v>2050</v>
      </c>
      <c r="E428" s="1">
        <v>23642.5</v>
      </c>
      <c r="F428" t="s">
        <v>33</v>
      </c>
    </row>
    <row r="429" spans="1:6" x14ac:dyDescent="0.45">
      <c r="A429" t="s">
        <v>169</v>
      </c>
      <c r="B429" t="s">
        <v>400</v>
      </c>
      <c r="C429" t="s">
        <v>2</v>
      </c>
      <c r="D429">
        <v>2050</v>
      </c>
      <c r="E429" s="1">
        <v>215062</v>
      </c>
      <c r="F429" t="s">
        <v>33</v>
      </c>
    </row>
    <row r="430" spans="1:6" x14ac:dyDescent="0.45">
      <c r="A430" t="s">
        <v>169</v>
      </c>
      <c r="B430" t="s">
        <v>407</v>
      </c>
      <c r="C430" t="s">
        <v>2</v>
      </c>
      <c r="D430">
        <v>2050</v>
      </c>
      <c r="E430" s="1"/>
      <c r="F430" t="s">
        <v>33</v>
      </c>
    </row>
    <row r="431" spans="1:6" x14ac:dyDescent="0.45">
      <c r="A431" t="s">
        <v>169</v>
      </c>
      <c r="B431" t="s">
        <v>414</v>
      </c>
      <c r="C431" t="s">
        <v>2</v>
      </c>
      <c r="D431">
        <v>2050</v>
      </c>
      <c r="E431" s="1"/>
      <c r="F431" t="s">
        <v>33</v>
      </c>
    </row>
    <row r="432" spans="1:6" x14ac:dyDescent="0.45">
      <c r="A432" t="s">
        <v>169</v>
      </c>
      <c r="B432" t="s">
        <v>421</v>
      </c>
      <c r="C432" t="s">
        <v>2</v>
      </c>
      <c r="D432">
        <v>2050</v>
      </c>
      <c r="E432" s="1"/>
      <c r="F432" t="s">
        <v>33</v>
      </c>
    </row>
    <row r="433" spans="1:9" x14ac:dyDescent="0.45">
      <c r="A433" t="s">
        <v>169</v>
      </c>
      <c r="B433" t="s">
        <v>428</v>
      </c>
      <c r="C433" t="s">
        <v>2</v>
      </c>
      <c r="D433">
        <v>2050</v>
      </c>
      <c r="E433" s="1"/>
      <c r="F433" t="s">
        <v>33</v>
      </c>
    </row>
    <row r="434" spans="1:9" x14ac:dyDescent="0.45">
      <c r="A434" t="s">
        <v>169</v>
      </c>
      <c r="B434" t="s">
        <v>435</v>
      </c>
      <c r="C434" t="s">
        <v>2</v>
      </c>
      <c r="D434">
        <v>2050</v>
      </c>
      <c r="E434" s="1"/>
      <c r="F434" t="s">
        <v>33</v>
      </c>
      <c r="I434" s="1"/>
    </row>
    <row r="435" spans="1:9" x14ac:dyDescent="0.45">
      <c r="A435" t="s">
        <v>170</v>
      </c>
      <c r="B435" t="s">
        <v>171</v>
      </c>
      <c r="C435" t="s">
        <v>2</v>
      </c>
      <c r="D435">
        <v>2030</v>
      </c>
      <c r="E435" s="6">
        <v>25.2</v>
      </c>
      <c r="F435" t="s">
        <v>173</v>
      </c>
      <c r="G435" t="s">
        <v>93</v>
      </c>
    </row>
    <row r="436" spans="1:9" x14ac:dyDescent="0.45">
      <c r="A436" t="s">
        <v>170</v>
      </c>
      <c r="B436" t="s">
        <v>172</v>
      </c>
      <c r="C436" t="s">
        <v>2</v>
      </c>
      <c r="D436">
        <v>2030</v>
      </c>
      <c r="E436" s="6">
        <v>28.8</v>
      </c>
      <c r="F436" t="s">
        <v>173</v>
      </c>
      <c r="G436" t="s">
        <v>93</v>
      </c>
    </row>
    <row r="437" spans="1:9" x14ac:dyDescent="0.45">
      <c r="A437" t="s">
        <v>170</v>
      </c>
      <c r="B437" t="s">
        <v>246</v>
      </c>
      <c r="C437" t="s">
        <v>2</v>
      </c>
      <c r="D437">
        <v>2030</v>
      </c>
      <c r="E437" s="6">
        <v>6.1690784463061732</v>
      </c>
      <c r="F437" t="s">
        <v>173</v>
      </c>
      <c r="G437" t="s">
        <v>93</v>
      </c>
    </row>
    <row r="438" spans="1:9" x14ac:dyDescent="0.45">
      <c r="A438" t="s">
        <v>170</v>
      </c>
      <c r="B438" t="s">
        <v>171</v>
      </c>
      <c r="C438" t="s">
        <v>2</v>
      </c>
      <c r="D438">
        <v>2040</v>
      </c>
      <c r="E438" s="6">
        <v>25.2</v>
      </c>
      <c r="F438" t="s">
        <v>173</v>
      </c>
      <c r="G438" t="s">
        <v>93</v>
      </c>
    </row>
    <row r="439" spans="1:9" x14ac:dyDescent="0.45">
      <c r="A439" t="s">
        <v>170</v>
      </c>
      <c r="B439" t="s">
        <v>172</v>
      </c>
      <c r="C439" t="s">
        <v>2</v>
      </c>
      <c r="D439">
        <v>2040</v>
      </c>
      <c r="E439" s="6">
        <v>28.8</v>
      </c>
      <c r="F439" t="s">
        <v>173</v>
      </c>
      <c r="G439" t="s">
        <v>93</v>
      </c>
    </row>
    <row r="440" spans="1:9" x14ac:dyDescent="0.45">
      <c r="A440" t="s">
        <v>170</v>
      </c>
      <c r="B440" t="s">
        <v>246</v>
      </c>
      <c r="C440" t="s">
        <v>2</v>
      </c>
      <c r="D440">
        <v>2040</v>
      </c>
      <c r="E440" s="6">
        <v>5.4836252856054841</v>
      </c>
      <c r="F440" t="s">
        <v>173</v>
      </c>
      <c r="G440" t="s">
        <v>93</v>
      </c>
    </row>
    <row r="441" spans="1:9" x14ac:dyDescent="0.45">
      <c r="A441" t="s">
        <v>170</v>
      </c>
      <c r="B441" t="s">
        <v>171</v>
      </c>
      <c r="C441" t="s">
        <v>2</v>
      </c>
      <c r="D441">
        <v>2050</v>
      </c>
      <c r="E441" s="6">
        <v>25.2</v>
      </c>
      <c r="F441" t="s">
        <v>173</v>
      </c>
      <c r="G441" t="s">
        <v>93</v>
      </c>
    </row>
    <row r="442" spans="1:9" x14ac:dyDescent="0.45">
      <c r="A442" t="s">
        <v>170</v>
      </c>
      <c r="B442" t="s">
        <v>172</v>
      </c>
      <c r="C442" t="s">
        <v>2</v>
      </c>
      <c r="D442">
        <v>2050</v>
      </c>
      <c r="E442" s="6">
        <v>28.8</v>
      </c>
      <c r="F442" t="s">
        <v>173</v>
      </c>
      <c r="G442" t="s">
        <v>93</v>
      </c>
    </row>
    <row r="443" spans="1:9" x14ac:dyDescent="0.45">
      <c r="A443" t="s">
        <v>170</v>
      </c>
      <c r="B443" t="s">
        <v>246</v>
      </c>
      <c r="C443" t="s">
        <v>2</v>
      </c>
      <c r="D443">
        <v>2050</v>
      </c>
      <c r="E443" s="6">
        <v>4.7981721249047986</v>
      </c>
      <c r="F443" t="s">
        <v>173</v>
      </c>
      <c r="G443" t="s">
        <v>93</v>
      </c>
    </row>
    <row r="444" spans="1:9" x14ac:dyDescent="0.45">
      <c r="A444" t="s">
        <v>170</v>
      </c>
      <c r="B444" t="s">
        <v>171</v>
      </c>
      <c r="C444" t="s">
        <v>350</v>
      </c>
      <c r="D444">
        <v>2030</v>
      </c>
      <c r="E444" s="6">
        <v>25.2</v>
      </c>
      <c r="F444" t="s">
        <v>173</v>
      </c>
      <c r="G444" t="s">
        <v>93</v>
      </c>
    </row>
    <row r="445" spans="1:9" x14ac:dyDescent="0.45">
      <c r="A445" t="s">
        <v>170</v>
      </c>
      <c r="B445" t="s">
        <v>172</v>
      </c>
      <c r="C445" t="s">
        <v>350</v>
      </c>
      <c r="D445">
        <v>2030</v>
      </c>
      <c r="E445" s="6">
        <v>28.8</v>
      </c>
      <c r="F445" t="s">
        <v>173</v>
      </c>
      <c r="G445" t="s">
        <v>93</v>
      </c>
    </row>
    <row r="446" spans="1:9" x14ac:dyDescent="0.45">
      <c r="A446" t="s">
        <v>170</v>
      </c>
      <c r="B446" t="s">
        <v>246</v>
      </c>
      <c r="C446" t="s">
        <v>350</v>
      </c>
      <c r="D446">
        <v>2030</v>
      </c>
      <c r="E446" s="6">
        <v>5.140898705255136</v>
      </c>
      <c r="F446" t="s">
        <v>173</v>
      </c>
      <c r="G446" t="s">
        <v>93</v>
      </c>
    </row>
    <row r="447" spans="1:9" x14ac:dyDescent="0.45">
      <c r="A447" t="s">
        <v>170</v>
      </c>
      <c r="B447" t="s">
        <v>171</v>
      </c>
      <c r="C447" t="s">
        <v>350</v>
      </c>
      <c r="D447">
        <v>2040</v>
      </c>
      <c r="E447" s="6">
        <v>25.2</v>
      </c>
      <c r="F447" t="s">
        <v>173</v>
      </c>
      <c r="G447" t="s">
        <v>93</v>
      </c>
    </row>
    <row r="448" spans="1:9" x14ac:dyDescent="0.45">
      <c r="A448" t="s">
        <v>170</v>
      </c>
      <c r="B448" t="s">
        <v>172</v>
      </c>
      <c r="C448" t="s">
        <v>350</v>
      </c>
      <c r="D448">
        <v>2040</v>
      </c>
      <c r="E448" s="6">
        <v>28.8</v>
      </c>
      <c r="F448" t="s">
        <v>173</v>
      </c>
      <c r="G448" t="s">
        <v>93</v>
      </c>
    </row>
    <row r="449" spans="1:7" x14ac:dyDescent="0.45">
      <c r="A449" t="s">
        <v>170</v>
      </c>
      <c r="B449" t="s">
        <v>246</v>
      </c>
      <c r="C449" t="s">
        <v>350</v>
      </c>
      <c r="D449">
        <v>2040</v>
      </c>
      <c r="E449" s="6">
        <v>4.1127189642041095</v>
      </c>
      <c r="F449" t="s">
        <v>173</v>
      </c>
      <c r="G449" t="s">
        <v>93</v>
      </c>
    </row>
    <row r="450" spans="1:7" x14ac:dyDescent="0.45">
      <c r="A450" t="s">
        <v>170</v>
      </c>
      <c r="B450" t="s">
        <v>171</v>
      </c>
      <c r="C450" t="s">
        <v>350</v>
      </c>
      <c r="D450">
        <v>2050</v>
      </c>
      <c r="E450" s="6">
        <v>25.2</v>
      </c>
      <c r="F450" t="s">
        <v>173</v>
      </c>
      <c r="G450" t="s">
        <v>93</v>
      </c>
    </row>
    <row r="451" spans="1:7" x14ac:dyDescent="0.45">
      <c r="A451" t="s">
        <v>170</v>
      </c>
      <c r="B451" t="s">
        <v>172</v>
      </c>
      <c r="C451" t="s">
        <v>350</v>
      </c>
      <c r="D451">
        <v>2050</v>
      </c>
      <c r="E451" s="6">
        <v>28.8</v>
      </c>
      <c r="F451" t="s">
        <v>173</v>
      </c>
      <c r="G451" t="s">
        <v>93</v>
      </c>
    </row>
    <row r="452" spans="1:7" x14ac:dyDescent="0.45">
      <c r="A452" t="s">
        <v>170</v>
      </c>
      <c r="B452" t="s">
        <v>246</v>
      </c>
      <c r="C452" t="s">
        <v>350</v>
      </c>
      <c r="D452">
        <v>2050</v>
      </c>
      <c r="E452" s="6">
        <v>2.7418126428027492</v>
      </c>
      <c r="F452" t="s">
        <v>173</v>
      </c>
      <c r="G452" t="s">
        <v>93</v>
      </c>
    </row>
    <row r="453" spans="1:7" x14ac:dyDescent="0.45">
      <c r="A453" t="s">
        <v>23</v>
      </c>
      <c r="B453" t="s">
        <v>373</v>
      </c>
      <c r="C453" t="s">
        <v>2</v>
      </c>
      <c r="D453">
        <v>2030</v>
      </c>
      <c r="E453" s="1">
        <v>0</v>
      </c>
      <c r="F453" t="s">
        <v>27</v>
      </c>
    </row>
    <row r="454" spans="1:7" x14ac:dyDescent="0.45">
      <c r="A454" t="s">
        <v>23</v>
      </c>
      <c r="B454" t="s">
        <v>373</v>
      </c>
      <c r="C454" t="s">
        <v>2</v>
      </c>
      <c r="D454">
        <v>2040</v>
      </c>
      <c r="E454" s="1">
        <v>0</v>
      </c>
      <c r="F454" t="s">
        <v>27</v>
      </c>
    </row>
    <row r="455" spans="1:7" x14ac:dyDescent="0.45">
      <c r="A455" t="s">
        <v>23</v>
      </c>
      <c r="B455" t="s">
        <v>373</v>
      </c>
      <c r="C455" t="s">
        <v>2</v>
      </c>
      <c r="D455">
        <v>2050</v>
      </c>
      <c r="E455" s="1">
        <v>0</v>
      </c>
      <c r="F455" t="s">
        <v>27</v>
      </c>
    </row>
    <row r="456" spans="1:7" x14ac:dyDescent="0.45">
      <c r="A456" t="s">
        <v>23</v>
      </c>
      <c r="B456" t="s">
        <v>366</v>
      </c>
      <c r="C456" t="s">
        <v>2</v>
      </c>
      <c r="D456">
        <v>2030</v>
      </c>
      <c r="E456" s="1">
        <v>0</v>
      </c>
      <c r="F456" t="s">
        <v>27</v>
      </c>
    </row>
    <row r="457" spans="1:7" x14ac:dyDescent="0.45">
      <c r="A457" t="s">
        <v>23</v>
      </c>
      <c r="B457" t="s">
        <v>366</v>
      </c>
      <c r="C457" t="s">
        <v>2</v>
      </c>
      <c r="D457">
        <v>2040</v>
      </c>
      <c r="E457" s="1">
        <v>0</v>
      </c>
      <c r="F457" t="s">
        <v>27</v>
      </c>
    </row>
    <row r="458" spans="1:7" x14ac:dyDescent="0.45">
      <c r="A458" t="s">
        <v>23</v>
      </c>
      <c r="B458" t="s">
        <v>366</v>
      </c>
      <c r="C458" t="s">
        <v>2</v>
      </c>
      <c r="D458">
        <v>2050</v>
      </c>
      <c r="E458" s="1">
        <v>0</v>
      </c>
      <c r="F458" t="s">
        <v>27</v>
      </c>
    </row>
    <row r="459" spans="1:7" x14ac:dyDescent="0.45">
      <c r="A459" t="s">
        <v>23</v>
      </c>
      <c r="B459" t="s">
        <v>374</v>
      </c>
      <c r="C459" t="s">
        <v>2</v>
      </c>
      <c r="D459">
        <v>2030</v>
      </c>
      <c r="E459" s="1">
        <v>0</v>
      </c>
      <c r="F459" t="s">
        <v>27</v>
      </c>
    </row>
    <row r="460" spans="1:7" x14ac:dyDescent="0.45">
      <c r="A460" t="s">
        <v>23</v>
      </c>
      <c r="B460" t="s">
        <v>374</v>
      </c>
      <c r="C460" t="s">
        <v>2</v>
      </c>
      <c r="D460">
        <v>2040</v>
      </c>
      <c r="E460" s="1">
        <v>0</v>
      </c>
      <c r="F460" t="s">
        <v>27</v>
      </c>
    </row>
    <row r="461" spans="1:7" x14ac:dyDescent="0.45">
      <c r="A461" t="s">
        <v>23</v>
      </c>
      <c r="B461" t="s">
        <v>374</v>
      </c>
      <c r="C461" t="s">
        <v>2</v>
      </c>
      <c r="D461">
        <v>2050</v>
      </c>
      <c r="E461" s="1">
        <v>0</v>
      </c>
      <c r="F461" t="s">
        <v>27</v>
      </c>
    </row>
    <row r="462" spans="1:7" x14ac:dyDescent="0.45">
      <c r="A462" t="s">
        <v>23</v>
      </c>
      <c r="B462" t="s">
        <v>367</v>
      </c>
      <c r="C462" t="s">
        <v>2</v>
      </c>
      <c r="D462">
        <v>2030</v>
      </c>
      <c r="E462" s="1">
        <v>0</v>
      </c>
      <c r="F462" t="s">
        <v>27</v>
      </c>
    </row>
    <row r="463" spans="1:7" x14ac:dyDescent="0.45">
      <c r="A463" t="s">
        <v>23</v>
      </c>
      <c r="B463" t="s">
        <v>367</v>
      </c>
      <c r="C463" t="s">
        <v>2</v>
      </c>
      <c r="D463">
        <v>2040</v>
      </c>
      <c r="E463" s="1">
        <v>0</v>
      </c>
      <c r="F463" t="s">
        <v>27</v>
      </c>
    </row>
    <row r="464" spans="1:7" x14ac:dyDescent="0.45">
      <c r="A464" t="s">
        <v>23</v>
      </c>
      <c r="B464" t="s">
        <v>367</v>
      </c>
      <c r="C464" t="s">
        <v>2</v>
      </c>
      <c r="D464">
        <v>2050</v>
      </c>
      <c r="E464" s="1">
        <v>0</v>
      </c>
      <c r="F464" t="s">
        <v>27</v>
      </c>
    </row>
    <row r="465" spans="1:6" x14ac:dyDescent="0.45">
      <c r="A465" t="s">
        <v>23</v>
      </c>
      <c r="B465" t="s">
        <v>375</v>
      </c>
      <c r="C465" t="s">
        <v>2</v>
      </c>
      <c r="D465">
        <v>2030</v>
      </c>
      <c r="E465" s="1">
        <v>0</v>
      </c>
      <c r="F465" t="s">
        <v>27</v>
      </c>
    </row>
    <row r="466" spans="1:6" x14ac:dyDescent="0.45">
      <c r="A466" t="s">
        <v>23</v>
      </c>
      <c r="B466" t="s">
        <v>375</v>
      </c>
      <c r="C466" t="s">
        <v>2</v>
      </c>
      <c r="D466">
        <v>2040</v>
      </c>
      <c r="E466" s="1">
        <v>0</v>
      </c>
      <c r="F466" t="s">
        <v>27</v>
      </c>
    </row>
    <row r="467" spans="1:6" x14ac:dyDescent="0.45">
      <c r="A467" t="s">
        <v>23</v>
      </c>
      <c r="B467" t="s">
        <v>375</v>
      </c>
      <c r="C467" t="s">
        <v>2</v>
      </c>
      <c r="D467">
        <v>2050</v>
      </c>
      <c r="E467" s="1">
        <v>0</v>
      </c>
      <c r="F467" t="s">
        <v>27</v>
      </c>
    </row>
    <row r="468" spans="1:6" x14ac:dyDescent="0.45">
      <c r="A468" t="s">
        <v>23</v>
      </c>
      <c r="B468" t="s">
        <v>368</v>
      </c>
      <c r="C468" t="s">
        <v>2</v>
      </c>
      <c r="D468">
        <v>2030</v>
      </c>
      <c r="E468" s="1">
        <v>0</v>
      </c>
      <c r="F468" t="s">
        <v>27</v>
      </c>
    </row>
    <row r="469" spans="1:6" x14ac:dyDescent="0.45">
      <c r="A469" t="s">
        <v>23</v>
      </c>
      <c r="B469" t="s">
        <v>368</v>
      </c>
      <c r="C469" t="s">
        <v>2</v>
      </c>
      <c r="D469">
        <v>2040</v>
      </c>
      <c r="E469" s="1">
        <v>0</v>
      </c>
      <c r="F469" t="s">
        <v>27</v>
      </c>
    </row>
    <row r="470" spans="1:6" x14ac:dyDescent="0.45">
      <c r="A470" t="s">
        <v>23</v>
      </c>
      <c r="B470" t="s">
        <v>368</v>
      </c>
      <c r="C470" t="s">
        <v>2</v>
      </c>
      <c r="D470">
        <v>2050</v>
      </c>
      <c r="E470" s="1">
        <v>0</v>
      </c>
      <c r="F470" t="s">
        <v>27</v>
      </c>
    </row>
    <row r="471" spans="1:6" x14ac:dyDescent="0.45">
      <c r="A471" t="s">
        <v>23</v>
      </c>
      <c r="B471" t="s">
        <v>415</v>
      </c>
      <c r="C471" t="s">
        <v>2</v>
      </c>
      <c r="D471">
        <v>2030</v>
      </c>
      <c r="E471" s="1">
        <v>0</v>
      </c>
      <c r="F471" t="s">
        <v>27</v>
      </c>
    </row>
    <row r="472" spans="1:6" x14ac:dyDescent="0.45">
      <c r="A472" t="s">
        <v>23</v>
      </c>
      <c r="B472" t="s">
        <v>415</v>
      </c>
      <c r="C472" t="s">
        <v>2</v>
      </c>
      <c r="D472">
        <v>2040</v>
      </c>
      <c r="E472" s="1">
        <v>0</v>
      </c>
      <c r="F472" t="s">
        <v>27</v>
      </c>
    </row>
    <row r="473" spans="1:6" x14ac:dyDescent="0.45">
      <c r="A473" t="s">
        <v>23</v>
      </c>
      <c r="B473" t="s">
        <v>415</v>
      </c>
      <c r="C473" t="s">
        <v>2</v>
      </c>
      <c r="D473">
        <v>2050</v>
      </c>
      <c r="E473" s="1">
        <v>0</v>
      </c>
      <c r="F473" t="s">
        <v>27</v>
      </c>
    </row>
    <row r="474" spans="1:6" x14ac:dyDescent="0.45">
      <c r="A474" t="s">
        <v>23</v>
      </c>
      <c r="B474" t="s">
        <v>422</v>
      </c>
      <c r="C474" t="s">
        <v>2</v>
      </c>
      <c r="D474">
        <v>2030</v>
      </c>
      <c r="E474" s="1">
        <v>0</v>
      </c>
      <c r="F474" t="s">
        <v>27</v>
      </c>
    </row>
    <row r="475" spans="1:6" x14ac:dyDescent="0.45">
      <c r="A475" t="s">
        <v>23</v>
      </c>
      <c r="B475" t="s">
        <v>422</v>
      </c>
      <c r="C475" t="s">
        <v>2</v>
      </c>
      <c r="D475">
        <v>2040</v>
      </c>
      <c r="E475" s="1">
        <v>0</v>
      </c>
      <c r="F475" t="s">
        <v>27</v>
      </c>
    </row>
    <row r="476" spans="1:6" x14ac:dyDescent="0.45">
      <c r="A476" t="s">
        <v>23</v>
      </c>
      <c r="B476" t="s">
        <v>422</v>
      </c>
      <c r="C476" t="s">
        <v>2</v>
      </c>
      <c r="D476">
        <v>2050</v>
      </c>
      <c r="E476" s="1">
        <v>0</v>
      </c>
      <c r="F476" t="s">
        <v>27</v>
      </c>
    </row>
    <row r="477" spans="1:6" x14ac:dyDescent="0.45">
      <c r="A477" t="s">
        <v>23</v>
      </c>
      <c r="B477" t="s">
        <v>429</v>
      </c>
      <c r="C477" t="s">
        <v>2</v>
      </c>
      <c r="D477">
        <v>2030</v>
      </c>
      <c r="E477" s="1">
        <v>0</v>
      </c>
      <c r="F477" t="s">
        <v>27</v>
      </c>
    </row>
    <row r="478" spans="1:6" x14ac:dyDescent="0.45">
      <c r="A478" t="s">
        <v>23</v>
      </c>
      <c r="B478" t="s">
        <v>429</v>
      </c>
      <c r="C478" t="s">
        <v>2</v>
      </c>
      <c r="D478">
        <v>2040</v>
      </c>
      <c r="E478" s="1">
        <v>0</v>
      </c>
      <c r="F478" t="s">
        <v>27</v>
      </c>
    </row>
    <row r="479" spans="1:6" x14ac:dyDescent="0.45">
      <c r="A479" t="s">
        <v>23</v>
      </c>
      <c r="B479" t="s">
        <v>429</v>
      </c>
      <c r="C479" t="s">
        <v>2</v>
      </c>
      <c r="D479">
        <v>2050</v>
      </c>
      <c r="E479" s="1">
        <v>0</v>
      </c>
      <c r="F479" t="s">
        <v>27</v>
      </c>
    </row>
    <row r="480" spans="1:6" x14ac:dyDescent="0.45">
      <c r="A480" t="s">
        <v>23</v>
      </c>
      <c r="B480" t="s">
        <v>436</v>
      </c>
      <c r="C480" t="s">
        <v>2</v>
      </c>
      <c r="D480">
        <v>2030</v>
      </c>
      <c r="E480" s="1">
        <v>0</v>
      </c>
      <c r="F480" t="s">
        <v>27</v>
      </c>
    </row>
    <row r="481" spans="1:6" x14ac:dyDescent="0.45">
      <c r="A481" t="s">
        <v>23</v>
      </c>
      <c r="B481" t="s">
        <v>436</v>
      </c>
      <c r="C481" t="s">
        <v>2</v>
      </c>
      <c r="D481">
        <v>2040</v>
      </c>
      <c r="E481" s="1">
        <v>0</v>
      </c>
      <c r="F481" t="s">
        <v>27</v>
      </c>
    </row>
    <row r="482" spans="1:6" x14ac:dyDescent="0.45">
      <c r="A482" t="s">
        <v>23</v>
      </c>
      <c r="B482" t="s">
        <v>436</v>
      </c>
      <c r="C482" t="s">
        <v>2</v>
      </c>
      <c r="D482">
        <v>2050</v>
      </c>
      <c r="E482" s="1">
        <v>0</v>
      </c>
      <c r="F482" t="s">
        <v>27</v>
      </c>
    </row>
    <row r="483" spans="1:6" x14ac:dyDescent="0.45">
      <c r="A483" t="s">
        <v>23</v>
      </c>
      <c r="B483" t="s">
        <v>416</v>
      </c>
      <c r="C483" t="s">
        <v>2</v>
      </c>
      <c r="D483">
        <v>2030</v>
      </c>
      <c r="E483" s="1">
        <v>0</v>
      </c>
      <c r="F483" t="s">
        <v>27</v>
      </c>
    </row>
    <row r="484" spans="1:6" x14ac:dyDescent="0.45">
      <c r="A484" t="s">
        <v>23</v>
      </c>
      <c r="B484" t="s">
        <v>416</v>
      </c>
      <c r="C484" t="s">
        <v>2</v>
      </c>
      <c r="D484">
        <v>2040</v>
      </c>
      <c r="E484" s="1">
        <v>0</v>
      </c>
      <c r="F484" t="s">
        <v>27</v>
      </c>
    </row>
    <row r="485" spans="1:6" x14ac:dyDescent="0.45">
      <c r="A485" t="s">
        <v>23</v>
      </c>
      <c r="B485" t="s">
        <v>416</v>
      </c>
      <c r="C485" t="s">
        <v>2</v>
      </c>
      <c r="D485">
        <v>2050</v>
      </c>
      <c r="E485" s="1">
        <v>0</v>
      </c>
      <c r="F485" t="s">
        <v>27</v>
      </c>
    </row>
    <row r="486" spans="1:6" x14ac:dyDescent="0.45">
      <c r="A486" t="s">
        <v>23</v>
      </c>
      <c r="B486" t="s">
        <v>423</v>
      </c>
      <c r="C486" t="s">
        <v>2</v>
      </c>
      <c r="D486">
        <v>2030</v>
      </c>
      <c r="E486" s="1">
        <v>0</v>
      </c>
      <c r="F486" t="s">
        <v>27</v>
      </c>
    </row>
    <row r="487" spans="1:6" x14ac:dyDescent="0.45">
      <c r="A487" t="s">
        <v>23</v>
      </c>
      <c r="B487" t="s">
        <v>423</v>
      </c>
      <c r="C487" t="s">
        <v>2</v>
      </c>
      <c r="D487">
        <v>2040</v>
      </c>
      <c r="E487" s="1">
        <v>0</v>
      </c>
      <c r="F487" t="s">
        <v>27</v>
      </c>
    </row>
    <row r="488" spans="1:6" x14ac:dyDescent="0.45">
      <c r="A488" t="s">
        <v>23</v>
      </c>
      <c r="B488" t="s">
        <v>423</v>
      </c>
      <c r="C488" t="s">
        <v>2</v>
      </c>
      <c r="D488">
        <v>2050</v>
      </c>
      <c r="E488" s="1">
        <v>0</v>
      </c>
      <c r="F488" t="s">
        <v>27</v>
      </c>
    </row>
    <row r="489" spans="1:6" x14ac:dyDescent="0.45">
      <c r="A489" t="s">
        <v>23</v>
      </c>
      <c r="B489" t="s">
        <v>430</v>
      </c>
      <c r="C489" t="s">
        <v>2</v>
      </c>
      <c r="D489">
        <v>2030</v>
      </c>
      <c r="E489" s="1">
        <v>0</v>
      </c>
      <c r="F489" t="s">
        <v>27</v>
      </c>
    </row>
    <row r="490" spans="1:6" x14ac:dyDescent="0.45">
      <c r="A490" t="s">
        <v>23</v>
      </c>
      <c r="B490" t="s">
        <v>430</v>
      </c>
      <c r="C490" t="s">
        <v>2</v>
      </c>
      <c r="D490">
        <v>2040</v>
      </c>
      <c r="E490" s="1">
        <v>0</v>
      </c>
      <c r="F490" t="s">
        <v>27</v>
      </c>
    </row>
    <row r="491" spans="1:6" x14ac:dyDescent="0.45">
      <c r="A491" t="s">
        <v>23</v>
      </c>
      <c r="B491" t="s">
        <v>430</v>
      </c>
      <c r="C491" t="s">
        <v>2</v>
      </c>
      <c r="D491">
        <v>2050</v>
      </c>
      <c r="E491" s="1">
        <v>0</v>
      </c>
      <c r="F491" t="s">
        <v>27</v>
      </c>
    </row>
    <row r="492" spans="1:6" x14ac:dyDescent="0.45">
      <c r="A492" t="s">
        <v>23</v>
      </c>
      <c r="B492" t="s">
        <v>437</v>
      </c>
      <c r="C492" t="s">
        <v>2</v>
      </c>
      <c r="D492">
        <v>2030</v>
      </c>
      <c r="E492" s="1">
        <v>0</v>
      </c>
      <c r="F492" t="s">
        <v>27</v>
      </c>
    </row>
    <row r="493" spans="1:6" x14ac:dyDescent="0.45">
      <c r="A493" t="s">
        <v>23</v>
      </c>
      <c r="B493" t="s">
        <v>437</v>
      </c>
      <c r="C493" t="s">
        <v>2</v>
      </c>
      <c r="D493">
        <v>2040</v>
      </c>
      <c r="E493" s="1">
        <v>0</v>
      </c>
      <c r="F493" t="s">
        <v>27</v>
      </c>
    </row>
    <row r="494" spans="1:6" x14ac:dyDescent="0.45">
      <c r="A494" t="s">
        <v>23</v>
      </c>
      <c r="B494" t="s">
        <v>437</v>
      </c>
      <c r="C494" t="s">
        <v>2</v>
      </c>
      <c r="D494">
        <v>2050</v>
      </c>
      <c r="E494" s="1">
        <v>0</v>
      </c>
      <c r="F494" t="s">
        <v>27</v>
      </c>
    </row>
    <row r="495" spans="1:6" x14ac:dyDescent="0.45">
      <c r="A495" t="s">
        <v>23</v>
      </c>
      <c r="B495" t="s">
        <v>417</v>
      </c>
      <c r="C495" t="s">
        <v>2</v>
      </c>
      <c r="D495">
        <v>2030</v>
      </c>
      <c r="E495" s="1">
        <v>0</v>
      </c>
      <c r="F495" t="s">
        <v>27</v>
      </c>
    </row>
    <row r="496" spans="1:6" x14ac:dyDescent="0.45">
      <c r="A496" t="s">
        <v>23</v>
      </c>
      <c r="B496" t="s">
        <v>417</v>
      </c>
      <c r="C496" t="s">
        <v>2</v>
      </c>
      <c r="D496">
        <v>2040</v>
      </c>
      <c r="E496" s="1">
        <v>0</v>
      </c>
      <c r="F496" t="s">
        <v>27</v>
      </c>
    </row>
    <row r="497" spans="1:6" x14ac:dyDescent="0.45">
      <c r="A497" t="s">
        <v>23</v>
      </c>
      <c r="B497" t="s">
        <v>417</v>
      </c>
      <c r="C497" t="s">
        <v>2</v>
      </c>
      <c r="D497">
        <v>2050</v>
      </c>
      <c r="E497" s="1">
        <v>0</v>
      </c>
      <c r="F497" t="s">
        <v>27</v>
      </c>
    </row>
    <row r="498" spans="1:6" x14ac:dyDescent="0.45">
      <c r="A498" t="s">
        <v>23</v>
      </c>
      <c r="B498" t="s">
        <v>424</v>
      </c>
      <c r="C498" t="s">
        <v>2</v>
      </c>
      <c r="D498">
        <v>2030</v>
      </c>
      <c r="E498" s="1">
        <v>0</v>
      </c>
      <c r="F498" t="s">
        <v>27</v>
      </c>
    </row>
    <row r="499" spans="1:6" x14ac:dyDescent="0.45">
      <c r="A499" t="s">
        <v>23</v>
      </c>
      <c r="B499" t="s">
        <v>424</v>
      </c>
      <c r="C499" t="s">
        <v>2</v>
      </c>
      <c r="D499">
        <v>2040</v>
      </c>
      <c r="E499" s="1">
        <v>0</v>
      </c>
      <c r="F499" t="s">
        <v>27</v>
      </c>
    </row>
    <row r="500" spans="1:6" x14ac:dyDescent="0.45">
      <c r="A500" t="s">
        <v>23</v>
      </c>
      <c r="B500" t="s">
        <v>424</v>
      </c>
      <c r="C500" t="s">
        <v>2</v>
      </c>
      <c r="D500">
        <v>2050</v>
      </c>
      <c r="E500" s="1">
        <v>0</v>
      </c>
      <c r="F500" t="s">
        <v>27</v>
      </c>
    </row>
    <row r="501" spans="1:6" x14ac:dyDescent="0.45">
      <c r="A501" t="s">
        <v>23</v>
      </c>
      <c r="B501" t="s">
        <v>431</v>
      </c>
      <c r="C501" t="s">
        <v>2</v>
      </c>
      <c r="D501">
        <v>2030</v>
      </c>
      <c r="E501" s="1">
        <v>0</v>
      </c>
      <c r="F501" t="s">
        <v>27</v>
      </c>
    </row>
    <row r="502" spans="1:6" x14ac:dyDescent="0.45">
      <c r="A502" t="s">
        <v>23</v>
      </c>
      <c r="B502" t="s">
        <v>431</v>
      </c>
      <c r="C502" t="s">
        <v>2</v>
      </c>
      <c r="D502">
        <v>2040</v>
      </c>
      <c r="E502" s="1">
        <v>0</v>
      </c>
      <c r="F502" t="s">
        <v>27</v>
      </c>
    </row>
    <row r="503" spans="1:6" x14ac:dyDescent="0.45">
      <c r="A503" t="s">
        <v>23</v>
      </c>
      <c r="B503" t="s">
        <v>431</v>
      </c>
      <c r="C503" t="s">
        <v>2</v>
      </c>
      <c r="D503">
        <v>2050</v>
      </c>
      <c r="E503" s="1">
        <v>0</v>
      </c>
      <c r="F503" t="s">
        <v>27</v>
      </c>
    </row>
    <row r="504" spans="1:6" x14ac:dyDescent="0.45">
      <c r="A504" t="s">
        <v>23</v>
      </c>
      <c r="B504" t="s">
        <v>438</v>
      </c>
      <c r="C504" t="s">
        <v>2</v>
      </c>
      <c r="D504">
        <v>2030</v>
      </c>
      <c r="E504" s="1">
        <v>0</v>
      </c>
      <c r="F504" t="s">
        <v>27</v>
      </c>
    </row>
    <row r="505" spans="1:6" x14ac:dyDescent="0.45">
      <c r="A505" t="s">
        <v>23</v>
      </c>
      <c r="B505" t="s">
        <v>438</v>
      </c>
      <c r="C505" t="s">
        <v>2</v>
      </c>
      <c r="D505">
        <v>2040</v>
      </c>
      <c r="E505" s="1">
        <v>0</v>
      </c>
      <c r="F505" t="s">
        <v>27</v>
      </c>
    </row>
    <row r="506" spans="1:6" x14ac:dyDescent="0.45">
      <c r="A506" t="s">
        <v>23</v>
      </c>
      <c r="B506" t="s">
        <v>438</v>
      </c>
      <c r="C506" t="s">
        <v>2</v>
      </c>
      <c r="D506">
        <v>2050</v>
      </c>
      <c r="E506" s="1">
        <v>0</v>
      </c>
      <c r="F506" t="s">
        <v>27</v>
      </c>
    </row>
    <row r="507" spans="1:6" x14ac:dyDescent="0.45">
      <c r="A507" t="s">
        <v>23</v>
      </c>
      <c r="B507" t="s">
        <v>380</v>
      </c>
      <c r="C507" t="s">
        <v>2</v>
      </c>
      <c r="D507">
        <v>2030</v>
      </c>
      <c r="E507" s="1">
        <v>0</v>
      </c>
      <c r="F507" t="s">
        <v>27</v>
      </c>
    </row>
    <row r="508" spans="1:6" x14ac:dyDescent="0.45">
      <c r="A508" t="s">
        <v>23</v>
      </c>
      <c r="B508" t="s">
        <v>380</v>
      </c>
      <c r="C508" t="s">
        <v>2</v>
      </c>
      <c r="D508">
        <v>2040</v>
      </c>
      <c r="E508" s="1">
        <v>0</v>
      </c>
      <c r="F508" t="s">
        <v>27</v>
      </c>
    </row>
    <row r="509" spans="1:6" x14ac:dyDescent="0.45">
      <c r="A509" t="s">
        <v>23</v>
      </c>
      <c r="B509" t="s">
        <v>380</v>
      </c>
      <c r="C509" t="s">
        <v>2</v>
      </c>
      <c r="D509">
        <v>2050</v>
      </c>
      <c r="E509" s="1">
        <v>0</v>
      </c>
      <c r="F509" t="s">
        <v>27</v>
      </c>
    </row>
    <row r="510" spans="1:6" x14ac:dyDescent="0.45">
      <c r="A510" t="s">
        <v>23</v>
      </c>
      <c r="B510" t="s">
        <v>387</v>
      </c>
      <c r="C510" t="s">
        <v>2</v>
      </c>
      <c r="D510">
        <v>2030</v>
      </c>
      <c r="E510" s="1">
        <v>0</v>
      </c>
      <c r="F510" t="s">
        <v>27</v>
      </c>
    </row>
    <row r="511" spans="1:6" x14ac:dyDescent="0.45">
      <c r="A511" t="s">
        <v>23</v>
      </c>
      <c r="B511" t="s">
        <v>387</v>
      </c>
      <c r="C511" t="s">
        <v>2</v>
      </c>
      <c r="D511">
        <v>2040</v>
      </c>
      <c r="E511" s="1">
        <v>0</v>
      </c>
      <c r="F511" t="s">
        <v>27</v>
      </c>
    </row>
    <row r="512" spans="1:6" x14ac:dyDescent="0.45">
      <c r="A512" t="s">
        <v>23</v>
      </c>
      <c r="B512" t="s">
        <v>387</v>
      </c>
      <c r="C512" t="s">
        <v>2</v>
      </c>
      <c r="D512">
        <v>2050</v>
      </c>
      <c r="E512" s="1">
        <v>0</v>
      </c>
      <c r="F512" t="s">
        <v>27</v>
      </c>
    </row>
    <row r="513" spans="1:6" x14ac:dyDescent="0.45">
      <c r="A513" t="s">
        <v>23</v>
      </c>
      <c r="B513" t="s">
        <v>394</v>
      </c>
      <c r="C513" t="s">
        <v>2</v>
      </c>
      <c r="D513">
        <v>2030</v>
      </c>
      <c r="E513" s="1">
        <v>0</v>
      </c>
      <c r="F513" t="s">
        <v>27</v>
      </c>
    </row>
    <row r="514" spans="1:6" x14ac:dyDescent="0.45">
      <c r="A514" t="s">
        <v>23</v>
      </c>
      <c r="B514" t="s">
        <v>394</v>
      </c>
      <c r="C514" t="s">
        <v>2</v>
      </c>
      <c r="D514">
        <v>2040</v>
      </c>
      <c r="E514" s="1">
        <v>0</v>
      </c>
      <c r="F514" t="s">
        <v>27</v>
      </c>
    </row>
    <row r="515" spans="1:6" x14ac:dyDescent="0.45">
      <c r="A515" t="s">
        <v>23</v>
      </c>
      <c r="B515" t="s">
        <v>394</v>
      </c>
      <c r="C515" t="s">
        <v>2</v>
      </c>
      <c r="D515">
        <v>2050</v>
      </c>
      <c r="E515" s="1">
        <v>0</v>
      </c>
      <c r="F515" t="s">
        <v>27</v>
      </c>
    </row>
    <row r="516" spans="1:6" x14ac:dyDescent="0.45">
      <c r="A516" t="s">
        <v>23</v>
      </c>
      <c r="B516" t="s">
        <v>401</v>
      </c>
      <c r="C516" t="s">
        <v>2</v>
      </c>
      <c r="D516">
        <v>2030</v>
      </c>
      <c r="E516" s="1">
        <v>0</v>
      </c>
      <c r="F516" t="s">
        <v>27</v>
      </c>
    </row>
    <row r="517" spans="1:6" x14ac:dyDescent="0.45">
      <c r="A517" t="s">
        <v>23</v>
      </c>
      <c r="B517" t="s">
        <v>401</v>
      </c>
      <c r="C517" t="s">
        <v>2</v>
      </c>
      <c r="D517">
        <v>2040</v>
      </c>
      <c r="E517" s="1">
        <v>0</v>
      </c>
      <c r="F517" t="s">
        <v>27</v>
      </c>
    </row>
    <row r="518" spans="1:6" x14ac:dyDescent="0.45">
      <c r="A518" t="s">
        <v>23</v>
      </c>
      <c r="B518" t="s">
        <v>401</v>
      </c>
      <c r="C518" t="s">
        <v>2</v>
      </c>
      <c r="D518">
        <v>2050</v>
      </c>
      <c r="E518" s="1">
        <v>0</v>
      </c>
      <c r="F518" t="s">
        <v>27</v>
      </c>
    </row>
    <row r="519" spans="1:6" x14ac:dyDescent="0.45">
      <c r="A519" t="s">
        <v>23</v>
      </c>
      <c r="B519" t="s">
        <v>408</v>
      </c>
      <c r="C519" t="s">
        <v>2</v>
      </c>
      <c r="D519">
        <v>2030</v>
      </c>
      <c r="E519" s="1">
        <v>0</v>
      </c>
      <c r="F519" t="s">
        <v>27</v>
      </c>
    </row>
    <row r="520" spans="1:6" x14ac:dyDescent="0.45">
      <c r="A520" t="s">
        <v>23</v>
      </c>
      <c r="B520" t="s">
        <v>408</v>
      </c>
      <c r="C520" t="s">
        <v>2</v>
      </c>
      <c r="D520">
        <v>2040</v>
      </c>
      <c r="E520" s="1">
        <v>0</v>
      </c>
      <c r="F520" t="s">
        <v>27</v>
      </c>
    </row>
    <row r="521" spans="1:6" x14ac:dyDescent="0.45">
      <c r="A521" t="s">
        <v>23</v>
      </c>
      <c r="B521" t="s">
        <v>408</v>
      </c>
      <c r="C521" t="s">
        <v>2</v>
      </c>
      <c r="D521">
        <v>2050</v>
      </c>
      <c r="E521" s="1">
        <v>0</v>
      </c>
      <c r="F521" t="s">
        <v>27</v>
      </c>
    </row>
    <row r="522" spans="1:6" x14ac:dyDescent="0.45">
      <c r="A522" t="s">
        <v>23</v>
      </c>
      <c r="B522" t="s">
        <v>381</v>
      </c>
      <c r="C522" t="s">
        <v>2</v>
      </c>
      <c r="D522">
        <v>2030</v>
      </c>
      <c r="E522" s="1">
        <v>0</v>
      </c>
      <c r="F522" t="s">
        <v>27</v>
      </c>
    </row>
    <row r="523" spans="1:6" x14ac:dyDescent="0.45">
      <c r="A523" t="s">
        <v>23</v>
      </c>
      <c r="B523" t="s">
        <v>381</v>
      </c>
      <c r="C523" t="s">
        <v>2</v>
      </c>
      <c r="D523">
        <v>2040</v>
      </c>
      <c r="E523" s="1">
        <v>0</v>
      </c>
      <c r="F523" t="s">
        <v>27</v>
      </c>
    </row>
    <row r="524" spans="1:6" x14ac:dyDescent="0.45">
      <c r="A524" t="s">
        <v>23</v>
      </c>
      <c r="B524" t="s">
        <v>381</v>
      </c>
      <c r="C524" t="s">
        <v>2</v>
      </c>
      <c r="D524">
        <v>2050</v>
      </c>
      <c r="E524" s="1">
        <v>0</v>
      </c>
      <c r="F524" t="s">
        <v>27</v>
      </c>
    </row>
    <row r="525" spans="1:6" x14ac:dyDescent="0.45">
      <c r="A525" t="s">
        <v>23</v>
      </c>
      <c r="B525" t="s">
        <v>388</v>
      </c>
      <c r="C525" t="s">
        <v>2</v>
      </c>
      <c r="D525">
        <v>2030</v>
      </c>
      <c r="E525" s="1">
        <v>0</v>
      </c>
      <c r="F525" t="s">
        <v>27</v>
      </c>
    </row>
    <row r="526" spans="1:6" x14ac:dyDescent="0.45">
      <c r="A526" t="s">
        <v>23</v>
      </c>
      <c r="B526" t="s">
        <v>388</v>
      </c>
      <c r="C526" t="s">
        <v>2</v>
      </c>
      <c r="D526">
        <v>2040</v>
      </c>
      <c r="E526" s="1">
        <v>0</v>
      </c>
      <c r="F526" t="s">
        <v>27</v>
      </c>
    </row>
    <row r="527" spans="1:6" x14ac:dyDescent="0.45">
      <c r="A527" t="s">
        <v>23</v>
      </c>
      <c r="B527" t="s">
        <v>388</v>
      </c>
      <c r="C527" t="s">
        <v>2</v>
      </c>
      <c r="D527">
        <v>2050</v>
      </c>
      <c r="E527" s="1">
        <v>0</v>
      </c>
      <c r="F527" t="s">
        <v>27</v>
      </c>
    </row>
    <row r="528" spans="1:6" x14ac:dyDescent="0.45">
      <c r="A528" t="s">
        <v>23</v>
      </c>
      <c r="B528" t="s">
        <v>395</v>
      </c>
      <c r="C528" t="s">
        <v>2</v>
      </c>
      <c r="D528">
        <v>2030</v>
      </c>
      <c r="E528" s="1">
        <v>0</v>
      </c>
      <c r="F528" t="s">
        <v>27</v>
      </c>
    </row>
    <row r="529" spans="1:6" x14ac:dyDescent="0.45">
      <c r="A529" t="s">
        <v>23</v>
      </c>
      <c r="B529" t="s">
        <v>395</v>
      </c>
      <c r="C529" t="s">
        <v>2</v>
      </c>
      <c r="D529">
        <v>2040</v>
      </c>
      <c r="E529" s="1">
        <v>0</v>
      </c>
      <c r="F529" t="s">
        <v>27</v>
      </c>
    </row>
    <row r="530" spans="1:6" x14ac:dyDescent="0.45">
      <c r="A530" t="s">
        <v>23</v>
      </c>
      <c r="B530" t="s">
        <v>395</v>
      </c>
      <c r="C530" t="s">
        <v>2</v>
      </c>
      <c r="D530">
        <v>2050</v>
      </c>
      <c r="E530" s="1">
        <v>0</v>
      </c>
      <c r="F530" t="s">
        <v>27</v>
      </c>
    </row>
    <row r="531" spans="1:6" x14ac:dyDescent="0.45">
      <c r="A531" t="s">
        <v>23</v>
      </c>
      <c r="B531" t="s">
        <v>402</v>
      </c>
      <c r="C531" t="s">
        <v>2</v>
      </c>
      <c r="D531">
        <v>2030</v>
      </c>
      <c r="E531" s="1">
        <v>0</v>
      </c>
      <c r="F531" t="s">
        <v>27</v>
      </c>
    </row>
    <row r="532" spans="1:6" x14ac:dyDescent="0.45">
      <c r="A532" t="s">
        <v>23</v>
      </c>
      <c r="B532" t="s">
        <v>402</v>
      </c>
      <c r="C532" t="s">
        <v>2</v>
      </c>
      <c r="D532">
        <v>2040</v>
      </c>
      <c r="E532" s="1">
        <v>0</v>
      </c>
      <c r="F532" t="s">
        <v>27</v>
      </c>
    </row>
    <row r="533" spans="1:6" x14ac:dyDescent="0.45">
      <c r="A533" t="s">
        <v>23</v>
      </c>
      <c r="B533" t="s">
        <v>402</v>
      </c>
      <c r="C533" t="s">
        <v>2</v>
      </c>
      <c r="D533">
        <v>2050</v>
      </c>
      <c r="E533" s="1">
        <v>0</v>
      </c>
      <c r="F533" t="s">
        <v>27</v>
      </c>
    </row>
    <row r="534" spans="1:6" x14ac:dyDescent="0.45">
      <c r="A534" t="s">
        <v>23</v>
      </c>
      <c r="B534" t="s">
        <v>409</v>
      </c>
      <c r="C534" t="s">
        <v>2</v>
      </c>
      <c r="D534">
        <v>2030</v>
      </c>
      <c r="E534" s="1">
        <v>0</v>
      </c>
      <c r="F534" t="s">
        <v>27</v>
      </c>
    </row>
    <row r="535" spans="1:6" x14ac:dyDescent="0.45">
      <c r="A535" t="s">
        <v>23</v>
      </c>
      <c r="B535" t="s">
        <v>409</v>
      </c>
      <c r="C535" t="s">
        <v>2</v>
      </c>
      <c r="D535">
        <v>2040</v>
      </c>
      <c r="E535" s="1">
        <v>0</v>
      </c>
      <c r="F535" t="s">
        <v>27</v>
      </c>
    </row>
    <row r="536" spans="1:6" x14ac:dyDescent="0.45">
      <c r="A536" t="s">
        <v>23</v>
      </c>
      <c r="B536" t="s">
        <v>409</v>
      </c>
      <c r="C536" t="s">
        <v>2</v>
      </c>
      <c r="D536">
        <v>2050</v>
      </c>
      <c r="E536" s="1">
        <v>0</v>
      </c>
      <c r="F536" t="s">
        <v>27</v>
      </c>
    </row>
    <row r="537" spans="1:6" x14ac:dyDescent="0.45">
      <c r="A537" t="s">
        <v>23</v>
      </c>
      <c r="B537" t="s">
        <v>382</v>
      </c>
      <c r="C537" t="s">
        <v>2</v>
      </c>
      <c r="D537">
        <v>2030</v>
      </c>
      <c r="E537" s="1">
        <v>0</v>
      </c>
      <c r="F537" t="s">
        <v>27</v>
      </c>
    </row>
    <row r="538" spans="1:6" x14ac:dyDescent="0.45">
      <c r="A538" t="s">
        <v>23</v>
      </c>
      <c r="B538" t="s">
        <v>382</v>
      </c>
      <c r="C538" t="s">
        <v>2</v>
      </c>
      <c r="D538">
        <v>2040</v>
      </c>
      <c r="E538" s="1">
        <v>0</v>
      </c>
      <c r="F538" t="s">
        <v>27</v>
      </c>
    </row>
    <row r="539" spans="1:6" x14ac:dyDescent="0.45">
      <c r="A539" t="s">
        <v>23</v>
      </c>
      <c r="B539" t="s">
        <v>382</v>
      </c>
      <c r="C539" t="s">
        <v>2</v>
      </c>
      <c r="D539">
        <v>2050</v>
      </c>
      <c r="E539" s="1">
        <v>0</v>
      </c>
      <c r="F539" t="s">
        <v>27</v>
      </c>
    </row>
    <row r="540" spans="1:6" x14ac:dyDescent="0.45">
      <c r="A540" t="s">
        <v>23</v>
      </c>
      <c r="B540" t="s">
        <v>389</v>
      </c>
      <c r="C540" t="s">
        <v>2</v>
      </c>
      <c r="D540">
        <v>2030</v>
      </c>
      <c r="E540" s="1">
        <v>0</v>
      </c>
      <c r="F540" t="s">
        <v>27</v>
      </c>
    </row>
    <row r="541" spans="1:6" x14ac:dyDescent="0.45">
      <c r="A541" t="s">
        <v>23</v>
      </c>
      <c r="B541" t="s">
        <v>389</v>
      </c>
      <c r="C541" t="s">
        <v>2</v>
      </c>
      <c r="D541">
        <v>2040</v>
      </c>
      <c r="E541" s="1">
        <v>0</v>
      </c>
      <c r="F541" t="s">
        <v>27</v>
      </c>
    </row>
    <row r="542" spans="1:6" x14ac:dyDescent="0.45">
      <c r="A542" t="s">
        <v>23</v>
      </c>
      <c r="B542" t="s">
        <v>389</v>
      </c>
      <c r="C542" t="s">
        <v>2</v>
      </c>
      <c r="D542">
        <v>2050</v>
      </c>
      <c r="E542" s="1">
        <v>0</v>
      </c>
      <c r="F542" t="s">
        <v>27</v>
      </c>
    </row>
    <row r="543" spans="1:6" x14ac:dyDescent="0.45">
      <c r="A543" t="s">
        <v>23</v>
      </c>
      <c r="B543" t="s">
        <v>396</v>
      </c>
      <c r="C543" t="s">
        <v>2</v>
      </c>
      <c r="D543">
        <v>2030</v>
      </c>
      <c r="E543" s="1">
        <v>0</v>
      </c>
      <c r="F543" t="s">
        <v>27</v>
      </c>
    </row>
    <row r="544" spans="1:6" x14ac:dyDescent="0.45">
      <c r="A544" t="s">
        <v>23</v>
      </c>
      <c r="B544" t="s">
        <v>396</v>
      </c>
      <c r="C544" t="s">
        <v>2</v>
      </c>
      <c r="D544">
        <v>2040</v>
      </c>
      <c r="E544" s="1">
        <v>0</v>
      </c>
      <c r="F544" t="s">
        <v>27</v>
      </c>
    </row>
    <row r="545" spans="1:8" x14ac:dyDescent="0.45">
      <c r="A545" t="s">
        <v>23</v>
      </c>
      <c r="B545" t="s">
        <v>396</v>
      </c>
      <c r="C545" t="s">
        <v>2</v>
      </c>
      <c r="D545">
        <v>2050</v>
      </c>
      <c r="E545" s="1">
        <v>0</v>
      </c>
      <c r="F545" t="s">
        <v>27</v>
      </c>
    </row>
    <row r="546" spans="1:8" x14ac:dyDescent="0.45">
      <c r="A546" t="s">
        <v>23</v>
      </c>
      <c r="B546" t="s">
        <v>403</v>
      </c>
      <c r="C546" t="s">
        <v>2</v>
      </c>
      <c r="D546">
        <v>2030</v>
      </c>
      <c r="E546" s="1">
        <v>0</v>
      </c>
      <c r="F546" t="s">
        <v>27</v>
      </c>
    </row>
    <row r="547" spans="1:8" x14ac:dyDescent="0.45">
      <c r="A547" t="s">
        <v>23</v>
      </c>
      <c r="B547" t="s">
        <v>403</v>
      </c>
      <c r="C547" t="s">
        <v>2</v>
      </c>
      <c r="D547">
        <v>2040</v>
      </c>
      <c r="E547" s="1">
        <v>0</v>
      </c>
      <c r="F547" t="s">
        <v>27</v>
      </c>
    </row>
    <row r="548" spans="1:8" x14ac:dyDescent="0.45">
      <c r="A548" t="s">
        <v>23</v>
      </c>
      <c r="B548" t="s">
        <v>403</v>
      </c>
      <c r="C548" t="s">
        <v>2</v>
      </c>
      <c r="D548">
        <v>2050</v>
      </c>
      <c r="E548" s="1">
        <v>0</v>
      </c>
      <c r="F548" t="s">
        <v>27</v>
      </c>
    </row>
    <row r="549" spans="1:8" x14ac:dyDescent="0.45">
      <c r="A549" t="s">
        <v>23</v>
      </c>
      <c r="B549" t="s">
        <v>410</v>
      </c>
      <c r="C549" t="s">
        <v>2</v>
      </c>
      <c r="D549">
        <v>2030</v>
      </c>
      <c r="E549" s="1">
        <v>0</v>
      </c>
      <c r="F549" t="s">
        <v>27</v>
      </c>
    </row>
    <row r="550" spans="1:8" x14ac:dyDescent="0.45">
      <c r="A550" t="s">
        <v>23</v>
      </c>
      <c r="B550" t="s">
        <v>410</v>
      </c>
      <c r="C550" t="s">
        <v>2</v>
      </c>
      <c r="D550">
        <v>2040</v>
      </c>
      <c r="E550" s="1">
        <v>0</v>
      </c>
      <c r="F550" t="s">
        <v>27</v>
      </c>
    </row>
    <row r="551" spans="1:8" x14ac:dyDescent="0.45">
      <c r="A551" t="s">
        <v>23</v>
      </c>
      <c r="B551" t="s">
        <v>410</v>
      </c>
      <c r="C551" t="s">
        <v>2</v>
      </c>
      <c r="D551">
        <v>2050</v>
      </c>
      <c r="E551" s="1">
        <v>0</v>
      </c>
      <c r="F551" t="s">
        <v>27</v>
      </c>
    </row>
    <row r="552" spans="1:8" x14ac:dyDescent="0.45">
      <c r="A552" t="s">
        <v>23</v>
      </c>
      <c r="B552" t="s">
        <v>376</v>
      </c>
      <c r="C552" t="s">
        <v>2</v>
      </c>
      <c r="D552">
        <v>2030</v>
      </c>
      <c r="E552">
        <f>G552/8760</f>
        <v>6.508021232876712</v>
      </c>
      <c r="F552" t="s">
        <v>453</v>
      </c>
      <c r="G552">
        <v>57010.265999999996</v>
      </c>
      <c r="H552" t="s">
        <v>33</v>
      </c>
    </row>
    <row r="553" spans="1:8" x14ac:dyDescent="0.45">
      <c r="A553" t="s">
        <v>23</v>
      </c>
      <c r="B553" t="s">
        <v>376</v>
      </c>
      <c r="C553" t="s">
        <v>2</v>
      </c>
      <c r="D553">
        <v>2040</v>
      </c>
      <c r="F553" t="s">
        <v>453</v>
      </c>
    </row>
    <row r="554" spans="1:8" x14ac:dyDescent="0.45">
      <c r="A554" t="s">
        <v>23</v>
      </c>
      <c r="B554" t="s">
        <v>376</v>
      </c>
      <c r="C554" t="s">
        <v>2</v>
      </c>
      <c r="D554">
        <v>2050</v>
      </c>
      <c r="E554">
        <f>G554/8760</f>
        <v>116.42523904109588</v>
      </c>
      <c r="F554" t="s">
        <v>453</v>
      </c>
      <c r="G554">
        <v>1019885.0939999999</v>
      </c>
      <c r="H554" t="s">
        <v>33</v>
      </c>
    </row>
    <row r="555" spans="1:8" x14ac:dyDescent="0.45">
      <c r="A555" t="s">
        <v>23</v>
      </c>
      <c r="B555" t="s">
        <v>369</v>
      </c>
      <c r="C555" t="s">
        <v>2</v>
      </c>
      <c r="D555">
        <v>2030</v>
      </c>
      <c r="E555">
        <f>G555/8760</f>
        <v>11.529744863013697</v>
      </c>
      <c r="F555" t="s">
        <v>453</v>
      </c>
      <c r="G555">
        <v>101000.56499999999</v>
      </c>
      <c r="H555" t="s">
        <v>33</v>
      </c>
    </row>
    <row r="556" spans="1:8" x14ac:dyDescent="0.45">
      <c r="A556" t="s">
        <v>23</v>
      </c>
      <c r="B556" t="s">
        <v>369</v>
      </c>
      <c r="C556" t="s">
        <v>2</v>
      </c>
      <c r="D556">
        <v>2040</v>
      </c>
      <c r="F556" t="s">
        <v>453</v>
      </c>
    </row>
    <row r="557" spans="1:8" x14ac:dyDescent="0.45">
      <c r="A557" t="s">
        <v>23</v>
      </c>
      <c r="B557" t="s">
        <v>369</v>
      </c>
      <c r="C557" t="s">
        <v>2</v>
      </c>
      <c r="D557">
        <v>2050</v>
      </c>
      <c r="E557">
        <f>G557/8760</f>
        <v>208.21258356164381</v>
      </c>
      <c r="F557" t="s">
        <v>453</v>
      </c>
      <c r="G557">
        <v>1823942.2319999998</v>
      </c>
      <c r="H557" t="s">
        <v>33</v>
      </c>
    </row>
    <row r="558" spans="1:8" x14ac:dyDescent="0.45">
      <c r="A558" t="s">
        <v>23</v>
      </c>
      <c r="B558" t="s">
        <v>418</v>
      </c>
      <c r="C558" t="s">
        <v>2</v>
      </c>
      <c r="D558">
        <v>2030</v>
      </c>
      <c r="E558">
        <v>0</v>
      </c>
      <c r="F558" t="s">
        <v>453</v>
      </c>
    </row>
    <row r="559" spans="1:8" x14ac:dyDescent="0.45">
      <c r="A559" t="s">
        <v>23</v>
      </c>
      <c r="B559" t="s">
        <v>418</v>
      </c>
      <c r="C559" t="s">
        <v>2</v>
      </c>
      <c r="D559">
        <v>2040</v>
      </c>
      <c r="E559">
        <v>0</v>
      </c>
      <c r="F559" t="s">
        <v>453</v>
      </c>
    </row>
    <row r="560" spans="1:8" x14ac:dyDescent="0.45">
      <c r="A560" t="s">
        <v>23</v>
      </c>
      <c r="B560" t="s">
        <v>418</v>
      </c>
      <c r="C560" t="s">
        <v>2</v>
      </c>
      <c r="D560">
        <v>2050</v>
      </c>
      <c r="E560">
        <v>0</v>
      </c>
      <c r="F560" t="s">
        <v>453</v>
      </c>
    </row>
    <row r="561" spans="1:8" x14ac:dyDescent="0.45">
      <c r="A561" t="s">
        <v>23</v>
      </c>
      <c r="B561" t="s">
        <v>425</v>
      </c>
      <c r="C561" t="s">
        <v>2</v>
      </c>
      <c r="D561">
        <v>2030</v>
      </c>
      <c r="E561">
        <v>0</v>
      </c>
      <c r="F561" t="s">
        <v>453</v>
      </c>
    </row>
    <row r="562" spans="1:8" x14ac:dyDescent="0.45">
      <c r="A562" t="s">
        <v>23</v>
      </c>
      <c r="B562" t="s">
        <v>425</v>
      </c>
      <c r="C562" t="s">
        <v>2</v>
      </c>
      <c r="D562">
        <v>2040</v>
      </c>
      <c r="E562">
        <v>0</v>
      </c>
      <c r="F562" t="s">
        <v>453</v>
      </c>
    </row>
    <row r="563" spans="1:8" x14ac:dyDescent="0.45">
      <c r="A563" t="s">
        <v>23</v>
      </c>
      <c r="B563" t="s">
        <v>425</v>
      </c>
      <c r="C563" t="s">
        <v>2</v>
      </c>
      <c r="D563">
        <v>2050</v>
      </c>
      <c r="E563">
        <v>0</v>
      </c>
      <c r="F563" t="s">
        <v>453</v>
      </c>
    </row>
    <row r="564" spans="1:8" x14ac:dyDescent="0.45">
      <c r="A564" t="s">
        <v>23</v>
      </c>
      <c r="B564" t="s">
        <v>432</v>
      </c>
      <c r="C564" t="s">
        <v>2</v>
      </c>
      <c r="D564">
        <v>2030</v>
      </c>
      <c r="E564">
        <v>0</v>
      </c>
      <c r="F564" t="s">
        <v>453</v>
      </c>
    </row>
    <row r="565" spans="1:8" x14ac:dyDescent="0.45">
      <c r="A565" t="s">
        <v>23</v>
      </c>
      <c r="B565" t="s">
        <v>432</v>
      </c>
      <c r="C565" t="s">
        <v>2</v>
      </c>
      <c r="D565">
        <v>2040</v>
      </c>
      <c r="E565">
        <v>0</v>
      </c>
      <c r="F565" t="s">
        <v>453</v>
      </c>
    </row>
    <row r="566" spans="1:8" x14ac:dyDescent="0.45">
      <c r="A566" t="s">
        <v>23</v>
      </c>
      <c r="B566" t="s">
        <v>432</v>
      </c>
      <c r="C566" t="s">
        <v>2</v>
      </c>
      <c r="D566">
        <v>2050</v>
      </c>
      <c r="E566">
        <v>0</v>
      </c>
      <c r="F566" t="s">
        <v>453</v>
      </c>
    </row>
    <row r="567" spans="1:8" x14ac:dyDescent="0.45">
      <c r="A567" t="s">
        <v>23</v>
      </c>
      <c r="B567" t="s">
        <v>439</v>
      </c>
      <c r="C567" t="s">
        <v>2</v>
      </c>
      <c r="D567">
        <v>2030</v>
      </c>
      <c r="E567">
        <v>0</v>
      </c>
      <c r="F567" t="s">
        <v>453</v>
      </c>
    </row>
    <row r="568" spans="1:8" x14ac:dyDescent="0.45">
      <c r="A568" t="s">
        <v>23</v>
      </c>
      <c r="B568" t="s">
        <v>439</v>
      </c>
      <c r="C568" t="s">
        <v>2</v>
      </c>
      <c r="D568">
        <v>2040</v>
      </c>
      <c r="E568">
        <v>0</v>
      </c>
      <c r="F568" t="s">
        <v>453</v>
      </c>
    </row>
    <row r="569" spans="1:8" x14ac:dyDescent="0.45">
      <c r="A569" t="s">
        <v>23</v>
      </c>
      <c r="B569" t="s">
        <v>439</v>
      </c>
      <c r="C569" t="s">
        <v>2</v>
      </c>
      <c r="D569">
        <v>2050</v>
      </c>
      <c r="E569">
        <v>0</v>
      </c>
      <c r="F569" t="s">
        <v>453</v>
      </c>
    </row>
    <row r="570" spans="1:8" x14ac:dyDescent="0.45">
      <c r="A570" t="s">
        <v>23</v>
      </c>
      <c r="B570" t="s">
        <v>383</v>
      </c>
      <c r="C570" t="s">
        <v>2</v>
      </c>
      <c r="D570">
        <v>2030</v>
      </c>
      <c r="E570">
        <f>G570/8760</f>
        <v>18.144508561643832</v>
      </c>
      <c r="F570" t="s">
        <v>453</v>
      </c>
      <c r="G570">
        <v>158945.89499999996</v>
      </c>
      <c r="H570" t="s">
        <v>33</v>
      </c>
    </row>
    <row r="571" spans="1:8" x14ac:dyDescent="0.45">
      <c r="A571" t="s">
        <v>23</v>
      </c>
      <c r="B571" t="s">
        <v>383</v>
      </c>
      <c r="C571" t="s">
        <v>2</v>
      </c>
      <c r="D571">
        <v>2040</v>
      </c>
      <c r="F571" t="s">
        <v>453</v>
      </c>
    </row>
    <row r="572" spans="1:8" x14ac:dyDescent="0.45">
      <c r="A572" t="s">
        <v>23</v>
      </c>
      <c r="B572" t="s">
        <v>383</v>
      </c>
      <c r="C572" t="s">
        <v>2</v>
      </c>
      <c r="D572">
        <v>2050</v>
      </c>
      <c r="E572">
        <f>G572/8760</f>
        <v>312.47944520547946</v>
      </c>
      <c r="F572" t="s">
        <v>453</v>
      </c>
      <c r="G572">
        <v>2737319.94</v>
      </c>
      <c r="H572" t="s">
        <v>33</v>
      </c>
    </row>
    <row r="573" spans="1:8" x14ac:dyDescent="0.45">
      <c r="A573" t="s">
        <v>23</v>
      </c>
      <c r="B573" t="s">
        <v>390</v>
      </c>
      <c r="C573" t="s">
        <v>2</v>
      </c>
      <c r="D573">
        <v>2030</v>
      </c>
      <c r="E573">
        <f>G573/8760</f>
        <v>5.8651335616438356</v>
      </c>
      <c r="F573" t="s">
        <v>453</v>
      </c>
      <c r="G573">
        <v>51378.57</v>
      </c>
      <c r="H573" t="s">
        <v>33</v>
      </c>
    </row>
    <row r="574" spans="1:8" x14ac:dyDescent="0.45">
      <c r="A574" t="s">
        <v>23</v>
      </c>
      <c r="B574" t="s">
        <v>390</v>
      </c>
      <c r="C574" t="s">
        <v>2</v>
      </c>
      <c r="D574">
        <v>2040</v>
      </c>
      <c r="F574" t="s">
        <v>453</v>
      </c>
    </row>
    <row r="575" spans="1:8" x14ac:dyDescent="0.45">
      <c r="A575" t="s">
        <v>23</v>
      </c>
      <c r="B575" t="s">
        <v>390</v>
      </c>
      <c r="C575" t="s">
        <v>2</v>
      </c>
      <c r="D575">
        <v>2050</v>
      </c>
      <c r="E575">
        <f>G575/8760</f>
        <v>103.4846917808219</v>
      </c>
      <c r="F575" t="s">
        <v>453</v>
      </c>
      <c r="G575">
        <v>906525.89999999991</v>
      </c>
      <c r="H575" t="s">
        <v>33</v>
      </c>
    </row>
    <row r="576" spans="1:8" x14ac:dyDescent="0.45">
      <c r="A576" t="s">
        <v>23</v>
      </c>
      <c r="B576" t="s">
        <v>397</v>
      </c>
      <c r="C576" t="s">
        <v>2</v>
      </c>
      <c r="D576">
        <v>2030</v>
      </c>
      <c r="E576">
        <f>G576/8760</f>
        <v>189.57051369863012</v>
      </c>
      <c r="F576" t="s">
        <v>453</v>
      </c>
      <c r="G576">
        <v>1660637.7</v>
      </c>
      <c r="H576" t="s">
        <v>33</v>
      </c>
    </row>
    <row r="577" spans="1:8" x14ac:dyDescent="0.45">
      <c r="A577" t="s">
        <v>23</v>
      </c>
      <c r="B577" t="s">
        <v>397</v>
      </c>
      <c r="C577" t="s">
        <v>2</v>
      </c>
      <c r="D577">
        <v>2040</v>
      </c>
      <c r="F577" t="s">
        <v>453</v>
      </c>
    </row>
    <row r="578" spans="1:8" x14ac:dyDescent="0.45">
      <c r="A578" t="s">
        <v>23</v>
      </c>
      <c r="B578" t="s">
        <v>397</v>
      </c>
      <c r="C578" t="s">
        <v>2</v>
      </c>
      <c r="D578">
        <v>2050</v>
      </c>
      <c r="E578">
        <f>G578/8760</f>
        <v>1946.7613013698631</v>
      </c>
      <c r="F578" t="s">
        <v>453</v>
      </c>
      <c r="G578">
        <v>17053629</v>
      </c>
      <c r="H578" t="s">
        <v>33</v>
      </c>
    </row>
    <row r="579" spans="1:8" x14ac:dyDescent="0.45">
      <c r="A579" t="s">
        <v>23</v>
      </c>
      <c r="B579" t="s">
        <v>404</v>
      </c>
      <c r="C579" t="s">
        <v>2</v>
      </c>
      <c r="D579">
        <v>2030</v>
      </c>
      <c r="E579">
        <f>G579/8760</f>
        <v>11.163254794520549</v>
      </c>
      <c r="F579" t="s">
        <v>453</v>
      </c>
      <c r="G579">
        <v>97790.112000000008</v>
      </c>
      <c r="H579" t="s">
        <v>33</v>
      </c>
    </row>
    <row r="580" spans="1:8" x14ac:dyDescent="0.45">
      <c r="A580" t="s">
        <v>23</v>
      </c>
      <c r="B580" t="s">
        <v>404</v>
      </c>
      <c r="C580" t="s">
        <v>2</v>
      </c>
      <c r="D580">
        <v>2040</v>
      </c>
      <c r="F580" t="s">
        <v>453</v>
      </c>
    </row>
    <row r="581" spans="1:8" x14ac:dyDescent="0.45">
      <c r="A581" t="s">
        <v>23</v>
      </c>
      <c r="B581" t="s">
        <v>404</v>
      </c>
      <c r="C581" t="s">
        <v>2</v>
      </c>
      <c r="D581">
        <v>2050</v>
      </c>
      <c r="E581">
        <f>G581/8760</f>
        <v>178.26586757990867</v>
      </c>
      <c r="F581" t="s">
        <v>453</v>
      </c>
      <c r="G581">
        <v>1561609</v>
      </c>
      <c r="H581" t="s">
        <v>33</v>
      </c>
    </row>
    <row r="582" spans="1:8" x14ac:dyDescent="0.45">
      <c r="A582" t="s">
        <v>23</v>
      </c>
      <c r="B582" t="s">
        <v>411</v>
      </c>
      <c r="C582" t="s">
        <v>2</v>
      </c>
      <c r="D582">
        <v>2030</v>
      </c>
      <c r="E582">
        <v>0</v>
      </c>
      <c r="F582" t="s">
        <v>453</v>
      </c>
    </row>
    <row r="583" spans="1:8" x14ac:dyDescent="0.45">
      <c r="A583" t="s">
        <v>23</v>
      </c>
      <c r="B583" t="s">
        <v>411</v>
      </c>
      <c r="C583" t="s">
        <v>2</v>
      </c>
      <c r="D583">
        <v>2040</v>
      </c>
      <c r="E583">
        <v>0</v>
      </c>
      <c r="F583" t="s">
        <v>453</v>
      </c>
    </row>
    <row r="584" spans="1:8" x14ac:dyDescent="0.45">
      <c r="A584" t="s">
        <v>23</v>
      </c>
      <c r="B584" t="s">
        <v>411</v>
      </c>
      <c r="C584" t="s">
        <v>2</v>
      </c>
      <c r="D584">
        <v>2050</v>
      </c>
      <c r="E584">
        <v>0</v>
      </c>
      <c r="F584" t="s">
        <v>453</v>
      </c>
    </row>
    <row r="585" spans="1:8" x14ac:dyDescent="0.45">
      <c r="A585" t="s">
        <v>23</v>
      </c>
      <c r="B585" t="s">
        <v>321</v>
      </c>
      <c r="C585" t="s">
        <v>346</v>
      </c>
      <c r="D585">
        <v>2030</v>
      </c>
      <c r="E585" s="1">
        <f>E586/2</f>
        <v>2861.5</v>
      </c>
      <c r="F585" t="s">
        <v>453</v>
      </c>
      <c r="G585" t="s">
        <v>304</v>
      </c>
    </row>
    <row r="586" spans="1:8" x14ac:dyDescent="0.45">
      <c r="A586" t="s">
        <v>23</v>
      </c>
      <c r="B586" t="s">
        <v>321</v>
      </c>
      <c r="C586" t="s">
        <v>346</v>
      </c>
      <c r="D586">
        <v>2040</v>
      </c>
      <c r="E586" s="1">
        <f>E587/2</f>
        <v>5723</v>
      </c>
      <c r="F586" t="s">
        <v>453</v>
      </c>
      <c r="G586" t="s">
        <v>304</v>
      </c>
    </row>
    <row r="587" spans="1:8" x14ac:dyDescent="0.45">
      <c r="A587" t="s">
        <v>23</v>
      </c>
      <c r="B587" t="s">
        <v>321</v>
      </c>
      <c r="C587" t="s">
        <v>346</v>
      </c>
      <c r="D587">
        <v>2050</v>
      </c>
      <c r="E587" s="1">
        <v>11446</v>
      </c>
      <c r="F587" t="s">
        <v>453</v>
      </c>
      <c r="G587" t="s">
        <v>304</v>
      </c>
    </row>
    <row r="588" spans="1:8" x14ac:dyDescent="0.45">
      <c r="A588" t="s">
        <v>23</v>
      </c>
      <c r="B588" t="s">
        <v>322</v>
      </c>
      <c r="C588" t="s">
        <v>346</v>
      </c>
      <c r="D588">
        <v>2030</v>
      </c>
      <c r="E588">
        <v>0</v>
      </c>
      <c r="F588" t="s">
        <v>453</v>
      </c>
      <c r="G588" t="s">
        <v>304</v>
      </c>
    </row>
    <row r="589" spans="1:8" x14ac:dyDescent="0.45">
      <c r="A589" t="s">
        <v>23</v>
      </c>
      <c r="B589" t="s">
        <v>322</v>
      </c>
      <c r="C589" t="s">
        <v>346</v>
      </c>
      <c r="D589">
        <v>2040</v>
      </c>
      <c r="E589" s="1">
        <f>E590/2</f>
        <v>286</v>
      </c>
      <c r="F589" t="s">
        <v>453</v>
      </c>
      <c r="G589" t="s">
        <v>304</v>
      </c>
    </row>
    <row r="590" spans="1:8" x14ac:dyDescent="0.45">
      <c r="A590" t="s">
        <v>23</v>
      </c>
      <c r="B590" t="s">
        <v>322</v>
      </c>
      <c r="C590" t="s">
        <v>346</v>
      </c>
      <c r="D590">
        <v>2050</v>
      </c>
      <c r="E590" s="1">
        <v>572</v>
      </c>
      <c r="F590" t="s">
        <v>453</v>
      </c>
      <c r="G590" t="s">
        <v>304</v>
      </c>
    </row>
    <row r="591" spans="1:8" x14ac:dyDescent="0.45">
      <c r="A591" t="s">
        <v>222</v>
      </c>
      <c r="B591" t="s">
        <v>345</v>
      </c>
      <c r="C591" t="s">
        <v>2</v>
      </c>
      <c r="D591">
        <v>2030</v>
      </c>
      <c r="E591" s="4">
        <v>5.67</v>
      </c>
      <c r="F591" t="s">
        <v>178</v>
      </c>
      <c r="G591" t="s">
        <v>83</v>
      </c>
    </row>
    <row r="592" spans="1:8" x14ac:dyDescent="0.45">
      <c r="A592" t="s">
        <v>222</v>
      </c>
      <c r="B592" t="s">
        <v>345</v>
      </c>
      <c r="C592" t="s">
        <v>2</v>
      </c>
      <c r="D592">
        <v>2040</v>
      </c>
      <c r="E592" s="4">
        <v>4.83</v>
      </c>
      <c r="F592" t="s">
        <v>178</v>
      </c>
      <c r="G592" t="s">
        <v>83</v>
      </c>
    </row>
    <row r="593" spans="1:7" x14ac:dyDescent="0.45">
      <c r="A593" t="s">
        <v>222</v>
      </c>
      <c r="B593" t="s">
        <v>345</v>
      </c>
      <c r="C593" t="s">
        <v>2</v>
      </c>
      <c r="D593">
        <v>2050</v>
      </c>
      <c r="E593" s="4">
        <v>4.5199999999999996</v>
      </c>
      <c r="F593" t="s">
        <v>178</v>
      </c>
      <c r="G593" t="s">
        <v>83</v>
      </c>
    </row>
    <row r="594" spans="1:7" x14ac:dyDescent="0.45">
      <c r="A594" t="s">
        <v>222</v>
      </c>
      <c r="B594" t="s">
        <v>344</v>
      </c>
      <c r="C594" t="s">
        <v>2</v>
      </c>
      <c r="D594">
        <v>2030</v>
      </c>
      <c r="E594" s="4">
        <v>5.67</v>
      </c>
      <c r="F594" t="s">
        <v>178</v>
      </c>
      <c r="G594" t="s">
        <v>83</v>
      </c>
    </row>
    <row r="595" spans="1:7" x14ac:dyDescent="0.45">
      <c r="A595" t="s">
        <v>222</v>
      </c>
      <c r="B595" t="s">
        <v>344</v>
      </c>
      <c r="C595" t="s">
        <v>2</v>
      </c>
      <c r="D595">
        <v>2040</v>
      </c>
      <c r="E595" s="4">
        <v>4.83</v>
      </c>
      <c r="F595" t="s">
        <v>178</v>
      </c>
      <c r="G595" t="s">
        <v>83</v>
      </c>
    </row>
    <row r="596" spans="1:7" x14ac:dyDescent="0.45">
      <c r="A596" t="s">
        <v>222</v>
      </c>
      <c r="B596" t="s">
        <v>344</v>
      </c>
      <c r="C596" t="s">
        <v>2</v>
      </c>
      <c r="D596">
        <v>2050</v>
      </c>
      <c r="E596" s="4">
        <v>4.5199999999999996</v>
      </c>
      <c r="F596" t="s">
        <v>178</v>
      </c>
      <c r="G596" t="s">
        <v>83</v>
      </c>
    </row>
    <row r="597" spans="1:7" x14ac:dyDescent="0.45">
      <c r="A597" t="s">
        <v>222</v>
      </c>
      <c r="B597" t="s">
        <v>223</v>
      </c>
      <c r="C597" t="s">
        <v>2</v>
      </c>
      <c r="D597">
        <v>2030</v>
      </c>
      <c r="E597" s="4">
        <v>0.02</v>
      </c>
      <c r="F597" t="s">
        <v>178</v>
      </c>
      <c r="G597" t="s">
        <v>83</v>
      </c>
    </row>
    <row r="598" spans="1:7" x14ac:dyDescent="0.45">
      <c r="A598" t="s">
        <v>222</v>
      </c>
      <c r="B598" t="s">
        <v>223</v>
      </c>
      <c r="C598" t="s">
        <v>2</v>
      </c>
      <c r="D598">
        <v>2040</v>
      </c>
      <c r="E598" s="4">
        <v>0.02</v>
      </c>
      <c r="F598" t="s">
        <v>178</v>
      </c>
      <c r="G598" t="s">
        <v>83</v>
      </c>
    </row>
    <row r="599" spans="1:7" x14ac:dyDescent="0.45">
      <c r="A599" t="s">
        <v>222</v>
      </c>
      <c r="B599" t="s">
        <v>223</v>
      </c>
      <c r="C599" t="s">
        <v>2</v>
      </c>
      <c r="D599">
        <v>2050</v>
      </c>
      <c r="E599" s="4">
        <v>0.02</v>
      </c>
      <c r="F599" t="s">
        <v>178</v>
      </c>
      <c r="G599" t="s">
        <v>83</v>
      </c>
    </row>
    <row r="600" spans="1:7" x14ac:dyDescent="0.45">
      <c r="A600" t="s">
        <v>222</v>
      </c>
      <c r="B600" t="s">
        <v>224</v>
      </c>
      <c r="C600" t="s">
        <v>2</v>
      </c>
      <c r="D600">
        <v>2030</v>
      </c>
      <c r="E600" s="4">
        <v>14.013</v>
      </c>
      <c r="F600" t="s">
        <v>178</v>
      </c>
      <c r="G600" t="s">
        <v>155</v>
      </c>
    </row>
    <row r="601" spans="1:7" x14ac:dyDescent="0.45">
      <c r="A601" t="s">
        <v>222</v>
      </c>
      <c r="B601" t="s">
        <v>224</v>
      </c>
      <c r="C601" t="s">
        <v>2</v>
      </c>
      <c r="D601">
        <v>2040</v>
      </c>
      <c r="E601" s="4">
        <v>14.013</v>
      </c>
      <c r="F601" t="s">
        <v>178</v>
      </c>
      <c r="G601" t="s">
        <v>155</v>
      </c>
    </row>
    <row r="602" spans="1:7" x14ac:dyDescent="0.45">
      <c r="A602" t="s">
        <v>222</v>
      </c>
      <c r="B602" t="s">
        <v>224</v>
      </c>
      <c r="C602" t="s">
        <v>2</v>
      </c>
      <c r="D602">
        <v>2050</v>
      </c>
      <c r="E602" s="4">
        <v>14.013</v>
      </c>
      <c r="F602" t="s">
        <v>178</v>
      </c>
      <c r="G602" t="s">
        <v>155</v>
      </c>
    </row>
    <row r="603" spans="1:7" x14ac:dyDescent="0.45">
      <c r="A603" t="s">
        <v>222</v>
      </c>
      <c r="B603" t="s">
        <v>225</v>
      </c>
      <c r="C603" t="s">
        <v>2</v>
      </c>
      <c r="D603">
        <v>2030</v>
      </c>
      <c r="E603" s="4">
        <v>14.013</v>
      </c>
      <c r="F603" t="s">
        <v>178</v>
      </c>
      <c r="G603" t="s">
        <v>155</v>
      </c>
    </row>
    <row r="604" spans="1:7" x14ac:dyDescent="0.45">
      <c r="A604" t="s">
        <v>222</v>
      </c>
      <c r="B604" t="s">
        <v>225</v>
      </c>
      <c r="C604" t="s">
        <v>2</v>
      </c>
      <c r="D604">
        <v>2040</v>
      </c>
      <c r="E604" s="4">
        <v>14.013</v>
      </c>
      <c r="F604" t="s">
        <v>178</v>
      </c>
      <c r="G604" t="s">
        <v>155</v>
      </c>
    </row>
    <row r="605" spans="1:7" x14ac:dyDescent="0.45">
      <c r="A605" t="s">
        <v>222</v>
      </c>
      <c r="B605" t="s">
        <v>225</v>
      </c>
      <c r="C605" t="s">
        <v>2</v>
      </c>
      <c r="D605">
        <v>2050</v>
      </c>
      <c r="E605" s="4">
        <v>14.013</v>
      </c>
      <c r="F605" t="s">
        <v>178</v>
      </c>
      <c r="G605" t="s">
        <v>155</v>
      </c>
    </row>
    <row r="606" spans="1:7" x14ac:dyDescent="0.45">
      <c r="A606" t="s">
        <v>222</v>
      </c>
      <c r="B606" t="s">
        <v>228</v>
      </c>
      <c r="C606" t="s">
        <v>2</v>
      </c>
      <c r="D606">
        <v>2030</v>
      </c>
      <c r="E606" s="4">
        <v>0</v>
      </c>
      <c r="F606" t="s">
        <v>178</v>
      </c>
      <c r="G606" t="s">
        <v>93</v>
      </c>
    </row>
    <row r="607" spans="1:7" x14ac:dyDescent="0.45">
      <c r="A607" t="s">
        <v>222</v>
      </c>
      <c r="B607" t="s">
        <v>228</v>
      </c>
      <c r="C607" t="s">
        <v>2</v>
      </c>
      <c r="D607">
        <v>2040</v>
      </c>
      <c r="E607" s="4">
        <v>0</v>
      </c>
      <c r="F607" t="s">
        <v>178</v>
      </c>
      <c r="G607" t="s">
        <v>93</v>
      </c>
    </row>
    <row r="608" spans="1:7" x14ac:dyDescent="0.45">
      <c r="A608" t="s">
        <v>222</v>
      </c>
      <c r="B608" t="s">
        <v>228</v>
      </c>
      <c r="C608" t="s">
        <v>2</v>
      </c>
      <c r="D608">
        <v>2050</v>
      </c>
      <c r="E608" s="4">
        <v>0</v>
      </c>
      <c r="F608" t="s">
        <v>178</v>
      </c>
      <c r="G608" t="s">
        <v>93</v>
      </c>
    </row>
    <row r="609" spans="1:7" x14ac:dyDescent="0.45">
      <c r="A609" t="s">
        <v>222</v>
      </c>
      <c r="B609" t="s">
        <v>229</v>
      </c>
      <c r="C609" t="s">
        <v>2</v>
      </c>
      <c r="D609">
        <v>2030</v>
      </c>
      <c r="E609" s="4">
        <v>0</v>
      </c>
      <c r="F609" t="s">
        <v>178</v>
      </c>
      <c r="G609" t="s">
        <v>93</v>
      </c>
    </row>
    <row r="610" spans="1:7" x14ac:dyDescent="0.45">
      <c r="A610" t="s">
        <v>222</v>
      </c>
      <c r="B610" t="s">
        <v>229</v>
      </c>
      <c r="C610" t="s">
        <v>2</v>
      </c>
      <c r="D610">
        <v>2040</v>
      </c>
      <c r="E610" s="4">
        <v>0</v>
      </c>
      <c r="F610" t="s">
        <v>178</v>
      </c>
      <c r="G610" t="s">
        <v>93</v>
      </c>
    </row>
    <row r="611" spans="1:7" x14ac:dyDescent="0.45">
      <c r="A611" t="s">
        <v>222</v>
      </c>
      <c r="B611" t="s">
        <v>229</v>
      </c>
      <c r="C611" t="s">
        <v>2</v>
      </c>
      <c r="D611">
        <v>2050</v>
      </c>
      <c r="E611" s="4">
        <v>0</v>
      </c>
      <c r="F611" t="s">
        <v>178</v>
      </c>
      <c r="G611" t="s">
        <v>93</v>
      </c>
    </row>
    <row r="612" spans="1:7" x14ac:dyDescent="0.45">
      <c r="A612" t="s">
        <v>222</v>
      </c>
      <c r="B612" t="s">
        <v>230</v>
      </c>
      <c r="C612" t="s">
        <v>2</v>
      </c>
      <c r="D612">
        <v>2030</v>
      </c>
      <c r="E612" s="4">
        <v>6.2686567164179099</v>
      </c>
      <c r="F612" t="s">
        <v>178</v>
      </c>
      <c r="G612" t="s">
        <v>147</v>
      </c>
    </row>
    <row r="613" spans="1:7" x14ac:dyDescent="0.45">
      <c r="A613" t="s">
        <v>222</v>
      </c>
      <c r="B613" t="s">
        <v>230</v>
      </c>
      <c r="C613" t="s">
        <v>2</v>
      </c>
      <c r="D613">
        <v>2040</v>
      </c>
      <c r="E613" s="4">
        <v>6.2686567164179099</v>
      </c>
      <c r="F613" t="s">
        <v>178</v>
      </c>
      <c r="G613" t="s">
        <v>147</v>
      </c>
    </row>
    <row r="614" spans="1:7" x14ac:dyDescent="0.45">
      <c r="A614" t="s">
        <v>222</v>
      </c>
      <c r="B614" t="s">
        <v>230</v>
      </c>
      <c r="C614" t="s">
        <v>2</v>
      </c>
      <c r="D614">
        <v>2050</v>
      </c>
      <c r="E614" s="4">
        <v>6.2686567164179099</v>
      </c>
      <c r="F614" t="s">
        <v>178</v>
      </c>
      <c r="G614" t="s">
        <v>147</v>
      </c>
    </row>
    <row r="615" spans="1:7" x14ac:dyDescent="0.45">
      <c r="A615" t="s">
        <v>222</v>
      </c>
      <c r="B615" t="s">
        <v>231</v>
      </c>
      <c r="C615" t="s">
        <v>2</v>
      </c>
      <c r="D615">
        <v>2030</v>
      </c>
      <c r="E615" s="4">
        <f>4.2/0.6</f>
        <v>7.0000000000000009</v>
      </c>
      <c r="F615" t="s">
        <v>178</v>
      </c>
      <c r="G615" t="s">
        <v>234</v>
      </c>
    </row>
    <row r="616" spans="1:7" x14ac:dyDescent="0.45">
      <c r="A616" t="s">
        <v>222</v>
      </c>
      <c r="B616" t="s">
        <v>231</v>
      </c>
      <c r="C616" t="s">
        <v>2</v>
      </c>
      <c r="D616">
        <v>2040</v>
      </c>
      <c r="E616" s="4">
        <f>3.2/0.6</f>
        <v>5.3333333333333339</v>
      </c>
      <c r="F616" t="s">
        <v>178</v>
      </c>
      <c r="G616" t="s">
        <v>234</v>
      </c>
    </row>
    <row r="617" spans="1:7" x14ac:dyDescent="0.45">
      <c r="A617" t="s">
        <v>222</v>
      </c>
      <c r="B617" t="s">
        <v>231</v>
      </c>
      <c r="C617" t="s">
        <v>2</v>
      </c>
      <c r="D617">
        <v>2050</v>
      </c>
      <c r="E617" s="4">
        <f>2.1/0.6</f>
        <v>3.5000000000000004</v>
      </c>
      <c r="F617" t="s">
        <v>178</v>
      </c>
      <c r="G617" t="s">
        <v>234</v>
      </c>
    </row>
    <row r="618" spans="1:7" x14ac:dyDescent="0.45">
      <c r="A618" t="s">
        <v>222</v>
      </c>
      <c r="B618" t="s">
        <v>232</v>
      </c>
      <c r="C618" t="s">
        <v>2</v>
      </c>
      <c r="D618">
        <v>2030</v>
      </c>
      <c r="E618" s="4">
        <f>1.06257378984652/0.5</f>
        <v>2.1251475796930399</v>
      </c>
      <c r="F618" t="s">
        <v>178</v>
      </c>
      <c r="G618" t="s">
        <v>235</v>
      </c>
    </row>
    <row r="619" spans="1:7" x14ac:dyDescent="0.45">
      <c r="A619" t="s">
        <v>222</v>
      </c>
      <c r="B619" t="s">
        <v>232</v>
      </c>
      <c r="C619" t="s">
        <v>2</v>
      </c>
      <c r="D619">
        <v>2040</v>
      </c>
      <c r="E619" s="4">
        <f>1.06363636363636/0.5</f>
        <v>2.1272727272727199</v>
      </c>
      <c r="F619" t="s">
        <v>178</v>
      </c>
      <c r="G619" t="s">
        <v>235</v>
      </c>
    </row>
    <row r="620" spans="1:7" x14ac:dyDescent="0.45">
      <c r="A620" t="s">
        <v>222</v>
      </c>
      <c r="B620" t="s">
        <v>232</v>
      </c>
      <c r="C620" t="s">
        <v>2</v>
      </c>
      <c r="D620">
        <v>2050</v>
      </c>
      <c r="E620" s="4">
        <f>1.06257378984652/0.5</f>
        <v>2.1251475796930399</v>
      </c>
      <c r="F620" t="s">
        <v>178</v>
      </c>
      <c r="G620" t="s">
        <v>235</v>
      </c>
    </row>
    <row r="621" spans="1:7" x14ac:dyDescent="0.45">
      <c r="A621" t="s">
        <v>222</v>
      </c>
      <c r="B621" t="s">
        <v>233</v>
      </c>
      <c r="C621" t="s">
        <v>2</v>
      </c>
      <c r="D621">
        <v>2030</v>
      </c>
      <c r="E621" s="4">
        <f>1.06257378984652/0.5</f>
        <v>2.1251475796930399</v>
      </c>
      <c r="F621" t="s">
        <v>178</v>
      </c>
      <c r="G621" t="s">
        <v>235</v>
      </c>
    </row>
    <row r="622" spans="1:7" x14ac:dyDescent="0.45">
      <c r="A622" t="s">
        <v>222</v>
      </c>
      <c r="B622" t="s">
        <v>233</v>
      </c>
      <c r="C622" t="s">
        <v>2</v>
      </c>
      <c r="D622">
        <v>2040</v>
      </c>
      <c r="E622" s="4">
        <f>1.06363636363636/0.5</f>
        <v>2.1272727272727199</v>
      </c>
      <c r="F622" t="s">
        <v>178</v>
      </c>
      <c r="G622" t="s">
        <v>235</v>
      </c>
    </row>
    <row r="623" spans="1:7" x14ac:dyDescent="0.45">
      <c r="A623" t="s">
        <v>222</v>
      </c>
      <c r="B623" t="s">
        <v>233</v>
      </c>
      <c r="C623" t="s">
        <v>2</v>
      </c>
      <c r="D623">
        <v>2050</v>
      </c>
      <c r="E623" s="4">
        <f>1.06257378984652/0.5</f>
        <v>2.1251475796930399</v>
      </c>
      <c r="F623" t="s">
        <v>178</v>
      </c>
      <c r="G623" t="s">
        <v>235</v>
      </c>
    </row>
    <row r="624" spans="1:7" x14ac:dyDescent="0.45">
      <c r="A624" t="s">
        <v>222</v>
      </c>
      <c r="B624" t="s">
        <v>298</v>
      </c>
      <c r="C624" t="s">
        <v>2</v>
      </c>
      <c r="D624">
        <v>2030</v>
      </c>
      <c r="E624" s="4">
        <f>1.06257378984652/0.5</f>
        <v>2.1251475796930399</v>
      </c>
      <c r="F624" t="s">
        <v>178</v>
      </c>
      <c r="G624" t="s">
        <v>235</v>
      </c>
    </row>
    <row r="625" spans="1:7" x14ac:dyDescent="0.45">
      <c r="A625" t="s">
        <v>222</v>
      </c>
      <c r="B625" t="s">
        <v>298</v>
      </c>
      <c r="C625" t="s">
        <v>2</v>
      </c>
      <c r="D625">
        <v>2040</v>
      </c>
      <c r="E625" s="4">
        <f>1.06363636363636/0.5</f>
        <v>2.1272727272727199</v>
      </c>
      <c r="F625" t="s">
        <v>178</v>
      </c>
      <c r="G625" t="s">
        <v>235</v>
      </c>
    </row>
    <row r="626" spans="1:7" x14ac:dyDescent="0.45">
      <c r="A626" t="s">
        <v>222</v>
      </c>
      <c r="B626" t="s">
        <v>298</v>
      </c>
      <c r="C626" t="s">
        <v>2</v>
      </c>
      <c r="D626">
        <v>2050</v>
      </c>
      <c r="E626" s="4">
        <f>1.06257378984652/0.5</f>
        <v>2.1251475796930399</v>
      </c>
      <c r="F626" t="s">
        <v>178</v>
      </c>
      <c r="G626" t="s">
        <v>235</v>
      </c>
    </row>
    <row r="627" spans="1:7" x14ac:dyDescent="0.45">
      <c r="A627" t="s">
        <v>222</v>
      </c>
      <c r="B627" t="s">
        <v>299</v>
      </c>
      <c r="C627" t="s">
        <v>2</v>
      </c>
      <c r="D627">
        <v>2030</v>
      </c>
      <c r="E627" s="4">
        <f>1.06257378984652/0.5</f>
        <v>2.1251475796930399</v>
      </c>
      <c r="F627" t="s">
        <v>178</v>
      </c>
      <c r="G627" t="s">
        <v>235</v>
      </c>
    </row>
    <row r="628" spans="1:7" x14ac:dyDescent="0.45">
      <c r="A628" t="s">
        <v>222</v>
      </c>
      <c r="B628" t="s">
        <v>299</v>
      </c>
      <c r="C628" t="s">
        <v>2</v>
      </c>
      <c r="D628">
        <v>2040</v>
      </c>
      <c r="E628" s="4">
        <f>1.06363636363636/0.5</f>
        <v>2.1272727272727199</v>
      </c>
      <c r="F628" t="s">
        <v>178</v>
      </c>
      <c r="G628" t="s">
        <v>235</v>
      </c>
    </row>
    <row r="629" spans="1:7" x14ac:dyDescent="0.45">
      <c r="A629" t="s">
        <v>222</v>
      </c>
      <c r="B629" t="s">
        <v>299</v>
      </c>
      <c r="C629" t="s">
        <v>2</v>
      </c>
      <c r="D629">
        <v>2050</v>
      </c>
      <c r="E629" s="4">
        <f>1.06257378984652/0.5</f>
        <v>2.1251475796930399</v>
      </c>
      <c r="F629" t="s">
        <v>178</v>
      </c>
      <c r="G629" t="s">
        <v>235</v>
      </c>
    </row>
    <row r="630" spans="1:7" x14ac:dyDescent="0.45">
      <c r="A630" t="s">
        <v>222</v>
      </c>
      <c r="B630" t="s">
        <v>236</v>
      </c>
      <c r="C630" t="s">
        <v>2</v>
      </c>
      <c r="D630">
        <v>2030</v>
      </c>
      <c r="E630">
        <v>2.5</v>
      </c>
      <c r="F630" t="s">
        <v>153</v>
      </c>
      <c r="G630" t="s">
        <v>243</v>
      </c>
    </row>
    <row r="631" spans="1:7" x14ac:dyDescent="0.45">
      <c r="A631" t="s">
        <v>222</v>
      </c>
      <c r="B631" t="s">
        <v>236</v>
      </c>
      <c r="C631" t="s">
        <v>2</v>
      </c>
      <c r="D631">
        <v>2040</v>
      </c>
      <c r="E631">
        <v>2.5</v>
      </c>
      <c r="F631" t="s">
        <v>153</v>
      </c>
      <c r="G631" t="s">
        <v>243</v>
      </c>
    </row>
    <row r="632" spans="1:7" x14ac:dyDescent="0.45">
      <c r="A632" t="s">
        <v>222</v>
      </c>
      <c r="B632" t="s">
        <v>236</v>
      </c>
      <c r="C632" t="s">
        <v>2</v>
      </c>
      <c r="D632">
        <v>2050</v>
      </c>
      <c r="E632">
        <v>2.5</v>
      </c>
      <c r="F632" t="s">
        <v>153</v>
      </c>
      <c r="G632" t="s">
        <v>243</v>
      </c>
    </row>
    <row r="633" spans="1:7" x14ac:dyDescent="0.45">
      <c r="A633" t="s">
        <v>222</v>
      </c>
      <c r="B633" t="s">
        <v>237</v>
      </c>
      <c r="C633" t="s">
        <v>2</v>
      </c>
      <c r="D633">
        <v>2030</v>
      </c>
      <c r="E633">
        <v>0</v>
      </c>
      <c r="F633" t="s">
        <v>153</v>
      </c>
      <c r="G633" t="s">
        <v>244</v>
      </c>
    </row>
    <row r="634" spans="1:7" x14ac:dyDescent="0.45">
      <c r="A634" t="s">
        <v>222</v>
      </c>
      <c r="B634" t="s">
        <v>237</v>
      </c>
      <c r="C634" t="s">
        <v>2</v>
      </c>
      <c r="D634">
        <v>2040</v>
      </c>
      <c r="E634">
        <v>0</v>
      </c>
      <c r="F634" t="s">
        <v>153</v>
      </c>
      <c r="G634" t="s">
        <v>244</v>
      </c>
    </row>
    <row r="635" spans="1:7" x14ac:dyDescent="0.45">
      <c r="A635" t="s">
        <v>222</v>
      </c>
      <c r="B635" t="s">
        <v>237</v>
      </c>
      <c r="C635" t="s">
        <v>2</v>
      </c>
      <c r="D635">
        <v>2050</v>
      </c>
      <c r="E635">
        <v>0</v>
      </c>
      <c r="F635" t="s">
        <v>153</v>
      </c>
      <c r="G635" t="s">
        <v>244</v>
      </c>
    </row>
    <row r="636" spans="1:7" x14ac:dyDescent="0.45">
      <c r="A636" t="s">
        <v>222</v>
      </c>
      <c r="B636" t="s">
        <v>262</v>
      </c>
      <c r="C636" t="s">
        <v>2</v>
      </c>
      <c r="D636">
        <v>2030</v>
      </c>
      <c r="E636" s="5">
        <f>0.001*3.6/0.65</f>
        <v>5.538461538461539E-3</v>
      </c>
      <c r="F636" t="s">
        <v>178</v>
      </c>
      <c r="G636" t="s">
        <v>261</v>
      </c>
    </row>
    <row r="637" spans="1:7" x14ac:dyDescent="0.45">
      <c r="A637" t="s">
        <v>222</v>
      </c>
      <c r="B637" t="s">
        <v>262</v>
      </c>
      <c r="C637" t="s">
        <v>2</v>
      </c>
      <c r="D637">
        <v>2040</v>
      </c>
      <c r="E637" s="5">
        <f>E638</f>
        <v>5.538461538461539E-3</v>
      </c>
      <c r="F637" t="s">
        <v>178</v>
      </c>
      <c r="G637" t="s">
        <v>261</v>
      </c>
    </row>
    <row r="638" spans="1:7" x14ac:dyDescent="0.45">
      <c r="A638" t="s">
        <v>222</v>
      </c>
      <c r="B638" t="s">
        <v>262</v>
      </c>
      <c r="C638" t="s">
        <v>2</v>
      </c>
      <c r="D638">
        <v>2050</v>
      </c>
      <c r="E638" s="5">
        <f>0.001*3.6/0.65</f>
        <v>5.538461538461539E-3</v>
      </c>
      <c r="F638" t="s">
        <v>178</v>
      </c>
      <c r="G638" t="s">
        <v>261</v>
      </c>
    </row>
    <row r="639" spans="1:7" x14ac:dyDescent="0.45">
      <c r="A639" t="s">
        <v>249</v>
      </c>
      <c r="C639" t="s">
        <v>2</v>
      </c>
      <c r="D639">
        <v>2030</v>
      </c>
      <c r="E639">
        <v>0</v>
      </c>
      <c r="F639" t="s">
        <v>153</v>
      </c>
      <c r="G639" t="s">
        <v>250</v>
      </c>
    </row>
    <row r="640" spans="1:7" x14ac:dyDescent="0.45">
      <c r="A640" t="s">
        <v>249</v>
      </c>
      <c r="C640" t="s">
        <v>2</v>
      </c>
      <c r="D640">
        <v>2040</v>
      </c>
      <c r="E640">
        <v>0</v>
      </c>
      <c r="F640" t="s">
        <v>153</v>
      </c>
      <c r="G640" t="s">
        <v>250</v>
      </c>
    </row>
    <row r="641" spans="1:8" x14ac:dyDescent="0.45">
      <c r="A641" t="s">
        <v>249</v>
      </c>
      <c r="C641" t="s">
        <v>2</v>
      </c>
      <c r="D641">
        <v>2050</v>
      </c>
      <c r="E641">
        <v>0</v>
      </c>
      <c r="F641" t="s">
        <v>153</v>
      </c>
      <c r="G641" t="s">
        <v>250</v>
      </c>
    </row>
    <row r="642" spans="1:8" x14ac:dyDescent="0.45">
      <c r="A642" t="s">
        <v>251</v>
      </c>
      <c r="B642" t="s">
        <v>252</v>
      </c>
      <c r="C642" t="s">
        <v>2</v>
      </c>
      <c r="D642">
        <v>2030</v>
      </c>
      <c r="E642" s="4">
        <f>0.918948722661276*45.1566</f>
        <v>41.496599889726177</v>
      </c>
      <c r="F642" t="s">
        <v>178</v>
      </c>
      <c r="G642" t="s">
        <v>274</v>
      </c>
      <c r="H642">
        <f t="shared" ref="H642:H650" si="4">E642/3.6</f>
        <v>11.526833302701716</v>
      </c>
    </row>
    <row r="643" spans="1:8" x14ac:dyDescent="0.45">
      <c r="A643" t="s">
        <v>251</v>
      </c>
      <c r="B643" t="s">
        <v>273</v>
      </c>
      <c r="C643" t="s">
        <v>2</v>
      </c>
      <c r="D643">
        <v>2030</v>
      </c>
      <c r="E643" s="4">
        <f>0.918948722661276*46.8914</f>
        <v>43.090792133798956</v>
      </c>
      <c r="F643" t="s">
        <v>178</v>
      </c>
      <c r="G643" t="s">
        <v>274</v>
      </c>
      <c r="H643">
        <f t="shared" si="4"/>
        <v>11.96966448161082</v>
      </c>
    </row>
    <row r="644" spans="1:8" x14ac:dyDescent="0.45">
      <c r="A644" t="s">
        <v>251</v>
      </c>
      <c r="B644" t="s">
        <v>253</v>
      </c>
      <c r="C644" t="s">
        <v>2</v>
      </c>
      <c r="D644">
        <v>2030</v>
      </c>
      <c r="E644" s="4">
        <f>0.918948722661276*29.9758</f>
        <v>27.546223120749879</v>
      </c>
      <c r="F644" t="s">
        <v>178</v>
      </c>
      <c r="G644" t="s">
        <v>274</v>
      </c>
      <c r="H644">
        <f t="shared" si="4"/>
        <v>7.6517286446527439</v>
      </c>
    </row>
    <row r="645" spans="1:8" x14ac:dyDescent="0.45">
      <c r="A645" t="s">
        <v>251</v>
      </c>
      <c r="B645" t="s">
        <v>252</v>
      </c>
      <c r="C645" t="s">
        <v>2</v>
      </c>
      <c r="D645">
        <v>2040</v>
      </c>
      <c r="E645" s="4">
        <f>0.918948722661276*42.1204</f>
        <v>38.706487777982005</v>
      </c>
      <c r="F645" t="s">
        <v>178</v>
      </c>
      <c r="G645" t="s">
        <v>274</v>
      </c>
      <c r="H645">
        <f t="shared" si="4"/>
        <v>10.751802160550557</v>
      </c>
    </row>
    <row r="646" spans="1:8" x14ac:dyDescent="0.45">
      <c r="A646" t="s">
        <v>251</v>
      </c>
      <c r="B646" t="s">
        <v>273</v>
      </c>
      <c r="C646" t="s">
        <v>2</v>
      </c>
      <c r="D646">
        <v>2040</v>
      </c>
      <c r="E646" s="4">
        <f>0.918948722661276*49.8312</f>
        <v>45.792317588678578</v>
      </c>
      <c r="F646" t="s">
        <v>178</v>
      </c>
      <c r="G646" t="s">
        <v>274</v>
      </c>
      <c r="H646">
        <f t="shared" si="4"/>
        <v>12.720088219077383</v>
      </c>
    </row>
    <row r="647" spans="1:8" x14ac:dyDescent="0.45">
      <c r="A647" t="s">
        <v>251</v>
      </c>
      <c r="B647" t="s">
        <v>253</v>
      </c>
      <c r="C647" t="s">
        <v>2</v>
      </c>
      <c r="D647">
        <v>2040</v>
      </c>
      <c r="E647" s="4">
        <f>0.918948722661276*32.9155</f>
        <v>30.247656680757231</v>
      </c>
      <c r="F647" t="s">
        <v>178</v>
      </c>
      <c r="G647" t="s">
        <v>274</v>
      </c>
      <c r="H647">
        <f t="shared" si="4"/>
        <v>8.4021268557658981</v>
      </c>
    </row>
    <row r="648" spans="1:8" x14ac:dyDescent="0.45">
      <c r="A648" t="s">
        <v>251</v>
      </c>
      <c r="B648" t="s">
        <v>252</v>
      </c>
      <c r="C648" t="s">
        <v>2</v>
      </c>
      <c r="D648">
        <v>2050</v>
      </c>
      <c r="E648" s="4">
        <f>0.918948722661276*42.1204</f>
        <v>38.706487777982005</v>
      </c>
      <c r="F648" t="s">
        <v>178</v>
      </c>
      <c r="G648" t="s">
        <v>274</v>
      </c>
      <c r="H648">
        <f t="shared" si="4"/>
        <v>10.751802160550557</v>
      </c>
    </row>
    <row r="649" spans="1:8" x14ac:dyDescent="0.45">
      <c r="A649" t="s">
        <v>251</v>
      </c>
      <c r="B649" t="s">
        <v>273</v>
      </c>
      <c r="C649" t="s">
        <v>2</v>
      </c>
      <c r="D649">
        <v>2050</v>
      </c>
      <c r="E649" s="4">
        <f>0.918948722661276*49.8312</f>
        <v>45.792317588678578</v>
      </c>
      <c r="F649" t="s">
        <v>178</v>
      </c>
      <c r="G649" t="s">
        <v>274</v>
      </c>
      <c r="H649">
        <f t="shared" si="4"/>
        <v>12.720088219077383</v>
      </c>
    </row>
    <row r="650" spans="1:8" x14ac:dyDescent="0.45">
      <c r="A650" t="s">
        <v>251</v>
      </c>
      <c r="B650" t="s">
        <v>253</v>
      </c>
      <c r="C650" t="s">
        <v>2</v>
      </c>
      <c r="D650">
        <v>2050</v>
      </c>
      <c r="E650" s="4">
        <f>0.918948722661276*32.9155</f>
        <v>30.247656680757231</v>
      </c>
      <c r="F650" t="s">
        <v>178</v>
      </c>
      <c r="G650" t="s">
        <v>274</v>
      </c>
      <c r="H650">
        <f t="shared" si="4"/>
        <v>8.4021268557658981</v>
      </c>
    </row>
    <row r="651" spans="1:8" x14ac:dyDescent="0.45">
      <c r="A651" t="s">
        <v>254</v>
      </c>
      <c r="B651" t="s">
        <v>252</v>
      </c>
      <c r="C651" t="s">
        <v>2</v>
      </c>
      <c r="E651">
        <f>71.3*3.6</f>
        <v>256.68</v>
      </c>
      <c r="F651" t="s">
        <v>259</v>
      </c>
      <c r="G651" t="s">
        <v>257</v>
      </c>
    </row>
    <row r="652" spans="1:8" x14ac:dyDescent="0.45">
      <c r="A652" t="s">
        <v>254</v>
      </c>
      <c r="B652" t="s">
        <v>273</v>
      </c>
      <c r="C652" t="s">
        <v>2</v>
      </c>
      <c r="E652">
        <f>74.1*3.6</f>
        <v>266.76</v>
      </c>
      <c r="F652" t="s">
        <v>259</v>
      </c>
      <c r="G652" t="s">
        <v>258</v>
      </c>
    </row>
    <row r="653" spans="1:8" x14ac:dyDescent="0.45">
      <c r="A653" t="s">
        <v>254</v>
      </c>
      <c r="B653" t="s">
        <v>253</v>
      </c>
      <c r="C653" t="s">
        <v>2</v>
      </c>
      <c r="E653">
        <f>77.4*3.6</f>
        <v>278.64000000000004</v>
      </c>
      <c r="F653" t="s">
        <v>259</v>
      </c>
      <c r="G653" t="s">
        <v>258</v>
      </c>
    </row>
    <row r="654" spans="1:8" x14ac:dyDescent="0.45">
      <c r="A654" t="s">
        <v>267</v>
      </c>
      <c r="B654" t="s">
        <v>370</v>
      </c>
      <c r="C654" t="s">
        <v>2</v>
      </c>
      <c r="D654">
        <v>2030</v>
      </c>
      <c r="E654">
        <v>7</v>
      </c>
      <c r="F654" t="s">
        <v>178</v>
      </c>
      <c r="G654" t="s">
        <v>268</v>
      </c>
    </row>
    <row r="655" spans="1:8" x14ac:dyDescent="0.45">
      <c r="A655" t="s">
        <v>267</v>
      </c>
      <c r="B655" t="s">
        <v>377</v>
      </c>
      <c r="C655" t="s">
        <v>2</v>
      </c>
      <c r="D655">
        <v>2030</v>
      </c>
      <c r="E655">
        <v>7</v>
      </c>
      <c r="F655" t="s">
        <v>178</v>
      </c>
      <c r="G655" t="s">
        <v>268</v>
      </c>
    </row>
    <row r="656" spans="1:8" x14ac:dyDescent="0.45">
      <c r="A656" t="s">
        <v>267</v>
      </c>
      <c r="B656" t="s">
        <v>384</v>
      </c>
      <c r="C656" t="s">
        <v>2</v>
      </c>
      <c r="D656">
        <v>2030</v>
      </c>
      <c r="E656">
        <v>7</v>
      </c>
      <c r="F656" t="s">
        <v>178</v>
      </c>
      <c r="G656" t="s">
        <v>268</v>
      </c>
    </row>
    <row r="657" spans="1:7" x14ac:dyDescent="0.45">
      <c r="A657" t="s">
        <v>267</v>
      </c>
      <c r="B657" t="s">
        <v>391</v>
      </c>
      <c r="C657" t="s">
        <v>2</v>
      </c>
      <c r="D657">
        <v>2030</v>
      </c>
      <c r="E657">
        <v>7</v>
      </c>
      <c r="F657" t="s">
        <v>178</v>
      </c>
      <c r="G657" t="s">
        <v>268</v>
      </c>
    </row>
    <row r="658" spans="1:7" x14ac:dyDescent="0.45">
      <c r="A658" t="s">
        <v>267</v>
      </c>
      <c r="B658" t="s">
        <v>398</v>
      </c>
      <c r="C658" t="s">
        <v>2</v>
      </c>
      <c r="D658">
        <v>2030</v>
      </c>
      <c r="E658">
        <v>7</v>
      </c>
      <c r="F658" t="s">
        <v>178</v>
      </c>
      <c r="G658" t="s">
        <v>268</v>
      </c>
    </row>
    <row r="659" spans="1:7" x14ac:dyDescent="0.45">
      <c r="A659" t="s">
        <v>267</v>
      </c>
      <c r="B659" t="s">
        <v>405</v>
      </c>
      <c r="C659" t="s">
        <v>2</v>
      </c>
      <c r="D659">
        <v>2030</v>
      </c>
      <c r="E659">
        <v>7</v>
      </c>
      <c r="F659" t="s">
        <v>178</v>
      </c>
      <c r="G659" t="s">
        <v>268</v>
      </c>
    </row>
    <row r="660" spans="1:7" x14ac:dyDescent="0.45">
      <c r="A660" t="s">
        <v>267</v>
      </c>
      <c r="B660" t="s">
        <v>412</v>
      </c>
      <c r="C660" t="s">
        <v>2</v>
      </c>
      <c r="D660">
        <v>2030</v>
      </c>
      <c r="E660">
        <v>7</v>
      </c>
      <c r="F660" t="s">
        <v>178</v>
      </c>
      <c r="G660" t="s">
        <v>268</v>
      </c>
    </row>
    <row r="661" spans="1:7" x14ac:dyDescent="0.45">
      <c r="A661" t="s">
        <v>267</v>
      </c>
      <c r="B661" t="s">
        <v>419</v>
      </c>
      <c r="C661" t="s">
        <v>2</v>
      </c>
      <c r="D661">
        <v>2030</v>
      </c>
      <c r="E661">
        <v>7</v>
      </c>
      <c r="F661" t="s">
        <v>178</v>
      </c>
      <c r="G661" t="s">
        <v>268</v>
      </c>
    </row>
    <row r="662" spans="1:7" x14ac:dyDescent="0.45">
      <c r="A662" t="s">
        <v>267</v>
      </c>
      <c r="B662" t="s">
        <v>426</v>
      </c>
      <c r="C662" t="s">
        <v>2</v>
      </c>
      <c r="D662">
        <v>2030</v>
      </c>
      <c r="E662">
        <v>7</v>
      </c>
      <c r="F662" t="s">
        <v>178</v>
      </c>
      <c r="G662" t="s">
        <v>268</v>
      </c>
    </row>
    <row r="663" spans="1:7" x14ac:dyDescent="0.45">
      <c r="A663" t="s">
        <v>267</v>
      </c>
      <c r="B663" t="s">
        <v>433</v>
      </c>
      <c r="C663" t="s">
        <v>2</v>
      </c>
      <c r="D663">
        <v>2030</v>
      </c>
      <c r="E663">
        <v>7</v>
      </c>
      <c r="F663" t="s">
        <v>178</v>
      </c>
      <c r="G663" t="s">
        <v>268</v>
      </c>
    </row>
    <row r="664" spans="1:7" x14ac:dyDescent="0.45">
      <c r="A664" t="s">
        <v>267</v>
      </c>
      <c r="B664" t="s">
        <v>440</v>
      </c>
      <c r="C664" t="s">
        <v>2</v>
      </c>
      <c r="D664">
        <v>2030</v>
      </c>
      <c r="E664">
        <v>7</v>
      </c>
      <c r="F664" t="s">
        <v>178</v>
      </c>
      <c r="G664" t="s">
        <v>268</v>
      </c>
    </row>
    <row r="665" spans="1:7" x14ac:dyDescent="0.45">
      <c r="A665" t="s">
        <v>267</v>
      </c>
      <c r="B665" t="s">
        <v>370</v>
      </c>
      <c r="C665" t="s">
        <v>2</v>
      </c>
      <c r="D665">
        <v>2040</v>
      </c>
      <c r="E665">
        <v>7</v>
      </c>
      <c r="F665" t="s">
        <v>178</v>
      </c>
      <c r="G665" t="s">
        <v>268</v>
      </c>
    </row>
    <row r="666" spans="1:7" x14ac:dyDescent="0.45">
      <c r="A666" t="s">
        <v>267</v>
      </c>
      <c r="B666" t="s">
        <v>377</v>
      </c>
      <c r="C666" t="s">
        <v>2</v>
      </c>
      <c r="D666">
        <v>2040</v>
      </c>
      <c r="E666">
        <v>7</v>
      </c>
      <c r="F666" t="s">
        <v>178</v>
      </c>
      <c r="G666" t="s">
        <v>268</v>
      </c>
    </row>
    <row r="667" spans="1:7" x14ac:dyDescent="0.45">
      <c r="A667" t="s">
        <v>267</v>
      </c>
      <c r="B667" t="s">
        <v>384</v>
      </c>
      <c r="C667" t="s">
        <v>2</v>
      </c>
      <c r="D667">
        <v>2040</v>
      </c>
      <c r="E667">
        <v>7</v>
      </c>
      <c r="F667" t="s">
        <v>178</v>
      </c>
      <c r="G667" t="s">
        <v>268</v>
      </c>
    </row>
    <row r="668" spans="1:7" x14ac:dyDescent="0.45">
      <c r="A668" t="s">
        <v>267</v>
      </c>
      <c r="B668" t="s">
        <v>391</v>
      </c>
      <c r="C668" t="s">
        <v>2</v>
      </c>
      <c r="D668">
        <v>2040</v>
      </c>
      <c r="E668">
        <v>7</v>
      </c>
      <c r="F668" t="s">
        <v>178</v>
      </c>
      <c r="G668" t="s">
        <v>268</v>
      </c>
    </row>
    <row r="669" spans="1:7" x14ac:dyDescent="0.45">
      <c r="A669" t="s">
        <v>267</v>
      </c>
      <c r="B669" t="s">
        <v>398</v>
      </c>
      <c r="C669" t="s">
        <v>2</v>
      </c>
      <c r="D669">
        <v>2040</v>
      </c>
      <c r="E669">
        <v>7</v>
      </c>
      <c r="F669" t="s">
        <v>178</v>
      </c>
      <c r="G669" t="s">
        <v>268</v>
      </c>
    </row>
    <row r="670" spans="1:7" x14ac:dyDescent="0.45">
      <c r="A670" t="s">
        <v>267</v>
      </c>
      <c r="B670" t="s">
        <v>405</v>
      </c>
      <c r="C670" t="s">
        <v>2</v>
      </c>
      <c r="D670">
        <v>2040</v>
      </c>
      <c r="E670">
        <v>7</v>
      </c>
      <c r="F670" t="s">
        <v>178</v>
      </c>
      <c r="G670" t="s">
        <v>268</v>
      </c>
    </row>
    <row r="671" spans="1:7" x14ac:dyDescent="0.45">
      <c r="A671" t="s">
        <v>267</v>
      </c>
      <c r="B671" t="s">
        <v>412</v>
      </c>
      <c r="C671" t="s">
        <v>2</v>
      </c>
      <c r="D671">
        <v>2040</v>
      </c>
      <c r="E671">
        <v>7</v>
      </c>
      <c r="F671" t="s">
        <v>178</v>
      </c>
      <c r="G671" t="s">
        <v>268</v>
      </c>
    </row>
    <row r="672" spans="1:7" x14ac:dyDescent="0.45">
      <c r="A672" t="s">
        <v>267</v>
      </c>
      <c r="B672" t="s">
        <v>419</v>
      </c>
      <c r="C672" t="s">
        <v>2</v>
      </c>
      <c r="D672">
        <v>2040</v>
      </c>
      <c r="E672">
        <v>7</v>
      </c>
      <c r="F672" t="s">
        <v>178</v>
      </c>
      <c r="G672" t="s">
        <v>268</v>
      </c>
    </row>
    <row r="673" spans="1:7" x14ac:dyDescent="0.45">
      <c r="A673" t="s">
        <v>267</v>
      </c>
      <c r="B673" t="s">
        <v>426</v>
      </c>
      <c r="C673" t="s">
        <v>2</v>
      </c>
      <c r="D673">
        <v>2040</v>
      </c>
      <c r="E673">
        <v>7</v>
      </c>
      <c r="F673" t="s">
        <v>178</v>
      </c>
      <c r="G673" t="s">
        <v>268</v>
      </c>
    </row>
    <row r="674" spans="1:7" x14ac:dyDescent="0.45">
      <c r="A674" t="s">
        <v>267</v>
      </c>
      <c r="B674" t="s">
        <v>433</v>
      </c>
      <c r="C674" t="s">
        <v>2</v>
      </c>
      <c r="D674">
        <v>2040</v>
      </c>
      <c r="E674">
        <v>7</v>
      </c>
      <c r="F674" t="s">
        <v>178</v>
      </c>
      <c r="G674" t="s">
        <v>268</v>
      </c>
    </row>
    <row r="675" spans="1:7" x14ac:dyDescent="0.45">
      <c r="A675" t="s">
        <v>267</v>
      </c>
      <c r="B675" t="s">
        <v>440</v>
      </c>
      <c r="C675" t="s">
        <v>2</v>
      </c>
      <c r="D675">
        <v>2040</v>
      </c>
      <c r="E675">
        <v>7</v>
      </c>
      <c r="F675" t="s">
        <v>178</v>
      </c>
      <c r="G675" t="s">
        <v>268</v>
      </c>
    </row>
    <row r="676" spans="1:7" x14ac:dyDescent="0.45">
      <c r="A676" t="s">
        <v>267</v>
      </c>
      <c r="B676" t="s">
        <v>370</v>
      </c>
      <c r="C676" t="s">
        <v>2</v>
      </c>
      <c r="D676">
        <v>2050</v>
      </c>
      <c r="E676">
        <v>7</v>
      </c>
      <c r="F676" t="s">
        <v>178</v>
      </c>
      <c r="G676" t="s">
        <v>268</v>
      </c>
    </row>
    <row r="677" spans="1:7" x14ac:dyDescent="0.45">
      <c r="A677" t="s">
        <v>267</v>
      </c>
      <c r="B677" t="s">
        <v>377</v>
      </c>
      <c r="C677" t="s">
        <v>2</v>
      </c>
      <c r="D677">
        <v>2050</v>
      </c>
      <c r="E677">
        <v>7</v>
      </c>
      <c r="F677" t="s">
        <v>178</v>
      </c>
      <c r="G677" t="s">
        <v>268</v>
      </c>
    </row>
    <row r="678" spans="1:7" x14ac:dyDescent="0.45">
      <c r="A678" t="s">
        <v>267</v>
      </c>
      <c r="B678" t="s">
        <v>384</v>
      </c>
      <c r="C678" t="s">
        <v>2</v>
      </c>
      <c r="D678">
        <v>2050</v>
      </c>
      <c r="E678">
        <v>7</v>
      </c>
      <c r="F678" t="s">
        <v>178</v>
      </c>
      <c r="G678" t="s">
        <v>268</v>
      </c>
    </row>
    <row r="679" spans="1:7" x14ac:dyDescent="0.45">
      <c r="A679" t="s">
        <v>267</v>
      </c>
      <c r="B679" t="s">
        <v>391</v>
      </c>
      <c r="C679" t="s">
        <v>2</v>
      </c>
      <c r="D679">
        <v>2050</v>
      </c>
      <c r="E679">
        <v>7</v>
      </c>
      <c r="F679" t="s">
        <v>178</v>
      </c>
      <c r="G679" t="s">
        <v>268</v>
      </c>
    </row>
    <row r="680" spans="1:7" x14ac:dyDescent="0.45">
      <c r="A680" t="s">
        <v>267</v>
      </c>
      <c r="B680" t="s">
        <v>398</v>
      </c>
      <c r="C680" t="s">
        <v>2</v>
      </c>
      <c r="D680">
        <v>2050</v>
      </c>
      <c r="E680">
        <v>7</v>
      </c>
      <c r="F680" t="s">
        <v>178</v>
      </c>
      <c r="G680" t="s">
        <v>268</v>
      </c>
    </row>
    <row r="681" spans="1:7" x14ac:dyDescent="0.45">
      <c r="A681" t="s">
        <v>267</v>
      </c>
      <c r="B681" t="s">
        <v>405</v>
      </c>
      <c r="C681" t="s">
        <v>2</v>
      </c>
      <c r="D681">
        <v>2050</v>
      </c>
      <c r="E681">
        <v>7</v>
      </c>
      <c r="F681" t="s">
        <v>178</v>
      </c>
      <c r="G681" t="s">
        <v>268</v>
      </c>
    </row>
    <row r="682" spans="1:7" x14ac:dyDescent="0.45">
      <c r="A682" t="s">
        <v>267</v>
      </c>
      <c r="B682" t="s">
        <v>412</v>
      </c>
      <c r="C682" t="s">
        <v>2</v>
      </c>
      <c r="D682">
        <v>2050</v>
      </c>
      <c r="E682">
        <v>7</v>
      </c>
      <c r="F682" t="s">
        <v>178</v>
      </c>
      <c r="G682" t="s">
        <v>268</v>
      </c>
    </row>
    <row r="683" spans="1:7" x14ac:dyDescent="0.45">
      <c r="A683" t="s">
        <v>267</v>
      </c>
      <c r="B683" t="s">
        <v>419</v>
      </c>
      <c r="C683" t="s">
        <v>2</v>
      </c>
      <c r="D683">
        <v>2050</v>
      </c>
      <c r="E683">
        <v>7</v>
      </c>
      <c r="F683" t="s">
        <v>178</v>
      </c>
      <c r="G683" t="s">
        <v>268</v>
      </c>
    </row>
    <row r="684" spans="1:7" x14ac:dyDescent="0.45">
      <c r="A684" t="s">
        <v>267</v>
      </c>
      <c r="B684" t="s">
        <v>426</v>
      </c>
      <c r="C684" t="s">
        <v>2</v>
      </c>
      <c r="D684">
        <v>2050</v>
      </c>
      <c r="E684">
        <v>7</v>
      </c>
      <c r="F684" t="s">
        <v>178</v>
      </c>
      <c r="G684" t="s">
        <v>268</v>
      </c>
    </row>
    <row r="685" spans="1:7" x14ac:dyDescent="0.45">
      <c r="A685" t="s">
        <v>267</v>
      </c>
      <c r="B685" t="s">
        <v>433</v>
      </c>
      <c r="C685" t="s">
        <v>2</v>
      </c>
      <c r="D685">
        <v>2050</v>
      </c>
      <c r="E685">
        <v>7</v>
      </c>
      <c r="F685" t="s">
        <v>178</v>
      </c>
      <c r="G685" t="s">
        <v>268</v>
      </c>
    </row>
    <row r="686" spans="1:7" x14ac:dyDescent="0.45">
      <c r="A686" t="s">
        <v>267</v>
      </c>
      <c r="B686" t="s">
        <v>440</v>
      </c>
      <c r="C686" t="s">
        <v>2</v>
      </c>
      <c r="D686">
        <v>2050</v>
      </c>
      <c r="E686">
        <v>7</v>
      </c>
      <c r="F686" t="s">
        <v>178</v>
      </c>
      <c r="G686" t="s">
        <v>268</v>
      </c>
    </row>
    <row r="687" spans="1:7" x14ac:dyDescent="0.45">
      <c r="A687" t="s">
        <v>276</v>
      </c>
      <c r="B687" t="s">
        <v>277</v>
      </c>
      <c r="C687" t="s">
        <v>2</v>
      </c>
      <c r="D687">
        <v>2030</v>
      </c>
      <c r="E687">
        <v>0</v>
      </c>
      <c r="F687" t="s">
        <v>72</v>
      </c>
      <c r="G687" t="s">
        <v>8</v>
      </c>
    </row>
    <row r="688" spans="1:7" x14ac:dyDescent="0.45">
      <c r="A688" t="s">
        <v>276</v>
      </c>
      <c r="B688" t="s">
        <v>277</v>
      </c>
      <c r="C688" t="s">
        <v>2</v>
      </c>
      <c r="D688">
        <v>2040</v>
      </c>
      <c r="E688">
        <v>0</v>
      </c>
      <c r="F688" t="s">
        <v>72</v>
      </c>
      <c r="G688" t="s">
        <v>8</v>
      </c>
    </row>
    <row r="689" spans="1:7" x14ac:dyDescent="0.45">
      <c r="A689" t="s">
        <v>276</v>
      </c>
      <c r="B689" t="s">
        <v>277</v>
      </c>
      <c r="C689" t="s">
        <v>2</v>
      </c>
      <c r="D689">
        <v>2050</v>
      </c>
      <c r="E689">
        <v>0</v>
      </c>
      <c r="F689" t="s">
        <v>72</v>
      </c>
      <c r="G689" t="s">
        <v>8</v>
      </c>
    </row>
    <row r="690" spans="1:7" x14ac:dyDescent="0.45">
      <c r="A690" t="s">
        <v>276</v>
      </c>
      <c r="B690" t="s">
        <v>278</v>
      </c>
      <c r="C690" t="s">
        <v>2</v>
      </c>
      <c r="D690">
        <v>2030</v>
      </c>
      <c r="E690">
        <v>0</v>
      </c>
      <c r="F690" t="s">
        <v>72</v>
      </c>
      <c r="G690" t="s">
        <v>8</v>
      </c>
    </row>
    <row r="691" spans="1:7" x14ac:dyDescent="0.45">
      <c r="A691" t="s">
        <v>276</v>
      </c>
      <c r="B691" t="s">
        <v>278</v>
      </c>
      <c r="C691" t="s">
        <v>2</v>
      </c>
      <c r="D691">
        <v>2040</v>
      </c>
      <c r="E691">
        <v>0</v>
      </c>
      <c r="F691" t="s">
        <v>72</v>
      </c>
      <c r="G691" t="s">
        <v>8</v>
      </c>
    </row>
    <row r="692" spans="1:7" x14ac:dyDescent="0.45">
      <c r="A692" t="s">
        <v>276</v>
      </c>
      <c r="B692" t="s">
        <v>278</v>
      </c>
      <c r="C692" t="s">
        <v>2</v>
      </c>
      <c r="D692">
        <v>2050</v>
      </c>
      <c r="E692">
        <v>0</v>
      </c>
      <c r="F692" t="s">
        <v>72</v>
      </c>
      <c r="G692" t="s">
        <v>8</v>
      </c>
    </row>
    <row r="693" spans="1:7" x14ac:dyDescent="0.45">
      <c r="A693" t="s">
        <v>276</v>
      </c>
      <c r="B693" t="s">
        <v>279</v>
      </c>
      <c r="C693" t="s">
        <v>2</v>
      </c>
      <c r="D693">
        <v>2030</v>
      </c>
      <c r="E693">
        <v>0</v>
      </c>
      <c r="F693" t="s">
        <v>72</v>
      </c>
      <c r="G693" t="s">
        <v>8</v>
      </c>
    </row>
    <row r="694" spans="1:7" x14ac:dyDescent="0.45">
      <c r="A694" t="s">
        <v>276</v>
      </c>
      <c r="B694" t="s">
        <v>279</v>
      </c>
      <c r="C694" t="s">
        <v>2</v>
      </c>
      <c r="D694">
        <v>2040</v>
      </c>
      <c r="E694">
        <v>0</v>
      </c>
      <c r="F694" t="s">
        <v>72</v>
      </c>
      <c r="G694" t="s">
        <v>8</v>
      </c>
    </row>
    <row r="695" spans="1:7" x14ac:dyDescent="0.45">
      <c r="A695" t="s">
        <v>276</v>
      </c>
      <c r="B695" t="s">
        <v>279</v>
      </c>
      <c r="C695" t="s">
        <v>2</v>
      </c>
      <c r="D695">
        <v>2050</v>
      </c>
      <c r="E695">
        <v>0</v>
      </c>
      <c r="F695" t="s">
        <v>72</v>
      </c>
      <c r="G695" t="s">
        <v>8</v>
      </c>
    </row>
    <row r="697" spans="1:7" x14ac:dyDescent="0.45">
      <c r="E697" s="1"/>
      <c r="F697" s="12"/>
    </row>
    <row r="698" spans="1:7" x14ac:dyDescent="0.45">
      <c r="E698" s="1"/>
      <c r="F698" s="1"/>
    </row>
    <row r="699" spans="1:7" x14ac:dyDescent="0.45">
      <c r="E699" s="1"/>
      <c r="F699" s="1"/>
    </row>
    <row r="700" spans="1:7" x14ac:dyDescent="0.45">
      <c r="E700" s="1"/>
      <c r="F700" s="1"/>
    </row>
    <row r="701" spans="1:7" x14ac:dyDescent="0.45">
      <c r="E701" s="1"/>
      <c r="F701" s="1"/>
    </row>
    <row r="702" spans="1:7" x14ac:dyDescent="0.45">
      <c r="E702" s="1"/>
      <c r="F702" s="11"/>
    </row>
    <row r="703" spans="1:7" x14ac:dyDescent="0.45">
      <c r="E703" s="1"/>
      <c r="F703" s="1"/>
    </row>
    <row r="704" spans="1:7" x14ac:dyDescent="0.45">
      <c r="E704" s="1"/>
      <c r="F704" s="1"/>
    </row>
    <row r="705" spans="5:6" x14ac:dyDescent="0.45">
      <c r="E705" s="1"/>
      <c r="F705" s="1"/>
    </row>
    <row r="706" spans="5:6" x14ac:dyDescent="0.45">
      <c r="E706" s="1"/>
    </row>
    <row r="707" spans="5:6" x14ac:dyDescent="0.45">
      <c r="E707" s="1"/>
    </row>
    <row r="708" spans="5:6" x14ac:dyDescent="0.45">
      <c r="E708" s="1"/>
    </row>
    <row r="709" spans="5:6" x14ac:dyDescent="0.45">
      <c r="E709" s="1"/>
    </row>
    <row r="710" spans="5:6" x14ac:dyDescent="0.45">
      <c r="E710" s="1"/>
    </row>
    <row r="711" spans="5:6" x14ac:dyDescent="0.45">
      <c r="E711" s="1"/>
    </row>
    <row r="712" spans="5:6" x14ac:dyDescent="0.45">
      <c r="E712" s="1"/>
    </row>
    <row r="713" spans="5:6" x14ac:dyDescent="0.45">
      <c r="E713" s="1"/>
    </row>
    <row r="714" spans="5:6" x14ac:dyDescent="0.45">
      <c r="E714" s="1"/>
    </row>
    <row r="715" spans="5:6" x14ac:dyDescent="0.45">
      <c r="E715" s="1"/>
    </row>
    <row r="716" spans="5:6" x14ac:dyDescent="0.45">
      <c r="E716" s="1"/>
    </row>
    <row r="717" spans="5:6" x14ac:dyDescent="0.45">
      <c r="E717" s="1"/>
    </row>
    <row r="718" spans="5:6" x14ac:dyDescent="0.45">
      <c r="E718" s="1"/>
    </row>
    <row r="719" spans="5:6" x14ac:dyDescent="0.45">
      <c r="E719" s="1"/>
    </row>
    <row r="720" spans="5:6" x14ac:dyDescent="0.45">
      <c r="E720" s="1"/>
    </row>
  </sheetData>
  <autoFilter ref="A1:G695" xr:uid="{00000000-0001-0000-0000-000000000000}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A8" sqref="A8"/>
    </sheetView>
  </sheetViews>
  <sheetFormatPr defaultRowHeight="14.25" x14ac:dyDescent="0.45"/>
  <sheetData>
    <row r="1" spans="1:7" x14ac:dyDescent="0.45">
      <c r="A1" s="2" t="s">
        <v>14</v>
      </c>
      <c r="B1" s="2" t="s">
        <v>11</v>
      </c>
      <c r="C1" s="2" t="s">
        <v>15</v>
      </c>
      <c r="D1" s="2" t="s">
        <v>16</v>
      </c>
      <c r="E1" s="2" t="s">
        <v>17</v>
      </c>
      <c r="F1" s="2" t="s">
        <v>0</v>
      </c>
      <c r="G1" s="2" t="s">
        <v>1</v>
      </c>
    </row>
    <row r="2" spans="1:7" x14ac:dyDescent="0.45">
      <c r="A2" t="s">
        <v>18</v>
      </c>
      <c r="B2" t="s">
        <v>31</v>
      </c>
      <c r="C2" t="s">
        <v>186</v>
      </c>
      <c r="D2">
        <v>2030</v>
      </c>
      <c r="E2" s="1">
        <f>1901000/1</f>
        <v>1901000</v>
      </c>
      <c r="F2" t="s">
        <v>19</v>
      </c>
      <c r="G2" t="s">
        <v>100</v>
      </c>
    </row>
    <row r="3" spans="1:7" x14ac:dyDescent="0.45">
      <c r="A3" t="s">
        <v>18</v>
      </c>
      <c r="B3" t="s">
        <v>31</v>
      </c>
      <c r="C3" t="s">
        <v>186</v>
      </c>
      <c r="D3">
        <v>2050</v>
      </c>
      <c r="E3" s="1">
        <f>525000/1.026</f>
        <v>511695.90643274854</v>
      </c>
      <c r="F3" t="s">
        <v>19</v>
      </c>
      <c r="G3" t="s">
        <v>100</v>
      </c>
    </row>
    <row r="4" spans="1:7" x14ac:dyDescent="0.45">
      <c r="A4" t="s">
        <v>63</v>
      </c>
      <c r="B4" t="s">
        <v>31</v>
      </c>
      <c r="C4" t="s">
        <v>186</v>
      </c>
      <c r="D4">
        <v>2030</v>
      </c>
      <c r="E4" s="1">
        <f>0.12*SOEC_Breakthrough!E2/1</f>
        <v>228120</v>
      </c>
      <c r="F4" t="s">
        <v>19</v>
      </c>
      <c r="G4" t="s">
        <v>100</v>
      </c>
    </row>
    <row r="5" spans="1:7" x14ac:dyDescent="0.45">
      <c r="A5" t="s">
        <v>63</v>
      </c>
      <c r="B5" t="s">
        <v>31</v>
      </c>
      <c r="C5" t="s">
        <v>186</v>
      </c>
      <c r="D5">
        <v>2050</v>
      </c>
      <c r="E5" s="1">
        <f>0.12*SOEC_Breakthrough!E3/1.026</f>
        <v>59847.474436578777</v>
      </c>
      <c r="F5" t="s">
        <v>19</v>
      </c>
      <c r="G5" t="s">
        <v>100</v>
      </c>
    </row>
    <row r="6" spans="1:7" x14ac:dyDescent="0.45">
      <c r="A6" t="s">
        <v>64</v>
      </c>
      <c r="B6" t="s">
        <v>31</v>
      </c>
      <c r="C6" t="s">
        <v>186</v>
      </c>
      <c r="D6">
        <v>2030</v>
      </c>
      <c r="E6" s="1">
        <v>20</v>
      </c>
      <c r="F6" t="s">
        <v>65</v>
      </c>
      <c r="G6" t="s">
        <v>88</v>
      </c>
    </row>
    <row r="7" spans="1:7" x14ac:dyDescent="0.45">
      <c r="A7" t="s">
        <v>64</v>
      </c>
      <c r="B7" t="s">
        <v>31</v>
      </c>
      <c r="C7" t="s">
        <v>186</v>
      </c>
      <c r="D7">
        <v>2050</v>
      </c>
      <c r="E7" s="1">
        <v>20</v>
      </c>
      <c r="F7" t="s">
        <v>65</v>
      </c>
      <c r="G7" t="s">
        <v>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8"/>
  <sheetViews>
    <sheetView workbookViewId="0">
      <selection activeCell="B23" sqref="B23"/>
    </sheetView>
  </sheetViews>
  <sheetFormatPr defaultRowHeight="14.25" x14ac:dyDescent="0.45"/>
  <cols>
    <col min="1" max="1" width="13" customWidth="1"/>
  </cols>
  <sheetData>
    <row r="1" spans="1:3" x14ac:dyDescent="0.45">
      <c r="A1" t="s">
        <v>21</v>
      </c>
      <c r="B1" t="s">
        <v>22</v>
      </c>
    </row>
    <row r="2" spans="1:3" x14ac:dyDescent="0.45">
      <c r="A2" t="s">
        <v>24</v>
      </c>
      <c r="B2" t="s">
        <v>38</v>
      </c>
    </row>
    <row r="3" spans="1:3" x14ac:dyDescent="0.45">
      <c r="A3" t="s">
        <v>25</v>
      </c>
      <c r="B3" t="s">
        <v>26</v>
      </c>
    </row>
    <row r="4" spans="1:3" x14ac:dyDescent="0.45">
      <c r="A4" t="s">
        <v>34</v>
      </c>
      <c r="B4" t="s">
        <v>36</v>
      </c>
    </row>
    <row r="5" spans="1:3" x14ac:dyDescent="0.45">
      <c r="A5" t="s">
        <v>35</v>
      </c>
      <c r="B5" s="3" t="s">
        <v>37</v>
      </c>
    </row>
    <row r="6" spans="1:3" x14ac:dyDescent="0.45">
      <c r="A6" t="s">
        <v>66</v>
      </c>
      <c r="B6" s="3" t="s">
        <v>67</v>
      </c>
    </row>
    <row r="7" spans="1:3" x14ac:dyDescent="0.45">
      <c r="A7" t="s">
        <v>93</v>
      </c>
      <c r="B7" s="3" t="s">
        <v>94</v>
      </c>
    </row>
    <row r="8" spans="1:3" x14ac:dyDescent="0.45">
      <c r="A8" t="s">
        <v>127</v>
      </c>
      <c r="B8" s="3" t="s">
        <v>128</v>
      </c>
    </row>
    <row r="9" spans="1:3" x14ac:dyDescent="0.45">
      <c r="A9" t="s">
        <v>174</v>
      </c>
      <c r="B9" s="3" t="s">
        <v>175</v>
      </c>
    </row>
    <row r="10" spans="1:3" x14ac:dyDescent="0.45">
      <c r="A10" t="s">
        <v>176</v>
      </c>
      <c r="B10" s="3" t="s">
        <v>177</v>
      </c>
    </row>
    <row r="11" spans="1:3" x14ac:dyDescent="0.45">
      <c r="A11" t="s">
        <v>240</v>
      </c>
      <c r="B11" s="3" t="s">
        <v>241</v>
      </c>
    </row>
    <row r="12" spans="1:3" x14ac:dyDescent="0.45">
      <c r="A12" t="s">
        <v>257</v>
      </c>
      <c r="C12" s="9" t="s">
        <v>255</v>
      </c>
    </row>
    <row r="13" spans="1:3" x14ac:dyDescent="0.45">
      <c r="A13" t="s">
        <v>258</v>
      </c>
      <c r="C13" s="9" t="s">
        <v>256</v>
      </c>
    </row>
    <row r="14" spans="1:3" x14ac:dyDescent="0.45">
      <c r="A14" t="s">
        <v>268</v>
      </c>
      <c r="B14" s="3" t="s">
        <v>269</v>
      </c>
    </row>
    <row r="15" spans="1:3" x14ac:dyDescent="0.45">
      <c r="A15" t="s">
        <v>274</v>
      </c>
      <c r="B15" s="3" t="s">
        <v>275</v>
      </c>
    </row>
    <row r="16" spans="1:3" x14ac:dyDescent="0.45">
      <c r="A16" t="s">
        <v>286</v>
      </c>
      <c r="B16" s="3" t="s">
        <v>285</v>
      </c>
    </row>
    <row r="17" spans="1:2" x14ac:dyDescent="0.45">
      <c r="A17" t="s">
        <v>294</v>
      </c>
      <c r="B17" s="8" t="s">
        <v>293</v>
      </c>
    </row>
    <row r="18" spans="1:2" x14ac:dyDescent="0.45">
      <c r="A18" t="s">
        <v>300</v>
      </c>
      <c r="B18" s="3" t="s">
        <v>301</v>
      </c>
    </row>
    <row r="19" spans="1:2" x14ac:dyDescent="0.45">
      <c r="A19" t="s">
        <v>302</v>
      </c>
      <c r="B19" s="3" t="s">
        <v>303</v>
      </c>
    </row>
    <row r="20" spans="1:2" x14ac:dyDescent="0.45">
      <c r="A20" t="s">
        <v>316</v>
      </c>
      <c r="B20" s="3" t="s">
        <v>317</v>
      </c>
    </row>
    <row r="21" spans="1:2" x14ac:dyDescent="0.45">
      <c r="A21" t="s">
        <v>340</v>
      </c>
      <c r="B21" s="3" t="s">
        <v>339</v>
      </c>
    </row>
    <row r="22" spans="1:2" x14ac:dyDescent="0.45">
      <c r="A22" t="s">
        <v>341</v>
      </c>
      <c r="B22" s="3" t="s">
        <v>342</v>
      </c>
    </row>
    <row r="23" spans="1:2" x14ac:dyDescent="0.45">
      <c r="A23" t="s">
        <v>446</v>
      </c>
      <c r="B23" s="3" t="s">
        <v>447</v>
      </c>
    </row>
    <row r="25" spans="1:2" x14ac:dyDescent="0.45">
      <c r="A25" t="s">
        <v>103</v>
      </c>
      <c r="B25" t="s">
        <v>102</v>
      </c>
    </row>
    <row r="26" spans="1:2" x14ac:dyDescent="0.45">
      <c r="A26" t="s">
        <v>80</v>
      </c>
      <c r="B26" t="s">
        <v>101</v>
      </c>
    </row>
    <row r="27" spans="1:2" x14ac:dyDescent="0.45">
      <c r="A27" t="s">
        <v>81</v>
      </c>
      <c r="B27" t="s">
        <v>146</v>
      </c>
    </row>
    <row r="28" spans="1:2" x14ac:dyDescent="0.45">
      <c r="A28" t="s">
        <v>82</v>
      </c>
      <c r="B28" t="s">
        <v>98</v>
      </c>
    </row>
    <row r="29" spans="1:2" x14ac:dyDescent="0.45">
      <c r="A29" t="s">
        <v>91</v>
      </c>
      <c r="B29" t="s">
        <v>99</v>
      </c>
    </row>
    <row r="30" spans="1:2" x14ac:dyDescent="0.45">
      <c r="A30" t="s">
        <v>92</v>
      </c>
      <c r="B30" t="s">
        <v>99</v>
      </c>
    </row>
    <row r="31" spans="1:2" x14ac:dyDescent="0.45">
      <c r="A31" t="s">
        <v>97</v>
      </c>
      <c r="B31" t="s">
        <v>139</v>
      </c>
    </row>
    <row r="32" spans="1:2" x14ac:dyDescent="0.45">
      <c r="A32" t="s">
        <v>28</v>
      </c>
      <c r="B32" t="s">
        <v>108</v>
      </c>
    </row>
    <row r="33" spans="1:2" x14ac:dyDescent="0.45">
      <c r="A33" t="s">
        <v>29</v>
      </c>
      <c r="B33" t="s">
        <v>108</v>
      </c>
    </row>
    <row r="34" spans="1:2" x14ac:dyDescent="0.45">
      <c r="A34" t="s">
        <v>20</v>
      </c>
      <c r="B34" t="s">
        <v>123</v>
      </c>
    </row>
    <row r="35" spans="1:2" x14ac:dyDescent="0.45">
      <c r="A35" t="s">
        <v>32</v>
      </c>
      <c r="B35" t="s">
        <v>123</v>
      </c>
    </row>
    <row r="36" spans="1:2" x14ac:dyDescent="0.45">
      <c r="A36" t="s">
        <v>122</v>
      </c>
      <c r="B36" t="s">
        <v>101</v>
      </c>
    </row>
    <row r="37" spans="1:2" x14ac:dyDescent="0.45">
      <c r="A37" t="s">
        <v>130</v>
      </c>
      <c r="B37" t="s">
        <v>123</v>
      </c>
    </row>
    <row r="38" spans="1:2" x14ac:dyDescent="0.45">
      <c r="A38" t="s">
        <v>131</v>
      </c>
      <c r="B38" t="s">
        <v>154</v>
      </c>
    </row>
  </sheetData>
  <hyperlinks>
    <hyperlink ref="B17" r:id="rId1" xr:uid="{00000000-0004-0000-0800-000000000000}"/>
    <hyperlink ref="C12" r:id="rId2" xr:uid="{00000000-0004-0000-0800-000001000000}"/>
    <hyperlink ref="C13" r:id="rId3" xr:uid="{00000000-0004-0000-0800-000002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3F9D-4225-49CE-A925-FB3A0FD0E534}">
  <dimension ref="A1:K496"/>
  <sheetViews>
    <sheetView topLeftCell="A70" workbookViewId="0">
      <selection activeCell="Q400" sqref="M400:Q403"/>
    </sheetView>
  </sheetViews>
  <sheetFormatPr defaultRowHeight="14.25" x14ac:dyDescent="0.45"/>
  <cols>
    <col min="2" max="2" width="13.19921875" customWidth="1"/>
    <col min="16" max="16" width="9.796875" bestFit="1" customWidth="1"/>
  </cols>
  <sheetData>
    <row r="1" spans="1:7" x14ac:dyDescent="0.45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</row>
    <row r="2" spans="1:7" x14ac:dyDescent="0.45">
      <c r="A2" t="s">
        <v>23</v>
      </c>
      <c r="B2" t="s">
        <v>188</v>
      </c>
      <c r="C2" t="s">
        <v>2</v>
      </c>
      <c r="D2">
        <v>2030</v>
      </c>
      <c r="E2">
        <v>240.6501831501831</v>
      </c>
      <c r="F2" t="s">
        <v>27</v>
      </c>
      <c r="G2" t="s">
        <v>283</v>
      </c>
    </row>
    <row r="3" spans="1:7" x14ac:dyDescent="0.45">
      <c r="A3" t="s">
        <v>23</v>
      </c>
      <c r="B3" t="s">
        <v>188</v>
      </c>
      <c r="C3" t="s">
        <v>2</v>
      </c>
      <c r="D3">
        <v>2040</v>
      </c>
      <c r="E3">
        <v>262.20924908424911</v>
      </c>
      <c r="F3" t="s">
        <v>27</v>
      </c>
      <c r="G3" t="s">
        <v>283</v>
      </c>
    </row>
    <row r="4" spans="1:7" x14ac:dyDescent="0.45">
      <c r="A4" t="s">
        <v>23</v>
      </c>
      <c r="B4" t="s">
        <v>188</v>
      </c>
      <c r="C4" t="s">
        <v>2</v>
      </c>
      <c r="D4">
        <v>2050</v>
      </c>
      <c r="E4">
        <v>278.74084249084251</v>
      </c>
      <c r="F4" t="s">
        <v>27</v>
      </c>
      <c r="G4" t="s">
        <v>283</v>
      </c>
    </row>
    <row r="5" spans="1:7" x14ac:dyDescent="0.45">
      <c r="A5" t="s">
        <v>23</v>
      </c>
      <c r="B5" t="s">
        <v>187</v>
      </c>
      <c r="C5" t="s">
        <v>2</v>
      </c>
      <c r="D5">
        <v>2030</v>
      </c>
      <c r="E5">
        <v>492.92696886446885</v>
      </c>
      <c r="F5" t="s">
        <v>27</v>
      </c>
      <c r="G5" t="s">
        <v>283</v>
      </c>
    </row>
    <row r="6" spans="1:7" x14ac:dyDescent="0.45">
      <c r="A6" t="s">
        <v>23</v>
      </c>
      <c r="B6" t="s">
        <v>187</v>
      </c>
      <c r="C6" t="s">
        <v>2</v>
      </c>
      <c r="D6">
        <v>2040</v>
      </c>
      <c r="E6">
        <v>541.65064102564099</v>
      </c>
      <c r="F6" t="s">
        <v>27</v>
      </c>
      <c r="G6" t="s">
        <v>283</v>
      </c>
    </row>
    <row r="7" spans="1:7" x14ac:dyDescent="0.45">
      <c r="A7" t="s">
        <v>23</v>
      </c>
      <c r="B7" t="s">
        <v>187</v>
      </c>
      <c r="C7" t="s">
        <v>2</v>
      </c>
      <c r="D7">
        <v>2050</v>
      </c>
      <c r="E7">
        <v>572.53319597069606</v>
      </c>
      <c r="F7" t="s">
        <v>27</v>
      </c>
      <c r="G7" t="s">
        <v>283</v>
      </c>
    </row>
    <row r="8" spans="1:7" x14ac:dyDescent="0.45">
      <c r="A8" t="s">
        <v>23</v>
      </c>
      <c r="B8" t="s">
        <v>213</v>
      </c>
      <c r="C8" t="s">
        <v>2</v>
      </c>
      <c r="D8">
        <v>2030</v>
      </c>
      <c r="E8">
        <v>1492.4885531135531</v>
      </c>
      <c r="F8" t="s">
        <v>27</v>
      </c>
      <c r="G8" t="s">
        <v>283</v>
      </c>
    </row>
    <row r="9" spans="1:7" x14ac:dyDescent="0.45">
      <c r="A9" t="s">
        <v>23</v>
      </c>
      <c r="B9" t="s">
        <v>213</v>
      </c>
      <c r="C9" t="s">
        <v>2</v>
      </c>
      <c r="D9">
        <v>2040</v>
      </c>
      <c r="E9">
        <v>1559.5009157509157</v>
      </c>
      <c r="F9" t="s">
        <v>27</v>
      </c>
      <c r="G9" t="s">
        <v>283</v>
      </c>
    </row>
    <row r="10" spans="1:7" x14ac:dyDescent="0.45">
      <c r="A10" t="s">
        <v>23</v>
      </c>
      <c r="B10" t="s">
        <v>213</v>
      </c>
      <c r="C10" t="s">
        <v>2</v>
      </c>
      <c r="D10">
        <v>2050</v>
      </c>
      <c r="E10">
        <v>1176.386217948718</v>
      </c>
      <c r="F10" t="s">
        <v>27</v>
      </c>
      <c r="G10" t="s">
        <v>283</v>
      </c>
    </row>
    <row r="11" spans="1:7" x14ac:dyDescent="0.45">
      <c r="A11" t="s">
        <v>23</v>
      </c>
      <c r="B11" t="s">
        <v>214</v>
      </c>
      <c r="C11" t="s">
        <v>2</v>
      </c>
      <c r="D11">
        <v>2030</v>
      </c>
      <c r="E11">
        <v>239.00641025641022</v>
      </c>
      <c r="F11" t="s">
        <v>27</v>
      </c>
      <c r="G11" t="s">
        <v>283</v>
      </c>
    </row>
    <row r="12" spans="1:7" x14ac:dyDescent="0.45">
      <c r="A12" t="s">
        <v>23</v>
      </c>
      <c r="B12" t="s">
        <v>214</v>
      </c>
      <c r="C12" t="s">
        <v>2</v>
      </c>
      <c r="D12">
        <v>2040</v>
      </c>
      <c r="E12">
        <v>239.30173992673994</v>
      </c>
      <c r="F12" t="s">
        <v>27</v>
      </c>
      <c r="G12" t="s">
        <v>283</v>
      </c>
    </row>
    <row r="13" spans="1:7" x14ac:dyDescent="0.45">
      <c r="A13" t="s">
        <v>23</v>
      </c>
      <c r="B13" t="s">
        <v>214</v>
      </c>
      <c r="C13" t="s">
        <v>2</v>
      </c>
      <c r="D13">
        <v>2050</v>
      </c>
      <c r="E13">
        <v>177.85027472527472</v>
      </c>
      <c r="F13" t="s">
        <v>27</v>
      </c>
      <c r="G13" t="s">
        <v>283</v>
      </c>
    </row>
    <row r="14" spans="1:7" x14ac:dyDescent="0.45">
      <c r="A14" t="s">
        <v>23</v>
      </c>
      <c r="B14" t="s">
        <v>193</v>
      </c>
      <c r="C14" t="s">
        <v>2</v>
      </c>
      <c r="D14">
        <v>2030</v>
      </c>
      <c r="E14">
        <v>958.80494505494505</v>
      </c>
      <c r="F14" t="s">
        <v>27</v>
      </c>
      <c r="G14" t="s">
        <v>283</v>
      </c>
    </row>
    <row r="15" spans="1:7" x14ac:dyDescent="0.45">
      <c r="A15" t="s">
        <v>23</v>
      </c>
      <c r="B15" t="s">
        <v>193</v>
      </c>
      <c r="C15" t="s">
        <v>2</v>
      </c>
      <c r="D15">
        <v>2040</v>
      </c>
      <c r="E15">
        <v>87.798763736263737</v>
      </c>
      <c r="F15" t="s">
        <v>27</v>
      </c>
      <c r="G15" t="s">
        <v>283</v>
      </c>
    </row>
    <row r="16" spans="1:7" x14ac:dyDescent="0.45">
      <c r="A16" t="s">
        <v>23</v>
      </c>
      <c r="B16" t="s">
        <v>193</v>
      </c>
      <c r="C16" t="s">
        <v>2</v>
      </c>
      <c r="D16">
        <v>2050</v>
      </c>
      <c r="E16">
        <v>4.0602106227106223</v>
      </c>
      <c r="F16" t="s">
        <v>27</v>
      </c>
      <c r="G16" t="s">
        <v>283</v>
      </c>
    </row>
    <row r="17" spans="1:7" x14ac:dyDescent="0.45">
      <c r="A17" t="s">
        <v>23</v>
      </c>
      <c r="B17" t="s">
        <v>194</v>
      </c>
      <c r="C17" t="s">
        <v>2</v>
      </c>
      <c r="D17">
        <v>2030</v>
      </c>
      <c r="E17">
        <v>1452.2596153846155</v>
      </c>
      <c r="F17" t="s">
        <v>27</v>
      </c>
      <c r="G17" t="s">
        <v>283</v>
      </c>
    </row>
    <row r="18" spans="1:7" x14ac:dyDescent="0.45">
      <c r="A18" t="s">
        <v>23</v>
      </c>
      <c r="B18" t="s">
        <v>194</v>
      </c>
      <c r="C18" t="s">
        <v>2</v>
      </c>
      <c r="D18">
        <v>2040</v>
      </c>
      <c r="E18">
        <v>131.34386446886447</v>
      </c>
      <c r="F18" t="s">
        <v>27</v>
      </c>
      <c r="G18" t="s">
        <v>283</v>
      </c>
    </row>
    <row r="19" spans="1:7" x14ac:dyDescent="0.45">
      <c r="A19" t="s">
        <v>23</v>
      </c>
      <c r="B19" t="s">
        <v>194</v>
      </c>
      <c r="C19" t="s">
        <v>2</v>
      </c>
      <c r="D19">
        <v>2050</v>
      </c>
      <c r="E19">
        <v>5.2266483516483513</v>
      </c>
      <c r="F19" t="s">
        <v>27</v>
      </c>
      <c r="G19" t="s">
        <v>283</v>
      </c>
    </row>
    <row r="20" spans="1:7" x14ac:dyDescent="0.45">
      <c r="A20" t="s">
        <v>23</v>
      </c>
      <c r="B20" t="s">
        <v>189</v>
      </c>
      <c r="C20" t="s">
        <v>2</v>
      </c>
      <c r="D20">
        <v>2030</v>
      </c>
      <c r="E20">
        <v>30.967261904761905</v>
      </c>
      <c r="F20" t="s">
        <v>27</v>
      </c>
      <c r="G20" t="s">
        <v>283</v>
      </c>
    </row>
    <row r="21" spans="1:7" x14ac:dyDescent="0.45">
      <c r="A21" t="s">
        <v>23</v>
      </c>
      <c r="B21" t="s">
        <v>189</v>
      </c>
      <c r="C21" t="s">
        <v>2</v>
      </c>
      <c r="D21">
        <v>2040</v>
      </c>
      <c r="E21">
        <v>22.35576923076923</v>
      </c>
      <c r="F21" t="s">
        <v>27</v>
      </c>
      <c r="G21" t="s">
        <v>283</v>
      </c>
    </row>
    <row r="22" spans="1:7" x14ac:dyDescent="0.45">
      <c r="A22" t="s">
        <v>23</v>
      </c>
      <c r="B22" t="s">
        <v>189</v>
      </c>
      <c r="C22" t="s">
        <v>2</v>
      </c>
      <c r="D22">
        <v>2050</v>
      </c>
      <c r="E22">
        <v>6.8292124542124544</v>
      </c>
      <c r="F22" t="s">
        <v>27</v>
      </c>
      <c r="G22" t="s">
        <v>283</v>
      </c>
    </row>
    <row r="23" spans="1:7" x14ac:dyDescent="0.45">
      <c r="A23" t="s">
        <v>23</v>
      </c>
      <c r="B23" t="s">
        <v>190</v>
      </c>
      <c r="C23" t="s">
        <v>2</v>
      </c>
      <c r="D23">
        <v>2030</v>
      </c>
      <c r="E23">
        <v>46.491529304029307</v>
      </c>
      <c r="F23" t="s">
        <v>27</v>
      </c>
      <c r="G23" t="s">
        <v>283</v>
      </c>
    </row>
    <row r="24" spans="1:7" x14ac:dyDescent="0.45">
      <c r="A24" t="s">
        <v>23</v>
      </c>
      <c r="B24" t="s">
        <v>190</v>
      </c>
      <c r="C24" t="s">
        <v>2</v>
      </c>
      <c r="D24">
        <v>2040</v>
      </c>
      <c r="E24">
        <v>35.013736263736263</v>
      </c>
      <c r="F24" t="s">
        <v>27</v>
      </c>
      <c r="G24" t="s">
        <v>283</v>
      </c>
    </row>
    <row r="25" spans="1:7" x14ac:dyDescent="0.45">
      <c r="A25" t="s">
        <v>23</v>
      </c>
      <c r="B25" t="s">
        <v>190</v>
      </c>
      <c r="C25" t="s">
        <v>2</v>
      </c>
      <c r="D25">
        <v>2050</v>
      </c>
      <c r="E25">
        <v>13.356227106227106</v>
      </c>
      <c r="F25" t="s">
        <v>27</v>
      </c>
      <c r="G25" t="s">
        <v>283</v>
      </c>
    </row>
    <row r="26" spans="1:7" x14ac:dyDescent="0.45">
      <c r="A26" t="s">
        <v>23</v>
      </c>
      <c r="B26" t="s">
        <v>191</v>
      </c>
      <c r="C26" t="s">
        <v>2</v>
      </c>
      <c r="D26">
        <v>2030</v>
      </c>
      <c r="E26">
        <v>1655.0011446886447</v>
      </c>
      <c r="F26" t="s">
        <v>27</v>
      </c>
      <c r="G26" t="s">
        <v>283</v>
      </c>
    </row>
    <row r="27" spans="1:7" x14ac:dyDescent="0.45">
      <c r="A27" t="s">
        <v>23</v>
      </c>
      <c r="B27" t="s">
        <v>191</v>
      </c>
      <c r="C27" t="s">
        <v>2</v>
      </c>
      <c r="D27">
        <v>2040</v>
      </c>
      <c r="E27">
        <v>1387.0020604395604</v>
      </c>
      <c r="F27" t="s">
        <v>27</v>
      </c>
      <c r="G27" t="s">
        <v>283</v>
      </c>
    </row>
    <row r="28" spans="1:7" x14ac:dyDescent="0.45">
      <c r="A28" t="s">
        <v>23</v>
      </c>
      <c r="B28" t="s">
        <v>191</v>
      </c>
      <c r="C28" t="s">
        <v>2</v>
      </c>
      <c r="D28">
        <v>2050</v>
      </c>
      <c r="E28">
        <v>1511.853250915751</v>
      </c>
      <c r="F28" t="s">
        <v>27</v>
      </c>
      <c r="G28" t="s">
        <v>283</v>
      </c>
    </row>
    <row r="29" spans="1:7" x14ac:dyDescent="0.45">
      <c r="A29" t="s">
        <v>23</v>
      </c>
      <c r="B29" t="s">
        <v>192</v>
      </c>
      <c r="C29" t="s">
        <v>2</v>
      </c>
      <c r="D29">
        <v>2030</v>
      </c>
      <c r="E29">
        <v>112.07989926739927</v>
      </c>
      <c r="F29" t="s">
        <v>27</v>
      </c>
      <c r="G29" t="s">
        <v>283</v>
      </c>
    </row>
    <row r="30" spans="1:7" x14ac:dyDescent="0.45">
      <c r="A30" t="s">
        <v>23</v>
      </c>
      <c r="B30" t="s">
        <v>192</v>
      </c>
      <c r="C30" t="s">
        <v>2</v>
      </c>
      <c r="D30">
        <v>2040</v>
      </c>
      <c r="E30">
        <v>88.402014652014671</v>
      </c>
      <c r="F30" t="s">
        <v>27</v>
      </c>
      <c r="G30" t="s">
        <v>283</v>
      </c>
    </row>
    <row r="31" spans="1:7" x14ac:dyDescent="0.45">
      <c r="A31" t="s">
        <v>23</v>
      </c>
      <c r="B31" t="s">
        <v>192</v>
      </c>
      <c r="C31" t="s">
        <v>2</v>
      </c>
      <c r="D31">
        <v>2050</v>
      </c>
      <c r="E31">
        <v>79.346382783882802</v>
      </c>
      <c r="F31" t="s">
        <v>27</v>
      </c>
      <c r="G31" t="s">
        <v>283</v>
      </c>
    </row>
    <row r="32" spans="1:7" x14ac:dyDescent="0.45">
      <c r="A32" t="s">
        <v>23</v>
      </c>
      <c r="B32" t="s">
        <v>195</v>
      </c>
      <c r="C32" t="s">
        <v>2</v>
      </c>
      <c r="D32">
        <v>2030</v>
      </c>
      <c r="E32">
        <v>140.80242673992672</v>
      </c>
      <c r="F32" t="s">
        <v>27</v>
      </c>
      <c r="G32" t="s">
        <v>283</v>
      </c>
    </row>
    <row r="33" spans="1:7" x14ac:dyDescent="0.45">
      <c r="A33" t="s">
        <v>23</v>
      </c>
      <c r="B33" t="s">
        <v>195</v>
      </c>
      <c r="C33" t="s">
        <v>2</v>
      </c>
      <c r="D33">
        <v>2040</v>
      </c>
      <c r="E33">
        <v>18.445512820512818</v>
      </c>
      <c r="F33" t="s">
        <v>27</v>
      </c>
      <c r="G33" t="s">
        <v>283</v>
      </c>
    </row>
    <row r="34" spans="1:7" x14ac:dyDescent="0.45">
      <c r="A34" t="s">
        <v>23</v>
      </c>
      <c r="B34" t="s">
        <v>195</v>
      </c>
      <c r="C34" t="s">
        <v>2</v>
      </c>
      <c r="D34">
        <v>2050</v>
      </c>
      <c r="E34">
        <v>2.0844780219780219</v>
      </c>
      <c r="F34" t="s">
        <v>27</v>
      </c>
      <c r="G34" t="s">
        <v>283</v>
      </c>
    </row>
    <row r="35" spans="1:7" x14ac:dyDescent="0.45">
      <c r="A35" t="s">
        <v>23</v>
      </c>
      <c r="B35" t="s">
        <v>196</v>
      </c>
      <c r="C35" t="s">
        <v>2</v>
      </c>
      <c r="D35">
        <v>2030</v>
      </c>
      <c r="E35">
        <v>343.40773809523813</v>
      </c>
      <c r="F35" t="s">
        <v>27</v>
      </c>
      <c r="G35" t="s">
        <v>283</v>
      </c>
    </row>
    <row r="36" spans="1:7" x14ac:dyDescent="0.45">
      <c r="A36" t="s">
        <v>23</v>
      </c>
      <c r="B36" t="s">
        <v>196</v>
      </c>
      <c r="C36" t="s">
        <v>2</v>
      </c>
      <c r="D36">
        <v>2040</v>
      </c>
      <c r="E36">
        <v>43.846153846153847</v>
      </c>
      <c r="F36" t="s">
        <v>27</v>
      </c>
      <c r="G36" t="s">
        <v>283</v>
      </c>
    </row>
    <row r="37" spans="1:7" x14ac:dyDescent="0.45">
      <c r="A37" t="s">
        <v>23</v>
      </c>
      <c r="B37" t="s">
        <v>196</v>
      </c>
      <c r="C37" t="s">
        <v>2</v>
      </c>
      <c r="D37">
        <v>2050</v>
      </c>
      <c r="E37">
        <v>4.4139194139194151</v>
      </c>
      <c r="F37" t="s">
        <v>27</v>
      </c>
      <c r="G37" t="s">
        <v>283</v>
      </c>
    </row>
    <row r="38" spans="1:7" x14ac:dyDescent="0.45">
      <c r="A38" t="s">
        <v>23</v>
      </c>
      <c r="B38" t="s">
        <v>197</v>
      </c>
      <c r="C38" t="s">
        <v>2</v>
      </c>
      <c r="D38">
        <v>2030</v>
      </c>
      <c r="E38">
        <v>3559.3830128205127</v>
      </c>
      <c r="F38" t="s">
        <v>27</v>
      </c>
      <c r="G38" t="s">
        <v>283</v>
      </c>
    </row>
    <row r="39" spans="1:7" x14ac:dyDescent="0.45">
      <c r="A39" t="s">
        <v>23</v>
      </c>
      <c r="B39" t="s">
        <v>197</v>
      </c>
      <c r="C39" t="s">
        <v>2</v>
      </c>
      <c r="D39">
        <v>2040</v>
      </c>
      <c r="E39">
        <v>324.64629120879118</v>
      </c>
      <c r="F39" t="s">
        <v>27</v>
      </c>
      <c r="G39" t="s">
        <v>283</v>
      </c>
    </row>
    <row r="40" spans="1:7" x14ac:dyDescent="0.45">
      <c r="A40" t="s">
        <v>23</v>
      </c>
      <c r="B40" t="s">
        <v>197</v>
      </c>
      <c r="C40" t="s">
        <v>2</v>
      </c>
      <c r="D40">
        <v>2050</v>
      </c>
      <c r="E40">
        <v>26.391941391941391</v>
      </c>
      <c r="F40" t="s">
        <v>27</v>
      </c>
      <c r="G40" t="s">
        <v>283</v>
      </c>
    </row>
    <row r="41" spans="1:7" x14ac:dyDescent="0.45">
      <c r="A41" t="s">
        <v>23</v>
      </c>
      <c r="B41" t="s">
        <v>198</v>
      </c>
      <c r="C41" t="s">
        <v>2</v>
      </c>
      <c r="D41">
        <v>2030</v>
      </c>
      <c r="E41">
        <v>990.55746336996333</v>
      </c>
      <c r="F41" t="s">
        <v>27</v>
      </c>
      <c r="G41" t="s">
        <v>283</v>
      </c>
    </row>
    <row r="42" spans="1:7" x14ac:dyDescent="0.45">
      <c r="A42" t="s">
        <v>23</v>
      </c>
      <c r="B42" t="s">
        <v>198</v>
      </c>
      <c r="C42" t="s">
        <v>2</v>
      </c>
      <c r="D42">
        <v>2040</v>
      </c>
      <c r="E42">
        <v>105.88484432234432</v>
      </c>
      <c r="F42" t="s">
        <v>27</v>
      </c>
      <c r="G42" t="s">
        <v>283</v>
      </c>
    </row>
    <row r="43" spans="1:7" x14ac:dyDescent="0.45">
      <c r="A43" t="s">
        <v>23</v>
      </c>
      <c r="B43" t="s">
        <v>198</v>
      </c>
      <c r="C43" t="s">
        <v>2</v>
      </c>
      <c r="D43">
        <v>2050</v>
      </c>
      <c r="E43">
        <v>8.9514652014652007</v>
      </c>
      <c r="F43" t="s">
        <v>27</v>
      </c>
      <c r="G43" t="s">
        <v>283</v>
      </c>
    </row>
    <row r="44" spans="1:7" x14ac:dyDescent="0.45">
      <c r="A44" t="s">
        <v>23</v>
      </c>
      <c r="B44" t="s">
        <v>199</v>
      </c>
      <c r="C44" t="s">
        <v>2</v>
      </c>
      <c r="D44">
        <v>2030</v>
      </c>
      <c r="E44">
        <v>84.089972527472526</v>
      </c>
      <c r="F44" t="s">
        <v>27</v>
      </c>
      <c r="G44" t="s">
        <v>283</v>
      </c>
    </row>
    <row r="45" spans="1:7" x14ac:dyDescent="0.45">
      <c r="A45" t="s">
        <v>23</v>
      </c>
      <c r="B45" t="s">
        <v>199</v>
      </c>
      <c r="C45" t="s">
        <v>2</v>
      </c>
      <c r="D45">
        <v>2040</v>
      </c>
      <c r="E45">
        <v>93.825549450549445</v>
      </c>
      <c r="F45" t="s">
        <v>27</v>
      </c>
      <c r="G45" t="s">
        <v>283</v>
      </c>
    </row>
    <row r="46" spans="1:7" x14ac:dyDescent="0.45">
      <c r="A46" t="s">
        <v>23</v>
      </c>
      <c r="B46" t="s">
        <v>199</v>
      </c>
      <c r="C46" t="s">
        <v>2</v>
      </c>
      <c r="D46">
        <v>2050</v>
      </c>
      <c r="E46">
        <v>102.71062271062273</v>
      </c>
      <c r="F46" t="s">
        <v>27</v>
      </c>
      <c r="G46" t="s">
        <v>283</v>
      </c>
    </row>
    <row r="47" spans="1:7" x14ac:dyDescent="0.45">
      <c r="A47" t="s">
        <v>23</v>
      </c>
      <c r="B47" t="s">
        <v>200</v>
      </c>
      <c r="C47" t="s">
        <v>2</v>
      </c>
      <c r="D47">
        <v>2030</v>
      </c>
      <c r="E47">
        <v>203.18223443223442</v>
      </c>
      <c r="F47" t="s">
        <v>27</v>
      </c>
      <c r="G47" t="s">
        <v>283</v>
      </c>
    </row>
    <row r="48" spans="1:7" x14ac:dyDescent="0.45">
      <c r="A48" t="s">
        <v>23</v>
      </c>
      <c r="B48" t="s">
        <v>200</v>
      </c>
      <c r="C48" t="s">
        <v>2</v>
      </c>
      <c r="D48">
        <v>2040</v>
      </c>
      <c r="E48">
        <v>222.92811355311358</v>
      </c>
      <c r="F48" t="s">
        <v>27</v>
      </c>
      <c r="G48" t="s">
        <v>283</v>
      </c>
    </row>
    <row r="49" spans="1:7" x14ac:dyDescent="0.45">
      <c r="A49" t="s">
        <v>23</v>
      </c>
      <c r="B49" t="s">
        <v>200</v>
      </c>
      <c r="C49" t="s">
        <v>2</v>
      </c>
      <c r="D49">
        <v>2050</v>
      </c>
      <c r="E49">
        <v>242.54578754578753</v>
      </c>
      <c r="F49" t="s">
        <v>27</v>
      </c>
      <c r="G49" t="s">
        <v>283</v>
      </c>
    </row>
    <row r="50" spans="1:7" x14ac:dyDescent="0.45">
      <c r="A50" t="s">
        <v>23</v>
      </c>
      <c r="B50" t="s">
        <v>201</v>
      </c>
      <c r="C50" t="s">
        <v>2</v>
      </c>
      <c r="D50">
        <v>2030</v>
      </c>
      <c r="E50">
        <v>1058.8701923076926</v>
      </c>
      <c r="F50" t="s">
        <v>27</v>
      </c>
      <c r="G50" t="s">
        <v>283</v>
      </c>
    </row>
    <row r="51" spans="1:7" x14ac:dyDescent="0.45">
      <c r="A51" t="s">
        <v>23</v>
      </c>
      <c r="B51" t="s">
        <v>201</v>
      </c>
      <c r="C51" t="s">
        <v>2</v>
      </c>
      <c r="D51">
        <v>2040</v>
      </c>
      <c r="E51">
        <v>1190.5254120879122</v>
      </c>
      <c r="F51" t="s">
        <v>27</v>
      </c>
      <c r="G51" t="s">
        <v>283</v>
      </c>
    </row>
    <row r="52" spans="1:7" x14ac:dyDescent="0.45">
      <c r="A52" t="s">
        <v>23</v>
      </c>
      <c r="B52" t="s">
        <v>201</v>
      </c>
      <c r="C52" t="s">
        <v>2</v>
      </c>
      <c r="D52">
        <v>2050</v>
      </c>
      <c r="E52">
        <v>1286.8040293040294</v>
      </c>
      <c r="F52" t="s">
        <v>27</v>
      </c>
      <c r="G52" t="s">
        <v>283</v>
      </c>
    </row>
    <row r="53" spans="1:7" x14ac:dyDescent="0.45">
      <c r="A53" t="s">
        <v>23</v>
      </c>
      <c r="B53" t="s">
        <v>202</v>
      </c>
      <c r="C53" t="s">
        <v>2</v>
      </c>
      <c r="D53">
        <v>2030</v>
      </c>
      <c r="E53">
        <v>663.56799450549454</v>
      </c>
      <c r="F53" t="s">
        <v>27</v>
      </c>
      <c r="G53" t="s">
        <v>283</v>
      </c>
    </row>
    <row r="54" spans="1:7" x14ac:dyDescent="0.45">
      <c r="A54" t="s">
        <v>23</v>
      </c>
      <c r="B54" t="s">
        <v>202</v>
      </c>
      <c r="C54" t="s">
        <v>2</v>
      </c>
      <c r="D54">
        <v>2040</v>
      </c>
      <c r="E54">
        <v>759.08424908424922</v>
      </c>
      <c r="F54" t="s">
        <v>27</v>
      </c>
      <c r="G54" t="s">
        <v>283</v>
      </c>
    </row>
    <row r="55" spans="1:7" x14ac:dyDescent="0.45">
      <c r="A55" t="s">
        <v>23</v>
      </c>
      <c r="B55" t="s">
        <v>202</v>
      </c>
      <c r="C55" t="s">
        <v>2</v>
      </c>
      <c r="D55">
        <v>2050</v>
      </c>
      <c r="E55">
        <v>794.35325091575089</v>
      </c>
      <c r="F55" t="s">
        <v>27</v>
      </c>
      <c r="G55" t="s">
        <v>283</v>
      </c>
    </row>
    <row r="56" spans="1:7" x14ac:dyDescent="0.45">
      <c r="A56" t="s">
        <v>23</v>
      </c>
      <c r="B56" t="s">
        <v>203</v>
      </c>
      <c r="C56" t="s">
        <v>2</v>
      </c>
      <c r="D56">
        <v>2030</v>
      </c>
      <c r="E56">
        <v>166.42811355311355</v>
      </c>
      <c r="F56" t="s">
        <v>27</v>
      </c>
      <c r="G56" t="s">
        <v>280</v>
      </c>
    </row>
    <row r="57" spans="1:7" x14ac:dyDescent="0.45">
      <c r="A57" t="s">
        <v>23</v>
      </c>
      <c r="B57" t="s">
        <v>203</v>
      </c>
      <c r="C57" t="s">
        <v>2</v>
      </c>
      <c r="D57">
        <v>2040</v>
      </c>
      <c r="E57">
        <v>183.77518315018315</v>
      </c>
      <c r="F57" t="s">
        <v>27</v>
      </c>
      <c r="G57" t="s">
        <v>280</v>
      </c>
    </row>
    <row r="58" spans="1:7" x14ac:dyDescent="0.45">
      <c r="A58" t="s">
        <v>23</v>
      </c>
      <c r="B58" t="s">
        <v>203</v>
      </c>
      <c r="C58" t="s">
        <v>2</v>
      </c>
      <c r="D58">
        <v>2050</v>
      </c>
      <c r="E58">
        <v>193.43727106227112</v>
      </c>
      <c r="F58" t="s">
        <v>27</v>
      </c>
      <c r="G58" t="s">
        <v>280</v>
      </c>
    </row>
    <row r="59" spans="1:7" x14ac:dyDescent="0.45">
      <c r="A59" t="s">
        <v>23</v>
      </c>
      <c r="B59" t="s">
        <v>204</v>
      </c>
      <c r="C59" t="s">
        <v>2</v>
      </c>
      <c r="D59">
        <v>2030</v>
      </c>
      <c r="E59">
        <v>124.82108516483514</v>
      </c>
      <c r="F59" t="s">
        <v>27</v>
      </c>
      <c r="G59" t="s">
        <v>280</v>
      </c>
    </row>
    <row r="60" spans="1:7" x14ac:dyDescent="0.45">
      <c r="A60" t="s">
        <v>23</v>
      </c>
      <c r="B60" t="s">
        <v>204</v>
      </c>
      <c r="C60" t="s">
        <v>2</v>
      </c>
      <c r="D60">
        <v>2040</v>
      </c>
      <c r="E60">
        <v>137.83138736263734</v>
      </c>
      <c r="F60" t="s">
        <v>27</v>
      </c>
      <c r="G60" t="s">
        <v>280</v>
      </c>
    </row>
    <row r="61" spans="1:7" x14ac:dyDescent="0.45">
      <c r="A61" t="s">
        <v>23</v>
      </c>
      <c r="B61" t="s">
        <v>204</v>
      </c>
      <c r="C61" t="s">
        <v>2</v>
      </c>
      <c r="D61">
        <v>2050</v>
      </c>
      <c r="E61">
        <v>145.07795329670333</v>
      </c>
      <c r="F61" t="s">
        <v>27</v>
      </c>
      <c r="G61" t="s">
        <v>280</v>
      </c>
    </row>
    <row r="62" spans="1:7" x14ac:dyDescent="0.45">
      <c r="A62" t="s">
        <v>23</v>
      </c>
      <c r="B62" t="s">
        <v>205</v>
      </c>
      <c r="C62" t="s">
        <v>2</v>
      </c>
      <c r="D62">
        <v>2030</v>
      </c>
      <c r="E62">
        <v>88.424336080586087</v>
      </c>
      <c r="F62" t="s">
        <v>27</v>
      </c>
      <c r="G62" t="s">
        <v>281</v>
      </c>
    </row>
    <row r="63" spans="1:7" x14ac:dyDescent="0.45">
      <c r="A63" t="s">
        <v>23</v>
      </c>
      <c r="B63" t="s">
        <v>205</v>
      </c>
      <c r="C63" t="s">
        <v>2</v>
      </c>
      <c r="D63">
        <v>2040</v>
      </c>
      <c r="E63">
        <v>96.526442307692321</v>
      </c>
      <c r="F63" t="s">
        <v>27</v>
      </c>
      <c r="G63" t="s">
        <v>281</v>
      </c>
    </row>
    <row r="64" spans="1:7" x14ac:dyDescent="0.45">
      <c r="A64" t="s">
        <v>23</v>
      </c>
      <c r="B64" t="s">
        <v>205</v>
      </c>
      <c r="C64" t="s">
        <v>2</v>
      </c>
      <c r="D64">
        <v>2050</v>
      </c>
      <c r="E64">
        <v>101.7032967032967</v>
      </c>
      <c r="F64" t="s">
        <v>27</v>
      </c>
      <c r="G64" t="s">
        <v>281</v>
      </c>
    </row>
    <row r="65" spans="1:7" x14ac:dyDescent="0.45">
      <c r="A65" t="s">
        <v>23</v>
      </c>
      <c r="B65" t="s">
        <v>206</v>
      </c>
      <c r="C65" t="s">
        <v>2</v>
      </c>
      <c r="D65">
        <v>2030</v>
      </c>
      <c r="E65">
        <v>88.424336080586087</v>
      </c>
      <c r="F65" t="s">
        <v>27</v>
      </c>
      <c r="G65" t="s">
        <v>281</v>
      </c>
    </row>
    <row r="66" spans="1:7" x14ac:dyDescent="0.45">
      <c r="A66" t="s">
        <v>23</v>
      </c>
      <c r="B66" t="s">
        <v>206</v>
      </c>
      <c r="C66" t="s">
        <v>2</v>
      </c>
      <c r="D66">
        <v>2040</v>
      </c>
      <c r="E66">
        <v>96.526442307692321</v>
      </c>
      <c r="F66" t="s">
        <v>27</v>
      </c>
      <c r="G66" t="s">
        <v>281</v>
      </c>
    </row>
    <row r="67" spans="1:7" x14ac:dyDescent="0.45">
      <c r="A67" t="s">
        <v>23</v>
      </c>
      <c r="B67" t="s">
        <v>206</v>
      </c>
      <c r="C67" t="s">
        <v>2</v>
      </c>
      <c r="D67">
        <v>2050</v>
      </c>
      <c r="E67">
        <v>101.7032967032967</v>
      </c>
      <c r="F67" t="s">
        <v>27</v>
      </c>
      <c r="G67" t="s">
        <v>281</v>
      </c>
    </row>
    <row r="68" spans="1:7" x14ac:dyDescent="0.45">
      <c r="A68" t="s">
        <v>23</v>
      </c>
      <c r="B68" t="s">
        <v>207</v>
      </c>
      <c r="C68" t="s">
        <v>2</v>
      </c>
      <c r="D68">
        <v>2030</v>
      </c>
      <c r="E68">
        <v>124.82108516483514</v>
      </c>
      <c r="F68" t="s">
        <v>27</v>
      </c>
      <c r="G68" t="s">
        <v>280</v>
      </c>
    </row>
    <row r="69" spans="1:7" x14ac:dyDescent="0.45">
      <c r="A69" t="s">
        <v>23</v>
      </c>
      <c r="B69" t="s">
        <v>207</v>
      </c>
      <c r="C69" t="s">
        <v>2</v>
      </c>
      <c r="D69">
        <v>2040</v>
      </c>
      <c r="E69">
        <v>137.83138736263734</v>
      </c>
      <c r="F69" t="s">
        <v>27</v>
      </c>
      <c r="G69" t="s">
        <v>280</v>
      </c>
    </row>
    <row r="70" spans="1:7" x14ac:dyDescent="0.45">
      <c r="A70" t="s">
        <v>23</v>
      </c>
      <c r="B70" t="s">
        <v>207</v>
      </c>
      <c r="C70" t="s">
        <v>2</v>
      </c>
      <c r="D70">
        <v>2050</v>
      </c>
      <c r="E70">
        <v>145.07795329670333</v>
      </c>
      <c r="F70" t="s">
        <v>27</v>
      </c>
      <c r="G70" t="s">
        <v>280</v>
      </c>
    </row>
    <row r="71" spans="1:7" x14ac:dyDescent="0.45">
      <c r="A71" t="s">
        <v>23</v>
      </c>
      <c r="B71" t="s">
        <v>208</v>
      </c>
      <c r="C71" t="s">
        <v>2</v>
      </c>
      <c r="D71">
        <v>2030</v>
      </c>
      <c r="E71">
        <v>720.79945054945051</v>
      </c>
      <c r="F71" t="s">
        <v>27</v>
      </c>
      <c r="G71" t="s">
        <v>282</v>
      </c>
    </row>
    <row r="72" spans="1:7" x14ac:dyDescent="0.45">
      <c r="A72" t="s">
        <v>23</v>
      </c>
      <c r="B72" t="s">
        <v>208</v>
      </c>
      <c r="C72" t="s">
        <v>2</v>
      </c>
      <c r="D72">
        <v>2040</v>
      </c>
      <c r="E72">
        <v>636.63598901098896</v>
      </c>
      <c r="F72" t="s">
        <v>27</v>
      </c>
      <c r="G72" t="s">
        <v>282</v>
      </c>
    </row>
    <row r="73" spans="1:7" x14ac:dyDescent="0.45">
      <c r="A73" t="s">
        <v>23</v>
      </c>
      <c r="B73" t="s">
        <v>208</v>
      </c>
      <c r="C73" t="s">
        <v>2</v>
      </c>
      <c r="D73">
        <v>2050</v>
      </c>
      <c r="E73">
        <v>225.36881868131866</v>
      </c>
      <c r="F73" t="s">
        <v>27</v>
      </c>
      <c r="G73" t="s">
        <v>282</v>
      </c>
    </row>
    <row r="74" spans="1:7" x14ac:dyDescent="0.45">
      <c r="A74" t="s">
        <v>23</v>
      </c>
      <c r="B74" t="s">
        <v>209</v>
      </c>
      <c r="C74" t="s">
        <v>2</v>
      </c>
      <c r="D74">
        <v>2030</v>
      </c>
      <c r="E74">
        <v>240.2664835164835</v>
      </c>
      <c r="F74" t="s">
        <v>27</v>
      </c>
      <c r="G74" t="s">
        <v>282</v>
      </c>
    </row>
    <row r="75" spans="1:7" x14ac:dyDescent="0.45">
      <c r="A75" t="s">
        <v>23</v>
      </c>
      <c r="B75" t="s">
        <v>209</v>
      </c>
      <c r="C75" t="s">
        <v>2</v>
      </c>
      <c r="D75">
        <v>2040</v>
      </c>
      <c r="E75">
        <v>212.21199633699635</v>
      </c>
      <c r="F75" t="s">
        <v>27</v>
      </c>
      <c r="G75" t="s">
        <v>282</v>
      </c>
    </row>
    <row r="76" spans="1:7" x14ac:dyDescent="0.45">
      <c r="A76" t="s">
        <v>23</v>
      </c>
      <c r="B76" t="s">
        <v>209</v>
      </c>
      <c r="C76" t="s">
        <v>2</v>
      </c>
      <c r="D76">
        <v>2050</v>
      </c>
      <c r="E76">
        <v>75.122939560439562</v>
      </c>
      <c r="F76" t="s">
        <v>27</v>
      </c>
      <c r="G76" t="s">
        <v>282</v>
      </c>
    </row>
    <row r="77" spans="1:7" x14ac:dyDescent="0.45">
      <c r="A77" t="s">
        <v>23</v>
      </c>
      <c r="B77" t="s">
        <v>210</v>
      </c>
      <c r="C77" t="s">
        <v>2</v>
      </c>
      <c r="D77">
        <v>2030</v>
      </c>
      <c r="E77">
        <v>111.43143315018315</v>
      </c>
      <c r="F77" t="s">
        <v>27</v>
      </c>
      <c r="G77" t="s">
        <v>281</v>
      </c>
    </row>
    <row r="78" spans="1:7" x14ac:dyDescent="0.45">
      <c r="A78" t="s">
        <v>23</v>
      </c>
      <c r="B78" t="s">
        <v>210</v>
      </c>
      <c r="C78" t="s">
        <v>2</v>
      </c>
      <c r="D78">
        <v>2040</v>
      </c>
      <c r="E78">
        <v>126.28434065934066</v>
      </c>
      <c r="F78" t="s">
        <v>27</v>
      </c>
      <c r="G78" t="s">
        <v>281</v>
      </c>
    </row>
    <row r="79" spans="1:7" x14ac:dyDescent="0.45">
      <c r="A79" t="s">
        <v>23</v>
      </c>
      <c r="B79" t="s">
        <v>210</v>
      </c>
      <c r="C79" t="s">
        <v>2</v>
      </c>
      <c r="D79">
        <v>2050</v>
      </c>
      <c r="E79">
        <v>39.179258241758241</v>
      </c>
      <c r="F79" t="s">
        <v>27</v>
      </c>
      <c r="G79" t="s">
        <v>281</v>
      </c>
    </row>
    <row r="80" spans="1:7" x14ac:dyDescent="0.45">
      <c r="A80" t="s">
        <v>23</v>
      </c>
      <c r="B80" t="s">
        <v>211</v>
      </c>
      <c r="C80" t="s">
        <v>2</v>
      </c>
      <c r="D80">
        <v>2030</v>
      </c>
      <c r="E80">
        <v>111.43143315018315</v>
      </c>
      <c r="F80" t="s">
        <v>27</v>
      </c>
      <c r="G80" t="s">
        <v>281</v>
      </c>
    </row>
    <row r="81" spans="1:7" x14ac:dyDescent="0.45">
      <c r="A81" t="s">
        <v>23</v>
      </c>
      <c r="B81" t="s">
        <v>211</v>
      </c>
      <c r="C81" t="s">
        <v>2</v>
      </c>
      <c r="D81">
        <v>2040</v>
      </c>
      <c r="E81">
        <v>126.28434065934066</v>
      </c>
      <c r="F81" t="s">
        <v>27</v>
      </c>
      <c r="G81" t="s">
        <v>281</v>
      </c>
    </row>
    <row r="82" spans="1:7" x14ac:dyDescent="0.45">
      <c r="A82" t="s">
        <v>23</v>
      </c>
      <c r="B82" t="s">
        <v>211</v>
      </c>
      <c r="C82" t="s">
        <v>2</v>
      </c>
      <c r="D82">
        <v>2050</v>
      </c>
      <c r="E82">
        <v>39.179258241758241</v>
      </c>
      <c r="F82" t="s">
        <v>27</v>
      </c>
      <c r="G82" t="s">
        <v>281</v>
      </c>
    </row>
    <row r="83" spans="1:7" x14ac:dyDescent="0.45">
      <c r="A83" t="s">
        <v>23</v>
      </c>
      <c r="B83" t="s">
        <v>212</v>
      </c>
      <c r="C83" t="s">
        <v>2</v>
      </c>
      <c r="D83">
        <v>2030</v>
      </c>
      <c r="E83">
        <v>240.2664835164835</v>
      </c>
      <c r="F83" t="s">
        <v>27</v>
      </c>
      <c r="G83" t="s">
        <v>282</v>
      </c>
    </row>
    <row r="84" spans="1:7" x14ac:dyDescent="0.45">
      <c r="A84" t="s">
        <v>23</v>
      </c>
      <c r="B84" t="s">
        <v>212</v>
      </c>
      <c r="C84" t="s">
        <v>2</v>
      </c>
      <c r="D84">
        <v>2040</v>
      </c>
      <c r="E84">
        <v>212.21199633699635</v>
      </c>
      <c r="F84" t="s">
        <v>27</v>
      </c>
      <c r="G84" t="s">
        <v>282</v>
      </c>
    </row>
    <row r="85" spans="1:7" x14ac:dyDescent="0.45">
      <c r="A85" t="s">
        <v>23</v>
      </c>
      <c r="B85" t="s">
        <v>212</v>
      </c>
      <c r="C85" t="s">
        <v>2</v>
      </c>
      <c r="D85">
        <v>2050</v>
      </c>
      <c r="E85">
        <v>75.122939560439562</v>
      </c>
      <c r="F85" t="s">
        <v>27</v>
      </c>
      <c r="G85" t="s">
        <v>282</v>
      </c>
    </row>
    <row r="86" spans="1:7" x14ac:dyDescent="0.45">
      <c r="A86" t="s">
        <v>23</v>
      </c>
      <c r="B86" t="s">
        <v>215</v>
      </c>
      <c r="C86" t="s">
        <v>2</v>
      </c>
      <c r="D86">
        <v>2030</v>
      </c>
      <c r="E86">
        <v>547.72344322344327</v>
      </c>
      <c r="F86" t="s">
        <v>27</v>
      </c>
      <c r="G86" t="s">
        <v>280</v>
      </c>
    </row>
    <row r="87" spans="1:7" x14ac:dyDescent="0.45">
      <c r="A87" t="s">
        <v>23</v>
      </c>
      <c r="B87" t="s">
        <v>215</v>
      </c>
      <c r="C87" t="s">
        <v>2</v>
      </c>
      <c r="D87">
        <v>2040</v>
      </c>
      <c r="E87">
        <v>44.63644688644689</v>
      </c>
      <c r="F87" t="s">
        <v>27</v>
      </c>
      <c r="G87" t="s">
        <v>280</v>
      </c>
    </row>
    <row r="88" spans="1:7" x14ac:dyDescent="0.45">
      <c r="A88" t="s">
        <v>23</v>
      </c>
      <c r="B88" t="s">
        <v>215</v>
      </c>
      <c r="C88" t="s">
        <v>2</v>
      </c>
      <c r="D88">
        <v>2050</v>
      </c>
      <c r="E88">
        <v>5.8878205128205146</v>
      </c>
      <c r="F88" t="s">
        <v>27</v>
      </c>
      <c r="G88" t="s">
        <v>280</v>
      </c>
    </row>
    <row r="89" spans="1:7" x14ac:dyDescent="0.45">
      <c r="A89" t="s">
        <v>23</v>
      </c>
      <c r="B89" t="s">
        <v>216</v>
      </c>
      <c r="C89" t="s">
        <v>2</v>
      </c>
      <c r="D89">
        <v>2030</v>
      </c>
      <c r="E89">
        <v>410.79258241758242</v>
      </c>
      <c r="F89" t="s">
        <v>27</v>
      </c>
      <c r="G89" t="s">
        <v>280</v>
      </c>
    </row>
    <row r="90" spans="1:7" x14ac:dyDescent="0.45">
      <c r="A90" t="s">
        <v>23</v>
      </c>
      <c r="B90" t="s">
        <v>216</v>
      </c>
      <c r="C90" t="s">
        <v>2</v>
      </c>
      <c r="D90">
        <v>2040</v>
      </c>
      <c r="E90">
        <v>33.477335164835168</v>
      </c>
      <c r="F90" t="s">
        <v>27</v>
      </c>
      <c r="G90" t="s">
        <v>280</v>
      </c>
    </row>
    <row r="91" spans="1:7" x14ac:dyDescent="0.45">
      <c r="A91" t="s">
        <v>23</v>
      </c>
      <c r="B91" t="s">
        <v>216</v>
      </c>
      <c r="C91" t="s">
        <v>2</v>
      </c>
      <c r="D91">
        <v>2050</v>
      </c>
      <c r="E91">
        <v>4.415865384615385</v>
      </c>
      <c r="F91" t="s">
        <v>27</v>
      </c>
      <c r="G91" t="s">
        <v>280</v>
      </c>
    </row>
    <row r="92" spans="1:7" x14ac:dyDescent="0.45">
      <c r="A92" t="s">
        <v>23</v>
      </c>
      <c r="B92" t="s">
        <v>217</v>
      </c>
      <c r="C92" t="s">
        <v>2</v>
      </c>
      <c r="D92">
        <v>2030</v>
      </c>
      <c r="E92">
        <v>201.77999084249083</v>
      </c>
      <c r="F92" t="s">
        <v>27</v>
      </c>
      <c r="G92" t="s">
        <v>281</v>
      </c>
    </row>
    <row r="93" spans="1:7" x14ac:dyDescent="0.45">
      <c r="A93" t="s">
        <v>23</v>
      </c>
      <c r="B93" t="s">
        <v>217</v>
      </c>
      <c r="C93" t="s">
        <v>2</v>
      </c>
      <c r="D93">
        <v>2040</v>
      </c>
      <c r="E93">
        <v>39.172390109890102</v>
      </c>
      <c r="F93" t="s">
        <v>27</v>
      </c>
      <c r="G93" t="s">
        <v>281</v>
      </c>
    </row>
    <row r="94" spans="1:7" x14ac:dyDescent="0.45">
      <c r="A94" t="s">
        <v>23</v>
      </c>
      <c r="B94" t="s">
        <v>217</v>
      </c>
      <c r="C94" t="s">
        <v>2</v>
      </c>
      <c r="D94">
        <v>2050</v>
      </c>
      <c r="E94">
        <v>2.4736721611721606</v>
      </c>
      <c r="F94" t="s">
        <v>27</v>
      </c>
      <c r="G94" t="s">
        <v>281</v>
      </c>
    </row>
    <row r="95" spans="1:7" x14ac:dyDescent="0.45">
      <c r="A95" t="s">
        <v>23</v>
      </c>
      <c r="B95" t="s">
        <v>218</v>
      </c>
      <c r="C95" t="s">
        <v>2</v>
      </c>
      <c r="D95">
        <v>2030</v>
      </c>
      <c r="E95">
        <v>201.77999084249083</v>
      </c>
      <c r="F95" t="s">
        <v>27</v>
      </c>
      <c r="G95" t="s">
        <v>281</v>
      </c>
    </row>
    <row r="96" spans="1:7" x14ac:dyDescent="0.45">
      <c r="A96" t="s">
        <v>23</v>
      </c>
      <c r="B96" t="s">
        <v>218</v>
      </c>
      <c r="C96" t="s">
        <v>2</v>
      </c>
      <c r="D96">
        <v>2040</v>
      </c>
      <c r="E96">
        <v>39.172390109890102</v>
      </c>
      <c r="F96" t="s">
        <v>27</v>
      </c>
      <c r="G96" t="s">
        <v>281</v>
      </c>
    </row>
    <row r="97" spans="1:7" x14ac:dyDescent="0.45">
      <c r="A97" t="s">
        <v>23</v>
      </c>
      <c r="B97" t="s">
        <v>218</v>
      </c>
      <c r="C97" t="s">
        <v>2</v>
      </c>
      <c r="D97">
        <v>2050</v>
      </c>
      <c r="E97">
        <v>2.4736721611721606</v>
      </c>
      <c r="F97" t="s">
        <v>27</v>
      </c>
      <c r="G97" t="s">
        <v>281</v>
      </c>
    </row>
    <row r="98" spans="1:7" x14ac:dyDescent="0.45">
      <c r="A98" t="s">
        <v>23</v>
      </c>
      <c r="B98" t="s">
        <v>219</v>
      </c>
      <c r="C98" t="s">
        <v>2</v>
      </c>
      <c r="D98">
        <v>2030</v>
      </c>
      <c r="E98">
        <v>410.79258241758242</v>
      </c>
      <c r="F98" t="s">
        <v>27</v>
      </c>
      <c r="G98" t="s">
        <v>280</v>
      </c>
    </row>
    <row r="99" spans="1:7" x14ac:dyDescent="0.45">
      <c r="A99" t="s">
        <v>23</v>
      </c>
      <c r="B99" t="s">
        <v>219</v>
      </c>
      <c r="C99" t="s">
        <v>2</v>
      </c>
      <c r="D99">
        <v>2040</v>
      </c>
      <c r="E99">
        <v>33.477335164835168</v>
      </c>
      <c r="F99" t="s">
        <v>27</v>
      </c>
      <c r="G99" t="s">
        <v>280</v>
      </c>
    </row>
    <row r="100" spans="1:7" x14ac:dyDescent="0.45">
      <c r="A100" t="s">
        <v>23</v>
      </c>
      <c r="B100" t="s">
        <v>219</v>
      </c>
      <c r="C100" t="s">
        <v>2</v>
      </c>
      <c r="D100">
        <v>2050</v>
      </c>
      <c r="E100">
        <v>4.415865384615385</v>
      </c>
      <c r="F100" t="s">
        <v>27</v>
      </c>
      <c r="G100" t="s">
        <v>280</v>
      </c>
    </row>
    <row r="101" spans="1:7" x14ac:dyDescent="0.45">
      <c r="A101" t="s">
        <v>23</v>
      </c>
      <c r="B101" t="s">
        <v>188</v>
      </c>
      <c r="C101" t="s">
        <v>352</v>
      </c>
      <c r="D101">
        <v>2030</v>
      </c>
      <c r="E101">
        <f>E2*1.5</f>
        <v>360.97527472527463</v>
      </c>
      <c r="F101" t="s">
        <v>27</v>
      </c>
      <c r="G101" t="s">
        <v>283</v>
      </c>
    </row>
    <row r="102" spans="1:7" x14ac:dyDescent="0.45">
      <c r="A102" t="s">
        <v>23</v>
      </c>
      <c r="B102" t="s">
        <v>188</v>
      </c>
      <c r="C102" t="s">
        <v>352</v>
      </c>
      <c r="D102">
        <v>2040</v>
      </c>
      <c r="E102">
        <f t="shared" ref="E102:E163" si="0">E3*1.5</f>
        <v>393.31387362637366</v>
      </c>
      <c r="F102" t="s">
        <v>27</v>
      </c>
      <c r="G102" t="s">
        <v>283</v>
      </c>
    </row>
    <row r="103" spans="1:7" x14ac:dyDescent="0.45">
      <c r="A103" t="s">
        <v>23</v>
      </c>
      <c r="B103" t="s">
        <v>188</v>
      </c>
      <c r="C103" t="s">
        <v>352</v>
      </c>
      <c r="D103">
        <v>2050</v>
      </c>
      <c r="E103">
        <f t="shared" si="0"/>
        <v>418.11126373626377</v>
      </c>
      <c r="F103" t="s">
        <v>27</v>
      </c>
      <c r="G103" t="s">
        <v>283</v>
      </c>
    </row>
    <row r="104" spans="1:7" x14ac:dyDescent="0.45">
      <c r="A104" t="s">
        <v>23</v>
      </c>
      <c r="B104" t="s">
        <v>187</v>
      </c>
      <c r="C104" t="s">
        <v>352</v>
      </c>
      <c r="D104">
        <v>2030</v>
      </c>
      <c r="E104">
        <f t="shared" si="0"/>
        <v>739.3904532967033</v>
      </c>
      <c r="F104" t="s">
        <v>27</v>
      </c>
      <c r="G104" t="s">
        <v>283</v>
      </c>
    </row>
    <row r="105" spans="1:7" x14ac:dyDescent="0.45">
      <c r="A105" t="s">
        <v>23</v>
      </c>
      <c r="B105" t="s">
        <v>187</v>
      </c>
      <c r="C105" t="s">
        <v>352</v>
      </c>
      <c r="D105">
        <v>2040</v>
      </c>
      <c r="E105">
        <f t="shared" si="0"/>
        <v>812.47596153846143</v>
      </c>
      <c r="F105" t="s">
        <v>27</v>
      </c>
      <c r="G105" t="s">
        <v>283</v>
      </c>
    </row>
    <row r="106" spans="1:7" x14ac:dyDescent="0.45">
      <c r="A106" t="s">
        <v>23</v>
      </c>
      <c r="B106" t="s">
        <v>187</v>
      </c>
      <c r="C106" t="s">
        <v>352</v>
      </c>
      <c r="D106">
        <v>2050</v>
      </c>
      <c r="E106">
        <f t="shared" si="0"/>
        <v>858.79979395604414</v>
      </c>
      <c r="F106" t="s">
        <v>27</v>
      </c>
      <c r="G106" t="s">
        <v>283</v>
      </c>
    </row>
    <row r="107" spans="1:7" x14ac:dyDescent="0.45">
      <c r="A107" t="s">
        <v>23</v>
      </c>
      <c r="B107" t="s">
        <v>213</v>
      </c>
      <c r="C107" t="s">
        <v>352</v>
      </c>
      <c r="D107">
        <v>2030</v>
      </c>
      <c r="E107">
        <f t="shared" si="0"/>
        <v>2238.7328296703295</v>
      </c>
      <c r="F107" t="s">
        <v>27</v>
      </c>
      <c r="G107" t="s">
        <v>283</v>
      </c>
    </row>
    <row r="108" spans="1:7" x14ac:dyDescent="0.45">
      <c r="A108" t="s">
        <v>23</v>
      </c>
      <c r="B108" t="s">
        <v>213</v>
      </c>
      <c r="C108" t="s">
        <v>352</v>
      </c>
      <c r="D108">
        <v>2040</v>
      </c>
      <c r="E108">
        <f t="shared" si="0"/>
        <v>2339.2513736263736</v>
      </c>
      <c r="F108" t="s">
        <v>27</v>
      </c>
      <c r="G108" t="s">
        <v>283</v>
      </c>
    </row>
    <row r="109" spans="1:7" x14ac:dyDescent="0.45">
      <c r="A109" t="s">
        <v>23</v>
      </c>
      <c r="B109" t="s">
        <v>213</v>
      </c>
      <c r="C109" t="s">
        <v>352</v>
      </c>
      <c r="D109">
        <v>2050</v>
      </c>
      <c r="E109">
        <f t="shared" si="0"/>
        <v>1764.5793269230771</v>
      </c>
      <c r="F109" t="s">
        <v>27</v>
      </c>
      <c r="G109" t="s">
        <v>283</v>
      </c>
    </row>
    <row r="110" spans="1:7" x14ac:dyDescent="0.45">
      <c r="A110" t="s">
        <v>23</v>
      </c>
      <c r="B110" t="s">
        <v>214</v>
      </c>
      <c r="C110" t="s">
        <v>352</v>
      </c>
      <c r="D110">
        <v>2030</v>
      </c>
      <c r="E110">
        <f t="shared" si="0"/>
        <v>358.50961538461536</v>
      </c>
      <c r="F110" t="s">
        <v>27</v>
      </c>
      <c r="G110" t="s">
        <v>283</v>
      </c>
    </row>
    <row r="111" spans="1:7" x14ac:dyDescent="0.45">
      <c r="A111" t="s">
        <v>23</v>
      </c>
      <c r="B111" t="s">
        <v>214</v>
      </c>
      <c r="C111" t="s">
        <v>352</v>
      </c>
      <c r="D111">
        <v>2040</v>
      </c>
      <c r="E111">
        <f t="shared" si="0"/>
        <v>358.9526098901099</v>
      </c>
      <c r="F111" t="s">
        <v>27</v>
      </c>
      <c r="G111" t="s">
        <v>283</v>
      </c>
    </row>
    <row r="112" spans="1:7" x14ac:dyDescent="0.45">
      <c r="A112" t="s">
        <v>23</v>
      </c>
      <c r="B112" t="s">
        <v>214</v>
      </c>
      <c r="C112" t="s">
        <v>352</v>
      </c>
      <c r="D112">
        <v>2050</v>
      </c>
      <c r="E112">
        <f t="shared" si="0"/>
        <v>266.77541208791206</v>
      </c>
      <c r="F112" t="s">
        <v>27</v>
      </c>
      <c r="G112" t="s">
        <v>283</v>
      </c>
    </row>
    <row r="113" spans="1:7" x14ac:dyDescent="0.45">
      <c r="A113" t="s">
        <v>23</v>
      </c>
      <c r="B113" t="s">
        <v>193</v>
      </c>
      <c r="C113" t="s">
        <v>352</v>
      </c>
      <c r="D113">
        <v>2030</v>
      </c>
      <c r="E113">
        <f t="shared" si="0"/>
        <v>1438.2074175824175</v>
      </c>
      <c r="F113" t="s">
        <v>27</v>
      </c>
      <c r="G113" t="s">
        <v>283</v>
      </c>
    </row>
    <row r="114" spans="1:7" x14ac:dyDescent="0.45">
      <c r="A114" t="s">
        <v>23</v>
      </c>
      <c r="B114" t="s">
        <v>193</v>
      </c>
      <c r="C114" t="s">
        <v>352</v>
      </c>
      <c r="D114">
        <v>2040</v>
      </c>
      <c r="E114">
        <f t="shared" si="0"/>
        <v>131.69814560439562</v>
      </c>
      <c r="F114" t="s">
        <v>27</v>
      </c>
      <c r="G114" t="s">
        <v>283</v>
      </c>
    </row>
    <row r="115" spans="1:7" x14ac:dyDescent="0.45">
      <c r="A115" t="s">
        <v>23</v>
      </c>
      <c r="B115" t="s">
        <v>193</v>
      </c>
      <c r="C115" t="s">
        <v>352</v>
      </c>
      <c r="D115">
        <v>2050</v>
      </c>
      <c r="E115">
        <f t="shared" si="0"/>
        <v>6.0903159340659334</v>
      </c>
      <c r="F115" t="s">
        <v>27</v>
      </c>
      <c r="G115" t="s">
        <v>283</v>
      </c>
    </row>
    <row r="116" spans="1:7" x14ac:dyDescent="0.45">
      <c r="A116" t="s">
        <v>23</v>
      </c>
      <c r="B116" t="s">
        <v>194</v>
      </c>
      <c r="C116" t="s">
        <v>352</v>
      </c>
      <c r="D116">
        <v>2030</v>
      </c>
      <c r="E116">
        <f t="shared" si="0"/>
        <v>2178.3894230769233</v>
      </c>
      <c r="F116" t="s">
        <v>27</v>
      </c>
      <c r="G116" t="s">
        <v>283</v>
      </c>
    </row>
    <row r="117" spans="1:7" x14ac:dyDescent="0.45">
      <c r="A117" t="s">
        <v>23</v>
      </c>
      <c r="B117" t="s">
        <v>194</v>
      </c>
      <c r="C117" t="s">
        <v>352</v>
      </c>
      <c r="D117">
        <v>2040</v>
      </c>
      <c r="E117">
        <f t="shared" si="0"/>
        <v>197.0157967032967</v>
      </c>
      <c r="F117" t="s">
        <v>27</v>
      </c>
      <c r="G117" t="s">
        <v>283</v>
      </c>
    </row>
    <row r="118" spans="1:7" x14ac:dyDescent="0.45">
      <c r="A118" t="s">
        <v>23</v>
      </c>
      <c r="B118" t="s">
        <v>194</v>
      </c>
      <c r="C118" t="s">
        <v>352</v>
      </c>
      <c r="D118">
        <v>2050</v>
      </c>
      <c r="E118">
        <f t="shared" si="0"/>
        <v>7.8399725274725274</v>
      </c>
      <c r="F118" t="s">
        <v>27</v>
      </c>
      <c r="G118" t="s">
        <v>283</v>
      </c>
    </row>
    <row r="119" spans="1:7" x14ac:dyDescent="0.45">
      <c r="A119" t="s">
        <v>23</v>
      </c>
      <c r="B119" t="s">
        <v>189</v>
      </c>
      <c r="C119" t="s">
        <v>352</v>
      </c>
      <c r="D119">
        <v>2030</v>
      </c>
      <c r="E119">
        <f t="shared" si="0"/>
        <v>46.450892857142861</v>
      </c>
      <c r="F119" t="s">
        <v>27</v>
      </c>
      <c r="G119" t="s">
        <v>283</v>
      </c>
    </row>
    <row r="120" spans="1:7" x14ac:dyDescent="0.45">
      <c r="A120" t="s">
        <v>23</v>
      </c>
      <c r="B120" t="s">
        <v>189</v>
      </c>
      <c r="C120" t="s">
        <v>352</v>
      </c>
      <c r="D120">
        <v>2040</v>
      </c>
      <c r="E120">
        <f t="shared" si="0"/>
        <v>33.533653846153847</v>
      </c>
      <c r="F120" t="s">
        <v>27</v>
      </c>
      <c r="G120" t="s">
        <v>283</v>
      </c>
    </row>
    <row r="121" spans="1:7" x14ac:dyDescent="0.45">
      <c r="A121" t="s">
        <v>23</v>
      </c>
      <c r="B121" t="s">
        <v>189</v>
      </c>
      <c r="C121" t="s">
        <v>352</v>
      </c>
      <c r="D121">
        <v>2050</v>
      </c>
      <c r="E121">
        <f t="shared" si="0"/>
        <v>10.243818681318682</v>
      </c>
      <c r="F121" t="s">
        <v>27</v>
      </c>
      <c r="G121" t="s">
        <v>283</v>
      </c>
    </row>
    <row r="122" spans="1:7" x14ac:dyDescent="0.45">
      <c r="A122" t="s">
        <v>23</v>
      </c>
      <c r="B122" t="s">
        <v>190</v>
      </c>
      <c r="C122" t="s">
        <v>352</v>
      </c>
      <c r="D122">
        <v>2030</v>
      </c>
      <c r="E122">
        <f t="shared" si="0"/>
        <v>69.737293956043956</v>
      </c>
      <c r="F122" t="s">
        <v>27</v>
      </c>
      <c r="G122" t="s">
        <v>283</v>
      </c>
    </row>
    <row r="123" spans="1:7" x14ac:dyDescent="0.45">
      <c r="A123" t="s">
        <v>23</v>
      </c>
      <c r="B123" t="s">
        <v>190</v>
      </c>
      <c r="C123" t="s">
        <v>352</v>
      </c>
      <c r="D123">
        <v>2040</v>
      </c>
      <c r="E123">
        <f t="shared" si="0"/>
        <v>52.520604395604394</v>
      </c>
      <c r="F123" t="s">
        <v>27</v>
      </c>
      <c r="G123" t="s">
        <v>283</v>
      </c>
    </row>
    <row r="124" spans="1:7" x14ac:dyDescent="0.45">
      <c r="A124" t="s">
        <v>23</v>
      </c>
      <c r="B124" t="s">
        <v>190</v>
      </c>
      <c r="C124" t="s">
        <v>352</v>
      </c>
      <c r="D124">
        <v>2050</v>
      </c>
      <c r="E124">
        <f t="shared" si="0"/>
        <v>20.034340659340657</v>
      </c>
      <c r="F124" t="s">
        <v>27</v>
      </c>
      <c r="G124" t="s">
        <v>283</v>
      </c>
    </row>
    <row r="125" spans="1:7" x14ac:dyDescent="0.45">
      <c r="A125" t="s">
        <v>23</v>
      </c>
      <c r="B125" t="s">
        <v>191</v>
      </c>
      <c r="C125" t="s">
        <v>352</v>
      </c>
      <c r="D125">
        <v>2030</v>
      </c>
      <c r="E125">
        <f t="shared" si="0"/>
        <v>2482.501717032967</v>
      </c>
      <c r="F125" t="s">
        <v>27</v>
      </c>
      <c r="G125" t="s">
        <v>283</v>
      </c>
    </row>
    <row r="126" spans="1:7" x14ac:dyDescent="0.45">
      <c r="A126" t="s">
        <v>23</v>
      </c>
      <c r="B126" t="s">
        <v>191</v>
      </c>
      <c r="C126" t="s">
        <v>352</v>
      </c>
      <c r="D126">
        <v>2040</v>
      </c>
      <c r="E126">
        <f t="shared" si="0"/>
        <v>2080.5030906593406</v>
      </c>
      <c r="F126" t="s">
        <v>27</v>
      </c>
      <c r="G126" t="s">
        <v>283</v>
      </c>
    </row>
    <row r="127" spans="1:7" x14ac:dyDescent="0.45">
      <c r="A127" t="s">
        <v>23</v>
      </c>
      <c r="B127" t="s">
        <v>191</v>
      </c>
      <c r="C127" t="s">
        <v>352</v>
      </c>
      <c r="D127">
        <v>2050</v>
      </c>
      <c r="E127">
        <f t="shared" si="0"/>
        <v>2267.7798763736264</v>
      </c>
      <c r="F127" t="s">
        <v>27</v>
      </c>
      <c r="G127" t="s">
        <v>283</v>
      </c>
    </row>
    <row r="128" spans="1:7" x14ac:dyDescent="0.45">
      <c r="A128" t="s">
        <v>23</v>
      </c>
      <c r="B128" t="s">
        <v>192</v>
      </c>
      <c r="C128" t="s">
        <v>352</v>
      </c>
      <c r="D128">
        <v>2030</v>
      </c>
      <c r="E128">
        <f t="shared" si="0"/>
        <v>168.11984890109892</v>
      </c>
      <c r="F128" t="s">
        <v>27</v>
      </c>
      <c r="G128" t="s">
        <v>283</v>
      </c>
    </row>
    <row r="129" spans="1:7" x14ac:dyDescent="0.45">
      <c r="A129" t="s">
        <v>23</v>
      </c>
      <c r="B129" t="s">
        <v>192</v>
      </c>
      <c r="C129" t="s">
        <v>352</v>
      </c>
      <c r="D129">
        <v>2040</v>
      </c>
      <c r="E129">
        <f t="shared" si="0"/>
        <v>132.60302197802201</v>
      </c>
      <c r="F129" t="s">
        <v>27</v>
      </c>
      <c r="G129" t="s">
        <v>283</v>
      </c>
    </row>
    <row r="130" spans="1:7" x14ac:dyDescent="0.45">
      <c r="A130" t="s">
        <v>23</v>
      </c>
      <c r="B130" t="s">
        <v>192</v>
      </c>
      <c r="C130" t="s">
        <v>352</v>
      </c>
      <c r="D130">
        <v>2050</v>
      </c>
      <c r="E130">
        <f t="shared" si="0"/>
        <v>119.0195741758242</v>
      </c>
      <c r="F130" t="s">
        <v>27</v>
      </c>
      <c r="G130" t="s">
        <v>283</v>
      </c>
    </row>
    <row r="131" spans="1:7" x14ac:dyDescent="0.45">
      <c r="A131" t="s">
        <v>23</v>
      </c>
      <c r="B131" t="s">
        <v>195</v>
      </c>
      <c r="C131" t="s">
        <v>352</v>
      </c>
      <c r="D131">
        <v>2030</v>
      </c>
      <c r="E131">
        <f t="shared" si="0"/>
        <v>211.20364010989007</v>
      </c>
      <c r="F131" t="s">
        <v>27</v>
      </c>
      <c r="G131" t="s">
        <v>283</v>
      </c>
    </row>
    <row r="132" spans="1:7" x14ac:dyDescent="0.45">
      <c r="A132" t="s">
        <v>23</v>
      </c>
      <c r="B132" t="s">
        <v>195</v>
      </c>
      <c r="C132" t="s">
        <v>352</v>
      </c>
      <c r="D132">
        <v>2040</v>
      </c>
      <c r="E132">
        <f t="shared" si="0"/>
        <v>27.668269230769226</v>
      </c>
      <c r="F132" t="s">
        <v>27</v>
      </c>
      <c r="G132" t="s">
        <v>283</v>
      </c>
    </row>
    <row r="133" spans="1:7" x14ac:dyDescent="0.45">
      <c r="A133" t="s">
        <v>23</v>
      </c>
      <c r="B133" t="s">
        <v>195</v>
      </c>
      <c r="C133" t="s">
        <v>352</v>
      </c>
      <c r="D133">
        <v>2050</v>
      </c>
      <c r="E133">
        <f t="shared" si="0"/>
        <v>3.1267170329670328</v>
      </c>
      <c r="F133" t="s">
        <v>27</v>
      </c>
      <c r="G133" t="s">
        <v>283</v>
      </c>
    </row>
    <row r="134" spans="1:7" x14ac:dyDescent="0.45">
      <c r="A134" t="s">
        <v>23</v>
      </c>
      <c r="B134" t="s">
        <v>196</v>
      </c>
      <c r="C134" t="s">
        <v>352</v>
      </c>
      <c r="D134">
        <v>2030</v>
      </c>
      <c r="E134">
        <f t="shared" si="0"/>
        <v>515.11160714285722</v>
      </c>
      <c r="F134" t="s">
        <v>27</v>
      </c>
      <c r="G134" t="s">
        <v>283</v>
      </c>
    </row>
    <row r="135" spans="1:7" x14ac:dyDescent="0.45">
      <c r="A135" t="s">
        <v>23</v>
      </c>
      <c r="B135" t="s">
        <v>196</v>
      </c>
      <c r="C135" t="s">
        <v>352</v>
      </c>
      <c r="D135">
        <v>2040</v>
      </c>
      <c r="E135">
        <f t="shared" si="0"/>
        <v>65.769230769230774</v>
      </c>
      <c r="F135" t="s">
        <v>27</v>
      </c>
      <c r="G135" t="s">
        <v>283</v>
      </c>
    </row>
    <row r="136" spans="1:7" x14ac:dyDescent="0.45">
      <c r="A136" t="s">
        <v>23</v>
      </c>
      <c r="B136" t="s">
        <v>196</v>
      </c>
      <c r="C136" t="s">
        <v>352</v>
      </c>
      <c r="D136">
        <v>2050</v>
      </c>
      <c r="E136">
        <f t="shared" si="0"/>
        <v>6.6208791208791222</v>
      </c>
      <c r="F136" t="s">
        <v>27</v>
      </c>
      <c r="G136" t="s">
        <v>283</v>
      </c>
    </row>
    <row r="137" spans="1:7" x14ac:dyDescent="0.45">
      <c r="A137" t="s">
        <v>23</v>
      </c>
      <c r="B137" t="s">
        <v>197</v>
      </c>
      <c r="C137" t="s">
        <v>352</v>
      </c>
      <c r="D137">
        <v>2030</v>
      </c>
      <c r="E137">
        <f t="shared" si="0"/>
        <v>5339.0745192307695</v>
      </c>
      <c r="F137" t="s">
        <v>27</v>
      </c>
      <c r="G137" t="s">
        <v>283</v>
      </c>
    </row>
    <row r="138" spans="1:7" x14ac:dyDescent="0.45">
      <c r="A138" t="s">
        <v>23</v>
      </c>
      <c r="B138" t="s">
        <v>197</v>
      </c>
      <c r="C138" t="s">
        <v>352</v>
      </c>
      <c r="D138">
        <v>2040</v>
      </c>
      <c r="E138">
        <f t="shared" si="0"/>
        <v>486.9694368131868</v>
      </c>
      <c r="F138" t="s">
        <v>27</v>
      </c>
      <c r="G138" t="s">
        <v>283</v>
      </c>
    </row>
    <row r="139" spans="1:7" x14ac:dyDescent="0.45">
      <c r="A139" t="s">
        <v>23</v>
      </c>
      <c r="B139" t="s">
        <v>197</v>
      </c>
      <c r="C139" t="s">
        <v>352</v>
      </c>
      <c r="D139">
        <v>2050</v>
      </c>
      <c r="E139">
        <f t="shared" si="0"/>
        <v>39.587912087912088</v>
      </c>
      <c r="F139" t="s">
        <v>27</v>
      </c>
      <c r="G139" t="s">
        <v>283</v>
      </c>
    </row>
    <row r="140" spans="1:7" x14ac:dyDescent="0.45">
      <c r="A140" t="s">
        <v>23</v>
      </c>
      <c r="B140" t="s">
        <v>198</v>
      </c>
      <c r="C140" t="s">
        <v>352</v>
      </c>
      <c r="D140">
        <v>2030</v>
      </c>
      <c r="E140">
        <f t="shared" si="0"/>
        <v>1485.8361950549449</v>
      </c>
      <c r="F140" t="s">
        <v>27</v>
      </c>
      <c r="G140" t="s">
        <v>283</v>
      </c>
    </row>
    <row r="141" spans="1:7" x14ac:dyDescent="0.45">
      <c r="A141" t="s">
        <v>23</v>
      </c>
      <c r="B141" t="s">
        <v>198</v>
      </c>
      <c r="C141" t="s">
        <v>352</v>
      </c>
      <c r="D141">
        <v>2040</v>
      </c>
      <c r="E141">
        <f t="shared" si="0"/>
        <v>158.8272664835165</v>
      </c>
      <c r="F141" t="s">
        <v>27</v>
      </c>
      <c r="G141" t="s">
        <v>283</v>
      </c>
    </row>
    <row r="142" spans="1:7" x14ac:dyDescent="0.45">
      <c r="A142" t="s">
        <v>23</v>
      </c>
      <c r="B142" t="s">
        <v>198</v>
      </c>
      <c r="C142" t="s">
        <v>352</v>
      </c>
      <c r="D142">
        <v>2050</v>
      </c>
      <c r="E142">
        <f t="shared" si="0"/>
        <v>13.427197802197801</v>
      </c>
      <c r="F142" t="s">
        <v>27</v>
      </c>
      <c r="G142" t="s">
        <v>283</v>
      </c>
    </row>
    <row r="143" spans="1:7" x14ac:dyDescent="0.45">
      <c r="A143" t="s">
        <v>23</v>
      </c>
      <c r="B143" t="s">
        <v>199</v>
      </c>
      <c r="C143" t="s">
        <v>352</v>
      </c>
      <c r="D143">
        <v>2030</v>
      </c>
      <c r="E143">
        <f t="shared" si="0"/>
        <v>126.13495879120879</v>
      </c>
      <c r="F143" t="s">
        <v>27</v>
      </c>
      <c r="G143" t="s">
        <v>283</v>
      </c>
    </row>
    <row r="144" spans="1:7" x14ac:dyDescent="0.45">
      <c r="A144" t="s">
        <v>23</v>
      </c>
      <c r="B144" t="s">
        <v>199</v>
      </c>
      <c r="C144" t="s">
        <v>352</v>
      </c>
      <c r="D144">
        <v>2040</v>
      </c>
      <c r="E144">
        <f t="shared" si="0"/>
        <v>140.73832417582418</v>
      </c>
      <c r="F144" t="s">
        <v>27</v>
      </c>
      <c r="G144" t="s">
        <v>283</v>
      </c>
    </row>
    <row r="145" spans="1:7" x14ac:dyDescent="0.45">
      <c r="A145" t="s">
        <v>23</v>
      </c>
      <c r="B145" t="s">
        <v>199</v>
      </c>
      <c r="C145" t="s">
        <v>352</v>
      </c>
      <c r="D145">
        <v>2050</v>
      </c>
      <c r="E145">
        <f t="shared" si="0"/>
        <v>154.0659340659341</v>
      </c>
      <c r="F145" t="s">
        <v>27</v>
      </c>
      <c r="G145" t="s">
        <v>283</v>
      </c>
    </row>
    <row r="146" spans="1:7" x14ac:dyDescent="0.45">
      <c r="A146" t="s">
        <v>23</v>
      </c>
      <c r="B146" t="s">
        <v>200</v>
      </c>
      <c r="C146" t="s">
        <v>352</v>
      </c>
      <c r="D146">
        <v>2030</v>
      </c>
      <c r="E146">
        <f t="shared" si="0"/>
        <v>304.77335164835165</v>
      </c>
      <c r="F146" t="s">
        <v>27</v>
      </c>
      <c r="G146" t="s">
        <v>283</v>
      </c>
    </row>
    <row r="147" spans="1:7" x14ac:dyDescent="0.45">
      <c r="A147" t="s">
        <v>23</v>
      </c>
      <c r="B147" t="s">
        <v>200</v>
      </c>
      <c r="C147" t="s">
        <v>352</v>
      </c>
      <c r="D147">
        <v>2040</v>
      </c>
      <c r="E147">
        <f t="shared" si="0"/>
        <v>334.39217032967036</v>
      </c>
      <c r="F147" t="s">
        <v>27</v>
      </c>
      <c r="G147" t="s">
        <v>283</v>
      </c>
    </row>
    <row r="148" spans="1:7" x14ac:dyDescent="0.45">
      <c r="A148" t="s">
        <v>23</v>
      </c>
      <c r="B148" t="s">
        <v>200</v>
      </c>
      <c r="C148" t="s">
        <v>352</v>
      </c>
      <c r="D148">
        <v>2050</v>
      </c>
      <c r="E148">
        <f t="shared" si="0"/>
        <v>363.81868131868129</v>
      </c>
      <c r="F148" t="s">
        <v>27</v>
      </c>
      <c r="G148" t="s">
        <v>283</v>
      </c>
    </row>
    <row r="149" spans="1:7" x14ac:dyDescent="0.45">
      <c r="A149" t="s">
        <v>23</v>
      </c>
      <c r="B149" t="s">
        <v>201</v>
      </c>
      <c r="C149" t="s">
        <v>352</v>
      </c>
      <c r="D149">
        <v>2030</v>
      </c>
      <c r="E149">
        <f t="shared" si="0"/>
        <v>1588.305288461539</v>
      </c>
      <c r="F149" t="s">
        <v>27</v>
      </c>
      <c r="G149" t="s">
        <v>283</v>
      </c>
    </row>
    <row r="150" spans="1:7" x14ac:dyDescent="0.45">
      <c r="A150" t="s">
        <v>23</v>
      </c>
      <c r="B150" t="s">
        <v>201</v>
      </c>
      <c r="C150" t="s">
        <v>352</v>
      </c>
      <c r="D150">
        <v>2040</v>
      </c>
      <c r="E150">
        <f t="shared" si="0"/>
        <v>1785.7881181318683</v>
      </c>
      <c r="F150" t="s">
        <v>27</v>
      </c>
      <c r="G150" t="s">
        <v>283</v>
      </c>
    </row>
    <row r="151" spans="1:7" x14ac:dyDescent="0.45">
      <c r="A151" t="s">
        <v>23</v>
      </c>
      <c r="B151" t="s">
        <v>201</v>
      </c>
      <c r="C151" t="s">
        <v>352</v>
      </c>
      <c r="D151">
        <v>2050</v>
      </c>
      <c r="E151">
        <f t="shared" si="0"/>
        <v>1930.2060439560441</v>
      </c>
      <c r="F151" t="s">
        <v>27</v>
      </c>
      <c r="G151" t="s">
        <v>283</v>
      </c>
    </row>
    <row r="152" spans="1:7" x14ac:dyDescent="0.45">
      <c r="A152" t="s">
        <v>23</v>
      </c>
      <c r="B152" t="s">
        <v>202</v>
      </c>
      <c r="C152" t="s">
        <v>352</v>
      </c>
      <c r="D152">
        <v>2030</v>
      </c>
      <c r="E152">
        <f t="shared" si="0"/>
        <v>995.35199175824187</v>
      </c>
      <c r="F152" t="s">
        <v>27</v>
      </c>
      <c r="G152" t="s">
        <v>283</v>
      </c>
    </row>
    <row r="153" spans="1:7" x14ac:dyDescent="0.45">
      <c r="A153" t="s">
        <v>23</v>
      </c>
      <c r="B153" t="s">
        <v>202</v>
      </c>
      <c r="C153" t="s">
        <v>352</v>
      </c>
      <c r="D153">
        <v>2040</v>
      </c>
      <c r="E153">
        <f t="shared" si="0"/>
        <v>1138.6263736263738</v>
      </c>
      <c r="F153" t="s">
        <v>27</v>
      </c>
      <c r="G153" t="s">
        <v>283</v>
      </c>
    </row>
    <row r="154" spans="1:7" x14ac:dyDescent="0.45">
      <c r="A154" t="s">
        <v>23</v>
      </c>
      <c r="B154" t="s">
        <v>202</v>
      </c>
      <c r="C154" t="s">
        <v>352</v>
      </c>
      <c r="D154">
        <v>2050</v>
      </c>
      <c r="E154">
        <f t="shared" si="0"/>
        <v>1191.5298763736264</v>
      </c>
      <c r="F154" t="s">
        <v>27</v>
      </c>
      <c r="G154" t="s">
        <v>283</v>
      </c>
    </row>
    <row r="155" spans="1:7" x14ac:dyDescent="0.45">
      <c r="A155" t="s">
        <v>23</v>
      </c>
      <c r="B155" t="s">
        <v>203</v>
      </c>
      <c r="C155" t="s">
        <v>352</v>
      </c>
      <c r="D155">
        <v>2030</v>
      </c>
      <c r="E155">
        <f>E56</f>
        <v>166.42811355311355</v>
      </c>
      <c r="F155" t="s">
        <v>27</v>
      </c>
      <c r="G155" t="s">
        <v>280</v>
      </c>
    </row>
    <row r="156" spans="1:7" x14ac:dyDescent="0.45">
      <c r="A156" t="s">
        <v>23</v>
      </c>
      <c r="B156" t="s">
        <v>203</v>
      </c>
      <c r="C156" t="s">
        <v>352</v>
      </c>
      <c r="D156">
        <v>2040</v>
      </c>
      <c r="E156">
        <f>E57</f>
        <v>183.77518315018315</v>
      </c>
      <c r="F156" t="s">
        <v>27</v>
      </c>
      <c r="G156" t="s">
        <v>280</v>
      </c>
    </row>
    <row r="157" spans="1:7" x14ac:dyDescent="0.45">
      <c r="A157" t="s">
        <v>23</v>
      </c>
      <c r="B157" t="s">
        <v>203</v>
      </c>
      <c r="C157" t="s">
        <v>352</v>
      </c>
      <c r="D157">
        <v>2050</v>
      </c>
      <c r="E157">
        <f t="shared" si="0"/>
        <v>290.15590659340671</v>
      </c>
      <c r="F157" t="s">
        <v>27</v>
      </c>
      <c r="G157" t="s">
        <v>280</v>
      </c>
    </row>
    <row r="158" spans="1:7" x14ac:dyDescent="0.45">
      <c r="A158" t="s">
        <v>23</v>
      </c>
      <c r="B158" t="s">
        <v>204</v>
      </c>
      <c r="C158" t="s">
        <v>352</v>
      </c>
      <c r="D158">
        <v>2030</v>
      </c>
      <c r="E158">
        <f t="shared" si="0"/>
        <v>187.2316277472527</v>
      </c>
      <c r="F158" t="s">
        <v>27</v>
      </c>
      <c r="G158" t="s">
        <v>280</v>
      </c>
    </row>
    <row r="159" spans="1:7" x14ac:dyDescent="0.45">
      <c r="A159" t="s">
        <v>23</v>
      </c>
      <c r="B159" t="s">
        <v>204</v>
      </c>
      <c r="C159" t="s">
        <v>352</v>
      </c>
      <c r="D159">
        <v>2040</v>
      </c>
      <c r="E159">
        <f t="shared" si="0"/>
        <v>206.74708104395603</v>
      </c>
      <c r="F159" t="s">
        <v>27</v>
      </c>
      <c r="G159" t="s">
        <v>280</v>
      </c>
    </row>
    <row r="160" spans="1:7" x14ac:dyDescent="0.45">
      <c r="A160" t="s">
        <v>23</v>
      </c>
      <c r="B160" t="s">
        <v>204</v>
      </c>
      <c r="C160" t="s">
        <v>352</v>
      </c>
      <c r="D160">
        <v>2050</v>
      </c>
      <c r="E160">
        <f t="shared" si="0"/>
        <v>217.61692994505501</v>
      </c>
      <c r="F160" t="s">
        <v>27</v>
      </c>
      <c r="G160" t="s">
        <v>280</v>
      </c>
    </row>
    <row r="161" spans="1:7" x14ac:dyDescent="0.45">
      <c r="A161" t="s">
        <v>23</v>
      </c>
      <c r="B161" t="s">
        <v>205</v>
      </c>
      <c r="C161" t="s">
        <v>352</v>
      </c>
      <c r="D161">
        <v>2030</v>
      </c>
      <c r="E161">
        <f t="shared" si="0"/>
        <v>132.63650412087912</v>
      </c>
      <c r="F161" t="s">
        <v>27</v>
      </c>
      <c r="G161" t="s">
        <v>281</v>
      </c>
    </row>
    <row r="162" spans="1:7" x14ac:dyDescent="0.45">
      <c r="A162" t="s">
        <v>23</v>
      </c>
      <c r="B162" t="s">
        <v>205</v>
      </c>
      <c r="C162" t="s">
        <v>352</v>
      </c>
      <c r="D162">
        <v>2040</v>
      </c>
      <c r="E162">
        <f t="shared" si="0"/>
        <v>144.78966346153848</v>
      </c>
      <c r="F162" t="s">
        <v>27</v>
      </c>
      <c r="G162" t="s">
        <v>281</v>
      </c>
    </row>
    <row r="163" spans="1:7" x14ac:dyDescent="0.45">
      <c r="A163" t="s">
        <v>23</v>
      </c>
      <c r="B163" t="s">
        <v>205</v>
      </c>
      <c r="C163" t="s">
        <v>352</v>
      </c>
      <c r="D163">
        <v>2050</v>
      </c>
      <c r="E163">
        <f t="shared" si="0"/>
        <v>152.55494505494505</v>
      </c>
      <c r="F163" t="s">
        <v>27</v>
      </c>
      <c r="G163" t="s">
        <v>281</v>
      </c>
    </row>
    <row r="164" spans="1:7" x14ac:dyDescent="0.45">
      <c r="A164" t="s">
        <v>23</v>
      </c>
      <c r="B164" t="s">
        <v>206</v>
      </c>
      <c r="C164" t="s">
        <v>352</v>
      </c>
      <c r="D164">
        <v>2030</v>
      </c>
      <c r="E164">
        <f>E65</f>
        <v>88.424336080586087</v>
      </c>
      <c r="F164" t="s">
        <v>27</v>
      </c>
      <c r="G164" t="s">
        <v>281</v>
      </c>
    </row>
    <row r="165" spans="1:7" x14ac:dyDescent="0.45">
      <c r="A165" t="s">
        <v>23</v>
      </c>
      <c r="B165" t="s">
        <v>206</v>
      </c>
      <c r="C165" t="s">
        <v>352</v>
      </c>
      <c r="D165">
        <v>2040</v>
      </c>
      <c r="E165">
        <f>E66</f>
        <v>96.526442307692321</v>
      </c>
      <c r="F165" t="s">
        <v>27</v>
      </c>
      <c r="G165" t="s">
        <v>281</v>
      </c>
    </row>
    <row r="166" spans="1:7" x14ac:dyDescent="0.45">
      <c r="A166" t="s">
        <v>23</v>
      </c>
      <c r="B166" t="s">
        <v>206</v>
      </c>
      <c r="C166" t="s">
        <v>352</v>
      </c>
      <c r="D166">
        <v>2050</v>
      </c>
      <c r="E166">
        <f>E67</f>
        <v>101.7032967032967</v>
      </c>
      <c r="F166" t="s">
        <v>27</v>
      </c>
      <c r="G166" t="s">
        <v>281</v>
      </c>
    </row>
    <row r="167" spans="1:7" x14ac:dyDescent="0.45">
      <c r="A167" t="s">
        <v>23</v>
      </c>
      <c r="B167" t="s">
        <v>207</v>
      </c>
      <c r="C167" t="s">
        <v>352</v>
      </c>
      <c r="D167">
        <v>2030</v>
      </c>
      <c r="E167">
        <f t="shared" ref="E167:E199" si="1">E68*1.5</f>
        <v>187.2316277472527</v>
      </c>
      <c r="F167" t="s">
        <v>27</v>
      </c>
      <c r="G167" t="s">
        <v>280</v>
      </c>
    </row>
    <row r="168" spans="1:7" x14ac:dyDescent="0.45">
      <c r="A168" t="s">
        <v>23</v>
      </c>
      <c r="B168" t="s">
        <v>207</v>
      </c>
      <c r="C168" t="s">
        <v>352</v>
      </c>
      <c r="D168">
        <v>2040</v>
      </c>
      <c r="E168">
        <f t="shared" si="1"/>
        <v>206.74708104395603</v>
      </c>
      <c r="F168" t="s">
        <v>27</v>
      </c>
      <c r="G168" t="s">
        <v>280</v>
      </c>
    </row>
    <row r="169" spans="1:7" x14ac:dyDescent="0.45">
      <c r="A169" t="s">
        <v>23</v>
      </c>
      <c r="B169" t="s">
        <v>207</v>
      </c>
      <c r="C169" t="s">
        <v>352</v>
      </c>
      <c r="D169">
        <v>2050</v>
      </c>
      <c r="E169">
        <f t="shared" si="1"/>
        <v>217.61692994505501</v>
      </c>
      <c r="F169" t="s">
        <v>27</v>
      </c>
      <c r="G169" t="s">
        <v>280</v>
      </c>
    </row>
    <row r="170" spans="1:7" x14ac:dyDescent="0.45">
      <c r="A170" t="s">
        <v>23</v>
      </c>
      <c r="B170" t="s">
        <v>208</v>
      </c>
      <c r="C170" t="s">
        <v>352</v>
      </c>
      <c r="D170">
        <v>2030</v>
      </c>
      <c r="E170">
        <f>E71</f>
        <v>720.79945054945051</v>
      </c>
      <c r="F170" t="s">
        <v>27</v>
      </c>
      <c r="G170" t="s">
        <v>282</v>
      </c>
    </row>
    <row r="171" spans="1:7" x14ac:dyDescent="0.45">
      <c r="A171" t="s">
        <v>23</v>
      </c>
      <c r="B171" t="s">
        <v>208</v>
      </c>
      <c r="C171" t="s">
        <v>352</v>
      </c>
      <c r="D171">
        <v>2040</v>
      </c>
      <c r="E171">
        <f>E72</f>
        <v>636.63598901098896</v>
      </c>
      <c r="F171" t="s">
        <v>27</v>
      </c>
      <c r="G171" t="s">
        <v>282</v>
      </c>
    </row>
    <row r="172" spans="1:7" x14ac:dyDescent="0.45">
      <c r="A172" t="s">
        <v>23</v>
      </c>
      <c r="B172" t="s">
        <v>208</v>
      </c>
      <c r="C172" t="s">
        <v>352</v>
      </c>
      <c r="D172">
        <v>2050</v>
      </c>
      <c r="E172">
        <f>E73</f>
        <v>225.36881868131866</v>
      </c>
      <c r="F172" t="s">
        <v>27</v>
      </c>
      <c r="G172" t="s">
        <v>282</v>
      </c>
    </row>
    <row r="173" spans="1:7" x14ac:dyDescent="0.45">
      <c r="A173" t="s">
        <v>23</v>
      </c>
      <c r="B173" t="s">
        <v>209</v>
      </c>
      <c r="C173" t="s">
        <v>352</v>
      </c>
      <c r="D173">
        <v>2030</v>
      </c>
      <c r="E173">
        <f t="shared" si="1"/>
        <v>360.39972527472526</v>
      </c>
      <c r="F173" t="s">
        <v>27</v>
      </c>
      <c r="G173" t="s">
        <v>282</v>
      </c>
    </row>
    <row r="174" spans="1:7" x14ac:dyDescent="0.45">
      <c r="A174" t="s">
        <v>23</v>
      </c>
      <c r="B174" t="s">
        <v>209</v>
      </c>
      <c r="C174" t="s">
        <v>352</v>
      </c>
      <c r="D174">
        <v>2040</v>
      </c>
      <c r="E174">
        <f t="shared" si="1"/>
        <v>318.31799450549454</v>
      </c>
      <c r="F174" t="s">
        <v>27</v>
      </c>
      <c r="G174" t="s">
        <v>282</v>
      </c>
    </row>
    <row r="175" spans="1:7" x14ac:dyDescent="0.45">
      <c r="A175" t="s">
        <v>23</v>
      </c>
      <c r="B175" t="s">
        <v>209</v>
      </c>
      <c r="C175" t="s">
        <v>352</v>
      </c>
      <c r="D175">
        <v>2050</v>
      </c>
      <c r="E175">
        <f t="shared" si="1"/>
        <v>112.68440934065934</v>
      </c>
      <c r="F175" t="s">
        <v>27</v>
      </c>
      <c r="G175" t="s">
        <v>282</v>
      </c>
    </row>
    <row r="176" spans="1:7" x14ac:dyDescent="0.45">
      <c r="A176" t="s">
        <v>23</v>
      </c>
      <c r="B176" t="s">
        <v>210</v>
      </c>
      <c r="C176" t="s">
        <v>352</v>
      </c>
      <c r="D176">
        <v>2030</v>
      </c>
      <c r="E176">
        <f t="shared" si="1"/>
        <v>167.14714972527474</v>
      </c>
      <c r="F176" t="s">
        <v>27</v>
      </c>
      <c r="G176" t="s">
        <v>281</v>
      </c>
    </row>
    <row r="177" spans="1:7" x14ac:dyDescent="0.45">
      <c r="A177" t="s">
        <v>23</v>
      </c>
      <c r="B177" t="s">
        <v>210</v>
      </c>
      <c r="C177" t="s">
        <v>352</v>
      </c>
      <c r="D177">
        <v>2040</v>
      </c>
      <c r="E177">
        <f t="shared" si="1"/>
        <v>189.42651098901098</v>
      </c>
      <c r="F177" t="s">
        <v>27</v>
      </c>
      <c r="G177" t="s">
        <v>281</v>
      </c>
    </row>
    <row r="178" spans="1:7" x14ac:dyDescent="0.45">
      <c r="A178" t="s">
        <v>23</v>
      </c>
      <c r="B178" t="s">
        <v>210</v>
      </c>
      <c r="C178" t="s">
        <v>352</v>
      </c>
      <c r="D178">
        <v>2050</v>
      </c>
      <c r="E178">
        <f t="shared" si="1"/>
        <v>58.768887362637358</v>
      </c>
      <c r="F178" t="s">
        <v>27</v>
      </c>
      <c r="G178" t="s">
        <v>281</v>
      </c>
    </row>
    <row r="179" spans="1:7" x14ac:dyDescent="0.45">
      <c r="A179" t="s">
        <v>23</v>
      </c>
      <c r="B179" t="s">
        <v>211</v>
      </c>
      <c r="C179" t="s">
        <v>352</v>
      </c>
      <c r="D179">
        <v>2030</v>
      </c>
      <c r="E179">
        <f>E80</f>
        <v>111.43143315018315</v>
      </c>
      <c r="F179" t="s">
        <v>27</v>
      </c>
      <c r="G179" t="s">
        <v>281</v>
      </c>
    </row>
    <row r="180" spans="1:7" x14ac:dyDescent="0.45">
      <c r="A180" t="s">
        <v>23</v>
      </c>
      <c r="B180" t="s">
        <v>211</v>
      </c>
      <c r="C180" t="s">
        <v>352</v>
      </c>
      <c r="D180">
        <v>2040</v>
      </c>
      <c r="E180">
        <f>E81</f>
        <v>126.28434065934066</v>
      </c>
      <c r="F180" t="s">
        <v>27</v>
      </c>
      <c r="G180" t="s">
        <v>281</v>
      </c>
    </row>
    <row r="181" spans="1:7" x14ac:dyDescent="0.45">
      <c r="A181" t="s">
        <v>23</v>
      </c>
      <c r="B181" t="s">
        <v>211</v>
      </c>
      <c r="C181" t="s">
        <v>352</v>
      </c>
      <c r="D181">
        <v>2050</v>
      </c>
      <c r="E181">
        <f>E82</f>
        <v>39.179258241758241</v>
      </c>
      <c r="F181" t="s">
        <v>27</v>
      </c>
      <c r="G181" t="s">
        <v>281</v>
      </c>
    </row>
    <row r="182" spans="1:7" x14ac:dyDescent="0.45">
      <c r="A182" t="s">
        <v>23</v>
      </c>
      <c r="B182" t="s">
        <v>212</v>
      </c>
      <c r="C182" t="s">
        <v>352</v>
      </c>
      <c r="D182">
        <v>2030</v>
      </c>
      <c r="E182">
        <f t="shared" si="1"/>
        <v>360.39972527472526</v>
      </c>
      <c r="F182" t="s">
        <v>27</v>
      </c>
      <c r="G182" t="s">
        <v>282</v>
      </c>
    </row>
    <row r="183" spans="1:7" x14ac:dyDescent="0.45">
      <c r="A183" t="s">
        <v>23</v>
      </c>
      <c r="B183" t="s">
        <v>212</v>
      </c>
      <c r="C183" t="s">
        <v>352</v>
      </c>
      <c r="D183">
        <v>2040</v>
      </c>
      <c r="E183">
        <f t="shared" si="1"/>
        <v>318.31799450549454</v>
      </c>
      <c r="F183" t="s">
        <v>27</v>
      </c>
      <c r="G183" t="s">
        <v>282</v>
      </c>
    </row>
    <row r="184" spans="1:7" x14ac:dyDescent="0.45">
      <c r="A184" t="s">
        <v>23</v>
      </c>
      <c r="B184" t="s">
        <v>212</v>
      </c>
      <c r="C184" t="s">
        <v>352</v>
      </c>
      <c r="D184">
        <v>2050</v>
      </c>
      <c r="E184">
        <f t="shared" si="1"/>
        <v>112.68440934065934</v>
      </c>
      <c r="F184" t="s">
        <v>27</v>
      </c>
      <c r="G184" t="s">
        <v>282</v>
      </c>
    </row>
    <row r="185" spans="1:7" x14ac:dyDescent="0.45">
      <c r="A185" t="s">
        <v>23</v>
      </c>
      <c r="B185" t="s">
        <v>215</v>
      </c>
      <c r="C185" t="s">
        <v>352</v>
      </c>
      <c r="D185">
        <v>2030</v>
      </c>
      <c r="E185">
        <f>E86</f>
        <v>547.72344322344327</v>
      </c>
      <c r="F185" t="s">
        <v>27</v>
      </c>
      <c r="G185" t="s">
        <v>280</v>
      </c>
    </row>
    <row r="186" spans="1:7" x14ac:dyDescent="0.45">
      <c r="A186" t="s">
        <v>23</v>
      </c>
      <c r="B186" t="s">
        <v>215</v>
      </c>
      <c r="C186" t="s">
        <v>352</v>
      </c>
      <c r="D186">
        <v>2040</v>
      </c>
      <c r="E186">
        <f>E87</f>
        <v>44.63644688644689</v>
      </c>
      <c r="F186" t="s">
        <v>27</v>
      </c>
      <c r="G186" t="s">
        <v>280</v>
      </c>
    </row>
    <row r="187" spans="1:7" x14ac:dyDescent="0.45">
      <c r="A187" t="s">
        <v>23</v>
      </c>
      <c r="B187" t="s">
        <v>215</v>
      </c>
      <c r="C187" t="s">
        <v>352</v>
      </c>
      <c r="D187">
        <v>2050</v>
      </c>
      <c r="E187">
        <f>E88</f>
        <v>5.8878205128205146</v>
      </c>
      <c r="F187" t="s">
        <v>27</v>
      </c>
      <c r="G187" t="s">
        <v>280</v>
      </c>
    </row>
    <row r="188" spans="1:7" x14ac:dyDescent="0.45">
      <c r="A188" t="s">
        <v>23</v>
      </c>
      <c r="B188" t="s">
        <v>216</v>
      </c>
      <c r="C188" t="s">
        <v>352</v>
      </c>
      <c r="D188">
        <v>2030</v>
      </c>
      <c r="E188">
        <f t="shared" si="1"/>
        <v>616.18887362637361</v>
      </c>
      <c r="F188" t="s">
        <v>27</v>
      </c>
      <c r="G188" t="s">
        <v>280</v>
      </c>
    </row>
    <row r="189" spans="1:7" x14ac:dyDescent="0.45">
      <c r="A189" t="s">
        <v>23</v>
      </c>
      <c r="B189" t="s">
        <v>216</v>
      </c>
      <c r="C189" t="s">
        <v>352</v>
      </c>
      <c r="D189">
        <v>2040</v>
      </c>
      <c r="E189">
        <f t="shared" si="1"/>
        <v>50.216002747252752</v>
      </c>
      <c r="F189" t="s">
        <v>27</v>
      </c>
      <c r="G189" t="s">
        <v>280</v>
      </c>
    </row>
    <row r="190" spans="1:7" x14ac:dyDescent="0.45">
      <c r="A190" t="s">
        <v>23</v>
      </c>
      <c r="B190" t="s">
        <v>216</v>
      </c>
      <c r="C190" t="s">
        <v>352</v>
      </c>
      <c r="D190">
        <v>2050</v>
      </c>
      <c r="E190">
        <f t="shared" si="1"/>
        <v>6.6237980769230775</v>
      </c>
      <c r="F190" t="s">
        <v>27</v>
      </c>
      <c r="G190" t="s">
        <v>280</v>
      </c>
    </row>
    <row r="191" spans="1:7" x14ac:dyDescent="0.45">
      <c r="A191" t="s">
        <v>23</v>
      </c>
      <c r="B191" t="s">
        <v>217</v>
      </c>
      <c r="C191" t="s">
        <v>352</v>
      </c>
      <c r="D191">
        <v>2030</v>
      </c>
      <c r="E191">
        <f t="shared" si="1"/>
        <v>302.66998626373623</v>
      </c>
      <c r="F191" t="s">
        <v>27</v>
      </c>
      <c r="G191" t="s">
        <v>281</v>
      </c>
    </row>
    <row r="192" spans="1:7" x14ac:dyDescent="0.45">
      <c r="A192" t="s">
        <v>23</v>
      </c>
      <c r="B192" t="s">
        <v>217</v>
      </c>
      <c r="C192" t="s">
        <v>352</v>
      </c>
      <c r="D192">
        <v>2040</v>
      </c>
      <c r="E192">
        <f t="shared" si="1"/>
        <v>58.758585164835154</v>
      </c>
      <c r="F192" t="s">
        <v>27</v>
      </c>
      <c r="G192" t="s">
        <v>281</v>
      </c>
    </row>
    <row r="193" spans="1:7" x14ac:dyDescent="0.45">
      <c r="A193" t="s">
        <v>23</v>
      </c>
      <c r="B193" t="s">
        <v>217</v>
      </c>
      <c r="C193" t="s">
        <v>352</v>
      </c>
      <c r="D193">
        <v>2050</v>
      </c>
      <c r="E193">
        <f t="shared" si="1"/>
        <v>3.7105082417582409</v>
      </c>
      <c r="F193" t="s">
        <v>27</v>
      </c>
      <c r="G193" t="s">
        <v>281</v>
      </c>
    </row>
    <row r="194" spans="1:7" x14ac:dyDescent="0.45">
      <c r="A194" t="s">
        <v>23</v>
      </c>
      <c r="B194" t="s">
        <v>218</v>
      </c>
      <c r="C194" t="s">
        <v>352</v>
      </c>
      <c r="D194">
        <v>2030</v>
      </c>
      <c r="E194">
        <f>E95</f>
        <v>201.77999084249083</v>
      </c>
      <c r="F194" t="s">
        <v>27</v>
      </c>
      <c r="G194" t="s">
        <v>281</v>
      </c>
    </row>
    <row r="195" spans="1:7" x14ac:dyDescent="0.45">
      <c r="A195" t="s">
        <v>23</v>
      </c>
      <c r="B195" t="s">
        <v>218</v>
      </c>
      <c r="C195" t="s">
        <v>352</v>
      </c>
      <c r="D195">
        <v>2040</v>
      </c>
      <c r="E195">
        <f>E96</f>
        <v>39.172390109890102</v>
      </c>
      <c r="F195" t="s">
        <v>27</v>
      </c>
      <c r="G195" t="s">
        <v>281</v>
      </c>
    </row>
    <row r="196" spans="1:7" x14ac:dyDescent="0.45">
      <c r="A196" t="s">
        <v>23</v>
      </c>
      <c r="B196" t="s">
        <v>218</v>
      </c>
      <c r="C196" t="s">
        <v>352</v>
      </c>
      <c r="D196">
        <v>2050</v>
      </c>
      <c r="E196">
        <f>E97</f>
        <v>2.4736721611721606</v>
      </c>
      <c r="F196" t="s">
        <v>27</v>
      </c>
      <c r="G196" t="s">
        <v>281</v>
      </c>
    </row>
    <row r="197" spans="1:7" x14ac:dyDescent="0.45">
      <c r="A197" t="s">
        <v>23</v>
      </c>
      <c r="B197" t="s">
        <v>219</v>
      </c>
      <c r="C197" t="s">
        <v>352</v>
      </c>
      <c r="D197">
        <v>2030</v>
      </c>
      <c r="E197">
        <f t="shared" si="1"/>
        <v>616.18887362637361</v>
      </c>
      <c r="F197" t="s">
        <v>27</v>
      </c>
      <c r="G197" t="s">
        <v>280</v>
      </c>
    </row>
    <row r="198" spans="1:7" x14ac:dyDescent="0.45">
      <c r="A198" t="s">
        <v>23</v>
      </c>
      <c r="B198" t="s">
        <v>219</v>
      </c>
      <c r="C198" t="s">
        <v>352</v>
      </c>
      <c r="D198">
        <v>2040</v>
      </c>
      <c r="E198">
        <f t="shared" si="1"/>
        <v>50.216002747252752</v>
      </c>
      <c r="F198" t="s">
        <v>27</v>
      </c>
      <c r="G198" t="s">
        <v>280</v>
      </c>
    </row>
    <row r="199" spans="1:7" x14ac:dyDescent="0.45">
      <c r="A199" t="s">
        <v>23</v>
      </c>
      <c r="B199" t="s">
        <v>219</v>
      </c>
      <c r="C199" t="s">
        <v>352</v>
      </c>
      <c r="D199">
        <v>2050</v>
      </c>
      <c r="E199">
        <f t="shared" si="1"/>
        <v>6.6237980769230775</v>
      </c>
      <c r="F199" t="s">
        <v>27</v>
      </c>
      <c r="G199" t="s">
        <v>280</v>
      </c>
    </row>
    <row r="200" spans="1:7" x14ac:dyDescent="0.45">
      <c r="A200" t="s">
        <v>23</v>
      </c>
      <c r="B200" t="s">
        <v>188</v>
      </c>
      <c r="C200" t="s">
        <v>353</v>
      </c>
      <c r="D200">
        <v>2030</v>
      </c>
      <c r="E200">
        <f>E2*2</f>
        <v>481.30036630036619</v>
      </c>
      <c r="F200" t="s">
        <v>27</v>
      </c>
      <c r="G200" t="s">
        <v>283</v>
      </c>
    </row>
    <row r="201" spans="1:7" x14ac:dyDescent="0.45">
      <c r="A201" t="s">
        <v>23</v>
      </c>
      <c r="B201" t="s">
        <v>188</v>
      </c>
      <c r="C201" t="s">
        <v>353</v>
      </c>
      <c r="D201">
        <v>2040</v>
      </c>
      <c r="E201">
        <f t="shared" ref="E201:E262" si="2">E3*2</f>
        <v>524.41849816849822</v>
      </c>
      <c r="F201" t="s">
        <v>27</v>
      </c>
      <c r="G201" t="s">
        <v>283</v>
      </c>
    </row>
    <row r="202" spans="1:7" x14ac:dyDescent="0.45">
      <c r="A202" t="s">
        <v>23</v>
      </c>
      <c r="B202" t="s">
        <v>188</v>
      </c>
      <c r="C202" t="s">
        <v>353</v>
      </c>
      <c r="D202">
        <v>2050</v>
      </c>
      <c r="E202">
        <f t="shared" si="2"/>
        <v>557.48168498168502</v>
      </c>
      <c r="F202" t="s">
        <v>27</v>
      </c>
      <c r="G202" t="s">
        <v>283</v>
      </c>
    </row>
    <row r="203" spans="1:7" x14ac:dyDescent="0.45">
      <c r="A203" t="s">
        <v>23</v>
      </c>
      <c r="B203" t="s">
        <v>187</v>
      </c>
      <c r="C203" t="s">
        <v>353</v>
      </c>
      <c r="D203">
        <v>2030</v>
      </c>
      <c r="E203">
        <f t="shared" si="2"/>
        <v>985.85393772893769</v>
      </c>
      <c r="F203" t="s">
        <v>27</v>
      </c>
      <c r="G203" t="s">
        <v>283</v>
      </c>
    </row>
    <row r="204" spans="1:7" x14ac:dyDescent="0.45">
      <c r="A204" t="s">
        <v>23</v>
      </c>
      <c r="B204" t="s">
        <v>187</v>
      </c>
      <c r="C204" t="s">
        <v>353</v>
      </c>
      <c r="D204">
        <v>2040</v>
      </c>
      <c r="E204">
        <f t="shared" si="2"/>
        <v>1083.301282051282</v>
      </c>
      <c r="F204" t="s">
        <v>27</v>
      </c>
      <c r="G204" t="s">
        <v>283</v>
      </c>
    </row>
    <row r="205" spans="1:7" x14ac:dyDescent="0.45">
      <c r="A205" t="s">
        <v>23</v>
      </c>
      <c r="B205" t="s">
        <v>187</v>
      </c>
      <c r="C205" t="s">
        <v>353</v>
      </c>
      <c r="D205">
        <v>2050</v>
      </c>
      <c r="E205">
        <f t="shared" si="2"/>
        <v>1145.0663919413921</v>
      </c>
      <c r="F205" t="s">
        <v>27</v>
      </c>
      <c r="G205" t="s">
        <v>283</v>
      </c>
    </row>
    <row r="206" spans="1:7" x14ac:dyDescent="0.45">
      <c r="A206" t="s">
        <v>23</v>
      </c>
      <c r="B206" t="s">
        <v>213</v>
      </c>
      <c r="C206" t="s">
        <v>353</v>
      </c>
      <c r="D206">
        <v>2030</v>
      </c>
      <c r="E206">
        <f t="shared" si="2"/>
        <v>2984.9771062271061</v>
      </c>
      <c r="F206" t="s">
        <v>27</v>
      </c>
      <c r="G206" t="s">
        <v>283</v>
      </c>
    </row>
    <row r="207" spans="1:7" x14ac:dyDescent="0.45">
      <c r="A207" t="s">
        <v>23</v>
      </c>
      <c r="B207" t="s">
        <v>213</v>
      </c>
      <c r="C207" t="s">
        <v>353</v>
      </c>
      <c r="D207">
        <v>2040</v>
      </c>
      <c r="E207">
        <f t="shared" si="2"/>
        <v>3119.0018315018315</v>
      </c>
      <c r="F207" t="s">
        <v>27</v>
      </c>
      <c r="G207" t="s">
        <v>283</v>
      </c>
    </row>
    <row r="208" spans="1:7" x14ac:dyDescent="0.45">
      <c r="A208" t="s">
        <v>23</v>
      </c>
      <c r="B208" t="s">
        <v>213</v>
      </c>
      <c r="C208" t="s">
        <v>353</v>
      </c>
      <c r="D208">
        <v>2050</v>
      </c>
      <c r="E208">
        <f t="shared" si="2"/>
        <v>2352.772435897436</v>
      </c>
      <c r="F208" t="s">
        <v>27</v>
      </c>
      <c r="G208" t="s">
        <v>283</v>
      </c>
    </row>
    <row r="209" spans="1:7" x14ac:dyDescent="0.45">
      <c r="A209" t="s">
        <v>23</v>
      </c>
      <c r="B209" t="s">
        <v>214</v>
      </c>
      <c r="C209" t="s">
        <v>353</v>
      </c>
      <c r="D209">
        <v>2030</v>
      </c>
      <c r="E209">
        <f t="shared" si="2"/>
        <v>478.01282051282044</v>
      </c>
      <c r="F209" t="s">
        <v>27</v>
      </c>
      <c r="G209" t="s">
        <v>283</v>
      </c>
    </row>
    <row r="210" spans="1:7" x14ac:dyDescent="0.45">
      <c r="A210" t="s">
        <v>23</v>
      </c>
      <c r="B210" t="s">
        <v>214</v>
      </c>
      <c r="C210" t="s">
        <v>353</v>
      </c>
      <c r="D210">
        <v>2040</v>
      </c>
      <c r="E210">
        <f t="shared" si="2"/>
        <v>478.60347985347988</v>
      </c>
      <c r="F210" t="s">
        <v>27</v>
      </c>
      <c r="G210" t="s">
        <v>283</v>
      </c>
    </row>
    <row r="211" spans="1:7" x14ac:dyDescent="0.45">
      <c r="A211" t="s">
        <v>23</v>
      </c>
      <c r="B211" t="s">
        <v>214</v>
      </c>
      <c r="C211" t="s">
        <v>353</v>
      </c>
      <c r="D211">
        <v>2050</v>
      </c>
      <c r="E211">
        <f t="shared" si="2"/>
        <v>355.70054945054943</v>
      </c>
      <c r="F211" t="s">
        <v>27</v>
      </c>
      <c r="G211" t="s">
        <v>283</v>
      </c>
    </row>
    <row r="212" spans="1:7" x14ac:dyDescent="0.45">
      <c r="A212" t="s">
        <v>23</v>
      </c>
      <c r="B212" t="s">
        <v>193</v>
      </c>
      <c r="C212" t="s">
        <v>353</v>
      </c>
      <c r="D212">
        <v>2030</v>
      </c>
      <c r="E212">
        <f t="shared" si="2"/>
        <v>1917.6098901098901</v>
      </c>
      <c r="F212" t="s">
        <v>27</v>
      </c>
      <c r="G212" t="s">
        <v>283</v>
      </c>
    </row>
    <row r="213" spans="1:7" x14ac:dyDescent="0.45">
      <c r="A213" t="s">
        <v>23</v>
      </c>
      <c r="B213" t="s">
        <v>193</v>
      </c>
      <c r="C213" t="s">
        <v>353</v>
      </c>
      <c r="D213">
        <v>2040</v>
      </c>
      <c r="E213">
        <f t="shared" si="2"/>
        <v>175.59752747252747</v>
      </c>
      <c r="F213" t="s">
        <v>27</v>
      </c>
      <c r="G213" t="s">
        <v>283</v>
      </c>
    </row>
    <row r="214" spans="1:7" x14ac:dyDescent="0.45">
      <c r="A214" t="s">
        <v>23</v>
      </c>
      <c r="B214" t="s">
        <v>193</v>
      </c>
      <c r="C214" t="s">
        <v>353</v>
      </c>
      <c r="D214">
        <v>2050</v>
      </c>
      <c r="E214">
        <f t="shared" si="2"/>
        <v>8.1204212454212445</v>
      </c>
      <c r="F214" t="s">
        <v>27</v>
      </c>
      <c r="G214" t="s">
        <v>283</v>
      </c>
    </row>
    <row r="215" spans="1:7" x14ac:dyDescent="0.45">
      <c r="A215" t="s">
        <v>23</v>
      </c>
      <c r="B215" t="s">
        <v>194</v>
      </c>
      <c r="C215" t="s">
        <v>353</v>
      </c>
      <c r="D215">
        <v>2030</v>
      </c>
      <c r="E215">
        <f t="shared" si="2"/>
        <v>2904.5192307692309</v>
      </c>
      <c r="F215" t="s">
        <v>27</v>
      </c>
      <c r="G215" t="s">
        <v>283</v>
      </c>
    </row>
    <row r="216" spans="1:7" x14ac:dyDescent="0.45">
      <c r="A216" t="s">
        <v>23</v>
      </c>
      <c r="B216" t="s">
        <v>194</v>
      </c>
      <c r="C216" t="s">
        <v>353</v>
      </c>
      <c r="D216">
        <v>2040</v>
      </c>
      <c r="E216">
        <f t="shared" si="2"/>
        <v>262.68772893772893</v>
      </c>
      <c r="F216" t="s">
        <v>27</v>
      </c>
      <c r="G216" t="s">
        <v>283</v>
      </c>
    </row>
    <row r="217" spans="1:7" x14ac:dyDescent="0.45">
      <c r="A217" t="s">
        <v>23</v>
      </c>
      <c r="B217" t="s">
        <v>194</v>
      </c>
      <c r="C217" t="s">
        <v>353</v>
      </c>
      <c r="D217">
        <v>2050</v>
      </c>
      <c r="E217">
        <f t="shared" si="2"/>
        <v>10.453296703296703</v>
      </c>
      <c r="F217" t="s">
        <v>27</v>
      </c>
      <c r="G217" t="s">
        <v>283</v>
      </c>
    </row>
    <row r="218" spans="1:7" x14ac:dyDescent="0.45">
      <c r="A218" t="s">
        <v>23</v>
      </c>
      <c r="B218" t="s">
        <v>189</v>
      </c>
      <c r="C218" t="s">
        <v>353</v>
      </c>
      <c r="D218">
        <v>2030</v>
      </c>
      <c r="E218">
        <f t="shared" si="2"/>
        <v>61.93452380952381</v>
      </c>
      <c r="F218" t="s">
        <v>27</v>
      </c>
      <c r="G218" t="s">
        <v>283</v>
      </c>
    </row>
    <row r="219" spans="1:7" x14ac:dyDescent="0.45">
      <c r="A219" t="s">
        <v>23</v>
      </c>
      <c r="B219" t="s">
        <v>189</v>
      </c>
      <c r="C219" t="s">
        <v>353</v>
      </c>
      <c r="D219">
        <v>2040</v>
      </c>
      <c r="E219">
        <f t="shared" si="2"/>
        <v>44.71153846153846</v>
      </c>
      <c r="F219" t="s">
        <v>27</v>
      </c>
      <c r="G219" t="s">
        <v>283</v>
      </c>
    </row>
    <row r="220" spans="1:7" x14ac:dyDescent="0.45">
      <c r="A220" t="s">
        <v>23</v>
      </c>
      <c r="B220" t="s">
        <v>189</v>
      </c>
      <c r="C220" t="s">
        <v>353</v>
      </c>
      <c r="D220">
        <v>2050</v>
      </c>
      <c r="E220">
        <f t="shared" si="2"/>
        <v>13.658424908424909</v>
      </c>
      <c r="F220" t="s">
        <v>27</v>
      </c>
      <c r="G220" t="s">
        <v>283</v>
      </c>
    </row>
    <row r="221" spans="1:7" x14ac:dyDescent="0.45">
      <c r="A221" t="s">
        <v>23</v>
      </c>
      <c r="B221" t="s">
        <v>190</v>
      </c>
      <c r="C221" t="s">
        <v>353</v>
      </c>
      <c r="D221">
        <v>2030</v>
      </c>
      <c r="E221">
        <f t="shared" si="2"/>
        <v>92.983058608058613</v>
      </c>
      <c r="F221" t="s">
        <v>27</v>
      </c>
      <c r="G221" t="s">
        <v>283</v>
      </c>
    </row>
    <row r="222" spans="1:7" x14ac:dyDescent="0.45">
      <c r="A222" t="s">
        <v>23</v>
      </c>
      <c r="B222" t="s">
        <v>190</v>
      </c>
      <c r="C222" t="s">
        <v>353</v>
      </c>
      <c r="D222">
        <v>2040</v>
      </c>
      <c r="E222">
        <f t="shared" si="2"/>
        <v>70.027472527472526</v>
      </c>
      <c r="F222" t="s">
        <v>27</v>
      </c>
      <c r="G222" t="s">
        <v>283</v>
      </c>
    </row>
    <row r="223" spans="1:7" x14ac:dyDescent="0.45">
      <c r="A223" t="s">
        <v>23</v>
      </c>
      <c r="B223" t="s">
        <v>190</v>
      </c>
      <c r="C223" t="s">
        <v>353</v>
      </c>
      <c r="D223">
        <v>2050</v>
      </c>
      <c r="E223">
        <f t="shared" si="2"/>
        <v>26.712454212454212</v>
      </c>
      <c r="F223" t="s">
        <v>27</v>
      </c>
      <c r="G223" t="s">
        <v>283</v>
      </c>
    </row>
    <row r="224" spans="1:7" x14ac:dyDescent="0.45">
      <c r="A224" t="s">
        <v>23</v>
      </c>
      <c r="B224" t="s">
        <v>191</v>
      </c>
      <c r="C224" t="s">
        <v>353</v>
      </c>
      <c r="D224">
        <v>2030</v>
      </c>
      <c r="E224">
        <f t="shared" si="2"/>
        <v>3310.0022893772893</v>
      </c>
      <c r="F224" t="s">
        <v>27</v>
      </c>
      <c r="G224" t="s">
        <v>283</v>
      </c>
    </row>
    <row r="225" spans="1:7" x14ac:dyDescent="0.45">
      <c r="A225" t="s">
        <v>23</v>
      </c>
      <c r="B225" t="s">
        <v>191</v>
      </c>
      <c r="C225" t="s">
        <v>353</v>
      </c>
      <c r="D225">
        <v>2040</v>
      </c>
      <c r="E225">
        <f t="shared" si="2"/>
        <v>2774.0041208791208</v>
      </c>
      <c r="F225" t="s">
        <v>27</v>
      </c>
      <c r="G225" t="s">
        <v>283</v>
      </c>
    </row>
    <row r="226" spans="1:7" x14ac:dyDescent="0.45">
      <c r="A226" t="s">
        <v>23</v>
      </c>
      <c r="B226" t="s">
        <v>191</v>
      </c>
      <c r="C226" t="s">
        <v>353</v>
      </c>
      <c r="D226">
        <v>2050</v>
      </c>
      <c r="E226">
        <f t="shared" si="2"/>
        <v>3023.706501831502</v>
      </c>
      <c r="F226" t="s">
        <v>27</v>
      </c>
      <c r="G226" t="s">
        <v>283</v>
      </c>
    </row>
    <row r="227" spans="1:7" x14ac:dyDescent="0.45">
      <c r="A227" t="s">
        <v>23</v>
      </c>
      <c r="B227" t="s">
        <v>192</v>
      </c>
      <c r="C227" t="s">
        <v>353</v>
      </c>
      <c r="D227">
        <v>2030</v>
      </c>
      <c r="E227">
        <f t="shared" si="2"/>
        <v>224.15979853479854</v>
      </c>
      <c r="F227" t="s">
        <v>27</v>
      </c>
      <c r="G227" t="s">
        <v>283</v>
      </c>
    </row>
    <row r="228" spans="1:7" x14ac:dyDescent="0.45">
      <c r="A228" t="s">
        <v>23</v>
      </c>
      <c r="B228" t="s">
        <v>192</v>
      </c>
      <c r="C228" t="s">
        <v>353</v>
      </c>
      <c r="D228">
        <v>2040</v>
      </c>
      <c r="E228">
        <f t="shared" si="2"/>
        <v>176.80402930402934</v>
      </c>
      <c r="F228" t="s">
        <v>27</v>
      </c>
      <c r="G228" t="s">
        <v>283</v>
      </c>
    </row>
    <row r="229" spans="1:7" x14ac:dyDescent="0.45">
      <c r="A229" t="s">
        <v>23</v>
      </c>
      <c r="B229" t="s">
        <v>192</v>
      </c>
      <c r="C229" t="s">
        <v>353</v>
      </c>
      <c r="D229">
        <v>2050</v>
      </c>
      <c r="E229">
        <f t="shared" si="2"/>
        <v>158.6927655677656</v>
      </c>
      <c r="F229" t="s">
        <v>27</v>
      </c>
      <c r="G229" t="s">
        <v>283</v>
      </c>
    </row>
    <row r="230" spans="1:7" x14ac:dyDescent="0.45">
      <c r="A230" t="s">
        <v>23</v>
      </c>
      <c r="B230" t="s">
        <v>195</v>
      </c>
      <c r="C230" t="s">
        <v>353</v>
      </c>
      <c r="D230">
        <v>2030</v>
      </c>
      <c r="E230">
        <f t="shared" si="2"/>
        <v>281.60485347985343</v>
      </c>
      <c r="F230" t="s">
        <v>27</v>
      </c>
      <c r="G230" t="s">
        <v>283</v>
      </c>
    </row>
    <row r="231" spans="1:7" x14ac:dyDescent="0.45">
      <c r="A231" t="s">
        <v>23</v>
      </c>
      <c r="B231" t="s">
        <v>195</v>
      </c>
      <c r="C231" t="s">
        <v>353</v>
      </c>
      <c r="D231">
        <v>2040</v>
      </c>
      <c r="E231">
        <f t="shared" si="2"/>
        <v>36.891025641025635</v>
      </c>
      <c r="F231" t="s">
        <v>27</v>
      </c>
      <c r="G231" t="s">
        <v>283</v>
      </c>
    </row>
    <row r="232" spans="1:7" x14ac:dyDescent="0.45">
      <c r="A232" t="s">
        <v>23</v>
      </c>
      <c r="B232" t="s">
        <v>195</v>
      </c>
      <c r="C232" t="s">
        <v>353</v>
      </c>
      <c r="D232">
        <v>2050</v>
      </c>
      <c r="E232">
        <f t="shared" si="2"/>
        <v>4.1689560439560438</v>
      </c>
      <c r="F232" t="s">
        <v>27</v>
      </c>
      <c r="G232" t="s">
        <v>283</v>
      </c>
    </row>
    <row r="233" spans="1:7" x14ac:dyDescent="0.45">
      <c r="A233" t="s">
        <v>23</v>
      </c>
      <c r="B233" t="s">
        <v>196</v>
      </c>
      <c r="C233" t="s">
        <v>353</v>
      </c>
      <c r="D233">
        <v>2030</v>
      </c>
      <c r="E233">
        <f t="shared" si="2"/>
        <v>686.81547619047626</v>
      </c>
      <c r="F233" t="s">
        <v>27</v>
      </c>
      <c r="G233" t="s">
        <v>283</v>
      </c>
    </row>
    <row r="234" spans="1:7" x14ac:dyDescent="0.45">
      <c r="A234" t="s">
        <v>23</v>
      </c>
      <c r="B234" t="s">
        <v>196</v>
      </c>
      <c r="C234" t="s">
        <v>353</v>
      </c>
      <c r="D234">
        <v>2040</v>
      </c>
      <c r="E234">
        <f t="shared" si="2"/>
        <v>87.692307692307693</v>
      </c>
      <c r="F234" t="s">
        <v>27</v>
      </c>
      <c r="G234" t="s">
        <v>283</v>
      </c>
    </row>
    <row r="235" spans="1:7" x14ac:dyDescent="0.45">
      <c r="A235" t="s">
        <v>23</v>
      </c>
      <c r="B235" t="s">
        <v>196</v>
      </c>
      <c r="C235" t="s">
        <v>353</v>
      </c>
      <c r="D235">
        <v>2050</v>
      </c>
      <c r="E235">
        <f t="shared" si="2"/>
        <v>8.8278388278388302</v>
      </c>
      <c r="F235" t="s">
        <v>27</v>
      </c>
      <c r="G235" t="s">
        <v>283</v>
      </c>
    </row>
    <row r="236" spans="1:7" x14ac:dyDescent="0.45">
      <c r="A236" t="s">
        <v>23</v>
      </c>
      <c r="B236" t="s">
        <v>197</v>
      </c>
      <c r="C236" t="s">
        <v>353</v>
      </c>
      <c r="D236">
        <v>2030</v>
      </c>
      <c r="E236">
        <f t="shared" si="2"/>
        <v>7118.7660256410254</v>
      </c>
      <c r="F236" t="s">
        <v>27</v>
      </c>
      <c r="G236" t="s">
        <v>283</v>
      </c>
    </row>
    <row r="237" spans="1:7" x14ac:dyDescent="0.45">
      <c r="A237" t="s">
        <v>23</v>
      </c>
      <c r="B237" t="s">
        <v>197</v>
      </c>
      <c r="C237" t="s">
        <v>353</v>
      </c>
      <c r="D237">
        <v>2040</v>
      </c>
      <c r="E237">
        <f t="shared" si="2"/>
        <v>649.29258241758237</v>
      </c>
      <c r="F237" t="s">
        <v>27</v>
      </c>
      <c r="G237" t="s">
        <v>283</v>
      </c>
    </row>
    <row r="238" spans="1:7" x14ac:dyDescent="0.45">
      <c r="A238" t="s">
        <v>23</v>
      </c>
      <c r="B238" t="s">
        <v>197</v>
      </c>
      <c r="C238" t="s">
        <v>353</v>
      </c>
      <c r="D238">
        <v>2050</v>
      </c>
      <c r="E238">
        <f t="shared" si="2"/>
        <v>52.783882783882781</v>
      </c>
      <c r="F238" t="s">
        <v>27</v>
      </c>
      <c r="G238" t="s">
        <v>283</v>
      </c>
    </row>
    <row r="239" spans="1:7" x14ac:dyDescent="0.45">
      <c r="A239" t="s">
        <v>23</v>
      </c>
      <c r="B239" t="s">
        <v>198</v>
      </c>
      <c r="C239" t="s">
        <v>353</v>
      </c>
      <c r="D239">
        <v>2030</v>
      </c>
      <c r="E239">
        <f t="shared" si="2"/>
        <v>1981.1149267399267</v>
      </c>
      <c r="F239" t="s">
        <v>27</v>
      </c>
      <c r="G239" t="s">
        <v>283</v>
      </c>
    </row>
    <row r="240" spans="1:7" x14ac:dyDescent="0.45">
      <c r="A240" t="s">
        <v>23</v>
      </c>
      <c r="B240" t="s">
        <v>198</v>
      </c>
      <c r="C240" t="s">
        <v>353</v>
      </c>
      <c r="D240">
        <v>2040</v>
      </c>
      <c r="E240">
        <f t="shared" si="2"/>
        <v>211.76968864468864</v>
      </c>
      <c r="F240" t="s">
        <v>27</v>
      </c>
      <c r="G240" t="s">
        <v>283</v>
      </c>
    </row>
    <row r="241" spans="1:7" x14ac:dyDescent="0.45">
      <c r="A241" t="s">
        <v>23</v>
      </c>
      <c r="B241" t="s">
        <v>198</v>
      </c>
      <c r="C241" t="s">
        <v>353</v>
      </c>
      <c r="D241">
        <v>2050</v>
      </c>
      <c r="E241">
        <f t="shared" si="2"/>
        <v>17.902930402930401</v>
      </c>
      <c r="F241" t="s">
        <v>27</v>
      </c>
      <c r="G241" t="s">
        <v>283</v>
      </c>
    </row>
    <row r="242" spans="1:7" x14ac:dyDescent="0.45">
      <c r="A242" t="s">
        <v>23</v>
      </c>
      <c r="B242" t="s">
        <v>199</v>
      </c>
      <c r="C242" t="s">
        <v>353</v>
      </c>
      <c r="D242">
        <v>2030</v>
      </c>
      <c r="E242">
        <f t="shared" si="2"/>
        <v>168.17994505494505</v>
      </c>
      <c r="F242" t="s">
        <v>27</v>
      </c>
      <c r="G242" t="s">
        <v>283</v>
      </c>
    </row>
    <row r="243" spans="1:7" x14ac:dyDescent="0.45">
      <c r="A243" t="s">
        <v>23</v>
      </c>
      <c r="B243" t="s">
        <v>199</v>
      </c>
      <c r="C243" t="s">
        <v>353</v>
      </c>
      <c r="D243">
        <v>2040</v>
      </c>
      <c r="E243">
        <f t="shared" si="2"/>
        <v>187.65109890109889</v>
      </c>
      <c r="F243" t="s">
        <v>27</v>
      </c>
      <c r="G243" t="s">
        <v>283</v>
      </c>
    </row>
    <row r="244" spans="1:7" x14ac:dyDescent="0.45">
      <c r="A244" t="s">
        <v>23</v>
      </c>
      <c r="B244" t="s">
        <v>199</v>
      </c>
      <c r="C244" t="s">
        <v>353</v>
      </c>
      <c r="D244">
        <v>2050</v>
      </c>
      <c r="E244">
        <f t="shared" si="2"/>
        <v>205.42124542124546</v>
      </c>
      <c r="F244" t="s">
        <v>27</v>
      </c>
      <c r="G244" t="s">
        <v>283</v>
      </c>
    </row>
    <row r="245" spans="1:7" x14ac:dyDescent="0.45">
      <c r="A245" t="s">
        <v>23</v>
      </c>
      <c r="B245" t="s">
        <v>200</v>
      </c>
      <c r="C245" t="s">
        <v>353</v>
      </c>
      <c r="D245">
        <v>2030</v>
      </c>
      <c r="E245">
        <f t="shared" si="2"/>
        <v>406.36446886446885</v>
      </c>
      <c r="F245" t="s">
        <v>27</v>
      </c>
      <c r="G245" t="s">
        <v>283</v>
      </c>
    </row>
    <row r="246" spans="1:7" x14ac:dyDescent="0.45">
      <c r="A246" t="s">
        <v>23</v>
      </c>
      <c r="B246" t="s">
        <v>200</v>
      </c>
      <c r="C246" t="s">
        <v>353</v>
      </c>
      <c r="D246">
        <v>2040</v>
      </c>
      <c r="E246">
        <f t="shared" si="2"/>
        <v>445.85622710622715</v>
      </c>
      <c r="F246" t="s">
        <v>27</v>
      </c>
      <c r="G246" t="s">
        <v>283</v>
      </c>
    </row>
    <row r="247" spans="1:7" x14ac:dyDescent="0.45">
      <c r="A247" t="s">
        <v>23</v>
      </c>
      <c r="B247" t="s">
        <v>200</v>
      </c>
      <c r="C247" t="s">
        <v>353</v>
      </c>
      <c r="D247">
        <v>2050</v>
      </c>
      <c r="E247">
        <f t="shared" si="2"/>
        <v>485.09157509157507</v>
      </c>
      <c r="F247" t="s">
        <v>27</v>
      </c>
      <c r="G247" t="s">
        <v>283</v>
      </c>
    </row>
    <row r="248" spans="1:7" x14ac:dyDescent="0.45">
      <c r="A248" t="s">
        <v>23</v>
      </c>
      <c r="B248" t="s">
        <v>201</v>
      </c>
      <c r="C248" t="s">
        <v>353</v>
      </c>
      <c r="D248">
        <v>2030</v>
      </c>
      <c r="E248">
        <f t="shared" si="2"/>
        <v>2117.7403846153852</v>
      </c>
      <c r="F248" t="s">
        <v>27</v>
      </c>
      <c r="G248" t="s">
        <v>283</v>
      </c>
    </row>
    <row r="249" spans="1:7" x14ac:dyDescent="0.45">
      <c r="A249" t="s">
        <v>23</v>
      </c>
      <c r="B249" t="s">
        <v>201</v>
      </c>
      <c r="C249" t="s">
        <v>353</v>
      </c>
      <c r="D249">
        <v>2040</v>
      </c>
      <c r="E249">
        <f t="shared" si="2"/>
        <v>2381.0508241758243</v>
      </c>
      <c r="F249" t="s">
        <v>27</v>
      </c>
      <c r="G249" t="s">
        <v>283</v>
      </c>
    </row>
    <row r="250" spans="1:7" x14ac:dyDescent="0.45">
      <c r="A250" t="s">
        <v>23</v>
      </c>
      <c r="B250" t="s">
        <v>201</v>
      </c>
      <c r="C250" t="s">
        <v>353</v>
      </c>
      <c r="D250">
        <v>2050</v>
      </c>
      <c r="E250">
        <f t="shared" si="2"/>
        <v>2573.6080586080589</v>
      </c>
      <c r="F250" t="s">
        <v>27</v>
      </c>
      <c r="G250" t="s">
        <v>283</v>
      </c>
    </row>
    <row r="251" spans="1:7" x14ac:dyDescent="0.45">
      <c r="A251" t="s">
        <v>23</v>
      </c>
      <c r="B251" t="s">
        <v>202</v>
      </c>
      <c r="C251" t="s">
        <v>353</v>
      </c>
      <c r="D251">
        <v>2030</v>
      </c>
      <c r="E251">
        <f t="shared" si="2"/>
        <v>1327.1359890109891</v>
      </c>
      <c r="F251" t="s">
        <v>27</v>
      </c>
      <c r="G251" t="s">
        <v>283</v>
      </c>
    </row>
    <row r="252" spans="1:7" x14ac:dyDescent="0.45">
      <c r="A252" t="s">
        <v>23</v>
      </c>
      <c r="B252" t="s">
        <v>202</v>
      </c>
      <c r="C252" t="s">
        <v>353</v>
      </c>
      <c r="D252">
        <v>2040</v>
      </c>
      <c r="E252">
        <f t="shared" si="2"/>
        <v>1518.1684981684984</v>
      </c>
      <c r="F252" t="s">
        <v>27</v>
      </c>
      <c r="G252" t="s">
        <v>283</v>
      </c>
    </row>
    <row r="253" spans="1:7" x14ac:dyDescent="0.45">
      <c r="A253" t="s">
        <v>23</v>
      </c>
      <c r="B253" t="s">
        <v>202</v>
      </c>
      <c r="C253" t="s">
        <v>353</v>
      </c>
      <c r="D253">
        <v>2050</v>
      </c>
      <c r="E253">
        <f t="shared" si="2"/>
        <v>1588.7065018315018</v>
      </c>
      <c r="F253" t="s">
        <v>27</v>
      </c>
      <c r="G253" t="s">
        <v>283</v>
      </c>
    </row>
    <row r="254" spans="1:7" x14ac:dyDescent="0.45">
      <c r="A254" t="s">
        <v>23</v>
      </c>
      <c r="B254" t="s">
        <v>203</v>
      </c>
      <c r="C254" t="s">
        <v>353</v>
      </c>
      <c r="D254">
        <v>2030</v>
      </c>
      <c r="E254">
        <f>E56</f>
        <v>166.42811355311355</v>
      </c>
      <c r="F254" t="s">
        <v>27</v>
      </c>
      <c r="G254" t="s">
        <v>280</v>
      </c>
    </row>
    <row r="255" spans="1:7" x14ac:dyDescent="0.45">
      <c r="A255" t="s">
        <v>23</v>
      </c>
      <c r="B255" t="s">
        <v>203</v>
      </c>
      <c r="C255" t="s">
        <v>353</v>
      </c>
      <c r="D255">
        <v>2040</v>
      </c>
      <c r="E255">
        <f>E57</f>
        <v>183.77518315018315</v>
      </c>
      <c r="F255" t="s">
        <v>27</v>
      </c>
      <c r="G255" t="s">
        <v>280</v>
      </c>
    </row>
    <row r="256" spans="1:7" x14ac:dyDescent="0.45">
      <c r="A256" t="s">
        <v>23</v>
      </c>
      <c r="B256" t="s">
        <v>203</v>
      </c>
      <c r="C256" t="s">
        <v>353</v>
      </c>
      <c r="D256">
        <v>2050</v>
      </c>
      <c r="E256">
        <f>E58</f>
        <v>193.43727106227112</v>
      </c>
      <c r="F256" t="s">
        <v>27</v>
      </c>
      <c r="G256" t="s">
        <v>280</v>
      </c>
    </row>
    <row r="257" spans="1:7" x14ac:dyDescent="0.45">
      <c r="A257" t="s">
        <v>23</v>
      </c>
      <c r="B257" t="s">
        <v>204</v>
      </c>
      <c r="C257" t="s">
        <v>353</v>
      </c>
      <c r="D257">
        <v>2030</v>
      </c>
      <c r="E257">
        <f t="shared" si="2"/>
        <v>249.64217032967028</v>
      </c>
      <c r="F257" t="s">
        <v>27</v>
      </c>
      <c r="G257" t="s">
        <v>280</v>
      </c>
    </row>
    <row r="258" spans="1:7" x14ac:dyDescent="0.45">
      <c r="A258" t="s">
        <v>23</v>
      </c>
      <c r="B258" t="s">
        <v>204</v>
      </c>
      <c r="C258" t="s">
        <v>353</v>
      </c>
      <c r="D258">
        <v>2040</v>
      </c>
      <c r="E258">
        <f t="shared" si="2"/>
        <v>275.66277472527469</v>
      </c>
      <c r="F258" t="s">
        <v>27</v>
      </c>
      <c r="G258" t="s">
        <v>280</v>
      </c>
    </row>
    <row r="259" spans="1:7" x14ac:dyDescent="0.45">
      <c r="A259" t="s">
        <v>23</v>
      </c>
      <c r="B259" t="s">
        <v>204</v>
      </c>
      <c r="C259" t="s">
        <v>353</v>
      </c>
      <c r="D259">
        <v>2050</v>
      </c>
      <c r="E259">
        <f t="shared" si="2"/>
        <v>290.15590659340666</v>
      </c>
      <c r="F259" t="s">
        <v>27</v>
      </c>
      <c r="G259" t="s">
        <v>280</v>
      </c>
    </row>
    <row r="260" spans="1:7" x14ac:dyDescent="0.45">
      <c r="A260" t="s">
        <v>23</v>
      </c>
      <c r="B260" t="s">
        <v>205</v>
      </c>
      <c r="C260" t="s">
        <v>353</v>
      </c>
      <c r="D260">
        <v>2030</v>
      </c>
      <c r="E260">
        <f t="shared" si="2"/>
        <v>176.84867216117217</v>
      </c>
      <c r="F260" t="s">
        <v>27</v>
      </c>
      <c r="G260" t="s">
        <v>281</v>
      </c>
    </row>
    <row r="261" spans="1:7" x14ac:dyDescent="0.45">
      <c r="A261" t="s">
        <v>23</v>
      </c>
      <c r="B261" t="s">
        <v>205</v>
      </c>
      <c r="C261" t="s">
        <v>353</v>
      </c>
      <c r="D261">
        <v>2040</v>
      </c>
      <c r="E261">
        <f t="shared" si="2"/>
        <v>193.05288461538464</v>
      </c>
      <c r="F261" t="s">
        <v>27</v>
      </c>
      <c r="G261" t="s">
        <v>281</v>
      </c>
    </row>
    <row r="262" spans="1:7" x14ac:dyDescent="0.45">
      <c r="A262" t="s">
        <v>23</v>
      </c>
      <c r="B262" t="s">
        <v>205</v>
      </c>
      <c r="C262" t="s">
        <v>353</v>
      </c>
      <c r="D262">
        <v>2050</v>
      </c>
      <c r="E262">
        <f t="shared" si="2"/>
        <v>203.4065934065934</v>
      </c>
      <c r="F262" t="s">
        <v>27</v>
      </c>
      <c r="G262" t="s">
        <v>281</v>
      </c>
    </row>
    <row r="263" spans="1:7" x14ac:dyDescent="0.45">
      <c r="A263" t="s">
        <v>23</v>
      </c>
      <c r="B263" t="s">
        <v>206</v>
      </c>
      <c r="C263" t="s">
        <v>353</v>
      </c>
      <c r="D263">
        <v>2030</v>
      </c>
      <c r="E263">
        <f>E65</f>
        <v>88.424336080586087</v>
      </c>
      <c r="F263" t="s">
        <v>27</v>
      </c>
      <c r="G263" t="s">
        <v>281</v>
      </c>
    </row>
    <row r="264" spans="1:7" x14ac:dyDescent="0.45">
      <c r="A264" t="s">
        <v>23</v>
      </c>
      <c r="B264" t="s">
        <v>206</v>
      </c>
      <c r="C264" t="s">
        <v>353</v>
      </c>
      <c r="D264">
        <v>2040</v>
      </c>
      <c r="E264">
        <f>E66</f>
        <v>96.526442307692321</v>
      </c>
      <c r="F264" t="s">
        <v>27</v>
      </c>
      <c r="G264" t="s">
        <v>281</v>
      </c>
    </row>
    <row r="265" spans="1:7" x14ac:dyDescent="0.45">
      <c r="A265" t="s">
        <v>23</v>
      </c>
      <c r="B265" t="s">
        <v>206</v>
      </c>
      <c r="C265" t="s">
        <v>353</v>
      </c>
      <c r="D265">
        <v>2050</v>
      </c>
      <c r="E265">
        <f>E67</f>
        <v>101.7032967032967</v>
      </c>
      <c r="F265" t="s">
        <v>27</v>
      </c>
      <c r="G265" t="s">
        <v>281</v>
      </c>
    </row>
    <row r="266" spans="1:7" x14ac:dyDescent="0.45">
      <c r="A266" t="s">
        <v>23</v>
      </c>
      <c r="B266" t="s">
        <v>207</v>
      </c>
      <c r="C266" t="s">
        <v>353</v>
      </c>
      <c r="D266">
        <v>2030</v>
      </c>
      <c r="E266">
        <f t="shared" ref="E266:E298" si="3">E68*2</f>
        <v>249.64217032967028</v>
      </c>
      <c r="F266" t="s">
        <v>27</v>
      </c>
      <c r="G266" t="s">
        <v>280</v>
      </c>
    </row>
    <row r="267" spans="1:7" x14ac:dyDescent="0.45">
      <c r="A267" t="s">
        <v>23</v>
      </c>
      <c r="B267" t="s">
        <v>207</v>
      </c>
      <c r="C267" t="s">
        <v>353</v>
      </c>
      <c r="D267">
        <v>2040</v>
      </c>
      <c r="E267">
        <f t="shared" si="3"/>
        <v>275.66277472527469</v>
      </c>
      <c r="F267" t="s">
        <v>27</v>
      </c>
      <c r="G267" t="s">
        <v>280</v>
      </c>
    </row>
    <row r="268" spans="1:7" x14ac:dyDescent="0.45">
      <c r="A268" t="s">
        <v>23</v>
      </c>
      <c r="B268" t="s">
        <v>207</v>
      </c>
      <c r="C268" t="s">
        <v>353</v>
      </c>
      <c r="D268">
        <v>2050</v>
      </c>
      <c r="E268">
        <f t="shared" si="3"/>
        <v>290.15590659340666</v>
      </c>
      <c r="F268" t="s">
        <v>27</v>
      </c>
      <c r="G268" t="s">
        <v>280</v>
      </c>
    </row>
    <row r="269" spans="1:7" x14ac:dyDescent="0.45">
      <c r="A269" t="s">
        <v>23</v>
      </c>
      <c r="B269" t="s">
        <v>208</v>
      </c>
      <c r="C269" t="s">
        <v>353</v>
      </c>
      <c r="D269">
        <v>2030</v>
      </c>
      <c r="E269">
        <f>E71</f>
        <v>720.79945054945051</v>
      </c>
      <c r="F269" t="s">
        <v>27</v>
      </c>
      <c r="G269" t="s">
        <v>282</v>
      </c>
    </row>
    <row r="270" spans="1:7" x14ac:dyDescent="0.45">
      <c r="A270" t="s">
        <v>23</v>
      </c>
      <c r="B270" t="s">
        <v>208</v>
      </c>
      <c r="C270" t="s">
        <v>353</v>
      </c>
      <c r="D270">
        <v>2040</v>
      </c>
      <c r="E270">
        <f>E72</f>
        <v>636.63598901098896</v>
      </c>
      <c r="F270" t="s">
        <v>27</v>
      </c>
      <c r="G270" t="s">
        <v>282</v>
      </c>
    </row>
    <row r="271" spans="1:7" x14ac:dyDescent="0.45">
      <c r="A271" t="s">
        <v>23</v>
      </c>
      <c r="B271" t="s">
        <v>208</v>
      </c>
      <c r="C271" t="s">
        <v>353</v>
      </c>
      <c r="D271">
        <v>2050</v>
      </c>
      <c r="E271">
        <f>E73</f>
        <v>225.36881868131866</v>
      </c>
      <c r="F271" t="s">
        <v>27</v>
      </c>
      <c r="G271" t="s">
        <v>282</v>
      </c>
    </row>
    <row r="272" spans="1:7" x14ac:dyDescent="0.45">
      <c r="A272" t="s">
        <v>23</v>
      </c>
      <c r="B272" t="s">
        <v>209</v>
      </c>
      <c r="C272" t="s">
        <v>353</v>
      </c>
      <c r="D272">
        <v>2030</v>
      </c>
      <c r="E272">
        <f t="shared" si="3"/>
        <v>480.53296703296701</v>
      </c>
      <c r="F272" t="s">
        <v>27</v>
      </c>
      <c r="G272" t="s">
        <v>282</v>
      </c>
    </row>
    <row r="273" spans="1:7" x14ac:dyDescent="0.45">
      <c r="A273" t="s">
        <v>23</v>
      </c>
      <c r="B273" t="s">
        <v>209</v>
      </c>
      <c r="C273" t="s">
        <v>353</v>
      </c>
      <c r="D273">
        <v>2040</v>
      </c>
      <c r="E273">
        <f t="shared" si="3"/>
        <v>424.4239926739927</v>
      </c>
      <c r="F273" t="s">
        <v>27</v>
      </c>
      <c r="G273" t="s">
        <v>282</v>
      </c>
    </row>
    <row r="274" spans="1:7" x14ac:dyDescent="0.45">
      <c r="A274" t="s">
        <v>23</v>
      </c>
      <c r="B274" t="s">
        <v>209</v>
      </c>
      <c r="C274" t="s">
        <v>353</v>
      </c>
      <c r="D274">
        <v>2050</v>
      </c>
      <c r="E274">
        <f t="shared" si="3"/>
        <v>150.24587912087912</v>
      </c>
      <c r="F274" t="s">
        <v>27</v>
      </c>
      <c r="G274" t="s">
        <v>282</v>
      </c>
    </row>
    <row r="275" spans="1:7" x14ac:dyDescent="0.45">
      <c r="A275" t="s">
        <v>23</v>
      </c>
      <c r="B275" t="s">
        <v>210</v>
      </c>
      <c r="C275" t="s">
        <v>353</v>
      </c>
      <c r="D275">
        <v>2030</v>
      </c>
      <c r="E275">
        <f t="shared" si="3"/>
        <v>222.86286630036631</v>
      </c>
      <c r="F275" t="s">
        <v>27</v>
      </c>
      <c r="G275" t="s">
        <v>281</v>
      </c>
    </row>
    <row r="276" spans="1:7" x14ac:dyDescent="0.45">
      <c r="A276" t="s">
        <v>23</v>
      </c>
      <c r="B276" t="s">
        <v>210</v>
      </c>
      <c r="C276" t="s">
        <v>353</v>
      </c>
      <c r="D276">
        <v>2040</v>
      </c>
      <c r="E276">
        <f t="shared" si="3"/>
        <v>252.56868131868131</v>
      </c>
      <c r="F276" t="s">
        <v>27</v>
      </c>
      <c r="G276" t="s">
        <v>281</v>
      </c>
    </row>
    <row r="277" spans="1:7" x14ac:dyDescent="0.45">
      <c r="A277" t="s">
        <v>23</v>
      </c>
      <c r="B277" t="s">
        <v>210</v>
      </c>
      <c r="C277" t="s">
        <v>353</v>
      </c>
      <c r="D277">
        <v>2050</v>
      </c>
      <c r="E277">
        <f t="shared" si="3"/>
        <v>78.358516483516482</v>
      </c>
      <c r="F277" t="s">
        <v>27</v>
      </c>
      <c r="G277" t="s">
        <v>281</v>
      </c>
    </row>
    <row r="278" spans="1:7" x14ac:dyDescent="0.45">
      <c r="A278" t="s">
        <v>23</v>
      </c>
      <c r="B278" t="s">
        <v>211</v>
      </c>
      <c r="C278" t="s">
        <v>353</v>
      </c>
      <c r="D278">
        <v>2030</v>
      </c>
      <c r="E278">
        <f>E80</f>
        <v>111.43143315018315</v>
      </c>
      <c r="F278" t="s">
        <v>27</v>
      </c>
      <c r="G278" t="s">
        <v>281</v>
      </c>
    </row>
    <row r="279" spans="1:7" x14ac:dyDescent="0.45">
      <c r="A279" t="s">
        <v>23</v>
      </c>
      <c r="B279" t="s">
        <v>211</v>
      </c>
      <c r="C279" t="s">
        <v>353</v>
      </c>
      <c r="D279">
        <v>2040</v>
      </c>
      <c r="E279">
        <f>E81</f>
        <v>126.28434065934066</v>
      </c>
      <c r="F279" t="s">
        <v>27</v>
      </c>
      <c r="G279" t="s">
        <v>281</v>
      </c>
    </row>
    <row r="280" spans="1:7" x14ac:dyDescent="0.45">
      <c r="A280" t="s">
        <v>23</v>
      </c>
      <c r="B280" t="s">
        <v>211</v>
      </c>
      <c r="C280" t="s">
        <v>353</v>
      </c>
      <c r="D280">
        <v>2050</v>
      </c>
      <c r="E280">
        <f>E82</f>
        <v>39.179258241758241</v>
      </c>
      <c r="F280" t="s">
        <v>27</v>
      </c>
      <c r="G280" t="s">
        <v>281</v>
      </c>
    </row>
    <row r="281" spans="1:7" x14ac:dyDescent="0.45">
      <c r="A281" t="s">
        <v>23</v>
      </c>
      <c r="B281" t="s">
        <v>212</v>
      </c>
      <c r="C281" t="s">
        <v>353</v>
      </c>
      <c r="D281">
        <v>2030</v>
      </c>
      <c r="E281">
        <f t="shared" si="3"/>
        <v>480.53296703296701</v>
      </c>
      <c r="F281" t="s">
        <v>27</v>
      </c>
      <c r="G281" t="s">
        <v>282</v>
      </c>
    </row>
    <row r="282" spans="1:7" x14ac:dyDescent="0.45">
      <c r="A282" t="s">
        <v>23</v>
      </c>
      <c r="B282" t="s">
        <v>212</v>
      </c>
      <c r="C282" t="s">
        <v>353</v>
      </c>
      <c r="D282">
        <v>2040</v>
      </c>
      <c r="E282">
        <f t="shared" si="3"/>
        <v>424.4239926739927</v>
      </c>
      <c r="F282" t="s">
        <v>27</v>
      </c>
      <c r="G282" t="s">
        <v>282</v>
      </c>
    </row>
    <row r="283" spans="1:7" x14ac:dyDescent="0.45">
      <c r="A283" t="s">
        <v>23</v>
      </c>
      <c r="B283" t="s">
        <v>212</v>
      </c>
      <c r="C283" t="s">
        <v>353</v>
      </c>
      <c r="D283">
        <v>2050</v>
      </c>
      <c r="E283">
        <f t="shared" si="3"/>
        <v>150.24587912087912</v>
      </c>
      <c r="F283" t="s">
        <v>27</v>
      </c>
      <c r="G283" t="s">
        <v>282</v>
      </c>
    </row>
    <row r="284" spans="1:7" x14ac:dyDescent="0.45">
      <c r="A284" t="s">
        <v>23</v>
      </c>
      <c r="B284" t="s">
        <v>215</v>
      </c>
      <c r="C284" t="s">
        <v>353</v>
      </c>
      <c r="D284">
        <v>2030</v>
      </c>
      <c r="E284">
        <f>E86</f>
        <v>547.72344322344327</v>
      </c>
      <c r="F284" t="s">
        <v>27</v>
      </c>
      <c r="G284" t="s">
        <v>280</v>
      </c>
    </row>
    <row r="285" spans="1:7" x14ac:dyDescent="0.45">
      <c r="A285" t="s">
        <v>23</v>
      </c>
      <c r="B285" t="s">
        <v>215</v>
      </c>
      <c r="C285" t="s">
        <v>353</v>
      </c>
      <c r="D285">
        <v>2040</v>
      </c>
      <c r="E285">
        <f>E87</f>
        <v>44.63644688644689</v>
      </c>
      <c r="F285" t="s">
        <v>27</v>
      </c>
      <c r="G285" t="s">
        <v>280</v>
      </c>
    </row>
    <row r="286" spans="1:7" x14ac:dyDescent="0.45">
      <c r="A286" t="s">
        <v>23</v>
      </c>
      <c r="B286" t="s">
        <v>215</v>
      </c>
      <c r="C286" t="s">
        <v>353</v>
      </c>
      <c r="D286">
        <v>2050</v>
      </c>
      <c r="E286">
        <f>E88</f>
        <v>5.8878205128205146</v>
      </c>
      <c r="F286" t="s">
        <v>27</v>
      </c>
      <c r="G286" t="s">
        <v>280</v>
      </c>
    </row>
    <row r="287" spans="1:7" x14ac:dyDescent="0.45">
      <c r="A287" t="s">
        <v>23</v>
      </c>
      <c r="B287" t="s">
        <v>216</v>
      </c>
      <c r="C287" t="s">
        <v>353</v>
      </c>
      <c r="D287">
        <v>2030</v>
      </c>
      <c r="E287">
        <f t="shared" si="3"/>
        <v>821.58516483516485</v>
      </c>
      <c r="F287" t="s">
        <v>27</v>
      </c>
      <c r="G287" t="s">
        <v>280</v>
      </c>
    </row>
    <row r="288" spans="1:7" x14ac:dyDescent="0.45">
      <c r="A288" t="s">
        <v>23</v>
      </c>
      <c r="B288" t="s">
        <v>216</v>
      </c>
      <c r="C288" t="s">
        <v>353</v>
      </c>
      <c r="D288">
        <v>2040</v>
      </c>
      <c r="E288">
        <f t="shared" si="3"/>
        <v>66.954670329670336</v>
      </c>
      <c r="F288" t="s">
        <v>27</v>
      </c>
      <c r="G288" t="s">
        <v>280</v>
      </c>
    </row>
    <row r="289" spans="1:11" x14ac:dyDescent="0.45">
      <c r="A289" t="s">
        <v>23</v>
      </c>
      <c r="B289" t="s">
        <v>216</v>
      </c>
      <c r="C289" t="s">
        <v>353</v>
      </c>
      <c r="D289">
        <v>2050</v>
      </c>
      <c r="E289">
        <f t="shared" si="3"/>
        <v>8.8317307692307701</v>
      </c>
      <c r="F289" t="s">
        <v>27</v>
      </c>
      <c r="G289" t="s">
        <v>280</v>
      </c>
    </row>
    <row r="290" spans="1:11" x14ac:dyDescent="0.45">
      <c r="A290" t="s">
        <v>23</v>
      </c>
      <c r="B290" t="s">
        <v>217</v>
      </c>
      <c r="C290" t="s">
        <v>353</v>
      </c>
      <c r="D290">
        <v>2030</v>
      </c>
      <c r="E290">
        <f t="shared" si="3"/>
        <v>403.55998168498166</v>
      </c>
      <c r="F290" t="s">
        <v>27</v>
      </c>
      <c r="G290" t="s">
        <v>281</v>
      </c>
    </row>
    <row r="291" spans="1:11" x14ac:dyDescent="0.45">
      <c r="A291" t="s">
        <v>23</v>
      </c>
      <c r="B291" t="s">
        <v>217</v>
      </c>
      <c r="C291" t="s">
        <v>353</v>
      </c>
      <c r="D291">
        <v>2040</v>
      </c>
      <c r="E291">
        <f t="shared" si="3"/>
        <v>78.344780219780205</v>
      </c>
      <c r="F291" t="s">
        <v>27</v>
      </c>
      <c r="G291" t="s">
        <v>281</v>
      </c>
    </row>
    <row r="292" spans="1:11" x14ac:dyDescent="0.45">
      <c r="A292" t="s">
        <v>23</v>
      </c>
      <c r="B292" t="s">
        <v>217</v>
      </c>
      <c r="C292" t="s">
        <v>353</v>
      </c>
      <c r="D292">
        <v>2050</v>
      </c>
      <c r="E292">
        <f t="shared" si="3"/>
        <v>4.9473443223443212</v>
      </c>
      <c r="F292" t="s">
        <v>27</v>
      </c>
      <c r="G292" t="s">
        <v>281</v>
      </c>
    </row>
    <row r="293" spans="1:11" x14ac:dyDescent="0.45">
      <c r="A293" t="s">
        <v>23</v>
      </c>
      <c r="B293" t="s">
        <v>218</v>
      </c>
      <c r="C293" t="s">
        <v>353</v>
      </c>
      <c r="D293">
        <v>2030</v>
      </c>
      <c r="E293">
        <f>E95</f>
        <v>201.77999084249083</v>
      </c>
      <c r="F293" t="s">
        <v>27</v>
      </c>
      <c r="G293" t="s">
        <v>281</v>
      </c>
    </row>
    <row r="294" spans="1:11" x14ac:dyDescent="0.45">
      <c r="A294" t="s">
        <v>23</v>
      </c>
      <c r="B294" t="s">
        <v>218</v>
      </c>
      <c r="C294" t="s">
        <v>353</v>
      </c>
      <c r="D294">
        <v>2040</v>
      </c>
      <c r="E294">
        <f>E96</f>
        <v>39.172390109890102</v>
      </c>
      <c r="F294" t="s">
        <v>27</v>
      </c>
      <c r="G294" t="s">
        <v>281</v>
      </c>
    </row>
    <row r="295" spans="1:11" x14ac:dyDescent="0.45">
      <c r="A295" t="s">
        <v>23</v>
      </c>
      <c r="B295" t="s">
        <v>218</v>
      </c>
      <c r="C295" t="s">
        <v>353</v>
      </c>
      <c r="D295">
        <v>2050</v>
      </c>
      <c r="E295">
        <f>E97</f>
        <v>2.4736721611721606</v>
      </c>
      <c r="F295" t="s">
        <v>27</v>
      </c>
      <c r="G295" t="s">
        <v>281</v>
      </c>
    </row>
    <row r="296" spans="1:11" x14ac:dyDescent="0.45">
      <c r="A296" t="s">
        <v>23</v>
      </c>
      <c r="B296" t="s">
        <v>219</v>
      </c>
      <c r="C296" t="s">
        <v>353</v>
      </c>
      <c r="D296">
        <v>2030</v>
      </c>
      <c r="E296">
        <f t="shared" si="3"/>
        <v>821.58516483516485</v>
      </c>
      <c r="F296" t="s">
        <v>27</v>
      </c>
      <c r="G296" t="s">
        <v>280</v>
      </c>
    </row>
    <row r="297" spans="1:11" x14ac:dyDescent="0.45">
      <c r="A297" t="s">
        <v>23</v>
      </c>
      <c r="B297" t="s">
        <v>219</v>
      </c>
      <c r="C297" t="s">
        <v>353</v>
      </c>
      <c r="D297">
        <v>2040</v>
      </c>
      <c r="E297">
        <f t="shared" si="3"/>
        <v>66.954670329670336</v>
      </c>
      <c r="F297" t="s">
        <v>27</v>
      </c>
      <c r="G297" t="s">
        <v>280</v>
      </c>
    </row>
    <row r="298" spans="1:11" x14ac:dyDescent="0.45">
      <c r="A298" t="s">
        <v>23</v>
      </c>
      <c r="B298" t="s">
        <v>219</v>
      </c>
      <c r="C298" t="s">
        <v>353</v>
      </c>
      <c r="D298">
        <v>2050</v>
      </c>
      <c r="E298">
        <f t="shared" si="3"/>
        <v>8.8317307692307701</v>
      </c>
      <c r="F298" t="s">
        <v>27</v>
      </c>
      <c r="G298" t="s">
        <v>280</v>
      </c>
    </row>
    <row r="299" spans="1:11" x14ac:dyDescent="0.45">
      <c r="A299" t="s">
        <v>23</v>
      </c>
      <c r="B299" t="s">
        <v>188</v>
      </c>
      <c r="C299" t="s">
        <v>354</v>
      </c>
      <c r="D299">
        <v>2030</v>
      </c>
      <c r="E299">
        <f>E2*$K$300</f>
        <v>962.60073260073239</v>
      </c>
      <c r="F299" t="s">
        <v>27</v>
      </c>
      <c r="G299" t="s">
        <v>283</v>
      </c>
    </row>
    <row r="300" spans="1:11" x14ac:dyDescent="0.45">
      <c r="A300" t="s">
        <v>23</v>
      </c>
      <c r="B300" t="s">
        <v>188</v>
      </c>
      <c r="C300" t="s">
        <v>354</v>
      </c>
      <c r="D300">
        <v>2040</v>
      </c>
      <c r="E300">
        <f t="shared" ref="E300:E352" si="4">E3*$K$300</f>
        <v>1048.8369963369964</v>
      </c>
      <c r="F300" t="s">
        <v>27</v>
      </c>
      <c r="G300" t="s">
        <v>283</v>
      </c>
      <c r="J300" t="s">
        <v>362</v>
      </c>
      <c r="K300">
        <v>4</v>
      </c>
    </row>
    <row r="301" spans="1:11" x14ac:dyDescent="0.45">
      <c r="A301" t="s">
        <v>23</v>
      </c>
      <c r="B301" t="s">
        <v>188</v>
      </c>
      <c r="C301" t="s">
        <v>354</v>
      </c>
      <c r="D301">
        <v>2050</v>
      </c>
      <c r="E301">
        <f t="shared" si="4"/>
        <v>1114.96336996337</v>
      </c>
      <c r="F301" t="s">
        <v>27</v>
      </c>
      <c r="G301" t="s">
        <v>283</v>
      </c>
    </row>
    <row r="302" spans="1:11" x14ac:dyDescent="0.45">
      <c r="A302" t="s">
        <v>23</v>
      </c>
      <c r="B302" t="s">
        <v>187</v>
      </c>
      <c r="C302" t="s">
        <v>354</v>
      </c>
      <c r="D302">
        <v>2030</v>
      </c>
      <c r="E302">
        <f t="shared" si="4"/>
        <v>1971.7078754578754</v>
      </c>
      <c r="F302" t="s">
        <v>27</v>
      </c>
      <c r="G302" t="s">
        <v>283</v>
      </c>
    </row>
    <row r="303" spans="1:11" x14ac:dyDescent="0.45">
      <c r="A303" t="s">
        <v>23</v>
      </c>
      <c r="B303" t="s">
        <v>187</v>
      </c>
      <c r="C303" t="s">
        <v>354</v>
      </c>
      <c r="D303">
        <v>2040</v>
      </c>
      <c r="E303">
        <f t="shared" si="4"/>
        <v>2166.602564102564</v>
      </c>
      <c r="F303" t="s">
        <v>27</v>
      </c>
      <c r="G303" t="s">
        <v>283</v>
      </c>
    </row>
    <row r="304" spans="1:11" x14ac:dyDescent="0.45">
      <c r="A304" t="s">
        <v>23</v>
      </c>
      <c r="B304" t="s">
        <v>187</v>
      </c>
      <c r="C304" t="s">
        <v>354</v>
      </c>
      <c r="D304">
        <v>2050</v>
      </c>
      <c r="E304">
        <f t="shared" si="4"/>
        <v>2290.1327838827842</v>
      </c>
      <c r="F304" t="s">
        <v>27</v>
      </c>
      <c r="G304" t="s">
        <v>283</v>
      </c>
    </row>
    <row r="305" spans="1:7" x14ac:dyDescent="0.45">
      <c r="A305" t="s">
        <v>23</v>
      </c>
      <c r="B305" t="s">
        <v>213</v>
      </c>
      <c r="C305" t="s">
        <v>354</v>
      </c>
      <c r="D305">
        <v>2030</v>
      </c>
      <c r="E305">
        <f t="shared" si="4"/>
        <v>5969.9542124542122</v>
      </c>
      <c r="F305" t="s">
        <v>27</v>
      </c>
      <c r="G305" t="s">
        <v>283</v>
      </c>
    </row>
    <row r="306" spans="1:7" x14ac:dyDescent="0.45">
      <c r="A306" t="s">
        <v>23</v>
      </c>
      <c r="B306" t="s">
        <v>213</v>
      </c>
      <c r="C306" t="s">
        <v>354</v>
      </c>
      <c r="D306">
        <v>2040</v>
      </c>
      <c r="E306">
        <f t="shared" si="4"/>
        <v>6238.003663003663</v>
      </c>
      <c r="F306" t="s">
        <v>27</v>
      </c>
      <c r="G306" t="s">
        <v>283</v>
      </c>
    </row>
    <row r="307" spans="1:7" x14ac:dyDescent="0.45">
      <c r="A307" t="s">
        <v>23</v>
      </c>
      <c r="B307" t="s">
        <v>213</v>
      </c>
      <c r="C307" t="s">
        <v>354</v>
      </c>
      <c r="D307">
        <v>2050</v>
      </c>
      <c r="E307">
        <f t="shared" si="4"/>
        <v>4705.5448717948721</v>
      </c>
      <c r="F307" t="s">
        <v>27</v>
      </c>
      <c r="G307" t="s">
        <v>283</v>
      </c>
    </row>
    <row r="308" spans="1:7" x14ac:dyDescent="0.45">
      <c r="A308" t="s">
        <v>23</v>
      </c>
      <c r="B308" t="s">
        <v>214</v>
      </c>
      <c r="C308" t="s">
        <v>354</v>
      </c>
      <c r="D308">
        <v>2030</v>
      </c>
      <c r="E308">
        <f t="shared" si="4"/>
        <v>956.02564102564088</v>
      </c>
      <c r="F308" t="s">
        <v>27</v>
      </c>
      <c r="G308" t="s">
        <v>283</v>
      </c>
    </row>
    <row r="309" spans="1:7" x14ac:dyDescent="0.45">
      <c r="A309" t="s">
        <v>23</v>
      </c>
      <c r="B309" t="s">
        <v>214</v>
      </c>
      <c r="C309" t="s">
        <v>354</v>
      </c>
      <c r="D309">
        <v>2040</v>
      </c>
      <c r="E309">
        <f t="shared" si="4"/>
        <v>957.20695970695976</v>
      </c>
      <c r="F309" t="s">
        <v>27</v>
      </c>
      <c r="G309" t="s">
        <v>283</v>
      </c>
    </row>
    <row r="310" spans="1:7" x14ac:dyDescent="0.45">
      <c r="A310" t="s">
        <v>23</v>
      </c>
      <c r="B310" t="s">
        <v>214</v>
      </c>
      <c r="C310" t="s">
        <v>354</v>
      </c>
      <c r="D310">
        <v>2050</v>
      </c>
      <c r="E310">
        <f t="shared" si="4"/>
        <v>711.40109890109886</v>
      </c>
      <c r="F310" t="s">
        <v>27</v>
      </c>
      <c r="G310" t="s">
        <v>283</v>
      </c>
    </row>
    <row r="311" spans="1:7" x14ac:dyDescent="0.45">
      <c r="A311" t="s">
        <v>23</v>
      </c>
      <c r="B311" t="s">
        <v>193</v>
      </c>
      <c r="C311" t="s">
        <v>354</v>
      </c>
      <c r="D311">
        <v>2030</v>
      </c>
      <c r="E311">
        <f t="shared" si="4"/>
        <v>3835.2197802197802</v>
      </c>
      <c r="F311" t="s">
        <v>27</v>
      </c>
      <c r="G311" t="s">
        <v>283</v>
      </c>
    </row>
    <row r="312" spans="1:7" x14ac:dyDescent="0.45">
      <c r="A312" t="s">
        <v>23</v>
      </c>
      <c r="B312" t="s">
        <v>193</v>
      </c>
      <c r="C312" t="s">
        <v>354</v>
      </c>
      <c r="D312">
        <v>2040</v>
      </c>
      <c r="E312">
        <f t="shared" si="4"/>
        <v>351.19505494505495</v>
      </c>
      <c r="F312" t="s">
        <v>27</v>
      </c>
      <c r="G312" t="s">
        <v>283</v>
      </c>
    </row>
    <row r="313" spans="1:7" x14ac:dyDescent="0.45">
      <c r="A313" t="s">
        <v>23</v>
      </c>
      <c r="B313" t="s">
        <v>193</v>
      </c>
      <c r="C313" t="s">
        <v>354</v>
      </c>
      <c r="D313">
        <v>2050</v>
      </c>
      <c r="E313">
        <f t="shared" si="4"/>
        <v>16.240842490842489</v>
      </c>
      <c r="F313" t="s">
        <v>27</v>
      </c>
      <c r="G313" t="s">
        <v>283</v>
      </c>
    </row>
    <row r="314" spans="1:7" x14ac:dyDescent="0.45">
      <c r="A314" t="s">
        <v>23</v>
      </c>
      <c r="B314" t="s">
        <v>194</v>
      </c>
      <c r="C314" t="s">
        <v>354</v>
      </c>
      <c r="D314">
        <v>2030</v>
      </c>
      <c r="E314">
        <f t="shared" si="4"/>
        <v>5809.0384615384619</v>
      </c>
      <c r="F314" t="s">
        <v>27</v>
      </c>
      <c r="G314" t="s">
        <v>283</v>
      </c>
    </row>
    <row r="315" spans="1:7" x14ac:dyDescent="0.45">
      <c r="A315" t="s">
        <v>23</v>
      </c>
      <c r="B315" t="s">
        <v>194</v>
      </c>
      <c r="C315" t="s">
        <v>354</v>
      </c>
      <c r="D315">
        <v>2040</v>
      </c>
      <c r="E315">
        <f t="shared" si="4"/>
        <v>525.37545787545787</v>
      </c>
      <c r="F315" t="s">
        <v>27</v>
      </c>
      <c r="G315" t="s">
        <v>283</v>
      </c>
    </row>
    <row r="316" spans="1:7" x14ac:dyDescent="0.45">
      <c r="A316" t="s">
        <v>23</v>
      </c>
      <c r="B316" t="s">
        <v>194</v>
      </c>
      <c r="C316" t="s">
        <v>354</v>
      </c>
      <c r="D316">
        <v>2050</v>
      </c>
      <c r="E316">
        <f t="shared" si="4"/>
        <v>20.906593406593405</v>
      </c>
      <c r="F316" t="s">
        <v>27</v>
      </c>
      <c r="G316" t="s">
        <v>283</v>
      </c>
    </row>
    <row r="317" spans="1:7" x14ac:dyDescent="0.45">
      <c r="A317" t="s">
        <v>23</v>
      </c>
      <c r="B317" t="s">
        <v>189</v>
      </c>
      <c r="C317" t="s">
        <v>354</v>
      </c>
      <c r="D317">
        <v>2030</v>
      </c>
      <c r="E317">
        <f t="shared" si="4"/>
        <v>123.86904761904762</v>
      </c>
      <c r="F317" t="s">
        <v>27</v>
      </c>
      <c r="G317" t="s">
        <v>283</v>
      </c>
    </row>
    <row r="318" spans="1:7" x14ac:dyDescent="0.45">
      <c r="A318" t="s">
        <v>23</v>
      </c>
      <c r="B318" t="s">
        <v>189</v>
      </c>
      <c r="C318" t="s">
        <v>354</v>
      </c>
      <c r="D318">
        <v>2040</v>
      </c>
      <c r="E318">
        <f t="shared" si="4"/>
        <v>89.42307692307692</v>
      </c>
      <c r="F318" t="s">
        <v>27</v>
      </c>
      <c r="G318" t="s">
        <v>283</v>
      </c>
    </row>
    <row r="319" spans="1:7" x14ac:dyDescent="0.45">
      <c r="A319" t="s">
        <v>23</v>
      </c>
      <c r="B319" t="s">
        <v>189</v>
      </c>
      <c r="C319" t="s">
        <v>354</v>
      </c>
      <c r="D319">
        <v>2050</v>
      </c>
      <c r="E319">
        <f t="shared" si="4"/>
        <v>27.316849816849818</v>
      </c>
      <c r="F319" t="s">
        <v>27</v>
      </c>
      <c r="G319" t="s">
        <v>283</v>
      </c>
    </row>
    <row r="320" spans="1:7" x14ac:dyDescent="0.45">
      <c r="A320" t="s">
        <v>23</v>
      </c>
      <c r="B320" t="s">
        <v>190</v>
      </c>
      <c r="C320" t="s">
        <v>354</v>
      </c>
      <c r="D320">
        <v>2030</v>
      </c>
      <c r="E320">
        <f t="shared" si="4"/>
        <v>185.96611721611723</v>
      </c>
      <c r="F320" t="s">
        <v>27</v>
      </c>
      <c r="G320" t="s">
        <v>283</v>
      </c>
    </row>
    <row r="321" spans="1:7" x14ac:dyDescent="0.45">
      <c r="A321" t="s">
        <v>23</v>
      </c>
      <c r="B321" t="s">
        <v>190</v>
      </c>
      <c r="C321" t="s">
        <v>354</v>
      </c>
      <c r="D321">
        <v>2040</v>
      </c>
      <c r="E321">
        <f t="shared" si="4"/>
        <v>140.05494505494505</v>
      </c>
      <c r="F321" t="s">
        <v>27</v>
      </c>
      <c r="G321" t="s">
        <v>283</v>
      </c>
    </row>
    <row r="322" spans="1:7" x14ac:dyDescent="0.45">
      <c r="A322" t="s">
        <v>23</v>
      </c>
      <c r="B322" t="s">
        <v>190</v>
      </c>
      <c r="C322" t="s">
        <v>354</v>
      </c>
      <c r="D322">
        <v>2050</v>
      </c>
      <c r="E322">
        <f t="shared" si="4"/>
        <v>53.424908424908423</v>
      </c>
      <c r="F322" t="s">
        <v>27</v>
      </c>
      <c r="G322" t="s">
        <v>283</v>
      </c>
    </row>
    <row r="323" spans="1:7" x14ac:dyDescent="0.45">
      <c r="A323" t="s">
        <v>23</v>
      </c>
      <c r="B323" t="s">
        <v>191</v>
      </c>
      <c r="C323" t="s">
        <v>354</v>
      </c>
      <c r="D323">
        <v>2030</v>
      </c>
      <c r="E323">
        <f t="shared" si="4"/>
        <v>6620.0045787545787</v>
      </c>
      <c r="F323" t="s">
        <v>27</v>
      </c>
      <c r="G323" t="s">
        <v>283</v>
      </c>
    </row>
    <row r="324" spans="1:7" x14ac:dyDescent="0.45">
      <c r="A324" t="s">
        <v>23</v>
      </c>
      <c r="B324" t="s">
        <v>191</v>
      </c>
      <c r="C324" t="s">
        <v>354</v>
      </c>
      <c r="D324">
        <v>2040</v>
      </c>
      <c r="E324">
        <f t="shared" si="4"/>
        <v>5548.0082417582416</v>
      </c>
      <c r="F324" t="s">
        <v>27</v>
      </c>
      <c r="G324" t="s">
        <v>283</v>
      </c>
    </row>
    <row r="325" spans="1:7" x14ac:dyDescent="0.45">
      <c r="A325" t="s">
        <v>23</v>
      </c>
      <c r="B325" t="s">
        <v>191</v>
      </c>
      <c r="C325" t="s">
        <v>354</v>
      </c>
      <c r="D325">
        <v>2050</v>
      </c>
      <c r="E325">
        <f t="shared" si="4"/>
        <v>6047.413003663004</v>
      </c>
      <c r="F325" t="s">
        <v>27</v>
      </c>
      <c r="G325" t="s">
        <v>283</v>
      </c>
    </row>
    <row r="326" spans="1:7" x14ac:dyDescent="0.45">
      <c r="A326" t="s">
        <v>23</v>
      </c>
      <c r="B326" t="s">
        <v>192</v>
      </c>
      <c r="C326" t="s">
        <v>354</v>
      </c>
      <c r="D326">
        <v>2030</v>
      </c>
      <c r="E326">
        <f t="shared" si="4"/>
        <v>448.31959706959708</v>
      </c>
      <c r="F326" t="s">
        <v>27</v>
      </c>
      <c r="G326" t="s">
        <v>283</v>
      </c>
    </row>
    <row r="327" spans="1:7" x14ac:dyDescent="0.45">
      <c r="A327" t="s">
        <v>23</v>
      </c>
      <c r="B327" t="s">
        <v>192</v>
      </c>
      <c r="C327" t="s">
        <v>354</v>
      </c>
      <c r="D327">
        <v>2040</v>
      </c>
      <c r="E327">
        <f t="shared" si="4"/>
        <v>353.60805860805868</v>
      </c>
      <c r="F327" t="s">
        <v>27</v>
      </c>
      <c r="G327" t="s">
        <v>283</v>
      </c>
    </row>
    <row r="328" spans="1:7" x14ac:dyDescent="0.45">
      <c r="A328" t="s">
        <v>23</v>
      </c>
      <c r="B328" t="s">
        <v>192</v>
      </c>
      <c r="C328" t="s">
        <v>354</v>
      </c>
      <c r="D328">
        <v>2050</v>
      </c>
      <c r="E328">
        <f t="shared" si="4"/>
        <v>317.38553113553121</v>
      </c>
      <c r="F328" t="s">
        <v>27</v>
      </c>
      <c r="G328" t="s">
        <v>283</v>
      </c>
    </row>
    <row r="329" spans="1:7" x14ac:dyDescent="0.45">
      <c r="A329" t="s">
        <v>23</v>
      </c>
      <c r="B329" t="s">
        <v>195</v>
      </c>
      <c r="C329" t="s">
        <v>354</v>
      </c>
      <c r="D329">
        <v>2030</v>
      </c>
      <c r="E329">
        <f t="shared" si="4"/>
        <v>563.20970695970686</v>
      </c>
      <c r="F329" t="s">
        <v>27</v>
      </c>
      <c r="G329" t="s">
        <v>283</v>
      </c>
    </row>
    <row r="330" spans="1:7" x14ac:dyDescent="0.45">
      <c r="A330" t="s">
        <v>23</v>
      </c>
      <c r="B330" t="s">
        <v>195</v>
      </c>
      <c r="C330" t="s">
        <v>354</v>
      </c>
      <c r="D330">
        <v>2040</v>
      </c>
      <c r="E330">
        <f t="shared" si="4"/>
        <v>73.78205128205127</v>
      </c>
      <c r="F330" t="s">
        <v>27</v>
      </c>
      <c r="G330" t="s">
        <v>283</v>
      </c>
    </row>
    <row r="331" spans="1:7" x14ac:dyDescent="0.45">
      <c r="A331" t="s">
        <v>23</v>
      </c>
      <c r="B331" t="s">
        <v>195</v>
      </c>
      <c r="C331" t="s">
        <v>354</v>
      </c>
      <c r="D331">
        <v>2050</v>
      </c>
      <c r="E331">
        <f t="shared" si="4"/>
        <v>8.3379120879120876</v>
      </c>
      <c r="F331" t="s">
        <v>27</v>
      </c>
      <c r="G331" t="s">
        <v>283</v>
      </c>
    </row>
    <row r="332" spans="1:7" x14ac:dyDescent="0.45">
      <c r="A332" t="s">
        <v>23</v>
      </c>
      <c r="B332" t="s">
        <v>196</v>
      </c>
      <c r="C332" t="s">
        <v>354</v>
      </c>
      <c r="D332">
        <v>2030</v>
      </c>
      <c r="E332">
        <f t="shared" si="4"/>
        <v>1373.6309523809525</v>
      </c>
      <c r="F332" t="s">
        <v>27</v>
      </c>
      <c r="G332" t="s">
        <v>283</v>
      </c>
    </row>
    <row r="333" spans="1:7" x14ac:dyDescent="0.45">
      <c r="A333" t="s">
        <v>23</v>
      </c>
      <c r="B333" t="s">
        <v>196</v>
      </c>
      <c r="C333" t="s">
        <v>354</v>
      </c>
      <c r="D333">
        <v>2040</v>
      </c>
      <c r="E333">
        <f t="shared" si="4"/>
        <v>175.38461538461539</v>
      </c>
      <c r="F333" t="s">
        <v>27</v>
      </c>
      <c r="G333" t="s">
        <v>283</v>
      </c>
    </row>
    <row r="334" spans="1:7" x14ac:dyDescent="0.45">
      <c r="A334" t="s">
        <v>23</v>
      </c>
      <c r="B334" t="s">
        <v>196</v>
      </c>
      <c r="C334" t="s">
        <v>354</v>
      </c>
      <c r="D334">
        <v>2050</v>
      </c>
      <c r="E334">
        <f t="shared" si="4"/>
        <v>17.65567765567766</v>
      </c>
      <c r="F334" t="s">
        <v>27</v>
      </c>
      <c r="G334" t="s">
        <v>283</v>
      </c>
    </row>
    <row r="335" spans="1:7" x14ac:dyDescent="0.45">
      <c r="A335" t="s">
        <v>23</v>
      </c>
      <c r="B335" t="s">
        <v>197</v>
      </c>
      <c r="C335" t="s">
        <v>354</v>
      </c>
      <c r="D335">
        <v>2030</v>
      </c>
      <c r="E335">
        <f t="shared" si="4"/>
        <v>14237.532051282051</v>
      </c>
      <c r="F335" t="s">
        <v>27</v>
      </c>
      <c r="G335" t="s">
        <v>283</v>
      </c>
    </row>
    <row r="336" spans="1:7" x14ac:dyDescent="0.45">
      <c r="A336" t="s">
        <v>23</v>
      </c>
      <c r="B336" t="s">
        <v>197</v>
      </c>
      <c r="C336" t="s">
        <v>354</v>
      </c>
      <c r="D336">
        <v>2040</v>
      </c>
      <c r="E336">
        <f t="shared" si="4"/>
        <v>1298.5851648351647</v>
      </c>
      <c r="F336" t="s">
        <v>27</v>
      </c>
      <c r="G336" t="s">
        <v>283</v>
      </c>
    </row>
    <row r="337" spans="1:7" x14ac:dyDescent="0.45">
      <c r="A337" t="s">
        <v>23</v>
      </c>
      <c r="B337" t="s">
        <v>197</v>
      </c>
      <c r="C337" t="s">
        <v>354</v>
      </c>
      <c r="D337">
        <v>2050</v>
      </c>
      <c r="E337">
        <f t="shared" si="4"/>
        <v>105.56776556776556</v>
      </c>
      <c r="F337" t="s">
        <v>27</v>
      </c>
      <c r="G337" t="s">
        <v>283</v>
      </c>
    </row>
    <row r="338" spans="1:7" x14ac:dyDescent="0.45">
      <c r="A338" t="s">
        <v>23</v>
      </c>
      <c r="B338" t="s">
        <v>198</v>
      </c>
      <c r="C338" t="s">
        <v>354</v>
      </c>
      <c r="D338">
        <v>2030</v>
      </c>
      <c r="E338">
        <f t="shared" si="4"/>
        <v>3962.2298534798533</v>
      </c>
      <c r="F338" t="s">
        <v>27</v>
      </c>
      <c r="G338" t="s">
        <v>283</v>
      </c>
    </row>
    <row r="339" spans="1:7" x14ac:dyDescent="0.45">
      <c r="A339" t="s">
        <v>23</v>
      </c>
      <c r="B339" t="s">
        <v>198</v>
      </c>
      <c r="C339" t="s">
        <v>354</v>
      </c>
      <c r="D339">
        <v>2040</v>
      </c>
      <c r="E339">
        <f t="shared" si="4"/>
        <v>423.53937728937728</v>
      </c>
      <c r="F339" t="s">
        <v>27</v>
      </c>
      <c r="G339" t="s">
        <v>283</v>
      </c>
    </row>
    <row r="340" spans="1:7" x14ac:dyDescent="0.45">
      <c r="A340" t="s">
        <v>23</v>
      </c>
      <c r="B340" t="s">
        <v>198</v>
      </c>
      <c r="C340" t="s">
        <v>354</v>
      </c>
      <c r="D340">
        <v>2050</v>
      </c>
      <c r="E340">
        <f t="shared" si="4"/>
        <v>35.805860805860803</v>
      </c>
      <c r="F340" t="s">
        <v>27</v>
      </c>
      <c r="G340" t="s">
        <v>283</v>
      </c>
    </row>
    <row r="341" spans="1:7" x14ac:dyDescent="0.45">
      <c r="A341" t="s">
        <v>23</v>
      </c>
      <c r="B341" t="s">
        <v>199</v>
      </c>
      <c r="C341" t="s">
        <v>354</v>
      </c>
      <c r="D341">
        <v>2030</v>
      </c>
      <c r="E341">
        <f t="shared" si="4"/>
        <v>336.3598901098901</v>
      </c>
      <c r="F341" t="s">
        <v>27</v>
      </c>
      <c r="G341" t="s">
        <v>283</v>
      </c>
    </row>
    <row r="342" spans="1:7" x14ac:dyDescent="0.45">
      <c r="A342" t="s">
        <v>23</v>
      </c>
      <c r="B342" t="s">
        <v>199</v>
      </c>
      <c r="C342" t="s">
        <v>354</v>
      </c>
      <c r="D342">
        <v>2040</v>
      </c>
      <c r="E342">
        <f t="shared" si="4"/>
        <v>375.30219780219778</v>
      </c>
      <c r="F342" t="s">
        <v>27</v>
      </c>
      <c r="G342" t="s">
        <v>283</v>
      </c>
    </row>
    <row r="343" spans="1:7" x14ac:dyDescent="0.45">
      <c r="A343" t="s">
        <v>23</v>
      </c>
      <c r="B343" t="s">
        <v>199</v>
      </c>
      <c r="C343" t="s">
        <v>354</v>
      </c>
      <c r="D343">
        <v>2050</v>
      </c>
      <c r="E343">
        <f t="shared" si="4"/>
        <v>410.84249084249092</v>
      </c>
      <c r="F343" t="s">
        <v>27</v>
      </c>
      <c r="G343" t="s">
        <v>283</v>
      </c>
    </row>
    <row r="344" spans="1:7" x14ac:dyDescent="0.45">
      <c r="A344" t="s">
        <v>23</v>
      </c>
      <c r="B344" t="s">
        <v>200</v>
      </c>
      <c r="C344" t="s">
        <v>354</v>
      </c>
      <c r="D344">
        <v>2030</v>
      </c>
      <c r="E344">
        <f t="shared" si="4"/>
        <v>812.72893772893769</v>
      </c>
      <c r="F344" t="s">
        <v>27</v>
      </c>
      <c r="G344" t="s">
        <v>283</v>
      </c>
    </row>
    <row r="345" spans="1:7" x14ac:dyDescent="0.45">
      <c r="A345" t="s">
        <v>23</v>
      </c>
      <c r="B345" t="s">
        <v>200</v>
      </c>
      <c r="C345" t="s">
        <v>354</v>
      </c>
      <c r="D345">
        <v>2040</v>
      </c>
      <c r="E345">
        <f t="shared" si="4"/>
        <v>891.7124542124543</v>
      </c>
      <c r="F345" t="s">
        <v>27</v>
      </c>
      <c r="G345" t="s">
        <v>283</v>
      </c>
    </row>
    <row r="346" spans="1:7" x14ac:dyDescent="0.45">
      <c r="A346" t="s">
        <v>23</v>
      </c>
      <c r="B346" t="s">
        <v>200</v>
      </c>
      <c r="C346" t="s">
        <v>354</v>
      </c>
      <c r="D346">
        <v>2050</v>
      </c>
      <c r="E346">
        <f t="shared" si="4"/>
        <v>970.18315018315013</v>
      </c>
      <c r="F346" t="s">
        <v>27</v>
      </c>
      <c r="G346" t="s">
        <v>283</v>
      </c>
    </row>
    <row r="347" spans="1:7" x14ac:dyDescent="0.45">
      <c r="A347" t="s">
        <v>23</v>
      </c>
      <c r="B347" t="s">
        <v>201</v>
      </c>
      <c r="C347" t="s">
        <v>354</v>
      </c>
      <c r="D347">
        <v>2030</v>
      </c>
      <c r="E347">
        <f t="shared" si="4"/>
        <v>4235.4807692307704</v>
      </c>
      <c r="F347" t="s">
        <v>27</v>
      </c>
      <c r="G347" t="s">
        <v>283</v>
      </c>
    </row>
    <row r="348" spans="1:7" x14ac:dyDescent="0.45">
      <c r="A348" t="s">
        <v>23</v>
      </c>
      <c r="B348" t="s">
        <v>201</v>
      </c>
      <c r="C348" t="s">
        <v>354</v>
      </c>
      <c r="D348">
        <v>2040</v>
      </c>
      <c r="E348">
        <f t="shared" si="4"/>
        <v>4762.1016483516487</v>
      </c>
      <c r="F348" t="s">
        <v>27</v>
      </c>
      <c r="G348" t="s">
        <v>283</v>
      </c>
    </row>
    <row r="349" spans="1:7" x14ac:dyDescent="0.45">
      <c r="A349" t="s">
        <v>23</v>
      </c>
      <c r="B349" t="s">
        <v>201</v>
      </c>
      <c r="C349" t="s">
        <v>354</v>
      </c>
      <c r="D349">
        <v>2050</v>
      </c>
      <c r="E349">
        <f t="shared" si="4"/>
        <v>5147.2161172161177</v>
      </c>
      <c r="F349" t="s">
        <v>27</v>
      </c>
      <c r="G349" t="s">
        <v>283</v>
      </c>
    </row>
    <row r="350" spans="1:7" x14ac:dyDescent="0.45">
      <c r="A350" t="s">
        <v>23</v>
      </c>
      <c r="B350" t="s">
        <v>202</v>
      </c>
      <c r="C350" t="s">
        <v>354</v>
      </c>
      <c r="D350">
        <v>2030</v>
      </c>
      <c r="E350">
        <f t="shared" si="4"/>
        <v>2654.2719780219782</v>
      </c>
      <c r="F350" t="s">
        <v>27</v>
      </c>
      <c r="G350" t="s">
        <v>283</v>
      </c>
    </row>
    <row r="351" spans="1:7" x14ac:dyDescent="0.45">
      <c r="A351" t="s">
        <v>23</v>
      </c>
      <c r="B351" t="s">
        <v>202</v>
      </c>
      <c r="C351" t="s">
        <v>354</v>
      </c>
      <c r="D351">
        <v>2040</v>
      </c>
      <c r="E351">
        <f t="shared" si="4"/>
        <v>3036.3369963369969</v>
      </c>
      <c r="F351" t="s">
        <v>27</v>
      </c>
      <c r="G351" t="s">
        <v>283</v>
      </c>
    </row>
    <row r="352" spans="1:7" x14ac:dyDescent="0.45">
      <c r="A352" t="s">
        <v>23</v>
      </c>
      <c r="B352" t="s">
        <v>202</v>
      </c>
      <c r="C352" t="s">
        <v>354</v>
      </c>
      <c r="D352">
        <v>2050</v>
      </c>
      <c r="E352">
        <f t="shared" si="4"/>
        <v>3177.4130036630036</v>
      </c>
      <c r="F352" t="s">
        <v>27</v>
      </c>
      <c r="G352" t="s">
        <v>283</v>
      </c>
    </row>
    <row r="353" spans="1:7" x14ac:dyDescent="0.45">
      <c r="A353" t="s">
        <v>23</v>
      </c>
      <c r="B353" t="s">
        <v>203</v>
      </c>
      <c r="C353" t="s">
        <v>354</v>
      </c>
      <c r="D353">
        <v>2030</v>
      </c>
      <c r="E353">
        <f>E56</f>
        <v>166.42811355311355</v>
      </c>
      <c r="F353" t="s">
        <v>27</v>
      </c>
      <c r="G353" t="s">
        <v>280</v>
      </c>
    </row>
    <row r="354" spans="1:7" x14ac:dyDescent="0.45">
      <c r="A354" t="s">
        <v>23</v>
      </c>
      <c r="B354" t="s">
        <v>203</v>
      </c>
      <c r="C354" t="s">
        <v>354</v>
      </c>
      <c r="D354">
        <v>2040</v>
      </c>
      <c r="E354">
        <f>E57</f>
        <v>183.77518315018315</v>
      </c>
      <c r="F354" t="s">
        <v>27</v>
      </c>
      <c r="G354" t="s">
        <v>280</v>
      </c>
    </row>
    <row r="355" spans="1:7" x14ac:dyDescent="0.45">
      <c r="A355" t="s">
        <v>23</v>
      </c>
      <c r="B355" t="s">
        <v>203</v>
      </c>
      <c r="C355" t="s">
        <v>354</v>
      </c>
      <c r="D355">
        <v>2050</v>
      </c>
      <c r="E355">
        <f>E58</f>
        <v>193.43727106227112</v>
      </c>
      <c r="F355" t="s">
        <v>27</v>
      </c>
      <c r="G355" t="s">
        <v>280</v>
      </c>
    </row>
    <row r="356" spans="1:7" x14ac:dyDescent="0.45">
      <c r="A356" t="s">
        <v>23</v>
      </c>
      <c r="B356" t="s">
        <v>204</v>
      </c>
      <c r="C356" t="s">
        <v>354</v>
      </c>
      <c r="D356">
        <v>2030</v>
      </c>
      <c r="E356">
        <f>E59*$K$300</f>
        <v>499.28434065934056</v>
      </c>
      <c r="F356" t="s">
        <v>27</v>
      </c>
      <c r="G356" t="s">
        <v>280</v>
      </c>
    </row>
    <row r="357" spans="1:7" x14ac:dyDescent="0.45">
      <c r="A357" t="s">
        <v>23</v>
      </c>
      <c r="B357" t="s">
        <v>204</v>
      </c>
      <c r="C357" t="s">
        <v>354</v>
      </c>
      <c r="D357">
        <v>2040</v>
      </c>
      <c r="E357">
        <f t="shared" ref="E357:E361" si="5">E60*$K$300</f>
        <v>551.32554945054937</v>
      </c>
      <c r="F357" t="s">
        <v>27</v>
      </c>
      <c r="G357" t="s">
        <v>280</v>
      </c>
    </row>
    <row r="358" spans="1:7" x14ac:dyDescent="0.45">
      <c r="A358" t="s">
        <v>23</v>
      </c>
      <c r="B358" t="s">
        <v>204</v>
      </c>
      <c r="C358" t="s">
        <v>354</v>
      </c>
      <c r="D358">
        <v>2050</v>
      </c>
      <c r="E358">
        <f t="shared" si="5"/>
        <v>580.31181318681331</v>
      </c>
      <c r="F358" t="s">
        <v>27</v>
      </c>
      <c r="G358" t="s">
        <v>280</v>
      </c>
    </row>
    <row r="359" spans="1:7" x14ac:dyDescent="0.45">
      <c r="A359" t="s">
        <v>23</v>
      </c>
      <c r="B359" t="s">
        <v>205</v>
      </c>
      <c r="C359" t="s">
        <v>354</v>
      </c>
      <c r="D359">
        <v>2030</v>
      </c>
      <c r="E359">
        <f t="shared" si="5"/>
        <v>353.69734432234435</v>
      </c>
      <c r="F359" t="s">
        <v>27</v>
      </c>
      <c r="G359" t="s">
        <v>281</v>
      </c>
    </row>
    <row r="360" spans="1:7" x14ac:dyDescent="0.45">
      <c r="A360" t="s">
        <v>23</v>
      </c>
      <c r="B360" t="s">
        <v>205</v>
      </c>
      <c r="C360" t="s">
        <v>354</v>
      </c>
      <c r="D360">
        <v>2040</v>
      </c>
      <c r="E360">
        <f t="shared" si="5"/>
        <v>386.10576923076928</v>
      </c>
      <c r="F360" t="s">
        <v>27</v>
      </c>
      <c r="G360" t="s">
        <v>281</v>
      </c>
    </row>
    <row r="361" spans="1:7" x14ac:dyDescent="0.45">
      <c r="A361" t="s">
        <v>23</v>
      </c>
      <c r="B361" t="s">
        <v>205</v>
      </c>
      <c r="C361" t="s">
        <v>354</v>
      </c>
      <c r="D361">
        <v>2050</v>
      </c>
      <c r="E361">
        <f t="shared" si="5"/>
        <v>406.8131868131868</v>
      </c>
      <c r="F361" t="s">
        <v>27</v>
      </c>
      <c r="G361" t="s">
        <v>281</v>
      </c>
    </row>
    <row r="362" spans="1:7" x14ac:dyDescent="0.45">
      <c r="A362" t="s">
        <v>23</v>
      </c>
      <c r="B362" t="s">
        <v>206</v>
      </c>
      <c r="C362" t="s">
        <v>354</v>
      </c>
      <c r="D362">
        <v>2030</v>
      </c>
      <c r="E362">
        <f>E65</f>
        <v>88.424336080586087</v>
      </c>
      <c r="F362" t="s">
        <v>27</v>
      </c>
      <c r="G362" t="s">
        <v>281</v>
      </c>
    </row>
    <row r="363" spans="1:7" x14ac:dyDescent="0.45">
      <c r="A363" t="s">
        <v>23</v>
      </c>
      <c r="B363" t="s">
        <v>206</v>
      </c>
      <c r="C363" t="s">
        <v>354</v>
      </c>
      <c r="D363">
        <v>2040</v>
      </c>
      <c r="E363">
        <f>E66</f>
        <v>96.526442307692321</v>
      </c>
      <c r="F363" t="s">
        <v>27</v>
      </c>
      <c r="G363" t="s">
        <v>281</v>
      </c>
    </row>
    <row r="364" spans="1:7" x14ac:dyDescent="0.45">
      <c r="A364" t="s">
        <v>23</v>
      </c>
      <c r="B364" t="s">
        <v>206</v>
      </c>
      <c r="C364" t="s">
        <v>354</v>
      </c>
      <c r="D364">
        <v>2050</v>
      </c>
      <c r="E364">
        <f>E67</f>
        <v>101.7032967032967</v>
      </c>
      <c r="F364" t="s">
        <v>27</v>
      </c>
      <c r="G364" t="s">
        <v>281</v>
      </c>
    </row>
    <row r="365" spans="1:7" x14ac:dyDescent="0.45">
      <c r="A365" t="s">
        <v>23</v>
      </c>
      <c r="B365" t="s">
        <v>207</v>
      </c>
      <c r="C365" t="s">
        <v>354</v>
      </c>
      <c r="D365">
        <v>2030</v>
      </c>
      <c r="E365">
        <f t="shared" ref="E365:E367" si="6">E68*$K$300</f>
        <v>499.28434065934056</v>
      </c>
      <c r="F365" t="s">
        <v>27</v>
      </c>
      <c r="G365" t="s">
        <v>280</v>
      </c>
    </row>
    <row r="366" spans="1:7" x14ac:dyDescent="0.45">
      <c r="A366" t="s">
        <v>23</v>
      </c>
      <c r="B366" t="s">
        <v>207</v>
      </c>
      <c r="C366" t="s">
        <v>354</v>
      </c>
      <c r="D366">
        <v>2040</v>
      </c>
      <c r="E366">
        <f t="shared" si="6"/>
        <v>551.32554945054937</v>
      </c>
      <c r="F366" t="s">
        <v>27</v>
      </c>
      <c r="G366" t="s">
        <v>280</v>
      </c>
    </row>
    <row r="367" spans="1:7" x14ac:dyDescent="0.45">
      <c r="A367" t="s">
        <v>23</v>
      </c>
      <c r="B367" t="s">
        <v>207</v>
      </c>
      <c r="C367" t="s">
        <v>354</v>
      </c>
      <c r="D367">
        <v>2050</v>
      </c>
      <c r="E367">
        <f t="shared" si="6"/>
        <v>580.31181318681331</v>
      </c>
      <c r="F367" t="s">
        <v>27</v>
      </c>
      <c r="G367" t="s">
        <v>280</v>
      </c>
    </row>
    <row r="368" spans="1:7" x14ac:dyDescent="0.45">
      <c r="A368" t="s">
        <v>23</v>
      </c>
      <c r="B368" t="s">
        <v>208</v>
      </c>
      <c r="C368" t="s">
        <v>354</v>
      </c>
      <c r="D368">
        <v>2030</v>
      </c>
      <c r="E368">
        <f>E71</f>
        <v>720.79945054945051</v>
      </c>
      <c r="F368" t="s">
        <v>27</v>
      </c>
      <c r="G368" t="s">
        <v>282</v>
      </c>
    </row>
    <row r="369" spans="1:7" x14ac:dyDescent="0.45">
      <c r="A369" t="s">
        <v>23</v>
      </c>
      <c r="B369" t="s">
        <v>208</v>
      </c>
      <c r="C369" t="s">
        <v>354</v>
      </c>
      <c r="D369">
        <v>2040</v>
      </c>
      <c r="E369">
        <f>E72</f>
        <v>636.63598901098896</v>
      </c>
      <c r="F369" t="s">
        <v>27</v>
      </c>
      <c r="G369" t="s">
        <v>282</v>
      </c>
    </row>
    <row r="370" spans="1:7" x14ac:dyDescent="0.45">
      <c r="A370" t="s">
        <v>23</v>
      </c>
      <c r="B370" t="s">
        <v>208</v>
      </c>
      <c r="C370" t="s">
        <v>354</v>
      </c>
      <c r="D370">
        <v>2050</v>
      </c>
      <c r="E370">
        <f>E73</f>
        <v>225.36881868131866</v>
      </c>
      <c r="F370" t="s">
        <v>27</v>
      </c>
      <c r="G370" t="s">
        <v>282</v>
      </c>
    </row>
    <row r="371" spans="1:7" x14ac:dyDescent="0.45">
      <c r="A371" t="s">
        <v>23</v>
      </c>
      <c r="B371" t="s">
        <v>209</v>
      </c>
      <c r="C371" t="s">
        <v>354</v>
      </c>
      <c r="D371">
        <v>2030</v>
      </c>
      <c r="E371">
        <f t="shared" ref="E371:E376" si="7">E74*$K$300</f>
        <v>961.06593406593402</v>
      </c>
      <c r="F371" t="s">
        <v>27</v>
      </c>
      <c r="G371" t="s">
        <v>282</v>
      </c>
    </row>
    <row r="372" spans="1:7" x14ac:dyDescent="0.45">
      <c r="A372" t="s">
        <v>23</v>
      </c>
      <c r="B372" t="s">
        <v>209</v>
      </c>
      <c r="C372" t="s">
        <v>354</v>
      </c>
      <c r="D372">
        <v>2040</v>
      </c>
      <c r="E372">
        <f t="shared" si="7"/>
        <v>848.8479853479854</v>
      </c>
      <c r="F372" t="s">
        <v>27</v>
      </c>
      <c r="G372" t="s">
        <v>282</v>
      </c>
    </row>
    <row r="373" spans="1:7" x14ac:dyDescent="0.45">
      <c r="A373" t="s">
        <v>23</v>
      </c>
      <c r="B373" t="s">
        <v>209</v>
      </c>
      <c r="C373" t="s">
        <v>354</v>
      </c>
      <c r="D373">
        <v>2050</v>
      </c>
      <c r="E373">
        <f t="shared" si="7"/>
        <v>300.49175824175825</v>
      </c>
      <c r="F373" t="s">
        <v>27</v>
      </c>
      <c r="G373" t="s">
        <v>282</v>
      </c>
    </row>
    <row r="374" spans="1:7" x14ac:dyDescent="0.45">
      <c r="A374" t="s">
        <v>23</v>
      </c>
      <c r="B374" t="s">
        <v>210</v>
      </c>
      <c r="C374" t="s">
        <v>354</v>
      </c>
      <c r="D374">
        <v>2030</v>
      </c>
      <c r="E374">
        <f t="shared" si="7"/>
        <v>445.72573260073261</v>
      </c>
      <c r="F374" t="s">
        <v>27</v>
      </c>
      <c r="G374" t="s">
        <v>281</v>
      </c>
    </row>
    <row r="375" spans="1:7" x14ac:dyDescent="0.45">
      <c r="A375" t="s">
        <v>23</v>
      </c>
      <c r="B375" t="s">
        <v>210</v>
      </c>
      <c r="C375" t="s">
        <v>354</v>
      </c>
      <c r="D375">
        <v>2040</v>
      </c>
      <c r="E375">
        <f t="shared" si="7"/>
        <v>505.13736263736263</v>
      </c>
      <c r="F375" t="s">
        <v>27</v>
      </c>
      <c r="G375" t="s">
        <v>281</v>
      </c>
    </row>
    <row r="376" spans="1:7" x14ac:dyDescent="0.45">
      <c r="A376" t="s">
        <v>23</v>
      </c>
      <c r="B376" t="s">
        <v>210</v>
      </c>
      <c r="C376" t="s">
        <v>354</v>
      </c>
      <c r="D376">
        <v>2050</v>
      </c>
      <c r="E376">
        <f t="shared" si="7"/>
        <v>156.71703296703296</v>
      </c>
      <c r="F376" t="s">
        <v>27</v>
      </c>
      <c r="G376" t="s">
        <v>281</v>
      </c>
    </row>
    <row r="377" spans="1:7" x14ac:dyDescent="0.45">
      <c r="A377" t="s">
        <v>23</v>
      </c>
      <c r="B377" t="s">
        <v>211</v>
      </c>
      <c r="C377" t="s">
        <v>354</v>
      </c>
      <c r="D377">
        <v>2030</v>
      </c>
      <c r="E377">
        <f>E80</f>
        <v>111.43143315018315</v>
      </c>
      <c r="F377" t="s">
        <v>27</v>
      </c>
      <c r="G377" t="s">
        <v>281</v>
      </c>
    </row>
    <row r="378" spans="1:7" x14ac:dyDescent="0.45">
      <c r="A378" t="s">
        <v>23</v>
      </c>
      <c r="B378" t="s">
        <v>211</v>
      </c>
      <c r="C378" t="s">
        <v>354</v>
      </c>
      <c r="D378">
        <v>2040</v>
      </c>
      <c r="E378">
        <f>E81</f>
        <v>126.28434065934066</v>
      </c>
      <c r="F378" t="s">
        <v>27</v>
      </c>
      <c r="G378" t="s">
        <v>281</v>
      </c>
    </row>
    <row r="379" spans="1:7" x14ac:dyDescent="0.45">
      <c r="A379" t="s">
        <v>23</v>
      </c>
      <c r="B379" t="s">
        <v>211</v>
      </c>
      <c r="C379" t="s">
        <v>354</v>
      </c>
      <c r="D379">
        <v>2050</v>
      </c>
      <c r="E379">
        <f>E82</f>
        <v>39.179258241758241</v>
      </c>
      <c r="F379" t="s">
        <v>27</v>
      </c>
      <c r="G379" t="s">
        <v>281</v>
      </c>
    </row>
    <row r="380" spans="1:7" x14ac:dyDescent="0.45">
      <c r="A380" t="s">
        <v>23</v>
      </c>
      <c r="B380" t="s">
        <v>212</v>
      </c>
      <c r="C380" t="s">
        <v>354</v>
      </c>
      <c r="D380">
        <v>2030</v>
      </c>
      <c r="E380">
        <f t="shared" ref="E380:E382" si="8">E83*$K$300</f>
        <v>961.06593406593402</v>
      </c>
      <c r="F380" t="s">
        <v>27</v>
      </c>
      <c r="G380" t="s">
        <v>282</v>
      </c>
    </row>
    <row r="381" spans="1:7" x14ac:dyDescent="0.45">
      <c r="A381" t="s">
        <v>23</v>
      </c>
      <c r="B381" t="s">
        <v>212</v>
      </c>
      <c r="C381" t="s">
        <v>354</v>
      </c>
      <c r="D381">
        <v>2040</v>
      </c>
      <c r="E381">
        <f t="shared" si="8"/>
        <v>848.8479853479854</v>
      </c>
      <c r="F381" t="s">
        <v>27</v>
      </c>
      <c r="G381" t="s">
        <v>282</v>
      </c>
    </row>
    <row r="382" spans="1:7" x14ac:dyDescent="0.45">
      <c r="A382" t="s">
        <v>23</v>
      </c>
      <c r="B382" t="s">
        <v>212</v>
      </c>
      <c r="C382" t="s">
        <v>354</v>
      </c>
      <c r="D382">
        <v>2050</v>
      </c>
      <c r="E382">
        <f t="shared" si="8"/>
        <v>300.49175824175825</v>
      </c>
      <c r="F382" t="s">
        <v>27</v>
      </c>
      <c r="G382" t="s">
        <v>282</v>
      </c>
    </row>
    <row r="383" spans="1:7" x14ac:dyDescent="0.45">
      <c r="A383" t="s">
        <v>23</v>
      </c>
      <c r="B383" t="s">
        <v>215</v>
      </c>
      <c r="C383" t="s">
        <v>354</v>
      </c>
      <c r="D383">
        <v>2030</v>
      </c>
      <c r="E383">
        <f>E86</f>
        <v>547.72344322344327</v>
      </c>
      <c r="F383" t="s">
        <v>27</v>
      </c>
      <c r="G383" t="s">
        <v>280</v>
      </c>
    </row>
    <row r="384" spans="1:7" x14ac:dyDescent="0.45">
      <c r="A384" t="s">
        <v>23</v>
      </c>
      <c r="B384" t="s">
        <v>215</v>
      </c>
      <c r="C384" t="s">
        <v>354</v>
      </c>
      <c r="D384">
        <v>2040</v>
      </c>
      <c r="E384">
        <f>E87</f>
        <v>44.63644688644689</v>
      </c>
      <c r="F384" t="s">
        <v>27</v>
      </c>
      <c r="G384" t="s">
        <v>280</v>
      </c>
    </row>
    <row r="385" spans="1:7" x14ac:dyDescent="0.45">
      <c r="A385" t="s">
        <v>23</v>
      </c>
      <c r="B385" t="s">
        <v>215</v>
      </c>
      <c r="C385" t="s">
        <v>354</v>
      </c>
      <c r="D385">
        <v>2050</v>
      </c>
      <c r="E385">
        <f>E88</f>
        <v>5.8878205128205146</v>
      </c>
      <c r="F385" t="s">
        <v>27</v>
      </c>
      <c r="G385" t="s">
        <v>280</v>
      </c>
    </row>
    <row r="386" spans="1:7" x14ac:dyDescent="0.45">
      <c r="A386" t="s">
        <v>23</v>
      </c>
      <c r="B386" t="s">
        <v>216</v>
      </c>
      <c r="C386" t="s">
        <v>354</v>
      </c>
      <c r="D386">
        <v>2030</v>
      </c>
      <c r="E386">
        <f t="shared" ref="E386:E391" si="9">E89*$K$300</f>
        <v>1643.1703296703297</v>
      </c>
      <c r="F386" t="s">
        <v>27</v>
      </c>
      <c r="G386" t="s">
        <v>280</v>
      </c>
    </row>
    <row r="387" spans="1:7" x14ac:dyDescent="0.45">
      <c r="A387" t="s">
        <v>23</v>
      </c>
      <c r="B387" t="s">
        <v>216</v>
      </c>
      <c r="C387" t="s">
        <v>354</v>
      </c>
      <c r="D387">
        <v>2040</v>
      </c>
      <c r="E387">
        <f t="shared" si="9"/>
        <v>133.90934065934067</v>
      </c>
      <c r="F387" t="s">
        <v>27</v>
      </c>
      <c r="G387" t="s">
        <v>280</v>
      </c>
    </row>
    <row r="388" spans="1:7" x14ac:dyDescent="0.45">
      <c r="A388" t="s">
        <v>23</v>
      </c>
      <c r="B388" t="s">
        <v>216</v>
      </c>
      <c r="C388" t="s">
        <v>354</v>
      </c>
      <c r="D388">
        <v>2050</v>
      </c>
      <c r="E388">
        <f t="shared" si="9"/>
        <v>17.66346153846154</v>
      </c>
      <c r="F388" t="s">
        <v>27</v>
      </c>
      <c r="G388" t="s">
        <v>280</v>
      </c>
    </row>
    <row r="389" spans="1:7" x14ac:dyDescent="0.45">
      <c r="A389" t="s">
        <v>23</v>
      </c>
      <c r="B389" t="s">
        <v>217</v>
      </c>
      <c r="C389" t="s">
        <v>354</v>
      </c>
      <c r="D389">
        <v>2030</v>
      </c>
      <c r="E389">
        <f t="shared" si="9"/>
        <v>807.11996336996333</v>
      </c>
      <c r="F389" t="s">
        <v>27</v>
      </c>
      <c r="G389" t="s">
        <v>281</v>
      </c>
    </row>
    <row r="390" spans="1:7" x14ac:dyDescent="0.45">
      <c r="A390" t="s">
        <v>23</v>
      </c>
      <c r="B390" t="s">
        <v>217</v>
      </c>
      <c r="C390" t="s">
        <v>354</v>
      </c>
      <c r="D390">
        <v>2040</v>
      </c>
      <c r="E390">
        <f t="shared" si="9"/>
        <v>156.68956043956041</v>
      </c>
      <c r="F390" t="s">
        <v>27</v>
      </c>
      <c r="G390" t="s">
        <v>281</v>
      </c>
    </row>
    <row r="391" spans="1:7" x14ac:dyDescent="0.45">
      <c r="A391" t="s">
        <v>23</v>
      </c>
      <c r="B391" t="s">
        <v>217</v>
      </c>
      <c r="C391" t="s">
        <v>354</v>
      </c>
      <c r="D391">
        <v>2050</v>
      </c>
      <c r="E391">
        <f t="shared" si="9"/>
        <v>9.8946886446886424</v>
      </c>
      <c r="F391" t="s">
        <v>27</v>
      </c>
      <c r="G391" t="s">
        <v>281</v>
      </c>
    </row>
    <row r="392" spans="1:7" x14ac:dyDescent="0.45">
      <c r="A392" t="s">
        <v>23</v>
      </c>
      <c r="B392" t="s">
        <v>218</v>
      </c>
      <c r="C392" t="s">
        <v>354</v>
      </c>
      <c r="D392">
        <v>2030</v>
      </c>
      <c r="E392">
        <f>E95</f>
        <v>201.77999084249083</v>
      </c>
      <c r="F392" t="s">
        <v>27</v>
      </c>
      <c r="G392" t="s">
        <v>281</v>
      </c>
    </row>
    <row r="393" spans="1:7" x14ac:dyDescent="0.45">
      <c r="A393" t="s">
        <v>23</v>
      </c>
      <c r="B393" t="s">
        <v>218</v>
      </c>
      <c r="C393" t="s">
        <v>354</v>
      </c>
      <c r="D393">
        <v>2040</v>
      </c>
      <c r="E393">
        <f>E96</f>
        <v>39.172390109890102</v>
      </c>
      <c r="F393" t="s">
        <v>27</v>
      </c>
      <c r="G393" t="s">
        <v>281</v>
      </c>
    </row>
    <row r="394" spans="1:7" x14ac:dyDescent="0.45">
      <c r="A394" t="s">
        <v>23</v>
      </c>
      <c r="B394" t="s">
        <v>218</v>
      </c>
      <c r="C394" t="s">
        <v>354</v>
      </c>
      <c r="D394">
        <v>2050</v>
      </c>
      <c r="E394">
        <f>E97</f>
        <v>2.4736721611721606</v>
      </c>
      <c r="F394" t="s">
        <v>27</v>
      </c>
      <c r="G394" t="s">
        <v>281</v>
      </c>
    </row>
    <row r="395" spans="1:7" x14ac:dyDescent="0.45">
      <c r="A395" t="s">
        <v>23</v>
      </c>
      <c r="B395" t="s">
        <v>219</v>
      </c>
      <c r="C395" t="s">
        <v>354</v>
      </c>
      <c r="D395">
        <v>2030</v>
      </c>
      <c r="E395">
        <f t="shared" ref="E395:E397" si="10">E98*$K$300</f>
        <v>1643.1703296703297</v>
      </c>
      <c r="F395" t="s">
        <v>27</v>
      </c>
      <c r="G395" t="s">
        <v>280</v>
      </c>
    </row>
    <row r="396" spans="1:7" x14ac:dyDescent="0.45">
      <c r="A396" t="s">
        <v>23</v>
      </c>
      <c r="B396" t="s">
        <v>219</v>
      </c>
      <c r="C396" t="s">
        <v>354</v>
      </c>
      <c r="D396">
        <v>2040</v>
      </c>
      <c r="E396">
        <f t="shared" si="10"/>
        <v>133.90934065934067</v>
      </c>
      <c r="F396" t="s">
        <v>27</v>
      </c>
      <c r="G396" t="s">
        <v>280</v>
      </c>
    </row>
    <row r="397" spans="1:7" x14ac:dyDescent="0.45">
      <c r="A397" t="s">
        <v>23</v>
      </c>
      <c r="B397" t="s">
        <v>219</v>
      </c>
      <c r="C397" t="s">
        <v>354</v>
      </c>
      <c r="D397">
        <v>2050</v>
      </c>
      <c r="E397">
        <f t="shared" si="10"/>
        <v>17.66346153846154</v>
      </c>
      <c r="F397" t="s">
        <v>27</v>
      </c>
      <c r="G397" t="s">
        <v>280</v>
      </c>
    </row>
    <row r="398" spans="1:7" x14ac:dyDescent="0.45">
      <c r="A398" t="s">
        <v>23</v>
      </c>
      <c r="B398" t="s">
        <v>188</v>
      </c>
      <c r="C398" t="s">
        <v>363</v>
      </c>
      <c r="D398">
        <v>2030</v>
      </c>
      <c r="E398">
        <v>240.6501831501831</v>
      </c>
      <c r="F398" t="s">
        <v>27</v>
      </c>
      <c r="G398" t="s">
        <v>283</v>
      </c>
    </row>
    <row r="399" spans="1:7" x14ac:dyDescent="0.45">
      <c r="A399" t="s">
        <v>23</v>
      </c>
      <c r="B399" t="s">
        <v>188</v>
      </c>
      <c r="C399" t="s">
        <v>363</v>
      </c>
      <c r="D399">
        <v>2040</v>
      </c>
      <c r="E399">
        <v>262.20924908424911</v>
      </c>
      <c r="F399" t="s">
        <v>27</v>
      </c>
      <c r="G399" t="s">
        <v>283</v>
      </c>
    </row>
    <row r="400" spans="1:7" x14ac:dyDescent="0.45">
      <c r="A400" t="s">
        <v>23</v>
      </c>
      <c r="B400" t="s">
        <v>188</v>
      </c>
      <c r="C400" t="s">
        <v>363</v>
      </c>
      <c r="D400">
        <v>2050</v>
      </c>
      <c r="E400">
        <v>278.74084249084251</v>
      </c>
      <c r="F400" t="s">
        <v>27</v>
      </c>
      <c r="G400" t="s">
        <v>283</v>
      </c>
    </row>
    <row r="401" spans="1:7" x14ac:dyDescent="0.45">
      <c r="A401" t="s">
        <v>23</v>
      </c>
      <c r="B401" t="s">
        <v>187</v>
      </c>
      <c r="C401" t="s">
        <v>363</v>
      </c>
      <c r="D401">
        <v>2030</v>
      </c>
      <c r="E401">
        <v>492.92696886446885</v>
      </c>
      <c r="F401" t="s">
        <v>27</v>
      </c>
      <c r="G401" t="s">
        <v>283</v>
      </c>
    </row>
    <row r="402" spans="1:7" x14ac:dyDescent="0.45">
      <c r="A402" t="s">
        <v>23</v>
      </c>
      <c r="B402" t="s">
        <v>187</v>
      </c>
      <c r="C402" t="s">
        <v>363</v>
      </c>
      <c r="D402">
        <v>2040</v>
      </c>
      <c r="E402">
        <v>541.65064102564099</v>
      </c>
      <c r="F402" t="s">
        <v>27</v>
      </c>
      <c r="G402" t="s">
        <v>283</v>
      </c>
    </row>
    <row r="403" spans="1:7" x14ac:dyDescent="0.45">
      <c r="A403" t="s">
        <v>23</v>
      </c>
      <c r="B403" t="s">
        <v>187</v>
      </c>
      <c r="C403" t="s">
        <v>363</v>
      </c>
      <c r="D403">
        <v>2050</v>
      </c>
      <c r="E403">
        <v>572.53319597069606</v>
      </c>
      <c r="F403" t="s">
        <v>27</v>
      </c>
      <c r="G403" t="s">
        <v>283</v>
      </c>
    </row>
    <row r="404" spans="1:7" x14ac:dyDescent="0.45">
      <c r="A404" t="s">
        <v>23</v>
      </c>
      <c r="B404" t="s">
        <v>213</v>
      </c>
      <c r="C404" t="s">
        <v>363</v>
      </c>
      <c r="D404">
        <v>2030</v>
      </c>
      <c r="E404">
        <v>1492.4885531135531</v>
      </c>
      <c r="F404" t="s">
        <v>27</v>
      </c>
      <c r="G404" t="s">
        <v>283</v>
      </c>
    </row>
    <row r="405" spans="1:7" x14ac:dyDescent="0.45">
      <c r="A405" t="s">
        <v>23</v>
      </c>
      <c r="B405" t="s">
        <v>213</v>
      </c>
      <c r="C405" t="s">
        <v>363</v>
      </c>
      <c r="D405">
        <v>2040</v>
      </c>
      <c r="E405">
        <v>1612.8598773911274</v>
      </c>
      <c r="F405" t="s">
        <v>27</v>
      </c>
      <c r="G405" t="s">
        <v>283</v>
      </c>
    </row>
    <row r="406" spans="1:7" x14ac:dyDescent="0.45">
      <c r="A406" t="s">
        <v>23</v>
      </c>
      <c r="B406" t="s">
        <v>213</v>
      </c>
      <c r="C406" t="s">
        <v>363</v>
      </c>
      <c r="D406">
        <v>2050</v>
      </c>
      <c r="E406">
        <v>1596.6037405881157</v>
      </c>
      <c r="F406" t="s">
        <v>27</v>
      </c>
      <c r="G406" t="s">
        <v>283</v>
      </c>
    </row>
    <row r="407" spans="1:7" x14ac:dyDescent="0.45">
      <c r="A407" t="s">
        <v>23</v>
      </c>
      <c r="B407" t="s">
        <v>214</v>
      </c>
      <c r="C407" t="s">
        <v>363</v>
      </c>
      <c r="D407">
        <v>2030</v>
      </c>
      <c r="E407">
        <v>239.00641025641022</v>
      </c>
      <c r="F407" t="s">
        <v>27</v>
      </c>
      <c r="G407" t="s">
        <v>283</v>
      </c>
    </row>
    <row r="408" spans="1:7" x14ac:dyDescent="0.45">
      <c r="A408" t="s">
        <v>23</v>
      </c>
      <c r="B408" t="s">
        <v>214</v>
      </c>
      <c r="C408" t="s">
        <v>363</v>
      </c>
      <c r="D408">
        <v>2040</v>
      </c>
      <c r="E408">
        <v>255.71988196988198</v>
      </c>
      <c r="F408" t="s">
        <v>27</v>
      </c>
      <c r="G408" t="s">
        <v>283</v>
      </c>
    </row>
    <row r="409" spans="1:7" x14ac:dyDescent="0.45">
      <c r="A409" t="s">
        <v>23</v>
      </c>
      <c r="B409" t="s">
        <v>214</v>
      </c>
      <c r="C409" t="s">
        <v>363</v>
      </c>
      <c r="D409">
        <v>2050</v>
      </c>
      <c r="E409">
        <v>252.96277218152218</v>
      </c>
      <c r="F409" t="s">
        <v>27</v>
      </c>
      <c r="G409" t="s">
        <v>283</v>
      </c>
    </row>
    <row r="410" spans="1:7" x14ac:dyDescent="0.45">
      <c r="A410" t="s">
        <v>23</v>
      </c>
      <c r="B410" t="s">
        <v>193</v>
      </c>
      <c r="C410" t="s">
        <v>363</v>
      </c>
      <c r="D410">
        <v>2030</v>
      </c>
      <c r="E410">
        <v>1045.2249313186812</v>
      </c>
      <c r="F410" t="s">
        <v>27</v>
      </c>
      <c r="G410" t="s">
        <v>283</v>
      </c>
    </row>
    <row r="411" spans="1:7" x14ac:dyDescent="0.45">
      <c r="A411" t="s">
        <v>23</v>
      </c>
      <c r="B411" t="s">
        <v>193</v>
      </c>
      <c r="C411" t="s">
        <v>363</v>
      </c>
      <c r="D411">
        <v>2040</v>
      </c>
      <c r="E411">
        <v>406.14955357142867</v>
      </c>
      <c r="F411" t="s">
        <v>27</v>
      </c>
      <c r="G411" t="s">
        <v>283</v>
      </c>
    </row>
    <row r="412" spans="1:7" x14ac:dyDescent="0.45">
      <c r="A412" t="s">
        <v>23</v>
      </c>
      <c r="B412" t="s">
        <v>193</v>
      </c>
      <c r="C412" t="s">
        <v>363</v>
      </c>
      <c r="D412">
        <v>2050</v>
      </c>
      <c r="E412">
        <v>397.5912889194139</v>
      </c>
      <c r="F412" t="s">
        <v>27</v>
      </c>
      <c r="G412" t="s">
        <v>283</v>
      </c>
    </row>
    <row r="413" spans="1:7" x14ac:dyDescent="0.45">
      <c r="A413" t="s">
        <v>23</v>
      </c>
      <c r="B413" t="s">
        <v>194</v>
      </c>
      <c r="C413" t="s">
        <v>363</v>
      </c>
      <c r="D413">
        <v>2030</v>
      </c>
      <c r="E413">
        <v>1582.0750343406594</v>
      </c>
      <c r="F413" t="s">
        <v>27</v>
      </c>
      <c r="G413" t="s">
        <v>283</v>
      </c>
    </row>
    <row r="414" spans="1:7" x14ac:dyDescent="0.45">
      <c r="A414" t="s">
        <v>23</v>
      </c>
      <c r="B414" t="s">
        <v>194</v>
      </c>
      <c r="C414" t="s">
        <v>363</v>
      </c>
      <c r="D414">
        <v>2040</v>
      </c>
      <c r="E414">
        <v>612.12039262820531</v>
      </c>
      <c r="F414" t="s">
        <v>27</v>
      </c>
      <c r="G414" t="s">
        <v>283</v>
      </c>
    </row>
    <row r="415" spans="1:7" x14ac:dyDescent="0.45">
      <c r="A415" t="s">
        <v>23</v>
      </c>
      <c r="B415" t="s">
        <v>194</v>
      </c>
      <c r="C415" t="s">
        <v>363</v>
      </c>
      <c r="D415">
        <v>2050</v>
      </c>
      <c r="E415">
        <v>598.74656593406598</v>
      </c>
      <c r="F415" t="s">
        <v>27</v>
      </c>
      <c r="G415" t="s">
        <v>283</v>
      </c>
    </row>
    <row r="416" spans="1:7" x14ac:dyDescent="0.45">
      <c r="A416" t="s">
        <v>23</v>
      </c>
      <c r="B416" t="s">
        <v>189</v>
      </c>
      <c r="C416" t="s">
        <v>363</v>
      </c>
      <c r="D416">
        <v>2030</v>
      </c>
      <c r="E416">
        <v>30.967261904761905</v>
      </c>
      <c r="F416" t="s">
        <v>27</v>
      </c>
      <c r="G416" t="s">
        <v>283</v>
      </c>
    </row>
    <row r="417" spans="1:7" x14ac:dyDescent="0.45">
      <c r="A417" t="s">
        <v>23</v>
      </c>
      <c r="B417" t="s">
        <v>189</v>
      </c>
      <c r="C417" t="s">
        <v>363</v>
      </c>
      <c r="D417">
        <v>2040</v>
      </c>
      <c r="E417">
        <v>29.065202737077737</v>
      </c>
      <c r="F417" t="s">
        <v>27</v>
      </c>
      <c r="G417" t="s">
        <v>283</v>
      </c>
    </row>
    <row r="418" spans="1:7" x14ac:dyDescent="0.45">
      <c r="A418" t="s">
        <v>23</v>
      </c>
      <c r="B418" t="s">
        <v>189</v>
      </c>
      <c r="C418" t="s">
        <v>363</v>
      </c>
      <c r="D418">
        <v>2050</v>
      </c>
      <c r="E418">
        <v>26.497825091575095</v>
      </c>
      <c r="F418" t="s">
        <v>27</v>
      </c>
      <c r="G418" t="s">
        <v>283</v>
      </c>
    </row>
    <row r="419" spans="1:7" x14ac:dyDescent="0.45">
      <c r="A419" t="s">
        <v>23</v>
      </c>
      <c r="B419" t="s">
        <v>190</v>
      </c>
      <c r="C419" t="s">
        <v>363</v>
      </c>
      <c r="D419">
        <v>2030</v>
      </c>
      <c r="E419">
        <v>46.491529304029307</v>
      </c>
      <c r="F419" t="s">
        <v>27</v>
      </c>
      <c r="G419" t="s">
        <v>283</v>
      </c>
    </row>
    <row r="420" spans="1:7" x14ac:dyDescent="0.45">
      <c r="A420" t="s">
        <v>23</v>
      </c>
      <c r="B420" t="s">
        <v>190</v>
      </c>
      <c r="C420" t="s">
        <v>363</v>
      </c>
      <c r="D420">
        <v>2040</v>
      </c>
      <c r="E420">
        <v>44.687277421652425</v>
      </c>
      <c r="F420" t="s">
        <v>27</v>
      </c>
      <c r="G420" t="s">
        <v>283</v>
      </c>
    </row>
    <row r="421" spans="1:7" x14ac:dyDescent="0.45">
      <c r="A421" t="s">
        <v>23</v>
      </c>
      <c r="B421" t="s">
        <v>190</v>
      </c>
      <c r="C421" t="s">
        <v>363</v>
      </c>
      <c r="D421">
        <v>2050</v>
      </c>
      <c r="E421">
        <v>41.781517094017097</v>
      </c>
      <c r="F421" t="s">
        <v>27</v>
      </c>
      <c r="G421" t="s">
        <v>283</v>
      </c>
    </row>
    <row r="422" spans="1:7" x14ac:dyDescent="0.45">
      <c r="A422" t="s">
        <v>23</v>
      </c>
      <c r="B422" t="s">
        <v>191</v>
      </c>
      <c r="C422" t="s">
        <v>363</v>
      </c>
      <c r="D422">
        <v>2030</v>
      </c>
      <c r="E422">
        <v>1655.0011446886447</v>
      </c>
      <c r="F422" t="s">
        <v>27</v>
      </c>
      <c r="G422" t="s">
        <v>283</v>
      </c>
    </row>
    <row r="423" spans="1:7" x14ac:dyDescent="0.45">
      <c r="A423" t="s">
        <v>23</v>
      </c>
      <c r="B423" t="s">
        <v>191</v>
      </c>
      <c r="C423" t="s">
        <v>363</v>
      </c>
      <c r="D423">
        <v>2040</v>
      </c>
      <c r="E423">
        <v>1853.5551167582416</v>
      </c>
      <c r="F423" t="s">
        <v>27</v>
      </c>
      <c r="G423" t="s">
        <v>283</v>
      </c>
    </row>
    <row r="424" spans="1:7" x14ac:dyDescent="0.45">
      <c r="A424" t="s">
        <v>23</v>
      </c>
      <c r="B424" t="s">
        <v>191</v>
      </c>
      <c r="C424" t="s">
        <v>363</v>
      </c>
      <c r="D424">
        <v>2050</v>
      </c>
      <c r="E424">
        <v>2154.7506168599921</v>
      </c>
      <c r="F424" t="s">
        <v>27</v>
      </c>
      <c r="G424" t="s">
        <v>283</v>
      </c>
    </row>
    <row r="425" spans="1:7" x14ac:dyDescent="0.45">
      <c r="A425" t="s">
        <v>23</v>
      </c>
      <c r="B425" t="s">
        <v>192</v>
      </c>
      <c r="C425" t="s">
        <v>363</v>
      </c>
      <c r="D425">
        <v>2030</v>
      </c>
      <c r="E425">
        <v>112.07989926739927</v>
      </c>
      <c r="F425" t="s">
        <v>27</v>
      </c>
      <c r="G425" t="s">
        <v>283</v>
      </c>
    </row>
    <row r="426" spans="1:7" x14ac:dyDescent="0.45">
      <c r="A426" t="s">
        <v>23</v>
      </c>
      <c r="B426" t="s">
        <v>192</v>
      </c>
      <c r="C426" t="s">
        <v>363</v>
      </c>
      <c r="D426">
        <v>2040</v>
      </c>
      <c r="E426">
        <v>119.06796906796909</v>
      </c>
      <c r="F426" t="s">
        <v>27</v>
      </c>
      <c r="G426" t="s">
        <v>283</v>
      </c>
    </row>
    <row r="427" spans="1:7" x14ac:dyDescent="0.45">
      <c r="A427" t="s">
        <v>23</v>
      </c>
      <c r="B427" t="s">
        <v>192</v>
      </c>
      <c r="C427" t="s">
        <v>363</v>
      </c>
      <c r="D427">
        <v>2050</v>
      </c>
      <c r="E427">
        <v>131.08513303825805</v>
      </c>
      <c r="F427" t="s">
        <v>27</v>
      </c>
      <c r="G427" t="s">
        <v>283</v>
      </c>
    </row>
    <row r="428" spans="1:7" x14ac:dyDescent="0.45">
      <c r="A428" t="s">
        <v>23</v>
      </c>
      <c r="B428" t="s">
        <v>195</v>
      </c>
      <c r="C428" t="s">
        <v>363</v>
      </c>
      <c r="D428">
        <v>2030</v>
      </c>
      <c r="E428">
        <v>157.15201465201463</v>
      </c>
      <c r="F428" t="s">
        <v>27</v>
      </c>
      <c r="G428" t="s">
        <v>283</v>
      </c>
    </row>
    <row r="429" spans="1:7" x14ac:dyDescent="0.45">
      <c r="A429" t="s">
        <v>23</v>
      </c>
      <c r="B429" t="s">
        <v>195</v>
      </c>
      <c r="C429" t="s">
        <v>363</v>
      </c>
      <c r="D429">
        <v>2040</v>
      </c>
      <c r="E429">
        <v>71.660227793040292</v>
      </c>
      <c r="F429" t="s">
        <v>27</v>
      </c>
      <c r="G429" t="s">
        <v>283</v>
      </c>
    </row>
    <row r="430" spans="1:7" x14ac:dyDescent="0.45">
      <c r="A430" t="s">
        <v>23</v>
      </c>
      <c r="B430" t="s">
        <v>195</v>
      </c>
      <c r="C430" t="s">
        <v>363</v>
      </c>
      <c r="D430">
        <v>2050</v>
      </c>
      <c r="E430">
        <v>69.032022664835154</v>
      </c>
      <c r="F430" t="s">
        <v>27</v>
      </c>
      <c r="G430" t="s">
        <v>283</v>
      </c>
    </row>
    <row r="431" spans="1:7" x14ac:dyDescent="0.45">
      <c r="A431" t="s">
        <v>23</v>
      </c>
      <c r="B431" t="s">
        <v>196</v>
      </c>
      <c r="C431" t="s">
        <v>363</v>
      </c>
      <c r="D431">
        <v>2030</v>
      </c>
      <c r="E431">
        <v>382.53677312271066</v>
      </c>
      <c r="F431" t="s">
        <v>27</v>
      </c>
      <c r="G431" t="s">
        <v>283</v>
      </c>
    </row>
    <row r="432" spans="1:7" x14ac:dyDescent="0.45">
      <c r="A432" t="s">
        <v>23</v>
      </c>
      <c r="B432" t="s">
        <v>196</v>
      </c>
      <c r="C432" t="s">
        <v>363</v>
      </c>
      <c r="D432">
        <v>2040</v>
      </c>
      <c r="E432">
        <v>169.87165178571428</v>
      </c>
      <c r="F432" t="s">
        <v>27</v>
      </c>
      <c r="G432" t="s">
        <v>283</v>
      </c>
    </row>
    <row r="433" spans="1:7" ht="13.5" customHeight="1" x14ac:dyDescent="0.45">
      <c r="A433" t="s">
        <v>23</v>
      </c>
      <c r="B433" t="s">
        <v>196</v>
      </c>
      <c r="C433" t="s">
        <v>363</v>
      </c>
      <c r="D433">
        <v>2050</v>
      </c>
      <c r="E433">
        <v>163.97693452380955</v>
      </c>
      <c r="F433" t="s">
        <v>27</v>
      </c>
      <c r="G433" t="s">
        <v>283</v>
      </c>
    </row>
    <row r="434" spans="1:7" x14ac:dyDescent="0.45">
      <c r="A434" t="s">
        <v>23</v>
      </c>
      <c r="B434" t="s">
        <v>197</v>
      </c>
      <c r="C434" t="s">
        <v>363</v>
      </c>
      <c r="D434">
        <v>2030</v>
      </c>
      <c r="E434">
        <v>3857.1925080128203</v>
      </c>
      <c r="F434" t="s">
        <v>27</v>
      </c>
      <c r="G434" t="s">
        <v>283</v>
      </c>
    </row>
    <row r="435" spans="1:7" x14ac:dyDescent="0.45">
      <c r="A435" t="s">
        <v>23</v>
      </c>
      <c r="B435" t="s">
        <v>197</v>
      </c>
      <c r="C435" t="s">
        <v>363</v>
      </c>
      <c r="D435">
        <v>2040</v>
      </c>
      <c r="E435">
        <v>1293.2782451923076</v>
      </c>
      <c r="F435" t="s">
        <v>27</v>
      </c>
      <c r="G435" t="s">
        <v>283</v>
      </c>
    </row>
    <row r="436" spans="1:7" x14ac:dyDescent="0.45">
      <c r="A436" t="s">
        <v>23</v>
      </c>
      <c r="B436" t="s">
        <v>197</v>
      </c>
      <c r="C436" t="s">
        <v>363</v>
      </c>
      <c r="D436">
        <v>2050</v>
      </c>
      <c r="E436">
        <v>1247.8179372710624</v>
      </c>
      <c r="F436" t="s">
        <v>27</v>
      </c>
      <c r="G436" t="s">
        <v>283</v>
      </c>
    </row>
    <row r="437" spans="1:7" x14ac:dyDescent="0.45">
      <c r="A437" t="s">
        <v>23</v>
      </c>
      <c r="B437" t="s">
        <v>198</v>
      </c>
      <c r="C437" t="s">
        <v>363</v>
      </c>
      <c r="D437">
        <v>2030</v>
      </c>
      <c r="E437">
        <v>1086.5353136446886</v>
      </c>
      <c r="F437" t="s">
        <v>27</v>
      </c>
      <c r="G437" t="s">
        <v>283</v>
      </c>
    </row>
    <row r="438" spans="1:7" x14ac:dyDescent="0.45">
      <c r="A438" t="s">
        <v>23</v>
      </c>
      <c r="B438" t="s">
        <v>198</v>
      </c>
      <c r="C438" t="s">
        <v>363</v>
      </c>
      <c r="D438">
        <v>2040</v>
      </c>
      <c r="E438">
        <v>416.04925022893769</v>
      </c>
      <c r="F438" t="s">
        <v>27</v>
      </c>
      <c r="G438" t="s">
        <v>283</v>
      </c>
    </row>
    <row r="439" spans="1:7" x14ac:dyDescent="0.45">
      <c r="A439" t="s">
        <v>23</v>
      </c>
      <c r="B439" t="s">
        <v>198</v>
      </c>
      <c r="C439" t="s">
        <v>363</v>
      </c>
      <c r="D439">
        <v>2050</v>
      </c>
      <c r="E439">
        <v>400.74662316849822</v>
      </c>
      <c r="F439" t="s">
        <v>27</v>
      </c>
      <c r="G439" t="s">
        <v>283</v>
      </c>
    </row>
    <row r="440" spans="1:7" x14ac:dyDescent="0.45">
      <c r="A440" t="s">
        <v>23</v>
      </c>
      <c r="B440" t="s">
        <v>199</v>
      </c>
      <c r="C440" t="s">
        <v>363</v>
      </c>
      <c r="D440">
        <v>2030</v>
      </c>
      <c r="E440">
        <v>84.089972527472526</v>
      </c>
      <c r="F440" t="s">
        <v>27</v>
      </c>
      <c r="G440" t="s">
        <v>283</v>
      </c>
    </row>
    <row r="441" spans="1:7" x14ac:dyDescent="0.45">
      <c r="A441" t="s">
        <v>23</v>
      </c>
      <c r="B441" t="s">
        <v>199</v>
      </c>
      <c r="C441" t="s">
        <v>363</v>
      </c>
      <c r="D441">
        <v>2040</v>
      </c>
      <c r="E441">
        <v>93.825549450549445</v>
      </c>
      <c r="F441" t="s">
        <v>27</v>
      </c>
      <c r="G441" t="s">
        <v>283</v>
      </c>
    </row>
    <row r="442" spans="1:7" x14ac:dyDescent="0.45">
      <c r="A442" t="s">
        <v>23</v>
      </c>
      <c r="B442" t="s">
        <v>199</v>
      </c>
      <c r="C442" t="s">
        <v>363</v>
      </c>
      <c r="D442">
        <v>2050</v>
      </c>
      <c r="E442">
        <v>102.71062271062273</v>
      </c>
      <c r="F442" t="s">
        <v>27</v>
      </c>
      <c r="G442" t="s">
        <v>283</v>
      </c>
    </row>
    <row r="443" spans="1:7" x14ac:dyDescent="0.45">
      <c r="A443" t="s">
        <v>23</v>
      </c>
      <c r="B443" t="s">
        <v>200</v>
      </c>
      <c r="C443" t="s">
        <v>363</v>
      </c>
      <c r="D443">
        <v>2030</v>
      </c>
      <c r="E443">
        <v>203.18223443223442</v>
      </c>
      <c r="F443" t="s">
        <v>27</v>
      </c>
      <c r="G443" t="s">
        <v>283</v>
      </c>
    </row>
    <row r="444" spans="1:7" x14ac:dyDescent="0.45">
      <c r="A444" t="s">
        <v>23</v>
      </c>
      <c r="B444" t="s">
        <v>200</v>
      </c>
      <c r="C444" t="s">
        <v>363</v>
      </c>
      <c r="D444">
        <v>2040</v>
      </c>
      <c r="E444">
        <v>222.92811355311358</v>
      </c>
      <c r="F444" t="s">
        <v>27</v>
      </c>
      <c r="G444" t="s">
        <v>283</v>
      </c>
    </row>
    <row r="445" spans="1:7" x14ac:dyDescent="0.45">
      <c r="A445" t="s">
        <v>23</v>
      </c>
      <c r="B445" t="s">
        <v>200</v>
      </c>
      <c r="C445" t="s">
        <v>363</v>
      </c>
      <c r="D445">
        <v>2050</v>
      </c>
      <c r="E445">
        <v>242.54578754578753</v>
      </c>
      <c r="F445" t="s">
        <v>27</v>
      </c>
      <c r="G445" t="s">
        <v>283</v>
      </c>
    </row>
    <row r="446" spans="1:7" x14ac:dyDescent="0.45">
      <c r="A446" t="s">
        <v>23</v>
      </c>
      <c r="B446" t="s">
        <v>201</v>
      </c>
      <c r="C446" t="s">
        <v>363</v>
      </c>
      <c r="D446">
        <v>2030</v>
      </c>
      <c r="E446">
        <v>1058.8701923076926</v>
      </c>
      <c r="F446" t="s">
        <v>27</v>
      </c>
      <c r="G446" t="s">
        <v>283</v>
      </c>
    </row>
    <row r="447" spans="1:7" x14ac:dyDescent="0.45">
      <c r="A447" t="s">
        <v>23</v>
      </c>
      <c r="B447" t="s">
        <v>201</v>
      </c>
      <c r="C447" t="s">
        <v>363</v>
      </c>
      <c r="D447">
        <v>2040</v>
      </c>
      <c r="E447">
        <v>1190.5254120879122</v>
      </c>
      <c r="F447" t="s">
        <v>27</v>
      </c>
      <c r="G447" t="s">
        <v>283</v>
      </c>
    </row>
    <row r="448" spans="1:7" x14ac:dyDescent="0.45">
      <c r="A448" t="s">
        <v>23</v>
      </c>
      <c r="B448" t="s">
        <v>201</v>
      </c>
      <c r="C448" t="s">
        <v>363</v>
      </c>
      <c r="D448">
        <v>2050</v>
      </c>
      <c r="E448">
        <v>1286.8040293040294</v>
      </c>
      <c r="F448" t="s">
        <v>27</v>
      </c>
      <c r="G448" t="s">
        <v>283</v>
      </c>
    </row>
    <row r="449" spans="1:7" x14ac:dyDescent="0.45">
      <c r="A449" t="s">
        <v>23</v>
      </c>
      <c r="B449" t="s">
        <v>202</v>
      </c>
      <c r="C449" t="s">
        <v>363</v>
      </c>
      <c r="D449">
        <v>2030</v>
      </c>
      <c r="E449">
        <v>663.56799450549454</v>
      </c>
      <c r="F449" t="s">
        <v>27</v>
      </c>
      <c r="G449" t="s">
        <v>283</v>
      </c>
    </row>
    <row r="450" spans="1:7" x14ac:dyDescent="0.45">
      <c r="A450" t="s">
        <v>23</v>
      </c>
      <c r="B450" t="s">
        <v>202</v>
      </c>
      <c r="C450" t="s">
        <v>363</v>
      </c>
      <c r="D450">
        <v>2040</v>
      </c>
      <c r="E450">
        <v>759.08424908424922</v>
      </c>
      <c r="F450" t="s">
        <v>27</v>
      </c>
      <c r="G450" t="s">
        <v>283</v>
      </c>
    </row>
    <row r="451" spans="1:7" x14ac:dyDescent="0.45">
      <c r="A451" t="s">
        <v>23</v>
      </c>
      <c r="B451" t="s">
        <v>202</v>
      </c>
      <c r="C451" t="s">
        <v>363</v>
      </c>
      <c r="D451">
        <v>2050</v>
      </c>
      <c r="E451">
        <v>794.35325091575089</v>
      </c>
      <c r="F451" t="s">
        <v>27</v>
      </c>
      <c r="G451" t="s">
        <v>283</v>
      </c>
    </row>
    <row r="452" spans="1:7" x14ac:dyDescent="0.45">
      <c r="A452" t="s">
        <v>23</v>
      </c>
      <c r="B452" t="s">
        <v>203</v>
      </c>
      <c r="C452" t="s">
        <v>363</v>
      </c>
      <c r="D452">
        <v>2030</v>
      </c>
      <c r="E452">
        <v>166.42811355311355</v>
      </c>
      <c r="F452" t="s">
        <v>27</v>
      </c>
      <c r="G452" t="s">
        <v>280</v>
      </c>
    </row>
    <row r="453" spans="1:7" x14ac:dyDescent="0.45">
      <c r="A453" t="s">
        <v>23</v>
      </c>
      <c r="B453" t="s">
        <v>203</v>
      </c>
      <c r="C453" t="s">
        <v>363</v>
      </c>
      <c r="D453">
        <v>2040</v>
      </c>
      <c r="E453">
        <v>183.77518315018315</v>
      </c>
      <c r="F453" t="s">
        <v>27</v>
      </c>
      <c r="G453" t="s">
        <v>280</v>
      </c>
    </row>
    <row r="454" spans="1:7" x14ac:dyDescent="0.45">
      <c r="A454" t="s">
        <v>23</v>
      </c>
      <c r="B454" t="s">
        <v>203</v>
      </c>
      <c r="C454" t="s">
        <v>363</v>
      </c>
      <c r="D454">
        <v>2050</v>
      </c>
      <c r="E454">
        <v>193.43727106227112</v>
      </c>
      <c r="F454" t="s">
        <v>27</v>
      </c>
      <c r="G454" t="s">
        <v>280</v>
      </c>
    </row>
    <row r="455" spans="1:7" x14ac:dyDescent="0.45">
      <c r="A455" t="s">
        <v>23</v>
      </c>
      <c r="B455" t="s">
        <v>204</v>
      </c>
      <c r="C455" t="s">
        <v>363</v>
      </c>
      <c r="D455">
        <v>2030</v>
      </c>
      <c r="E455">
        <v>124.82108516483514</v>
      </c>
      <c r="F455" t="s">
        <v>27</v>
      </c>
      <c r="G455" t="s">
        <v>280</v>
      </c>
    </row>
    <row r="456" spans="1:7" x14ac:dyDescent="0.45">
      <c r="A456" t="s">
        <v>23</v>
      </c>
      <c r="B456" t="s">
        <v>204</v>
      </c>
      <c r="C456" t="s">
        <v>363</v>
      </c>
      <c r="D456">
        <v>2040</v>
      </c>
      <c r="E456">
        <v>137.83138736263734</v>
      </c>
      <c r="F456" t="s">
        <v>27</v>
      </c>
      <c r="G456" t="s">
        <v>280</v>
      </c>
    </row>
    <row r="457" spans="1:7" x14ac:dyDescent="0.45">
      <c r="A457" t="s">
        <v>23</v>
      </c>
      <c r="B457" t="s">
        <v>204</v>
      </c>
      <c r="C457" t="s">
        <v>363</v>
      </c>
      <c r="D457">
        <v>2050</v>
      </c>
      <c r="E457">
        <v>145.07795329670333</v>
      </c>
      <c r="F457" t="s">
        <v>27</v>
      </c>
      <c r="G457" t="s">
        <v>280</v>
      </c>
    </row>
    <row r="458" spans="1:7" x14ac:dyDescent="0.45">
      <c r="A458" t="s">
        <v>23</v>
      </c>
      <c r="B458" t="s">
        <v>205</v>
      </c>
      <c r="C458" t="s">
        <v>363</v>
      </c>
      <c r="D458">
        <v>2030</v>
      </c>
      <c r="E458">
        <v>88.424336080586087</v>
      </c>
      <c r="F458" t="s">
        <v>27</v>
      </c>
      <c r="G458" t="s">
        <v>281</v>
      </c>
    </row>
    <row r="459" spans="1:7" x14ac:dyDescent="0.45">
      <c r="A459" t="s">
        <v>23</v>
      </c>
      <c r="B459" t="s">
        <v>205</v>
      </c>
      <c r="C459" t="s">
        <v>363</v>
      </c>
      <c r="D459">
        <v>2040</v>
      </c>
      <c r="E459">
        <v>96.526442307692321</v>
      </c>
      <c r="F459" t="s">
        <v>27</v>
      </c>
      <c r="G459" t="s">
        <v>281</v>
      </c>
    </row>
    <row r="460" spans="1:7" x14ac:dyDescent="0.45">
      <c r="A460" t="s">
        <v>23</v>
      </c>
      <c r="B460" t="s">
        <v>205</v>
      </c>
      <c r="C460" t="s">
        <v>363</v>
      </c>
      <c r="D460">
        <v>2050</v>
      </c>
      <c r="E460">
        <v>101.7032967032967</v>
      </c>
      <c r="F460" t="s">
        <v>27</v>
      </c>
      <c r="G460" t="s">
        <v>281</v>
      </c>
    </row>
    <row r="461" spans="1:7" x14ac:dyDescent="0.45">
      <c r="A461" t="s">
        <v>23</v>
      </c>
      <c r="B461" t="s">
        <v>206</v>
      </c>
      <c r="C461" t="s">
        <v>363</v>
      </c>
      <c r="D461">
        <v>2030</v>
      </c>
      <c r="E461">
        <v>88.424336080586087</v>
      </c>
      <c r="F461" t="s">
        <v>27</v>
      </c>
      <c r="G461" t="s">
        <v>281</v>
      </c>
    </row>
    <row r="462" spans="1:7" x14ac:dyDescent="0.45">
      <c r="A462" t="s">
        <v>23</v>
      </c>
      <c r="B462" t="s">
        <v>206</v>
      </c>
      <c r="C462" t="s">
        <v>363</v>
      </c>
      <c r="D462">
        <v>2040</v>
      </c>
      <c r="E462">
        <v>96.526442307692321</v>
      </c>
      <c r="F462" t="s">
        <v>27</v>
      </c>
      <c r="G462" t="s">
        <v>281</v>
      </c>
    </row>
    <row r="463" spans="1:7" x14ac:dyDescent="0.45">
      <c r="A463" t="s">
        <v>23</v>
      </c>
      <c r="B463" t="s">
        <v>206</v>
      </c>
      <c r="C463" t="s">
        <v>363</v>
      </c>
      <c r="D463">
        <v>2050</v>
      </c>
      <c r="E463">
        <v>101.7032967032967</v>
      </c>
      <c r="F463" t="s">
        <v>27</v>
      </c>
      <c r="G463" t="s">
        <v>281</v>
      </c>
    </row>
    <row r="464" spans="1:7" x14ac:dyDescent="0.45">
      <c r="A464" t="s">
        <v>23</v>
      </c>
      <c r="B464" t="s">
        <v>207</v>
      </c>
      <c r="C464" t="s">
        <v>363</v>
      </c>
      <c r="D464">
        <v>2030</v>
      </c>
      <c r="E464">
        <v>124.82108516483514</v>
      </c>
      <c r="F464" t="s">
        <v>27</v>
      </c>
      <c r="G464" t="s">
        <v>280</v>
      </c>
    </row>
    <row r="465" spans="1:7" x14ac:dyDescent="0.45">
      <c r="A465" t="s">
        <v>23</v>
      </c>
      <c r="B465" t="s">
        <v>207</v>
      </c>
      <c r="C465" t="s">
        <v>363</v>
      </c>
      <c r="D465">
        <v>2040</v>
      </c>
      <c r="E465">
        <v>137.83138736263734</v>
      </c>
      <c r="F465" t="s">
        <v>27</v>
      </c>
      <c r="G465" t="s">
        <v>280</v>
      </c>
    </row>
    <row r="466" spans="1:7" x14ac:dyDescent="0.45">
      <c r="A466" t="s">
        <v>23</v>
      </c>
      <c r="B466" t="s">
        <v>207</v>
      </c>
      <c r="C466" t="s">
        <v>363</v>
      </c>
      <c r="D466">
        <v>2050</v>
      </c>
      <c r="E466">
        <v>145.07795329670333</v>
      </c>
      <c r="F466" t="s">
        <v>27</v>
      </c>
      <c r="G466" t="s">
        <v>280</v>
      </c>
    </row>
    <row r="467" spans="1:7" x14ac:dyDescent="0.45">
      <c r="A467" t="s">
        <v>23</v>
      </c>
      <c r="B467" t="s">
        <v>208</v>
      </c>
      <c r="C467" t="s">
        <v>363</v>
      </c>
      <c r="D467">
        <v>2030</v>
      </c>
      <c r="E467">
        <v>720.79945054945051</v>
      </c>
      <c r="F467" t="s">
        <v>27</v>
      </c>
      <c r="G467" t="s">
        <v>282</v>
      </c>
    </row>
    <row r="468" spans="1:7" x14ac:dyDescent="0.45">
      <c r="A468" t="s">
        <v>23</v>
      </c>
      <c r="B468" t="s">
        <v>208</v>
      </c>
      <c r="C468" t="s">
        <v>363</v>
      </c>
      <c r="D468">
        <v>2040</v>
      </c>
      <c r="E468">
        <v>720.36750864875864</v>
      </c>
      <c r="F468" t="s">
        <v>27</v>
      </c>
      <c r="G468" t="s">
        <v>282</v>
      </c>
    </row>
    <row r="469" spans="1:7" x14ac:dyDescent="0.45">
      <c r="A469" t="s">
        <v>23</v>
      </c>
      <c r="B469" t="s">
        <v>208</v>
      </c>
      <c r="C469" t="s">
        <v>363</v>
      </c>
      <c r="D469">
        <v>2050</v>
      </c>
      <c r="E469">
        <v>557.18007224257212</v>
      </c>
      <c r="F469" t="s">
        <v>27</v>
      </c>
      <c r="G469" t="s">
        <v>282</v>
      </c>
    </row>
    <row r="470" spans="1:7" x14ac:dyDescent="0.45">
      <c r="A470" t="s">
        <v>23</v>
      </c>
      <c r="B470" t="s">
        <v>209</v>
      </c>
      <c r="C470" t="s">
        <v>363</v>
      </c>
      <c r="D470">
        <v>2030</v>
      </c>
      <c r="E470">
        <v>240.2664835164835</v>
      </c>
      <c r="F470" t="s">
        <v>27</v>
      </c>
      <c r="G470" t="s">
        <v>282</v>
      </c>
    </row>
    <row r="471" spans="1:7" x14ac:dyDescent="0.45">
      <c r="A471" t="s">
        <v>23</v>
      </c>
      <c r="B471" t="s">
        <v>209</v>
      </c>
      <c r="C471" t="s">
        <v>363</v>
      </c>
      <c r="D471">
        <v>2040</v>
      </c>
      <c r="E471">
        <v>275.01063606532358</v>
      </c>
      <c r="F471" t="s">
        <v>27</v>
      </c>
      <c r="G471" t="s">
        <v>282</v>
      </c>
    </row>
    <row r="472" spans="1:7" x14ac:dyDescent="0.45">
      <c r="A472" t="s">
        <v>23</v>
      </c>
      <c r="B472" t="s">
        <v>209</v>
      </c>
      <c r="C472" t="s">
        <v>363</v>
      </c>
      <c r="D472">
        <v>2050</v>
      </c>
      <c r="E472">
        <v>323.98137973137977</v>
      </c>
      <c r="F472" t="s">
        <v>27</v>
      </c>
      <c r="G472" t="s">
        <v>282</v>
      </c>
    </row>
    <row r="473" spans="1:7" x14ac:dyDescent="0.45">
      <c r="A473" t="s">
        <v>23</v>
      </c>
      <c r="B473" t="s">
        <v>210</v>
      </c>
      <c r="C473" t="s">
        <v>363</v>
      </c>
      <c r="D473">
        <v>2030</v>
      </c>
      <c r="E473">
        <v>111.43143315018315</v>
      </c>
      <c r="F473" t="s">
        <v>27</v>
      </c>
      <c r="G473" t="s">
        <v>281</v>
      </c>
    </row>
    <row r="474" spans="1:7" x14ac:dyDescent="0.45">
      <c r="A474" t="s">
        <v>23</v>
      </c>
      <c r="B474" t="s">
        <v>210</v>
      </c>
      <c r="C474" t="s">
        <v>363</v>
      </c>
      <c r="D474">
        <v>2040</v>
      </c>
      <c r="E474">
        <v>126.28434065934066</v>
      </c>
      <c r="F474" t="s">
        <v>27</v>
      </c>
      <c r="G474" t="s">
        <v>281</v>
      </c>
    </row>
    <row r="475" spans="1:7" x14ac:dyDescent="0.45">
      <c r="A475" t="s">
        <v>23</v>
      </c>
      <c r="B475" t="s">
        <v>210</v>
      </c>
      <c r="C475" t="s">
        <v>363</v>
      </c>
      <c r="D475">
        <v>2050</v>
      </c>
      <c r="E475">
        <v>120.82409633190883</v>
      </c>
      <c r="F475" t="s">
        <v>27</v>
      </c>
      <c r="G475" t="s">
        <v>281</v>
      </c>
    </row>
    <row r="476" spans="1:7" x14ac:dyDescent="0.45">
      <c r="A476" t="s">
        <v>23</v>
      </c>
      <c r="B476" t="s">
        <v>211</v>
      </c>
      <c r="C476" t="s">
        <v>363</v>
      </c>
      <c r="D476">
        <v>2030</v>
      </c>
      <c r="E476">
        <v>111.43143315018315</v>
      </c>
      <c r="F476" t="s">
        <v>27</v>
      </c>
      <c r="G476" t="s">
        <v>281</v>
      </c>
    </row>
    <row r="477" spans="1:7" x14ac:dyDescent="0.45">
      <c r="A477" t="s">
        <v>23</v>
      </c>
      <c r="B477" t="s">
        <v>211</v>
      </c>
      <c r="C477" t="s">
        <v>363</v>
      </c>
      <c r="D477">
        <v>2040</v>
      </c>
      <c r="E477">
        <v>126.28434065934066</v>
      </c>
      <c r="F477" t="s">
        <v>27</v>
      </c>
      <c r="G477" t="s">
        <v>281</v>
      </c>
    </row>
    <row r="478" spans="1:7" x14ac:dyDescent="0.45">
      <c r="A478" t="s">
        <v>23</v>
      </c>
      <c r="B478" t="s">
        <v>211</v>
      </c>
      <c r="C478" t="s">
        <v>363</v>
      </c>
      <c r="D478">
        <v>2050</v>
      </c>
      <c r="E478">
        <v>120.82409633190883</v>
      </c>
      <c r="F478" t="s">
        <v>27</v>
      </c>
      <c r="G478" t="s">
        <v>281</v>
      </c>
    </row>
    <row r="479" spans="1:7" x14ac:dyDescent="0.45">
      <c r="A479" t="s">
        <v>23</v>
      </c>
      <c r="B479" t="s">
        <v>212</v>
      </c>
      <c r="C479" t="s">
        <v>363</v>
      </c>
      <c r="D479">
        <v>2030</v>
      </c>
      <c r="E479">
        <v>240.2664835164835</v>
      </c>
      <c r="F479" t="s">
        <v>27</v>
      </c>
      <c r="G479" t="s">
        <v>282</v>
      </c>
    </row>
    <row r="480" spans="1:7" x14ac:dyDescent="0.45">
      <c r="A480" t="s">
        <v>23</v>
      </c>
      <c r="B480" t="s">
        <v>212</v>
      </c>
      <c r="C480" t="s">
        <v>363</v>
      </c>
      <c r="D480">
        <v>2040</v>
      </c>
      <c r="E480">
        <v>275.01063606532358</v>
      </c>
      <c r="F480" t="s">
        <v>27</v>
      </c>
      <c r="G480" t="s">
        <v>282</v>
      </c>
    </row>
    <row r="481" spans="1:7" x14ac:dyDescent="0.45">
      <c r="A481" t="s">
        <v>23</v>
      </c>
      <c r="B481" t="s">
        <v>212</v>
      </c>
      <c r="C481" t="s">
        <v>363</v>
      </c>
      <c r="D481">
        <v>2050</v>
      </c>
      <c r="E481">
        <v>323.98137973137977</v>
      </c>
      <c r="F481" t="s">
        <v>27</v>
      </c>
      <c r="G481" t="s">
        <v>282</v>
      </c>
    </row>
    <row r="482" spans="1:7" x14ac:dyDescent="0.45">
      <c r="A482" t="s">
        <v>23</v>
      </c>
      <c r="B482" t="s">
        <v>215</v>
      </c>
      <c r="C482" t="s">
        <v>363</v>
      </c>
      <c r="D482">
        <v>2030</v>
      </c>
      <c r="E482">
        <v>679.7110805860807</v>
      </c>
      <c r="F482" t="s">
        <v>27</v>
      </c>
      <c r="G482" t="s">
        <v>280</v>
      </c>
    </row>
    <row r="483" spans="1:7" x14ac:dyDescent="0.45">
      <c r="A483" t="s">
        <v>23</v>
      </c>
      <c r="B483" t="s">
        <v>215</v>
      </c>
      <c r="C483" t="s">
        <v>363</v>
      </c>
      <c r="D483">
        <v>2040</v>
      </c>
      <c r="E483">
        <v>293.68229166666674</v>
      </c>
      <c r="F483" t="s">
        <v>27</v>
      </c>
      <c r="G483" t="s">
        <v>280</v>
      </c>
    </row>
    <row r="484" spans="1:7" x14ac:dyDescent="0.45">
      <c r="A484" t="s">
        <v>23</v>
      </c>
      <c r="B484" t="s">
        <v>215</v>
      </c>
      <c r="C484" t="s">
        <v>363</v>
      </c>
      <c r="D484">
        <v>2050</v>
      </c>
      <c r="E484">
        <v>303.78977793040298</v>
      </c>
      <c r="F484" t="s">
        <v>27</v>
      </c>
      <c r="G484" t="s">
        <v>280</v>
      </c>
    </row>
    <row r="485" spans="1:7" x14ac:dyDescent="0.45">
      <c r="A485" t="s">
        <v>23</v>
      </c>
      <c r="B485" t="s">
        <v>216</v>
      </c>
      <c r="C485" t="s">
        <v>363</v>
      </c>
      <c r="D485">
        <v>2030</v>
      </c>
      <c r="E485">
        <v>509.78331043956047</v>
      </c>
      <c r="F485" t="s">
        <v>27</v>
      </c>
      <c r="G485" t="s">
        <v>280</v>
      </c>
    </row>
    <row r="486" spans="1:7" x14ac:dyDescent="0.45">
      <c r="A486" t="s">
        <v>23</v>
      </c>
      <c r="B486" t="s">
        <v>216</v>
      </c>
      <c r="C486" t="s">
        <v>363</v>
      </c>
      <c r="D486">
        <v>2040</v>
      </c>
      <c r="E486">
        <v>220.26171875000006</v>
      </c>
      <c r="F486" t="s">
        <v>27</v>
      </c>
      <c r="G486" t="s">
        <v>280</v>
      </c>
    </row>
    <row r="487" spans="1:7" x14ac:dyDescent="0.45">
      <c r="A487" t="s">
        <v>23</v>
      </c>
      <c r="B487" t="s">
        <v>216</v>
      </c>
      <c r="C487" t="s">
        <v>363</v>
      </c>
      <c r="D487">
        <v>2050</v>
      </c>
      <c r="E487">
        <v>227.84233344780222</v>
      </c>
      <c r="F487" t="s">
        <v>27</v>
      </c>
      <c r="G487" t="s">
        <v>280</v>
      </c>
    </row>
    <row r="488" spans="1:7" x14ac:dyDescent="0.45">
      <c r="A488" t="s">
        <v>23</v>
      </c>
      <c r="B488" t="s">
        <v>217</v>
      </c>
      <c r="C488" t="s">
        <v>363</v>
      </c>
      <c r="D488">
        <v>2030</v>
      </c>
      <c r="E488">
        <v>232.38524496336996</v>
      </c>
      <c r="F488" t="s">
        <v>27</v>
      </c>
      <c r="G488" t="s">
        <v>281</v>
      </c>
    </row>
    <row r="489" spans="1:7" x14ac:dyDescent="0.45">
      <c r="A489" t="s">
        <v>23</v>
      </c>
      <c r="B489" t="s">
        <v>217</v>
      </c>
      <c r="C489" t="s">
        <v>363</v>
      </c>
      <c r="D489">
        <v>2040</v>
      </c>
      <c r="E489">
        <v>125.64581902472528</v>
      </c>
      <c r="F489" t="s">
        <v>27</v>
      </c>
      <c r="G489" t="s">
        <v>281</v>
      </c>
    </row>
    <row r="490" spans="1:7" x14ac:dyDescent="0.45">
      <c r="A490" t="s">
        <v>23</v>
      </c>
      <c r="B490" t="s">
        <v>217</v>
      </c>
      <c r="C490" t="s">
        <v>363</v>
      </c>
      <c r="D490">
        <v>2050</v>
      </c>
      <c r="E490">
        <v>115.39219894688645</v>
      </c>
      <c r="F490" t="s">
        <v>27</v>
      </c>
      <c r="G490" t="s">
        <v>281</v>
      </c>
    </row>
    <row r="491" spans="1:7" x14ac:dyDescent="0.45">
      <c r="A491" t="s">
        <v>23</v>
      </c>
      <c r="B491" t="s">
        <v>218</v>
      </c>
      <c r="C491" t="s">
        <v>363</v>
      </c>
      <c r="D491">
        <v>2030</v>
      </c>
      <c r="E491">
        <v>232.38524496336996</v>
      </c>
      <c r="F491" t="s">
        <v>27</v>
      </c>
      <c r="G491" t="s">
        <v>281</v>
      </c>
    </row>
    <row r="492" spans="1:7" x14ac:dyDescent="0.45">
      <c r="A492" t="s">
        <v>23</v>
      </c>
      <c r="B492" t="s">
        <v>218</v>
      </c>
      <c r="C492" t="s">
        <v>363</v>
      </c>
      <c r="D492">
        <v>2040</v>
      </c>
      <c r="E492">
        <v>125.64581902472528</v>
      </c>
      <c r="F492" t="s">
        <v>27</v>
      </c>
      <c r="G492" t="s">
        <v>281</v>
      </c>
    </row>
    <row r="493" spans="1:7" x14ac:dyDescent="0.45">
      <c r="A493" t="s">
        <v>23</v>
      </c>
      <c r="B493" t="s">
        <v>218</v>
      </c>
      <c r="C493" t="s">
        <v>363</v>
      </c>
      <c r="D493">
        <v>2050</v>
      </c>
      <c r="E493">
        <v>115.39219894688645</v>
      </c>
      <c r="F493" t="s">
        <v>27</v>
      </c>
      <c r="G493" t="s">
        <v>281</v>
      </c>
    </row>
    <row r="494" spans="1:7" x14ac:dyDescent="0.45">
      <c r="A494" t="s">
        <v>23</v>
      </c>
      <c r="B494" t="s">
        <v>219</v>
      </c>
      <c r="C494" t="s">
        <v>363</v>
      </c>
      <c r="D494">
        <v>2030</v>
      </c>
      <c r="E494">
        <v>509.78331043956047</v>
      </c>
      <c r="F494" t="s">
        <v>27</v>
      </c>
      <c r="G494" t="s">
        <v>280</v>
      </c>
    </row>
    <row r="495" spans="1:7" x14ac:dyDescent="0.45">
      <c r="A495" t="s">
        <v>23</v>
      </c>
      <c r="B495" t="s">
        <v>219</v>
      </c>
      <c r="C495" t="s">
        <v>363</v>
      </c>
      <c r="D495">
        <v>2040</v>
      </c>
      <c r="E495">
        <v>220.26171875000006</v>
      </c>
      <c r="F495" t="s">
        <v>27</v>
      </c>
      <c r="G495" t="s">
        <v>280</v>
      </c>
    </row>
    <row r="496" spans="1:7" x14ac:dyDescent="0.45">
      <c r="A496" t="s">
        <v>23</v>
      </c>
      <c r="B496" t="s">
        <v>219</v>
      </c>
      <c r="C496" t="s">
        <v>363</v>
      </c>
      <c r="D496">
        <v>2050</v>
      </c>
      <c r="E496">
        <v>227.84233344780222</v>
      </c>
      <c r="F496" t="s">
        <v>27</v>
      </c>
      <c r="G496" t="s">
        <v>280</v>
      </c>
    </row>
  </sheetData>
  <autoFilter ref="A1:G496" xr:uid="{3F363F9D-4225-49CE-A925-FB3A0FD0E53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82E7-E7E3-463B-890B-60E46CB0A901}">
  <dimension ref="A1:G18"/>
  <sheetViews>
    <sheetView workbookViewId="0">
      <selection sqref="A1:G18"/>
    </sheetView>
  </sheetViews>
  <sheetFormatPr defaultRowHeight="14.25" x14ac:dyDescent="0.45"/>
  <sheetData>
    <row r="1" spans="1:7" x14ac:dyDescent="0.45">
      <c r="A1" t="s">
        <v>170</v>
      </c>
      <c r="B1" t="s">
        <v>171</v>
      </c>
      <c r="C1" t="s">
        <v>2</v>
      </c>
      <c r="D1">
        <v>2030</v>
      </c>
      <c r="E1" s="6">
        <v>21.934501142421933</v>
      </c>
      <c r="F1" t="s">
        <v>173</v>
      </c>
      <c r="G1" t="s">
        <v>93</v>
      </c>
    </row>
    <row r="2" spans="1:7" x14ac:dyDescent="0.45">
      <c r="A2" t="s">
        <v>170</v>
      </c>
      <c r="B2" t="s">
        <v>172</v>
      </c>
      <c r="C2" t="s">
        <v>2</v>
      </c>
      <c r="D2">
        <v>2030</v>
      </c>
      <c r="E2" s="6">
        <v>24.33358720487433</v>
      </c>
      <c r="F2" t="s">
        <v>173</v>
      </c>
      <c r="G2" t="s">
        <v>93</v>
      </c>
    </row>
    <row r="3" spans="1:7" x14ac:dyDescent="0.45">
      <c r="A3" t="s">
        <v>170</v>
      </c>
      <c r="B3" t="s">
        <v>246</v>
      </c>
      <c r="C3" t="s">
        <v>2</v>
      </c>
      <c r="D3">
        <v>2030</v>
      </c>
      <c r="E3" s="6">
        <v>6.1690784463061732</v>
      </c>
      <c r="F3" t="s">
        <v>173</v>
      </c>
      <c r="G3" t="s">
        <v>93</v>
      </c>
    </row>
    <row r="4" spans="1:7" x14ac:dyDescent="0.45">
      <c r="A4" t="s">
        <v>170</v>
      </c>
      <c r="B4" t="s">
        <v>171</v>
      </c>
      <c r="C4" t="s">
        <v>2</v>
      </c>
      <c r="D4">
        <v>2040</v>
      </c>
      <c r="E4" s="6">
        <v>23.648134044173645</v>
      </c>
      <c r="F4" t="s">
        <v>173</v>
      </c>
      <c r="G4" t="s">
        <v>93</v>
      </c>
    </row>
    <row r="5" spans="1:7" x14ac:dyDescent="0.45">
      <c r="A5" t="s">
        <v>170</v>
      </c>
      <c r="B5" t="s">
        <v>172</v>
      </c>
      <c r="C5" t="s">
        <v>2</v>
      </c>
      <c r="D5">
        <v>2040</v>
      </c>
      <c r="E5" s="6">
        <v>26.047220106626042</v>
      </c>
      <c r="F5" t="s">
        <v>173</v>
      </c>
      <c r="G5" t="s">
        <v>93</v>
      </c>
    </row>
    <row r="6" spans="1:7" x14ac:dyDescent="0.45">
      <c r="A6" t="s">
        <v>170</v>
      </c>
      <c r="B6" t="s">
        <v>246</v>
      </c>
      <c r="C6" t="s">
        <v>2</v>
      </c>
      <c r="D6">
        <v>2040</v>
      </c>
      <c r="E6" s="6">
        <v>5.4836252856054841</v>
      </c>
      <c r="F6" t="s">
        <v>173</v>
      </c>
      <c r="G6" t="s">
        <v>93</v>
      </c>
    </row>
    <row r="7" spans="1:7" x14ac:dyDescent="0.45">
      <c r="A7" t="s">
        <v>170</v>
      </c>
      <c r="B7" t="s">
        <v>171</v>
      </c>
      <c r="C7" t="s">
        <v>2</v>
      </c>
      <c r="D7">
        <v>2050</v>
      </c>
      <c r="E7" s="6">
        <v>25.361766945925361</v>
      </c>
      <c r="F7" t="s">
        <v>173</v>
      </c>
      <c r="G7" t="s">
        <v>93</v>
      </c>
    </row>
    <row r="8" spans="1:7" x14ac:dyDescent="0.45">
      <c r="A8" t="s">
        <v>170</v>
      </c>
      <c r="B8" t="s">
        <v>172</v>
      </c>
      <c r="C8" t="s">
        <v>2</v>
      </c>
      <c r="D8">
        <v>2050</v>
      </c>
      <c r="E8" s="6">
        <v>28.103579588728099</v>
      </c>
      <c r="F8" t="s">
        <v>173</v>
      </c>
      <c r="G8" t="s">
        <v>93</v>
      </c>
    </row>
    <row r="9" spans="1:7" x14ac:dyDescent="0.45">
      <c r="A9" t="s">
        <v>170</v>
      </c>
      <c r="B9" t="s">
        <v>246</v>
      </c>
      <c r="C9" t="s">
        <v>2</v>
      </c>
      <c r="D9">
        <v>2050</v>
      </c>
      <c r="E9" s="6">
        <v>4.7981721249047986</v>
      </c>
      <c r="F9" t="s">
        <v>173</v>
      </c>
      <c r="G9" t="s">
        <v>93</v>
      </c>
    </row>
    <row r="10" spans="1:7" x14ac:dyDescent="0.45">
      <c r="A10" t="s">
        <v>170</v>
      </c>
      <c r="B10" t="s">
        <v>171</v>
      </c>
      <c r="C10" t="s">
        <v>350</v>
      </c>
      <c r="D10">
        <v>2030</v>
      </c>
      <c r="E10" s="6">
        <v>24.676313785224675</v>
      </c>
      <c r="F10" t="s">
        <v>173</v>
      </c>
      <c r="G10" t="s">
        <v>93</v>
      </c>
    </row>
    <row r="11" spans="1:7" x14ac:dyDescent="0.45">
      <c r="A11" t="s">
        <v>170</v>
      </c>
      <c r="B11" t="s">
        <v>172</v>
      </c>
      <c r="C11" t="s">
        <v>350</v>
      </c>
      <c r="D11">
        <v>2030</v>
      </c>
      <c r="E11" s="6">
        <v>27.418126428027417</v>
      </c>
      <c r="F11" t="s">
        <v>173</v>
      </c>
      <c r="G11" t="s">
        <v>93</v>
      </c>
    </row>
    <row r="12" spans="1:7" x14ac:dyDescent="0.45">
      <c r="A12" t="s">
        <v>170</v>
      </c>
      <c r="B12" t="s">
        <v>246</v>
      </c>
      <c r="C12" t="s">
        <v>350</v>
      </c>
      <c r="D12">
        <v>2030</v>
      </c>
      <c r="E12" s="6">
        <v>5.140898705255136</v>
      </c>
      <c r="F12" t="s">
        <v>173</v>
      </c>
      <c r="G12" t="s">
        <v>93</v>
      </c>
    </row>
    <row r="13" spans="1:7" x14ac:dyDescent="0.45">
      <c r="A13" t="s">
        <v>170</v>
      </c>
      <c r="B13" t="s">
        <v>171</v>
      </c>
      <c r="C13" t="s">
        <v>350</v>
      </c>
      <c r="D13">
        <v>2040</v>
      </c>
      <c r="E13" s="6">
        <v>28.103579588728099</v>
      </c>
      <c r="F13" t="s">
        <v>173</v>
      </c>
      <c r="G13" t="s">
        <v>93</v>
      </c>
    </row>
    <row r="14" spans="1:7" x14ac:dyDescent="0.45">
      <c r="A14" t="s">
        <v>170</v>
      </c>
      <c r="B14" t="s">
        <v>172</v>
      </c>
      <c r="C14" t="s">
        <v>350</v>
      </c>
      <c r="D14">
        <v>2040</v>
      </c>
      <c r="E14" s="6">
        <v>30.845392231530841</v>
      </c>
      <c r="F14" t="s">
        <v>173</v>
      </c>
      <c r="G14" t="s">
        <v>93</v>
      </c>
    </row>
    <row r="15" spans="1:7" x14ac:dyDescent="0.45">
      <c r="A15" t="s">
        <v>170</v>
      </c>
      <c r="B15" t="s">
        <v>246</v>
      </c>
      <c r="C15" t="s">
        <v>350</v>
      </c>
      <c r="D15">
        <v>2040</v>
      </c>
      <c r="E15" s="6">
        <v>4.1127189642041095</v>
      </c>
      <c r="F15" t="s">
        <v>173</v>
      </c>
      <c r="G15" t="s">
        <v>93</v>
      </c>
    </row>
    <row r="16" spans="1:7" x14ac:dyDescent="0.45">
      <c r="A16" t="s">
        <v>170</v>
      </c>
      <c r="B16" t="s">
        <v>171</v>
      </c>
      <c r="C16" t="s">
        <v>350</v>
      </c>
      <c r="D16">
        <v>2050</v>
      </c>
      <c r="E16" s="6">
        <v>31.188118811881182</v>
      </c>
      <c r="F16" t="s">
        <v>173</v>
      </c>
      <c r="G16" t="s">
        <v>93</v>
      </c>
    </row>
    <row r="17" spans="1:7" x14ac:dyDescent="0.45">
      <c r="A17" t="s">
        <v>170</v>
      </c>
      <c r="B17" t="s">
        <v>172</v>
      </c>
      <c r="C17" t="s">
        <v>350</v>
      </c>
      <c r="D17">
        <v>2050</v>
      </c>
      <c r="E17" s="6">
        <v>34.958111195734951</v>
      </c>
      <c r="F17" t="s">
        <v>173</v>
      </c>
      <c r="G17" t="s">
        <v>93</v>
      </c>
    </row>
    <row r="18" spans="1:7" x14ac:dyDescent="0.45">
      <c r="A18" t="s">
        <v>170</v>
      </c>
      <c r="B18" t="s">
        <v>246</v>
      </c>
      <c r="C18" t="s">
        <v>350</v>
      </c>
      <c r="D18">
        <v>2050</v>
      </c>
      <c r="E18" s="6">
        <v>2.7418126428027492</v>
      </c>
      <c r="F18" t="s">
        <v>173</v>
      </c>
      <c r="G18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A391" sqref="A391:XFD393"/>
    </sheetView>
  </sheetViews>
  <sheetFormatPr defaultRowHeight="14.25" x14ac:dyDescent="0.45"/>
  <sheetData>
    <row r="1" spans="1:7" x14ac:dyDescent="0.45">
      <c r="A1" t="s">
        <v>23</v>
      </c>
      <c r="B1" t="s">
        <v>305</v>
      </c>
      <c r="C1" t="s">
        <v>2</v>
      </c>
      <c r="D1">
        <v>2030</v>
      </c>
      <c r="E1">
        <v>21.75</v>
      </c>
      <c r="F1" t="s">
        <v>27</v>
      </c>
      <c r="G1" t="s">
        <v>300</v>
      </c>
    </row>
    <row r="2" spans="1:7" x14ac:dyDescent="0.45">
      <c r="A2" t="s">
        <v>23</v>
      </c>
      <c r="B2" t="s">
        <v>305</v>
      </c>
      <c r="C2" t="s">
        <v>2</v>
      </c>
      <c r="D2">
        <v>2040</v>
      </c>
      <c r="E2">
        <v>64.67</v>
      </c>
      <c r="F2" t="s">
        <v>27</v>
      </c>
      <c r="G2" t="s">
        <v>300</v>
      </c>
    </row>
    <row r="3" spans="1:7" x14ac:dyDescent="0.45">
      <c r="A3" t="s">
        <v>23</v>
      </c>
      <c r="B3" t="s">
        <v>305</v>
      </c>
      <c r="C3" t="s">
        <v>2</v>
      </c>
      <c r="D3">
        <v>2050</v>
      </c>
      <c r="E3">
        <v>86.42</v>
      </c>
      <c r="F3" t="s">
        <v>27</v>
      </c>
      <c r="G3" t="s">
        <v>300</v>
      </c>
    </row>
    <row r="4" spans="1:7" x14ac:dyDescent="0.45">
      <c r="A4" t="s">
        <v>23</v>
      </c>
      <c r="B4" t="s">
        <v>306</v>
      </c>
      <c r="C4" t="s">
        <v>2</v>
      </c>
      <c r="D4">
        <v>2030</v>
      </c>
      <c r="E4">
        <v>21.75</v>
      </c>
      <c r="F4" t="s">
        <v>27</v>
      </c>
      <c r="G4" t="s">
        <v>300</v>
      </c>
    </row>
    <row r="5" spans="1:7" x14ac:dyDescent="0.45">
      <c r="A5" t="s">
        <v>23</v>
      </c>
      <c r="B5" t="s">
        <v>306</v>
      </c>
      <c r="C5" t="s">
        <v>2</v>
      </c>
      <c r="D5">
        <v>2040</v>
      </c>
      <c r="E5">
        <v>64.67</v>
      </c>
      <c r="F5" t="s">
        <v>27</v>
      </c>
      <c r="G5" t="s">
        <v>300</v>
      </c>
    </row>
    <row r="6" spans="1:7" x14ac:dyDescent="0.45">
      <c r="A6" t="s">
        <v>23</v>
      </c>
      <c r="B6" t="s">
        <v>306</v>
      </c>
      <c r="C6" t="s">
        <v>2</v>
      </c>
      <c r="D6">
        <v>2050</v>
      </c>
      <c r="E6">
        <v>86.42</v>
      </c>
      <c r="F6" t="s">
        <v>27</v>
      </c>
      <c r="G6" t="s">
        <v>300</v>
      </c>
    </row>
    <row r="7" spans="1:7" x14ac:dyDescent="0.45">
      <c r="A7" t="s">
        <v>23</v>
      </c>
      <c r="B7" t="s">
        <v>307</v>
      </c>
      <c r="C7" t="s">
        <v>2</v>
      </c>
      <c r="D7">
        <v>2030</v>
      </c>
      <c r="E7">
        <v>31.59</v>
      </c>
      <c r="F7" t="s">
        <v>27</v>
      </c>
      <c r="G7" t="s">
        <v>300</v>
      </c>
    </row>
    <row r="8" spans="1:7" x14ac:dyDescent="0.45">
      <c r="A8" t="s">
        <v>23</v>
      </c>
      <c r="B8" t="s">
        <v>307</v>
      </c>
      <c r="C8" t="s">
        <v>2</v>
      </c>
      <c r="D8">
        <v>2040</v>
      </c>
      <c r="E8">
        <v>71.430000000000007</v>
      </c>
      <c r="F8" t="s">
        <v>27</v>
      </c>
      <c r="G8" t="s">
        <v>300</v>
      </c>
    </row>
    <row r="9" spans="1:7" x14ac:dyDescent="0.45">
      <c r="A9" t="s">
        <v>23</v>
      </c>
      <c r="B9" t="s">
        <v>307</v>
      </c>
      <c r="C9" t="s">
        <v>2</v>
      </c>
      <c r="D9">
        <v>2050</v>
      </c>
      <c r="E9">
        <v>73.03</v>
      </c>
      <c r="F9" t="s">
        <v>27</v>
      </c>
      <c r="G9" t="s">
        <v>300</v>
      </c>
    </row>
    <row r="10" spans="1:7" x14ac:dyDescent="0.45">
      <c r="A10" t="s">
        <v>23</v>
      </c>
      <c r="B10" t="s">
        <v>308</v>
      </c>
      <c r="C10" t="s">
        <v>2</v>
      </c>
      <c r="D10">
        <v>2030</v>
      </c>
      <c r="E10">
        <v>31.59</v>
      </c>
      <c r="F10" t="s">
        <v>27</v>
      </c>
      <c r="G10" t="s">
        <v>300</v>
      </c>
    </row>
    <row r="11" spans="1:7" x14ac:dyDescent="0.45">
      <c r="A11" t="s">
        <v>23</v>
      </c>
      <c r="B11" t="s">
        <v>308</v>
      </c>
      <c r="C11" t="s">
        <v>2</v>
      </c>
      <c r="D11">
        <v>2040</v>
      </c>
      <c r="E11">
        <v>71.430000000000007</v>
      </c>
      <c r="F11" t="s">
        <v>27</v>
      </c>
      <c r="G11" t="s">
        <v>300</v>
      </c>
    </row>
    <row r="12" spans="1:7" x14ac:dyDescent="0.45">
      <c r="A12" t="s">
        <v>23</v>
      </c>
      <c r="B12" t="s">
        <v>308</v>
      </c>
      <c r="C12" t="s">
        <v>2</v>
      </c>
      <c r="D12">
        <v>2050</v>
      </c>
      <c r="E12">
        <v>73.03</v>
      </c>
      <c r="F12" t="s">
        <v>27</v>
      </c>
      <c r="G12" t="s">
        <v>300</v>
      </c>
    </row>
    <row r="13" spans="1:7" x14ac:dyDescent="0.45">
      <c r="A13" t="s">
        <v>23</v>
      </c>
      <c r="B13" t="s">
        <v>309</v>
      </c>
      <c r="C13" t="s">
        <v>2</v>
      </c>
      <c r="D13">
        <v>2030</v>
      </c>
      <c r="E13">
        <v>173.76</v>
      </c>
      <c r="F13" t="s">
        <v>27</v>
      </c>
      <c r="G13" t="s">
        <v>300</v>
      </c>
    </row>
    <row r="14" spans="1:7" x14ac:dyDescent="0.45">
      <c r="A14" t="s">
        <v>23</v>
      </c>
      <c r="B14" t="s">
        <v>309</v>
      </c>
      <c r="C14" t="s">
        <v>2</v>
      </c>
      <c r="D14">
        <v>2040</v>
      </c>
      <c r="E14">
        <v>392.86</v>
      </c>
      <c r="F14" t="s">
        <v>27</v>
      </c>
      <c r="G14" t="s">
        <v>300</v>
      </c>
    </row>
    <row r="15" spans="1:7" x14ac:dyDescent="0.45">
      <c r="A15" t="s">
        <v>23</v>
      </c>
      <c r="B15" t="s">
        <v>309</v>
      </c>
      <c r="C15" t="s">
        <v>2</v>
      </c>
      <c r="D15">
        <v>2050</v>
      </c>
      <c r="E15">
        <v>401.67</v>
      </c>
      <c r="F15" t="s">
        <v>27</v>
      </c>
      <c r="G15" t="s">
        <v>300</v>
      </c>
    </row>
    <row r="16" spans="1:7" x14ac:dyDescent="0.45">
      <c r="A16" t="s">
        <v>23</v>
      </c>
      <c r="B16" t="s">
        <v>310</v>
      </c>
      <c r="C16" t="s">
        <v>2</v>
      </c>
      <c r="D16">
        <v>2030</v>
      </c>
      <c r="E16">
        <v>110.58</v>
      </c>
      <c r="F16" t="s">
        <v>27</v>
      </c>
      <c r="G16" t="s">
        <v>300</v>
      </c>
    </row>
    <row r="17" spans="1:7" x14ac:dyDescent="0.45">
      <c r="A17" t="s">
        <v>23</v>
      </c>
      <c r="B17" t="s">
        <v>310</v>
      </c>
      <c r="C17" t="s">
        <v>2</v>
      </c>
      <c r="D17">
        <v>2040</v>
      </c>
      <c r="E17">
        <v>250</v>
      </c>
      <c r="F17" t="s">
        <v>27</v>
      </c>
      <c r="G17" t="s">
        <v>300</v>
      </c>
    </row>
    <row r="18" spans="1:7" x14ac:dyDescent="0.45">
      <c r="A18" t="s">
        <v>23</v>
      </c>
      <c r="B18" t="s">
        <v>310</v>
      </c>
      <c r="C18" t="s">
        <v>2</v>
      </c>
      <c r="D18">
        <v>2050</v>
      </c>
      <c r="E18">
        <v>255.61</v>
      </c>
      <c r="F18" t="s">
        <v>27</v>
      </c>
      <c r="G18" t="s">
        <v>300</v>
      </c>
    </row>
    <row r="19" spans="1:7" x14ac:dyDescent="0.45">
      <c r="A19" t="s">
        <v>23</v>
      </c>
      <c r="B19" t="s">
        <v>311</v>
      </c>
      <c r="C19" t="s">
        <v>2</v>
      </c>
      <c r="D19">
        <v>2030</v>
      </c>
      <c r="E19">
        <v>54.95</v>
      </c>
      <c r="F19" t="s">
        <v>27</v>
      </c>
      <c r="G19" t="s">
        <v>304</v>
      </c>
    </row>
    <row r="20" spans="1:7" x14ac:dyDescent="0.45">
      <c r="A20" t="s">
        <v>23</v>
      </c>
      <c r="B20" t="s">
        <v>311</v>
      </c>
      <c r="C20" t="s">
        <v>2</v>
      </c>
      <c r="D20">
        <v>2040</v>
      </c>
      <c r="E20">
        <v>78.680000000000007</v>
      </c>
      <c r="F20" t="s">
        <v>27</v>
      </c>
      <c r="G20" t="s">
        <v>304</v>
      </c>
    </row>
    <row r="21" spans="1:7" x14ac:dyDescent="0.45">
      <c r="A21" t="s">
        <v>23</v>
      </c>
      <c r="B21" t="s">
        <v>311</v>
      </c>
      <c r="C21" t="s">
        <v>2</v>
      </c>
      <c r="D21">
        <v>2050</v>
      </c>
      <c r="E21">
        <v>186.98</v>
      </c>
      <c r="F21" t="s">
        <v>27</v>
      </c>
      <c r="G21" t="s">
        <v>304</v>
      </c>
    </row>
    <row r="22" spans="1:7" x14ac:dyDescent="0.45">
      <c r="A22" t="s">
        <v>23</v>
      </c>
      <c r="B22" t="s">
        <v>312</v>
      </c>
      <c r="C22" t="s">
        <v>2</v>
      </c>
      <c r="D22">
        <v>2030</v>
      </c>
      <c r="E22">
        <v>30.91</v>
      </c>
      <c r="F22" t="s">
        <v>27</v>
      </c>
      <c r="G22" t="s">
        <v>304</v>
      </c>
    </row>
    <row r="23" spans="1:7" x14ac:dyDescent="0.45">
      <c r="A23" t="s">
        <v>23</v>
      </c>
      <c r="B23" t="s">
        <v>312</v>
      </c>
      <c r="C23" t="s">
        <v>2</v>
      </c>
      <c r="D23">
        <v>2040</v>
      </c>
      <c r="E23">
        <v>39.340000000000003</v>
      </c>
      <c r="F23" t="s">
        <v>27</v>
      </c>
      <c r="G23" t="s">
        <v>304</v>
      </c>
    </row>
    <row r="24" spans="1:7" x14ac:dyDescent="0.45">
      <c r="A24" t="s">
        <v>23</v>
      </c>
      <c r="B24" t="s">
        <v>312</v>
      </c>
      <c r="C24" t="s">
        <v>2</v>
      </c>
      <c r="D24">
        <v>2050</v>
      </c>
      <c r="E24">
        <v>93.49</v>
      </c>
      <c r="F24" t="s">
        <v>27</v>
      </c>
      <c r="G24" t="s">
        <v>304</v>
      </c>
    </row>
    <row r="25" spans="1:7" x14ac:dyDescent="0.45">
      <c r="A25" t="s">
        <v>23</v>
      </c>
      <c r="B25" t="s">
        <v>313</v>
      </c>
      <c r="C25" t="s">
        <v>2</v>
      </c>
      <c r="D25">
        <v>2030</v>
      </c>
      <c r="E25">
        <v>30.91</v>
      </c>
      <c r="F25" t="s">
        <v>27</v>
      </c>
      <c r="G25" t="s">
        <v>304</v>
      </c>
    </row>
    <row r="26" spans="1:7" x14ac:dyDescent="0.45">
      <c r="A26" t="s">
        <v>23</v>
      </c>
      <c r="B26" t="s">
        <v>313</v>
      </c>
      <c r="C26" t="s">
        <v>2</v>
      </c>
      <c r="D26">
        <v>2040</v>
      </c>
      <c r="E26">
        <v>39.340000000000003</v>
      </c>
      <c r="F26" t="s">
        <v>27</v>
      </c>
      <c r="G26" t="s">
        <v>304</v>
      </c>
    </row>
    <row r="27" spans="1:7" x14ac:dyDescent="0.45">
      <c r="A27" t="s">
        <v>23</v>
      </c>
      <c r="B27" t="s">
        <v>313</v>
      </c>
      <c r="C27" t="s">
        <v>2</v>
      </c>
      <c r="D27">
        <v>2050</v>
      </c>
      <c r="E27">
        <v>93.49</v>
      </c>
      <c r="F27" t="s">
        <v>27</v>
      </c>
      <c r="G27" t="s">
        <v>304</v>
      </c>
    </row>
    <row r="28" spans="1:7" x14ac:dyDescent="0.45">
      <c r="A28" t="s">
        <v>23</v>
      </c>
      <c r="B28" t="s">
        <v>314</v>
      </c>
      <c r="C28" t="s">
        <v>2</v>
      </c>
      <c r="D28">
        <v>2030</v>
      </c>
      <c r="E28">
        <v>10.3</v>
      </c>
      <c r="F28" t="s">
        <v>27</v>
      </c>
      <c r="G28" t="s">
        <v>304</v>
      </c>
    </row>
    <row r="29" spans="1:7" x14ac:dyDescent="0.45">
      <c r="A29" t="s">
        <v>23</v>
      </c>
      <c r="B29" t="s">
        <v>314</v>
      </c>
      <c r="C29" t="s">
        <v>2</v>
      </c>
      <c r="D29">
        <v>2040</v>
      </c>
      <c r="E29">
        <v>13.11</v>
      </c>
      <c r="F29" t="s">
        <v>27</v>
      </c>
      <c r="G29" t="s">
        <v>304</v>
      </c>
    </row>
    <row r="30" spans="1:7" x14ac:dyDescent="0.45">
      <c r="A30" t="s">
        <v>23</v>
      </c>
      <c r="B30" t="s">
        <v>314</v>
      </c>
      <c r="C30" t="s">
        <v>2</v>
      </c>
      <c r="D30">
        <v>2050</v>
      </c>
      <c r="E30">
        <v>31.16</v>
      </c>
      <c r="F30" t="s">
        <v>27</v>
      </c>
      <c r="G30" t="s">
        <v>304</v>
      </c>
    </row>
    <row r="31" spans="1:7" x14ac:dyDescent="0.45">
      <c r="A31" t="s">
        <v>23</v>
      </c>
      <c r="B31" t="s">
        <v>315</v>
      </c>
      <c r="C31" t="s">
        <v>2</v>
      </c>
      <c r="D31">
        <v>2030</v>
      </c>
      <c r="E31">
        <v>10.3</v>
      </c>
      <c r="F31" t="s">
        <v>27</v>
      </c>
      <c r="G31" t="s">
        <v>304</v>
      </c>
    </row>
    <row r="32" spans="1:7" x14ac:dyDescent="0.45">
      <c r="A32" t="s">
        <v>23</v>
      </c>
      <c r="B32" t="s">
        <v>315</v>
      </c>
      <c r="C32" t="s">
        <v>2</v>
      </c>
      <c r="D32">
        <v>2040</v>
      </c>
      <c r="E32">
        <v>13.11</v>
      </c>
      <c r="F32" t="s">
        <v>27</v>
      </c>
      <c r="G32" t="s">
        <v>304</v>
      </c>
    </row>
    <row r="33" spans="1:7" x14ac:dyDescent="0.45">
      <c r="A33" t="s">
        <v>23</v>
      </c>
      <c r="B33" t="s">
        <v>315</v>
      </c>
      <c r="C33" t="s">
        <v>2</v>
      </c>
      <c r="D33">
        <v>2050</v>
      </c>
      <c r="E33">
        <v>31.16</v>
      </c>
      <c r="F33" t="s">
        <v>27</v>
      </c>
      <c r="G33" t="s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"/>
  <sheetViews>
    <sheetView zoomScaleNormal="100" workbookViewId="0">
      <selection activeCell="I23" sqref="I23"/>
    </sheetView>
  </sheetViews>
  <sheetFormatPr defaultRowHeight="14.25" x14ac:dyDescent="0.45"/>
  <cols>
    <col min="2" max="2" width="21.796875" customWidth="1"/>
  </cols>
  <sheetData>
    <row r="1" spans="1:7" x14ac:dyDescent="0.45">
      <c r="A1" t="s">
        <v>18</v>
      </c>
      <c r="B1" t="s">
        <v>162</v>
      </c>
      <c r="C1" t="s">
        <v>2</v>
      </c>
      <c r="D1">
        <v>2030</v>
      </c>
      <c r="E1" s="1">
        <v>1100000</v>
      </c>
      <c r="F1" t="s">
        <v>19</v>
      </c>
      <c r="G1" t="s">
        <v>164</v>
      </c>
    </row>
    <row r="2" spans="1:7" x14ac:dyDescent="0.45">
      <c r="A2" t="s">
        <v>18</v>
      </c>
      <c r="B2" t="s">
        <v>162</v>
      </c>
      <c r="C2" t="s">
        <v>2</v>
      </c>
      <c r="D2">
        <v>2040</v>
      </c>
      <c r="E2" s="1">
        <v>800000</v>
      </c>
      <c r="F2" t="s">
        <v>19</v>
      </c>
      <c r="G2" t="s">
        <v>164</v>
      </c>
    </row>
    <row r="3" spans="1:7" x14ac:dyDescent="0.45">
      <c r="A3" t="s">
        <v>18</v>
      </c>
      <c r="B3" t="s">
        <v>162</v>
      </c>
      <c r="C3" t="s">
        <v>2</v>
      </c>
      <c r="D3">
        <v>2050</v>
      </c>
      <c r="E3" s="1">
        <v>700000</v>
      </c>
      <c r="F3" t="s">
        <v>19</v>
      </c>
      <c r="G3" t="s">
        <v>164</v>
      </c>
    </row>
    <row r="4" spans="1:7" x14ac:dyDescent="0.45">
      <c r="A4" t="s">
        <v>18</v>
      </c>
      <c r="B4" t="s">
        <v>163</v>
      </c>
      <c r="C4" t="s">
        <v>2</v>
      </c>
      <c r="D4">
        <v>2030</v>
      </c>
      <c r="E4" s="1">
        <v>1100000</v>
      </c>
      <c r="F4" t="s">
        <v>19</v>
      </c>
      <c r="G4" t="s">
        <v>164</v>
      </c>
    </row>
    <row r="5" spans="1:7" x14ac:dyDescent="0.45">
      <c r="A5" t="s">
        <v>18</v>
      </c>
      <c r="B5" t="s">
        <v>163</v>
      </c>
      <c r="C5" t="s">
        <v>2</v>
      </c>
      <c r="D5">
        <v>2040</v>
      </c>
      <c r="E5" s="1">
        <v>800000</v>
      </c>
      <c r="F5" t="s">
        <v>19</v>
      </c>
      <c r="G5" t="s">
        <v>164</v>
      </c>
    </row>
    <row r="6" spans="1:7" x14ac:dyDescent="0.45">
      <c r="A6" t="s">
        <v>18</v>
      </c>
      <c r="B6" t="s">
        <v>163</v>
      </c>
      <c r="C6" t="s">
        <v>2</v>
      </c>
      <c r="D6">
        <v>2050</v>
      </c>
      <c r="E6" s="1">
        <v>700000</v>
      </c>
      <c r="F6" t="s">
        <v>19</v>
      </c>
      <c r="G6" t="s">
        <v>164</v>
      </c>
    </row>
    <row r="7" spans="1:7" x14ac:dyDescent="0.45">
      <c r="A7" t="s">
        <v>63</v>
      </c>
      <c r="B7" t="s">
        <v>162</v>
      </c>
      <c r="C7" t="s">
        <v>2</v>
      </c>
      <c r="D7">
        <v>2030</v>
      </c>
      <c r="E7" s="1">
        <v>69000</v>
      </c>
      <c r="F7" t="s">
        <v>19</v>
      </c>
      <c r="G7" t="s">
        <v>164</v>
      </c>
    </row>
    <row r="8" spans="1:7" x14ac:dyDescent="0.45">
      <c r="A8" t="s">
        <v>63</v>
      </c>
      <c r="B8" t="s">
        <v>162</v>
      </c>
      <c r="C8" t="s">
        <v>2</v>
      </c>
      <c r="D8">
        <v>2040</v>
      </c>
      <c r="E8" s="1">
        <v>68000</v>
      </c>
      <c r="F8" t="s">
        <v>19</v>
      </c>
      <c r="G8" t="s">
        <v>164</v>
      </c>
    </row>
    <row r="9" spans="1:7" x14ac:dyDescent="0.45">
      <c r="A9" t="s">
        <v>63</v>
      </c>
      <c r="B9" t="s">
        <v>162</v>
      </c>
      <c r="C9" t="s">
        <v>2</v>
      </c>
      <c r="D9">
        <v>2050</v>
      </c>
      <c r="E9" s="1">
        <v>69000</v>
      </c>
      <c r="F9" t="s">
        <v>19</v>
      </c>
      <c r="G9" t="s">
        <v>164</v>
      </c>
    </row>
    <row r="10" spans="1:7" x14ac:dyDescent="0.45">
      <c r="A10" t="s">
        <v>63</v>
      </c>
      <c r="B10" t="s">
        <v>163</v>
      </c>
      <c r="C10" t="s">
        <v>2</v>
      </c>
      <c r="D10">
        <v>2030</v>
      </c>
      <c r="E10" s="1">
        <v>69000</v>
      </c>
      <c r="F10" t="s">
        <v>19</v>
      </c>
      <c r="G10" t="s">
        <v>164</v>
      </c>
    </row>
    <row r="11" spans="1:7" x14ac:dyDescent="0.45">
      <c r="A11" t="s">
        <v>63</v>
      </c>
      <c r="B11" t="s">
        <v>163</v>
      </c>
      <c r="C11" t="s">
        <v>2</v>
      </c>
      <c r="D11">
        <v>2040</v>
      </c>
      <c r="E11" s="1">
        <v>68000</v>
      </c>
      <c r="F11" t="s">
        <v>19</v>
      </c>
      <c r="G11" t="s">
        <v>164</v>
      </c>
    </row>
    <row r="12" spans="1:7" x14ac:dyDescent="0.45">
      <c r="A12" t="s">
        <v>63</v>
      </c>
      <c r="B12" t="s">
        <v>163</v>
      </c>
      <c r="C12" t="s">
        <v>2</v>
      </c>
      <c r="D12">
        <v>2050</v>
      </c>
      <c r="E12" s="1">
        <v>69000</v>
      </c>
      <c r="F12" t="s">
        <v>19</v>
      </c>
      <c r="G12" t="s">
        <v>164</v>
      </c>
    </row>
    <row r="13" spans="1:7" x14ac:dyDescent="0.45">
      <c r="A13" t="s">
        <v>64</v>
      </c>
      <c r="B13" t="s">
        <v>162</v>
      </c>
      <c r="C13" t="s">
        <v>2</v>
      </c>
      <c r="D13">
        <v>2030</v>
      </c>
      <c r="E13" s="1">
        <v>25</v>
      </c>
      <c r="F13" t="s">
        <v>65</v>
      </c>
      <c r="G13" t="s">
        <v>164</v>
      </c>
    </row>
    <row r="14" spans="1:7" x14ac:dyDescent="0.45">
      <c r="A14" t="s">
        <v>64</v>
      </c>
      <c r="B14" t="s">
        <v>162</v>
      </c>
      <c r="C14" t="s">
        <v>2</v>
      </c>
      <c r="D14">
        <v>2040</v>
      </c>
      <c r="E14" s="1">
        <v>25</v>
      </c>
      <c r="F14" t="s">
        <v>65</v>
      </c>
      <c r="G14" t="s">
        <v>164</v>
      </c>
    </row>
    <row r="15" spans="1:7" x14ac:dyDescent="0.45">
      <c r="A15" t="s">
        <v>64</v>
      </c>
      <c r="B15" t="s">
        <v>162</v>
      </c>
      <c r="C15" t="s">
        <v>2</v>
      </c>
      <c r="D15">
        <v>2050</v>
      </c>
      <c r="E15" s="1">
        <v>25</v>
      </c>
      <c r="F15" t="s">
        <v>65</v>
      </c>
      <c r="G15" t="s">
        <v>164</v>
      </c>
    </row>
    <row r="16" spans="1:7" x14ac:dyDescent="0.45">
      <c r="A16" t="s">
        <v>64</v>
      </c>
      <c r="B16" t="s">
        <v>163</v>
      </c>
      <c r="C16" t="s">
        <v>2</v>
      </c>
      <c r="D16">
        <v>2030</v>
      </c>
      <c r="E16" s="1">
        <v>25</v>
      </c>
      <c r="F16" t="s">
        <v>65</v>
      </c>
      <c r="G16" t="s">
        <v>164</v>
      </c>
    </row>
    <row r="17" spans="1:7" x14ac:dyDescent="0.45">
      <c r="A17" t="s">
        <v>64</v>
      </c>
      <c r="B17" t="s">
        <v>163</v>
      </c>
      <c r="C17" t="s">
        <v>2</v>
      </c>
      <c r="D17">
        <v>2040</v>
      </c>
      <c r="E17" s="1">
        <v>25</v>
      </c>
      <c r="F17" t="s">
        <v>65</v>
      </c>
      <c r="G17" t="s">
        <v>164</v>
      </c>
    </row>
    <row r="18" spans="1:7" x14ac:dyDescent="0.45">
      <c r="A18" t="s">
        <v>64</v>
      </c>
      <c r="B18" t="s">
        <v>163</v>
      </c>
      <c r="C18" t="s">
        <v>2</v>
      </c>
      <c r="D18">
        <v>2050</v>
      </c>
      <c r="E18" s="1">
        <v>25</v>
      </c>
      <c r="F18" t="s">
        <v>65</v>
      </c>
      <c r="G18" t="s">
        <v>164</v>
      </c>
    </row>
    <row r="19" spans="1:7" x14ac:dyDescent="0.45">
      <c r="A19" t="s">
        <v>70</v>
      </c>
      <c r="B19" t="s">
        <v>165</v>
      </c>
      <c r="C19" t="s">
        <v>2</v>
      </c>
      <c r="D19">
        <v>2030</v>
      </c>
      <c r="E19" s="4">
        <v>1.6E-2</v>
      </c>
      <c r="F19" t="s">
        <v>72</v>
      </c>
      <c r="G19" t="s">
        <v>164</v>
      </c>
    </row>
    <row r="20" spans="1:7" x14ac:dyDescent="0.45">
      <c r="A20" t="s">
        <v>70</v>
      </c>
      <c r="B20" t="s">
        <v>165</v>
      </c>
      <c r="C20" t="s">
        <v>2</v>
      </c>
      <c r="D20">
        <v>2040</v>
      </c>
      <c r="E20" s="4">
        <v>1.6E-2</v>
      </c>
      <c r="F20" t="s">
        <v>72</v>
      </c>
      <c r="G20" t="s">
        <v>164</v>
      </c>
    </row>
    <row r="21" spans="1:7" x14ac:dyDescent="0.45">
      <c r="A21" t="s">
        <v>70</v>
      </c>
      <c r="B21" t="s">
        <v>165</v>
      </c>
      <c r="C21" t="s">
        <v>2</v>
      </c>
      <c r="D21">
        <v>2050</v>
      </c>
      <c r="E21" s="4">
        <v>1.6E-2</v>
      </c>
      <c r="F21" t="s">
        <v>72</v>
      </c>
      <c r="G21" t="s">
        <v>164</v>
      </c>
    </row>
    <row r="22" spans="1:7" x14ac:dyDescent="0.45">
      <c r="A22" t="s">
        <v>70</v>
      </c>
      <c r="B22" t="s">
        <v>166</v>
      </c>
      <c r="C22" t="s">
        <v>2</v>
      </c>
      <c r="D22">
        <v>2030</v>
      </c>
      <c r="E22" s="4">
        <v>0.62</v>
      </c>
      <c r="F22" t="s">
        <v>72</v>
      </c>
      <c r="G22" t="s">
        <v>164</v>
      </c>
    </row>
    <row r="23" spans="1:7" x14ac:dyDescent="0.45">
      <c r="A23" t="s">
        <v>70</v>
      </c>
      <c r="B23" t="s">
        <v>166</v>
      </c>
      <c r="C23" t="s">
        <v>2</v>
      </c>
      <c r="D23">
        <v>2040</v>
      </c>
      <c r="E23" s="4">
        <v>0.64</v>
      </c>
      <c r="F23" t="s">
        <v>72</v>
      </c>
      <c r="G23" t="s">
        <v>164</v>
      </c>
    </row>
    <row r="24" spans="1:7" x14ac:dyDescent="0.45">
      <c r="A24" t="s">
        <v>70</v>
      </c>
      <c r="B24" t="s">
        <v>166</v>
      </c>
      <c r="C24" t="s">
        <v>2</v>
      </c>
      <c r="D24">
        <v>2050</v>
      </c>
      <c r="E24" s="4">
        <v>0.65</v>
      </c>
      <c r="F24" t="s">
        <v>72</v>
      </c>
      <c r="G24" t="s">
        <v>164</v>
      </c>
    </row>
    <row r="25" spans="1:7" x14ac:dyDescent="0.45">
      <c r="A25" t="s">
        <v>70</v>
      </c>
      <c r="B25" t="s">
        <v>167</v>
      </c>
      <c r="C25" t="s">
        <v>2</v>
      </c>
      <c r="D25">
        <v>2030</v>
      </c>
      <c r="E25" s="4">
        <v>1.6E-2</v>
      </c>
      <c r="F25" t="s">
        <v>72</v>
      </c>
      <c r="G25" t="s">
        <v>164</v>
      </c>
    </row>
    <row r="26" spans="1:7" x14ac:dyDescent="0.45">
      <c r="A26" t="s">
        <v>70</v>
      </c>
      <c r="B26" t="s">
        <v>167</v>
      </c>
      <c r="C26" t="s">
        <v>2</v>
      </c>
      <c r="D26">
        <v>2040</v>
      </c>
      <c r="E26" s="4">
        <v>1.6E-2</v>
      </c>
      <c r="F26" t="s">
        <v>72</v>
      </c>
      <c r="G26" t="s">
        <v>164</v>
      </c>
    </row>
    <row r="27" spans="1:7" x14ac:dyDescent="0.45">
      <c r="A27" t="s">
        <v>70</v>
      </c>
      <c r="B27" t="s">
        <v>167</v>
      </c>
      <c r="C27" t="s">
        <v>2</v>
      </c>
      <c r="D27">
        <v>2050</v>
      </c>
      <c r="E27" s="4">
        <v>1.6E-2</v>
      </c>
      <c r="F27" t="s">
        <v>72</v>
      </c>
      <c r="G27" t="s">
        <v>164</v>
      </c>
    </row>
    <row r="28" spans="1:7" x14ac:dyDescent="0.45">
      <c r="A28" t="s">
        <v>70</v>
      </c>
      <c r="B28" t="s">
        <v>168</v>
      </c>
      <c r="C28" t="s">
        <v>2</v>
      </c>
      <c r="D28">
        <v>2030</v>
      </c>
      <c r="E28" s="4">
        <v>0.62</v>
      </c>
      <c r="F28" t="s">
        <v>72</v>
      </c>
      <c r="G28" t="s">
        <v>164</v>
      </c>
    </row>
    <row r="29" spans="1:7" x14ac:dyDescent="0.45">
      <c r="A29" t="s">
        <v>70</v>
      </c>
      <c r="B29" t="s">
        <v>168</v>
      </c>
      <c r="C29" t="s">
        <v>2</v>
      </c>
      <c r="D29">
        <v>2040</v>
      </c>
      <c r="E29" s="4">
        <v>0.64</v>
      </c>
      <c r="F29" t="s">
        <v>72</v>
      </c>
      <c r="G29" t="s">
        <v>164</v>
      </c>
    </row>
    <row r="30" spans="1:7" x14ac:dyDescent="0.45">
      <c r="A30" t="s">
        <v>70</v>
      </c>
      <c r="B30" t="s">
        <v>168</v>
      </c>
      <c r="C30" t="s">
        <v>2</v>
      </c>
      <c r="D30">
        <v>2050</v>
      </c>
      <c r="E30" s="4">
        <v>0.65</v>
      </c>
      <c r="F30" t="s">
        <v>72</v>
      </c>
      <c r="G30" t="s">
        <v>164</v>
      </c>
    </row>
    <row r="31" spans="1:7" x14ac:dyDescent="0.45">
      <c r="A31" t="s">
        <v>222</v>
      </c>
      <c r="B31" t="s">
        <v>226</v>
      </c>
      <c r="C31" t="s">
        <v>2</v>
      </c>
      <c r="D31">
        <v>2030</v>
      </c>
      <c r="E31" s="4">
        <v>17.100000000000001</v>
      </c>
      <c r="F31" t="s">
        <v>178</v>
      </c>
      <c r="G31" t="s">
        <v>287</v>
      </c>
    </row>
    <row r="32" spans="1:7" x14ac:dyDescent="0.45">
      <c r="A32" t="s">
        <v>222</v>
      </c>
      <c r="B32" t="s">
        <v>226</v>
      </c>
      <c r="C32" t="s">
        <v>2</v>
      </c>
      <c r="D32">
        <v>2040</v>
      </c>
      <c r="E32" s="4">
        <v>17.100000000000001</v>
      </c>
      <c r="F32" t="s">
        <v>178</v>
      </c>
      <c r="G32" t="s">
        <v>287</v>
      </c>
    </row>
    <row r="33" spans="1:7" x14ac:dyDescent="0.45">
      <c r="A33" t="s">
        <v>222</v>
      </c>
      <c r="B33" t="s">
        <v>226</v>
      </c>
      <c r="C33" t="s">
        <v>2</v>
      </c>
      <c r="D33">
        <v>2050</v>
      </c>
      <c r="E33" s="4">
        <v>17.100000000000001</v>
      </c>
      <c r="F33" t="s">
        <v>178</v>
      </c>
      <c r="G33" t="s">
        <v>287</v>
      </c>
    </row>
    <row r="34" spans="1:7" x14ac:dyDescent="0.45">
      <c r="A34" t="s">
        <v>222</v>
      </c>
      <c r="B34" t="s">
        <v>227</v>
      </c>
      <c r="C34" t="s">
        <v>2</v>
      </c>
      <c r="D34">
        <v>2030</v>
      </c>
      <c r="E34" s="4">
        <v>17.100000000000001</v>
      </c>
      <c r="F34" t="s">
        <v>178</v>
      </c>
      <c r="G34" t="s">
        <v>287</v>
      </c>
    </row>
    <row r="35" spans="1:7" x14ac:dyDescent="0.45">
      <c r="A35" t="s">
        <v>222</v>
      </c>
      <c r="B35" t="s">
        <v>227</v>
      </c>
      <c r="C35" t="s">
        <v>2</v>
      </c>
      <c r="D35">
        <v>2040</v>
      </c>
      <c r="E35" s="4">
        <v>17.100000000000001</v>
      </c>
      <c r="F35" t="s">
        <v>178</v>
      </c>
      <c r="G35" t="s">
        <v>287</v>
      </c>
    </row>
    <row r="36" spans="1:7" x14ac:dyDescent="0.45">
      <c r="A36" t="s">
        <v>222</v>
      </c>
      <c r="B36" t="s">
        <v>227</v>
      </c>
      <c r="C36" t="s">
        <v>2</v>
      </c>
      <c r="D36">
        <v>2050</v>
      </c>
      <c r="E36" s="4">
        <v>17.100000000000001</v>
      </c>
      <c r="F36" t="s">
        <v>178</v>
      </c>
      <c r="G36" t="s">
        <v>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8"/>
  <sheetViews>
    <sheetView topLeftCell="A49" workbookViewId="0">
      <selection activeCell="A58" sqref="A58:G60"/>
    </sheetView>
  </sheetViews>
  <sheetFormatPr defaultRowHeight="14.25" x14ac:dyDescent="0.45"/>
  <cols>
    <col min="2" max="2" width="33.1328125" customWidth="1"/>
  </cols>
  <sheetData>
    <row r="1" spans="1:7" x14ac:dyDescent="0.45">
      <c r="A1" t="s">
        <v>18</v>
      </c>
      <c r="B1" t="s">
        <v>130</v>
      </c>
      <c r="C1" t="s">
        <v>2</v>
      </c>
      <c r="D1">
        <v>2030</v>
      </c>
      <c r="E1" s="1">
        <v>3008955.2238806002</v>
      </c>
      <c r="F1" t="s">
        <v>19</v>
      </c>
      <c r="G1" t="s">
        <v>147</v>
      </c>
    </row>
    <row r="2" spans="1:7" x14ac:dyDescent="0.45">
      <c r="A2" t="s">
        <v>18</v>
      </c>
      <c r="B2" t="s">
        <v>130</v>
      </c>
      <c r="C2" t="s">
        <v>2</v>
      </c>
      <c r="D2">
        <v>2040</v>
      </c>
      <c r="E2" s="1">
        <v>2256716.4179104501</v>
      </c>
      <c r="F2" t="s">
        <v>19</v>
      </c>
      <c r="G2" t="s">
        <v>147</v>
      </c>
    </row>
    <row r="3" spans="1:7" x14ac:dyDescent="0.45">
      <c r="A3" t="s">
        <v>18</v>
      </c>
      <c r="B3" t="s">
        <v>130</v>
      </c>
      <c r="C3" t="s">
        <v>2</v>
      </c>
      <c r="D3">
        <v>2050</v>
      </c>
      <c r="E3" s="1">
        <v>1504477.6119403001</v>
      </c>
      <c r="F3" t="s">
        <v>19</v>
      </c>
      <c r="G3" t="s">
        <v>147</v>
      </c>
    </row>
    <row r="4" spans="1:7" x14ac:dyDescent="0.45">
      <c r="A4" t="s">
        <v>63</v>
      </c>
      <c r="B4" t="s">
        <v>130</v>
      </c>
      <c r="C4" t="s">
        <v>2</v>
      </c>
      <c r="D4">
        <v>2030</v>
      </c>
      <c r="E4" s="1">
        <v>52656.7164179104</v>
      </c>
      <c r="F4" t="s">
        <v>19</v>
      </c>
      <c r="G4" t="s">
        <v>147</v>
      </c>
    </row>
    <row r="5" spans="1:7" x14ac:dyDescent="0.45">
      <c r="A5" t="s">
        <v>63</v>
      </c>
      <c r="B5" t="s">
        <v>130</v>
      </c>
      <c r="C5" t="s">
        <v>2</v>
      </c>
      <c r="D5">
        <v>2040</v>
      </c>
      <c r="E5" s="1">
        <v>52656.7164179104</v>
      </c>
      <c r="F5" t="s">
        <v>19</v>
      </c>
      <c r="G5" t="s">
        <v>147</v>
      </c>
    </row>
    <row r="6" spans="1:7" x14ac:dyDescent="0.45">
      <c r="A6" t="s">
        <v>63</v>
      </c>
      <c r="B6" t="s">
        <v>130</v>
      </c>
      <c r="C6" t="s">
        <v>2</v>
      </c>
      <c r="D6">
        <v>2050</v>
      </c>
      <c r="E6" s="1">
        <v>52656.7164179104</v>
      </c>
      <c r="F6" t="s">
        <v>19</v>
      </c>
      <c r="G6" t="s">
        <v>147</v>
      </c>
    </row>
    <row r="7" spans="1:7" x14ac:dyDescent="0.45">
      <c r="A7" t="s">
        <v>64</v>
      </c>
      <c r="B7" t="s">
        <v>130</v>
      </c>
      <c r="C7" t="s">
        <v>2</v>
      </c>
      <c r="D7">
        <v>2030</v>
      </c>
      <c r="E7" s="1">
        <v>25</v>
      </c>
      <c r="F7" t="s">
        <v>65</v>
      </c>
      <c r="G7" t="s">
        <v>147</v>
      </c>
    </row>
    <row r="8" spans="1:7" x14ac:dyDescent="0.45">
      <c r="A8" t="s">
        <v>64</v>
      </c>
      <c r="B8" t="s">
        <v>130</v>
      </c>
      <c r="C8" t="s">
        <v>2</v>
      </c>
      <c r="D8">
        <v>2040</v>
      </c>
      <c r="E8" s="1">
        <v>25</v>
      </c>
      <c r="F8" t="s">
        <v>65</v>
      </c>
      <c r="G8" t="s">
        <v>147</v>
      </c>
    </row>
    <row r="9" spans="1:7" x14ac:dyDescent="0.45">
      <c r="A9" t="s">
        <v>64</v>
      </c>
      <c r="B9" t="s">
        <v>130</v>
      </c>
      <c r="C9" t="s">
        <v>2</v>
      </c>
      <c r="D9">
        <v>2050</v>
      </c>
      <c r="E9" s="1">
        <v>25</v>
      </c>
      <c r="F9" t="s">
        <v>65</v>
      </c>
      <c r="G9" t="s">
        <v>147</v>
      </c>
    </row>
    <row r="10" spans="1:7" x14ac:dyDescent="0.45">
      <c r="A10" t="s">
        <v>70</v>
      </c>
      <c r="B10" t="s">
        <v>148</v>
      </c>
      <c r="C10" t="s">
        <v>2</v>
      </c>
      <c r="D10">
        <v>2030</v>
      </c>
      <c r="E10" s="4">
        <v>0.61</v>
      </c>
      <c r="F10" t="s">
        <v>72</v>
      </c>
      <c r="G10" t="s">
        <v>147</v>
      </c>
    </row>
    <row r="11" spans="1:7" x14ac:dyDescent="0.45">
      <c r="A11" t="s">
        <v>70</v>
      </c>
      <c r="B11" t="s">
        <v>148</v>
      </c>
      <c r="C11" t="s">
        <v>2</v>
      </c>
      <c r="D11">
        <v>2040</v>
      </c>
      <c r="E11" s="4">
        <v>0.63</v>
      </c>
      <c r="F11" t="s">
        <v>72</v>
      </c>
      <c r="G11" t="s">
        <v>147</v>
      </c>
    </row>
    <row r="12" spans="1:7" x14ac:dyDescent="0.45">
      <c r="A12" t="s">
        <v>70</v>
      </c>
      <c r="B12" t="s">
        <v>148</v>
      </c>
      <c r="C12" t="s">
        <v>2</v>
      </c>
      <c r="D12">
        <v>2050</v>
      </c>
      <c r="E12" s="4">
        <v>0.65</v>
      </c>
      <c r="F12" t="s">
        <v>72</v>
      </c>
      <c r="G12" t="s">
        <v>147</v>
      </c>
    </row>
    <row r="13" spans="1:7" x14ac:dyDescent="0.45">
      <c r="A13" t="s">
        <v>70</v>
      </c>
      <c r="B13" t="s">
        <v>149</v>
      </c>
      <c r="C13" t="s">
        <v>2</v>
      </c>
      <c r="D13">
        <v>2030</v>
      </c>
      <c r="E13" s="4">
        <v>4.0437956204379564</v>
      </c>
      <c r="F13" t="s">
        <v>152</v>
      </c>
      <c r="G13" t="s">
        <v>147</v>
      </c>
    </row>
    <row r="14" spans="1:7" x14ac:dyDescent="0.45">
      <c r="A14" t="s">
        <v>70</v>
      </c>
      <c r="B14" t="s">
        <v>149</v>
      </c>
      <c r="C14" t="s">
        <v>2</v>
      </c>
      <c r="D14">
        <v>2040</v>
      </c>
      <c r="E14" s="4">
        <v>4.0437956204379564</v>
      </c>
      <c r="F14" t="s">
        <v>152</v>
      </c>
      <c r="G14" t="s">
        <v>147</v>
      </c>
    </row>
    <row r="15" spans="1:7" x14ac:dyDescent="0.45">
      <c r="A15" t="s">
        <v>70</v>
      </c>
      <c r="B15" t="s">
        <v>149</v>
      </c>
      <c r="C15" t="s">
        <v>2</v>
      </c>
      <c r="D15">
        <v>2050</v>
      </c>
      <c r="E15" s="4">
        <v>4.0437956204379564</v>
      </c>
      <c r="F15" t="s">
        <v>152</v>
      </c>
      <c r="G15" t="s">
        <v>147</v>
      </c>
    </row>
    <row r="16" spans="1:7" x14ac:dyDescent="0.45">
      <c r="A16" t="s">
        <v>70</v>
      </c>
      <c r="B16" t="s">
        <v>150</v>
      </c>
      <c r="C16" t="s">
        <v>2</v>
      </c>
      <c r="D16">
        <v>2030</v>
      </c>
      <c r="E16" s="4">
        <v>0.87436868686868685</v>
      </c>
      <c r="F16" t="s">
        <v>72</v>
      </c>
      <c r="G16" t="s">
        <v>147</v>
      </c>
    </row>
    <row r="17" spans="1:7" x14ac:dyDescent="0.45">
      <c r="A17" t="s">
        <v>70</v>
      </c>
      <c r="B17" t="s">
        <v>150</v>
      </c>
      <c r="C17" t="s">
        <v>2</v>
      </c>
      <c r="D17">
        <v>2040</v>
      </c>
      <c r="E17" s="4">
        <v>0.87436868686868685</v>
      </c>
      <c r="F17" t="s">
        <v>72</v>
      </c>
      <c r="G17" t="s">
        <v>147</v>
      </c>
    </row>
    <row r="18" spans="1:7" x14ac:dyDescent="0.45">
      <c r="A18" t="s">
        <v>70</v>
      </c>
      <c r="B18" t="s">
        <v>150</v>
      </c>
      <c r="C18" t="s">
        <v>2</v>
      </c>
      <c r="D18">
        <v>2050</v>
      </c>
      <c r="E18" s="4">
        <v>0.87436868686868685</v>
      </c>
      <c r="F18" t="s">
        <v>72</v>
      </c>
      <c r="G18" t="s">
        <v>147</v>
      </c>
    </row>
    <row r="19" spans="1:7" x14ac:dyDescent="0.45">
      <c r="A19" t="s">
        <v>70</v>
      </c>
      <c r="B19" t="s">
        <v>151</v>
      </c>
      <c r="C19" t="s">
        <v>2</v>
      </c>
      <c r="D19">
        <v>2030</v>
      </c>
      <c r="E19" s="4">
        <v>0.25</v>
      </c>
      <c r="F19" t="s">
        <v>72</v>
      </c>
      <c r="G19" t="s">
        <v>147</v>
      </c>
    </row>
    <row r="20" spans="1:7" x14ac:dyDescent="0.45">
      <c r="A20" t="s">
        <v>70</v>
      </c>
      <c r="B20" t="s">
        <v>151</v>
      </c>
      <c r="C20" t="s">
        <v>2</v>
      </c>
      <c r="D20">
        <v>2040</v>
      </c>
      <c r="E20" s="4">
        <v>0.25</v>
      </c>
      <c r="F20" t="s">
        <v>72</v>
      </c>
      <c r="G20" t="s">
        <v>147</v>
      </c>
    </row>
    <row r="21" spans="1:7" x14ac:dyDescent="0.45">
      <c r="A21" t="s">
        <v>70</v>
      </c>
      <c r="B21" t="s">
        <v>151</v>
      </c>
      <c r="C21" t="s">
        <v>2</v>
      </c>
      <c r="D21">
        <v>2050</v>
      </c>
      <c r="E21" s="4">
        <v>0.25</v>
      </c>
      <c r="F21" t="s">
        <v>72</v>
      </c>
      <c r="G21" t="s">
        <v>147</v>
      </c>
    </row>
    <row r="22" spans="1:7" x14ac:dyDescent="0.45">
      <c r="A22" t="s">
        <v>222</v>
      </c>
      <c r="B22" t="s">
        <v>230</v>
      </c>
      <c r="C22" t="s">
        <v>2</v>
      </c>
      <c r="D22">
        <v>2030</v>
      </c>
      <c r="E22" s="4">
        <v>6.2686567164179099</v>
      </c>
      <c r="F22" t="s">
        <v>178</v>
      </c>
      <c r="G22" t="s">
        <v>147</v>
      </c>
    </row>
    <row r="23" spans="1:7" x14ac:dyDescent="0.45">
      <c r="A23" t="s">
        <v>222</v>
      </c>
      <c r="B23" t="s">
        <v>230</v>
      </c>
      <c r="C23" t="s">
        <v>2</v>
      </c>
      <c r="D23">
        <v>2040</v>
      </c>
      <c r="E23" s="4">
        <v>6.2686567164179099</v>
      </c>
      <c r="F23" t="s">
        <v>178</v>
      </c>
      <c r="G23" t="s">
        <v>147</v>
      </c>
    </row>
    <row r="24" spans="1:7" x14ac:dyDescent="0.45">
      <c r="A24" t="s">
        <v>222</v>
      </c>
      <c r="B24" t="s">
        <v>230</v>
      </c>
      <c r="C24" t="s">
        <v>2</v>
      </c>
      <c r="D24">
        <v>2050</v>
      </c>
      <c r="E24" s="4">
        <v>6.2686567164179099</v>
      </c>
      <c r="F24" t="s">
        <v>178</v>
      </c>
      <c r="G24" t="s">
        <v>147</v>
      </c>
    </row>
    <row r="25" spans="1:7" x14ac:dyDescent="0.45">
      <c r="A25" t="s">
        <v>70</v>
      </c>
      <c r="B25" t="s">
        <v>148</v>
      </c>
      <c r="C25" t="s">
        <v>2</v>
      </c>
      <c r="D25">
        <v>2030</v>
      </c>
      <c r="E25" s="4">
        <f>1/0.37</f>
        <v>2.7027027027027026</v>
      </c>
      <c r="F25" t="s">
        <v>72</v>
      </c>
      <c r="G25" t="s">
        <v>93</v>
      </c>
    </row>
    <row r="26" spans="1:7" x14ac:dyDescent="0.45">
      <c r="A26" t="s">
        <v>70</v>
      </c>
      <c r="B26" t="s">
        <v>148</v>
      </c>
      <c r="C26" t="s">
        <v>2</v>
      </c>
      <c r="D26">
        <v>2040</v>
      </c>
      <c r="E26" s="4">
        <f>1/0.37</f>
        <v>2.7027027027027026</v>
      </c>
      <c r="F26" t="s">
        <v>72</v>
      </c>
      <c r="G26" t="s">
        <v>93</v>
      </c>
    </row>
    <row r="27" spans="1:7" x14ac:dyDescent="0.45">
      <c r="A27" t="s">
        <v>70</v>
      </c>
      <c r="B27" t="s">
        <v>148</v>
      </c>
      <c r="C27" t="s">
        <v>2</v>
      </c>
      <c r="D27">
        <v>2050</v>
      </c>
      <c r="E27" s="4">
        <f>1/0.37</f>
        <v>2.7027027027027026</v>
      </c>
      <c r="F27" t="s">
        <v>72</v>
      </c>
      <c r="G27" t="s">
        <v>93</v>
      </c>
    </row>
    <row r="28" spans="1:7" x14ac:dyDescent="0.45">
      <c r="A28" t="s">
        <v>70</v>
      </c>
      <c r="B28" t="s">
        <v>149</v>
      </c>
      <c r="C28" t="s">
        <v>2</v>
      </c>
      <c r="D28">
        <v>2030</v>
      </c>
      <c r="E28" s="4">
        <f>1/0.07</f>
        <v>14.285714285714285</v>
      </c>
      <c r="F28" t="s">
        <v>152</v>
      </c>
      <c r="G28" t="s">
        <v>93</v>
      </c>
    </row>
    <row r="29" spans="1:7" x14ac:dyDescent="0.45">
      <c r="A29" t="s">
        <v>70</v>
      </c>
      <c r="B29" t="s">
        <v>149</v>
      </c>
      <c r="C29" t="s">
        <v>2</v>
      </c>
      <c r="D29">
        <v>2040</v>
      </c>
      <c r="E29" s="4">
        <f>1/0.07</f>
        <v>14.285714285714285</v>
      </c>
      <c r="F29" t="s">
        <v>152</v>
      </c>
      <c r="G29" t="s">
        <v>93</v>
      </c>
    </row>
    <row r="30" spans="1:7" x14ac:dyDescent="0.45">
      <c r="A30" t="s">
        <v>70</v>
      </c>
      <c r="B30" t="s">
        <v>149</v>
      </c>
      <c r="C30" t="s">
        <v>2</v>
      </c>
      <c r="D30">
        <v>2050</v>
      </c>
      <c r="E30" s="4">
        <f>1/0.07</f>
        <v>14.285714285714285</v>
      </c>
      <c r="F30" t="s">
        <v>152</v>
      </c>
      <c r="G30" t="s">
        <v>93</v>
      </c>
    </row>
    <row r="31" spans="1:7" x14ac:dyDescent="0.45">
      <c r="A31" t="s">
        <v>70</v>
      </c>
      <c r="B31" t="s">
        <v>150</v>
      </c>
      <c r="C31" t="s">
        <v>2</v>
      </c>
      <c r="D31">
        <v>2030</v>
      </c>
      <c r="E31" s="4">
        <f>1/0.84</f>
        <v>1.1904761904761905</v>
      </c>
      <c r="F31" t="s">
        <v>72</v>
      </c>
      <c r="G31" t="s">
        <v>93</v>
      </c>
    </row>
    <row r="32" spans="1:7" x14ac:dyDescent="0.45">
      <c r="A32" t="s">
        <v>70</v>
      </c>
      <c r="B32" t="s">
        <v>150</v>
      </c>
      <c r="C32" t="s">
        <v>2</v>
      </c>
      <c r="D32">
        <v>2040</v>
      </c>
      <c r="E32" s="4">
        <f>1/0.84</f>
        <v>1.1904761904761905</v>
      </c>
      <c r="F32" t="s">
        <v>72</v>
      </c>
      <c r="G32" t="s">
        <v>93</v>
      </c>
    </row>
    <row r="33" spans="1:7" x14ac:dyDescent="0.45">
      <c r="A33" t="s">
        <v>70</v>
      </c>
      <c r="B33" t="s">
        <v>150</v>
      </c>
      <c r="C33" t="s">
        <v>2</v>
      </c>
      <c r="D33">
        <v>2050</v>
      </c>
      <c r="E33" s="4">
        <f>1/0.84</f>
        <v>1.1904761904761905</v>
      </c>
      <c r="F33" t="s">
        <v>72</v>
      </c>
      <c r="G33" t="s">
        <v>93</v>
      </c>
    </row>
    <row r="34" spans="1:7" x14ac:dyDescent="0.45">
      <c r="A34" t="s">
        <v>70</v>
      </c>
      <c r="B34" t="s">
        <v>151</v>
      </c>
      <c r="C34" t="s">
        <v>2</v>
      </c>
      <c r="D34">
        <v>2030</v>
      </c>
      <c r="E34" s="4">
        <f>0.11/(0.37)</f>
        <v>0.29729729729729731</v>
      </c>
      <c r="F34" t="s">
        <v>72</v>
      </c>
      <c r="G34" t="s">
        <v>93</v>
      </c>
    </row>
    <row r="35" spans="1:7" x14ac:dyDescent="0.45">
      <c r="A35" t="s">
        <v>70</v>
      </c>
      <c r="B35" t="s">
        <v>151</v>
      </c>
      <c r="C35" t="s">
        <v>2</v>
      </c>
      <c r="D35">
        <v>2040</v>
      </c>
      <c r="E35" s="4">
        <f>0.11/(0.37)</f>
        <v>0.29729729729729731</v>
      </c>
      <c r="F35" t="s">
        <v>72</v>
      </c>
      <c r="G35" t="s">
        <v>93</v>
      </c>
    </row>
    <row r="36" spans="1:7" x14ac:dyDescent="0.45">
      <c r="A36" t="s">
        <v>70</v>
      </c>
      <c r="B36" t="s">
        <v>151</v>
      </c>
      <c r="C36" t="s">
        <v>2</v>
      </c>
      <c r="D36">
        <v>2050</v>
      </c>
      <c r="E36" s="4">
        <f>0.11/(0.37)</f>
        <v>0.29729729729729731</v>
      </c>
      <c r="F36" t="s">
        <v>72</v>
      </c>
      <c r="G36" t="s">
        <v>93</v>
      </c>
    </row>
    <row r="37" spans="1:7" x14ac:dyDescent="0.45">
      <c r="A37" t="s">
        <v>18</v>
      </c>
      <c r="B37" t="s">
        <v>68</v>
      </c>
      <c r="C37" t="s">
        <v>2</v>
      </c>
      <c r="D37">
        <v>2030</v>
      </c>
      <c r="E37" s="1">
        <v>2921129.5034079798</v>
      </c>
      <c r="F37" t="s">
        <v>19</v>
      </c>
      <c r="G37" t="s">
        <v>73</v>
      </c>
    </row>
    <row r="38" spans="1:7" x14ac:dyDescent="0.45">
      <c r="A38" t="s">
        <v>18</v>
      </c>
      <c r="B38" t="s">
        <v>68</v>
      </c>
      <c r="C38" t="s">
        <v>2</v>
      </c>
      <c r="D38">
        <v>2040</v>
      </c>
      <c r="E38" s="1">
        <v>2121212.1212121202</v>
      </c>
      <c r="F38" t="s">
        <v>19</v>
      </c>
      <c r="G38" t="s">
        <v>73</v>
      </c>
    </row>
    <row r="39" spans="1:7" x14ac:dyDescent="0.45">
      <c r="A39" t="s">
        <v>18</v>
      </c>
      <c r="B39" t="s">
        <v>68</v>
      </c>
      <c r="C39" t="s">
        <v>2</v>
      </c>
      <c r="D39">
        <v>2050</v>
      </c>
      <c r="E39" s="1">
        <v>1460564.7517039899</v>
      </c>
      <c r="F39" t="s">
        <v>19</v>
      </c>
      <c r="G39" t="s">
        <v>73</v>
      </c>
    </row>
    <row r="40" spans="1:7" x14ac:dyDescent="0.45">
      <c r="A40" t="s">
        <v>18</v>
      </c>
      <c r="B40" t="s">
        <v>69</v>
      </c>
      <c r="C40" t="s">
        <v>2</v>
      </c>
      <c r="D40">
        <v>2030</v>
      </c>
      <c r="E40" s="1">
        <v>2921129.5034079798</v>
      </c>
      <c r="F40" t="s">
        <v>19</v>
      </c>
      <c r="G40" t="s">
        <v>73</v>
      </c>
    </row>
    <row r="41" spans="1:7" x14ac:dyDescent="0.45">
      <c r="A41" t="s">
        <v>18</v>
      </c>
      <c r="B41" t="s">
        <v>69</v>
      </c>
      <c r="C41" t="s">
        <v>2</v>
      </c>
      <c r="D41">
        <v>2040</v>
      </c>
      <c r="E41" s="1">
        <v>2121212.1212121202</v>
      </c>
      <c r="F41" t="s">
        <v>19</v>
      </c>
      <c r="G41" t="s">
        <v>73</v>
      </c>
    </row>
    <row r="42" spans="1:7" x14ac:dyDescent="0.45">
      <c r="A42" t="s">
        <v>18</v>
      </c>
      <c r="B42" t="s">
        <v>69</v>
      </c>
      <c r="C42" t="s">
        <v>2</v>
      </c>
      <c r="D42">
        <v>2050</v>
      </c>
      <c r="E42" s="1">
        <v>1460564.7517039899</v>
      </c>
      <c r="F42" t="s">
        <v>19</v>
      </c>
      <c r="G42" t="s">
        <v>73</v>
      </c>
    </row>
    <row r="43" spans="1:7" x14ac:dyDescent="0.45">
      <c r="A43" t="s">
        <v>63</v>
      </c>
      <c r="B43" t="s">
        <v>69</v>
      </c>
      <c r="C43" t="s">
        <v>2</v>
      </c>
      <c r="D43">
        <v>2030</v>
      </c>
      <c r="E43" s="1">
        <v>38948.3933787731</v>
      </c>
      <c r="F43" t="s">
        <v>19</v>
      </c>
      <c r="G43" t="s">
        <v>73</v>
      </c>
    </row>
    <row r="44" spans="1:7" x14ac:dyDescent="0.45">
      <c r="A44" t="s">
        <v>63</v>
      </c>
      <c r="B44" t="s">
        <v>69</v>
      </c>
      <c r="C44" t="s">
        <v>2</v>
      </c>
      <c r="D44">
        <v>2040</v>
      </c>
      <c r="E44" s="1">
        <v>38358.266206367502</v>
      </c>
      <c r="F44" t="s">
        <v>19</v>
      </c>
      <c r="G44" t="s">
        <v>73</v>
      </c>
    </row>
    <row r="45" spans="1:7" x14ac:dyDescent="0.45">
      <c r="A45" t="s">
        <v>63</v>
      </c>
      <c r="B45" t="s">
        <v>69</v>
      </c>
      <c r="C45" t="s">
        <v>2</v>
      </c>
      <c r="D45">
        <v>2050</v>
      </c>
      <c r="E45" s="1">
        <v>38948.3933787731</v>
      </c>
      <c r="F45" t="s">
        <v>19</v>
      </c>
      <c r="G45" t="s">
        <v>73</v>
      </c>
    </row>
    <row r="46" spans="1:7" x14ac:dyDescent="0.45">
      <c r="A46" t="s">
        <v>63</v>
      </c>
      <c r="B46" t="s">
        <v>68</v>
      </c>
      <c r="C46" t="s">
        <v>2</v>
      </c>
      <c r="D46">
        <v>2030</v>
      </c>
      <c r="E46" s="1">
        <v>38948.3933787731</v>
      </c>
      <c r="F46" t="s">
        <v>19</v>
      </c>
      <c r="G46" t="s">
        <v>73</v>
      </c>
    </row>
    <row r="47" spans="1:7" x14ac:dyDescent="0.45">
      <c r="A47" t="s">
        <v>63</v>
      </c>
      <c r="B47" t="s">
        <v>68</v>
      </c>
      <c r="C47" t="s">
        <v>2</v>
      </c>
      <c r="D47">
        <v>2040</v>
      </c>
      <c r="E47" s="1">
        <v>38358.266206367502</v>
      </c>
      <c r="F47" t="s">
        <v>19</v>
      </c>
      <c r="G47" t="s">
        <v>73</v>
      </c>
    </row>
    <row r="48" spans="1:7" x14ac:dyDescent="0.45">
      <c r="A48" t="s">
        <v>63</v>
      </c>
      <c r="B48" t="s">
        <v>68</v>
      </c>
      <c r="C48" t="s">
        <v>2</v>
      </c>
      <c r="D48">
        <v>2050</v>
      </c>
      <c r="E48" s="1">
        <v>38948.3933787731</v>
      </c>
      <c r="F48" t="s">
        <v>19</v>
      </c>
      <c r="G48" t="s">
        <v>73</v>
      </c>
    </row>
    <row r="49" spans="1:7" x14ac:dyDescent="0.45">
      <c r="A49" t="s">
        <v>64</v>
      </c>
      <c r="B49" t="s">
        <v>69</v>
      </c>
      <c r="C49" t="s">
        <v>2</v>
      </c>
      <c r="D49">
        <v>2030</v>
      </c>
      <c r="E49" s="1">
        <v>25</v>
      </c>
      <c r="F49" t="s">
        <v>65</v>
      </c>
      <c r="G49" t="s">
        <v>73</v>
      </c>
    </row>
    <row r="50" spans="1:7" x14ac:dyDescent="0.45">
      <c r="A50" t="s">
        <v>64</v>
      </c>
      <c r="B50" t="s">
        <v>69</v>
      </c>
      <c r="C50" t="s">
        <v>2</v>
      </c>
      <c r="D50">
        <v>2040</v>
      </c>
      <c r="E50" s="1">
        <v>25</v>
      </c>
      <c r="F50" t="s">
        <v>65</v>
      </c>
      <c r="G50" t="s">
        <v>73</v>
      </c>
    </row>
    <row r="51" spans="1:7" x14ac:dyDescent="0.45">
      <c r="A51" t="s">
        <v>64</v>
      </c>
      <c r="B51" t="s">
        <v>69</v>
      </c>
      <c r="C51" t="s">
        <v>2</v>
      </c>
      <c r="D51">
        <v>2050</v>
      </c>
      <c r="E51" s="1">
        <v>25</v>
      </c>
      <c r="F51" t="s">
        <v>65</v>
      </c>
      <c r="G51" t="s">
        <v>73</v>
      </c>
    </row>
    <row r="52" spans="1:7" x14ac:dyDescent="0.45">
      <c r="A52" t="s">
        <v>64</v>
      </c>
      <c r="B52" t="s">
        <v>68</v>
      </c>
      <c r="C52" t="s">
        <v>2</v>
      </c>
      <c r="D52">
        <v>2030</v>
      </c>
      <c r="E52" s="1">
        <v>25</v>
      </c>
      <c r="F52" t="s">
        <v>65</v>
      </c>
      <c r="G52" t="s">
        <v>73</v>
      </c>
    </row>
    <row r="53" spans="1:7" x14ac:dyDescent="0.45">
      <c r="A53" t="s">
        <v>64</v>
      </c>
      <c r="B53" t="s">
        <v>68</v>
      </c>
      <c r="C53" t="s">
        <v>2</v>
      </c>
      <c r="D53">
        <v>2040</v>
      </c>
      <c r="E53" s="1">
        <v>25</v>
      </c>
      <c r="F53" t="s">
        <v>65</v>
      </c>
      <c r="G53" t="s">
        <v>73</v>
      </c>
    </row>
    <row r="54" spans="1:7" x14ac:dyDescent="0.45">
      <c r="A54" t="s">
        <v>64</v>
      </c>
      <c r="B54" t="s">
        <v>68</v>
      </c>
      <c r="C54" t="s">
        <v>2</v>
      </c>
      <c r="D54">
        <v>2050</v>
      </c>
      <c r="E54" s="1">
        <v>25</v>
      </c>
      <c r="F54" t="s">
        <v>65</v>
      </c>
      <c r="G54" t="s">
        <v>73</v>
      </c>
    </row>
    <row r="55" spans="1:7" x14ac:dyDescent="0.45">
      <c r="A55" t="s">
        <v>70</v>
      </c>
      <c r="B55" t="s">
        <v>140</v>
      </c>
      <c r="C55" t="s">
        <v>2</v>
      </c>
      <c r="D55">
        <v>2030</v>
      </c>
      <c r="E55" s="4">
        <v>0.02</v>
      </c>
      <c r="F55" t="s">
        <v>72</v>
      </c>
      <c r="G55" t="s">
        <v>73</v>
      </c>
    </row>
    <row r="56" spans="1:7" x14ac:dyDescent="0.45">
      <c r="A56" t="s">
        <v>70</v>
      </c>
      <c r="B56" t="s">
        <v>140</v>
      </c>
      <c r="C56" t="s">
        <v>2</v>
      </c>
      <c r="D56">
        <v>2040</v>
      </c>
      <c r="E56" s="4">
        <v>0.02</v>
      </c>
      <c r="F56" t="s">
        <v>72</v>
      </c>
      <c r="G56" t="s">
        <v>73</v>
      </c>
    </row>
    <row r="57" spans="1:7" x14ac:dyDescent="0.45">
      <c r="A57" t="s">
        <v>70</v>
      </c>
      <c r="B57" t="s">
        <v>140</v>
      </c>
      <c r="C57" t="s">
        <v>2</v>
      </c>
      <c r="D57">
        <v>2050</v>
      </c>
      <c r="E57" s="4">
        <v>0.02</v>
      </c>
      <c r="F57" t="s">
        <v>72</v>
      </c>
      <c r="G57" t="s">
        <v>73</v>
      </c>
    </row>
    <row r="58" spans="1:7" x14ac:dyDescent="0.45">
      <c r="A58" t="s">
        <v>70</v>
      </c>
      <c r="B58" t="s">
        <v>144</v>
      </c>
      <c r="C58" t="s">
        <v>2</v>
      </c>
      <c r="D58">
        <v>2030</v>
      </c>
      <c r="E58" s="4">
        <v>0.61</v>
      </c>
      <c r="F58" t="s">
        <v>72</v>
      </c>
      <c r="G58" t="s">
        <v>73</v>
      </c>
    </row>
    <row r="59" spans="1:7" x14ac:dyDescent="0.45">
      <c r="A59" t="s">
        <v>70</v>
      </c>
      <c r="B59" t="s">
        <v>144</v>
      </c>
      <c r="C59" t="s">
        <v>2</v>
      </c>
      <c r="D59">
        <v>2040</v>
      </c>
      <c r="E59" s="4">
        <v>0.63</v>
      </c>
      <c r="F59" t="s">
        <v>72</v>
      </c>
      <c r="G59" t="s">
        <v>73</v>
      </c>
    </row>
    <row r="60" spans="1:7" x14ac:dyDescent="0.45">
      <c r="A60" t="s">
        <v>70</v>
      </c>
      <c r="B60" t="s">
        <v>144</v>
      </c>
      <c r="C60" t="s">
        <v>2</v>
      </c>
      <c r="D60">
        <v>2050</v>
      </c>
      <c r="E60" s="4">
        <v>0.65</v>
      </c>
      <c r="F60" t="s">
        <v>72</v>
      </c>
      <c r="G60" t="s">
        <v>73</v>
      </c>
    </row>
    <row r="61" spans="1:7" x14ac:dyDescent="0.45">
      <c r="A61" t="s">
        <v>70</v>
      </c>
      <c r="B61" t="s">
        <v>141</v>
      </c>
      <c r="C61" t="s">
        <v>2</v>
      </c>
      <c r="D61">
        <v>2030</v>
      </c>
      <c r="E61" s="4">
        <v>0.22</v>
      </c>
      <c r="F61" t="s">
        <v>72</v>
      </c>
      <c r="G61" t="s">
        <v>73</v>
      </c>
    </row>
    <row r="62" spans="1:7" x14ac:dyDescent="0.45">
      <c r="A62" t="s">
        <v>70</v>
      </c>
      <c r="B62" t="s">
        <v>141</v>
      </c>
      <c r="C62" t="s">
        <v>2</v>
      </c>
      <c r="D62">
        <v>2040</v>
      </c>
      <c r="E62" s="4">
        <v>0.22</v>
      </c>
      <c r="F62" t="s">
        <v>72</v>
      </c>
      <c r="G62" t="s">
        <v>73</v>
      </c>
    </row>
    <row r="63" spans="1:7" x14ac:dyDescent="0.45">
      <c r="A63" t="s">
        <v>70</v>
      </c>
      <c r="B63" t="s">
        <v>141</v>
      </c>
      <c r="C63" t="s">
        <v>2</v>
      </c>
      <c r="D63">
        <v>2050</v>
      </c>
      <c r="E63" s="4">
        <v>0.22</v>
      </c>
      <c r="F63" t="s">
        <v>72</v>
      </c>
      <c r="G63" t="s">
        <v>73</v>
      </c>
    </row>
    <row r="64" spans="1:7" x14ac:dyDescent="0.45">
      <c r="A64" t="s">
        <v>70</v>
      </c>
      <c r="B64" t="s">
        <v>142</v>
      </c>
      <c r="C64" t="s">
        <v>2</v>
      </c>
      <c r="D64">
        <v>2030</v>
      </c>
      <c r="E64" s="4">
        <v>0.02</v>
      </c>
      <c r="F64" t="s">
        <v>72</v>
      </c>
      <c r="G64" t="s">
        <v>73</v>
      </c>
    </row>
    <row r="65" spans="1:7" x14ac:dyDescent="0.45">
      <c r="A65" t="s">
        <v>70</v>
      </c>
      <c r="B65" t="s">
        <v>142</v>
      </c>
      <c r="C65" t="s">
        <v>2</v>
      </c>
      <c r="D65">
        <v>2040</v>
      </c>
      <c r="E65" s="4">
        <v>0.02</v>
      </c>
      <c r="F65" t="s">
        <v>72</v>
      </c>
      <c r="G65" t="s">
        <v>73</v>
      </c>
    </row>
    <row r="66" spans="1:7" x14ac:dyDescent="0.45">
      <c r="A66" t="s">
        <v>70</v>
      </c>
      <c r="B66" t="s">
        <v>142</v>
      </c>
      <c r="C66" t="s">
        <v>2</v>
      </c>
      <c r="D66">
        <v>2050</v>
      </c>
      <c r="E66" s="4">
        <v>0.02</v>
      </c>
      <c r="F66" t="s">
        <v>72</v>
      </c>
      <c r="G66" t="s">
        <v>73</v>
      </c>
    </row>
    <row r="67" spans="1:7" x14ac:dyDescent="0.45">
      <c r="A67" t="s">
        <v>70</v>
      </c>
      <c r="B67" t="s">
        <v>145</v>
      </c>
      <c r="C67" t="s">
        <v>2</v>
      </c>
      <c r="D67">
        <v>2030</v>
      </c>
      <c r="E67" s="4">
        <v>0.61</v>
      </c>
      <c r="F67" t="s">
        <v>72</v>
      </c>
      <c r="G67" t="s">
        <v>73</v>
      </c>
    </row>
    <row r="68" spans="1:7" x14ac:dyDescent="0.45">
      <c r="A68" t="s">
        <v>70</v>
      </c>
      <c r="B68" t="s">
        <v>145</v>
      </c>
      <c r="C68" t="s">
        <v>2</v>
      </c>
      <c r="D68">
        <v>2040</v>
      </c>
      <c r="E68" s="4">
        <v>0.63</v>
      </c>
      <c r="F68" t="s">
        <v>72</v>
      </c>
      <c r="G68" t="s">
        <v>73</v>
      </c>
    </row>
    <row r="69" spans="1:7" x14ac:dyDescent="0.45">
      <c r="A69" t="s">
        <v>70</v>
      </c>
      <c r="B69" t="s">
        <v>145</v>
      </c>
      <c r="C69" t="s">
        <v>2</v>
      </c>
      <c r="D69">
        <v>2050</v>
      </c>
      <c r="E69" s="4">
        <v>0.65</v>
      </c>
      <c r="F69" t="s">
        <v>72</v>
      </c>
      <c r="G69" t="s">
        <v>73</v>
      </c>
    </row>
    <row r="70" spans="1:7" x14ac:dyDescent="0.45">
      <c r="A70" t="s">
        <v>70</v>
      </c>
      <c r="B70" t="s">
        <v>143</v>
      </c>
      <c r="C70" t="s">
        <v>2</v>
      </c>
      <c r="D70">
        <v>2030</v>
      </c>
      <c r="E70" s="4">
        <v>0.22</v>
      </c>
      <c r="F70" t="s">
        <v>72</v>
      </c>
      <c r="G70" t="s">
        <v>73</v>
      </c>
    </row>
    <row r="71" spans="1:7" x14ac:dyDescent="0.45">
      <c r="A71" t="s">
        <v>70</v>
      </c>
      <c r="B71" t="s">
        <v>143</v>
      </c>
      <c r="C71" t="s">
        <v>2</v>
      </c>
      <c r="D71">
        <v>2040</v>
      </c>
      <c r="E71" s="4">
        <v>0.22</v>
      </c>
      <c r="F71" t="s">
        <v>72</v>
      </c>
      <c r="G71" t="s">
        <v>73</v>
      </c>
    </row>
    <row r="72" spans="1:7" x14ac:dyDescent="0.45">
      <c r="A72" t="s">
        <v>70</v>
      </c>
      <c r="B72" t="s">
        <v>143</v>
      </c>
      <c r="C72" t="s">
        <v>2</v>
      </c>
      <c r="D72">
        <v>2050</v>
      </c>
      <c r="E72" s="4">
        <v>0.22</v>
      </c>
      <c r="F72" t="s">
        <v>72</v>
      </c>
      <c r="G72" t="s">
        <v>73</v>
      </c>
    </row>
    <row r="73" spans="1:7" x14ac:dyDescent="0.45">
      <c r="A73" t="s">
        <v>222</v>
      </c>
      <c r="B73" t="s">
        <v>228</v>
      </c>
      <c r="C73" t="s">
        <v>2</v>
      </c>
      <c r="D73">
        <v>2030</v>
      </c>
      <c r="E73" s="4">
        <v>13.6028717173626</v>
      </c>
      <c r="F73" t="s">
        <v>178</v>
      </c>
      <c r="G73" t="s">
        <v>73</v>
      </c>
    </row>
    <row r="74" spans="1:7" x14ac:dyDescent="0.45">
      <c r="A74" t="s">
        <v>222</v>
      </c>
      <c r="B74" t="s">
        <v>228</v>
      </c>
      <c r="C74" t="s">
        <v>2</v>
      </c>
      <c r="D74">
        <v>2040</v>
      </c>
      <c r="E74" s="4">
        <v>13.6028717173626</v>
      </c>
      <c r="F74" t="s">
        <v>178</v>
      </c>
      <c r="G74" t="s">
        <v>73</v>
      </c>
    </row>
    <row r="75" spans="1:7" x14ac:dyDescent="0.45">
      <c r="A75" t="s">
        <v>222</v>
      </c>
      <c r="B75" t="s">
        <v>228</v>
      </c>
      <c r="C75" t="s">
        <v>2</v>
      </c>
      <c r="D75">
        <v>2050</v>
      </c>
      <c r="E75" s="4">
        <v>13.6028717173626</v>
      </c>
      <c r="F75" t="s">
        <v>178</v>
      </c>
      <c r="G75" t="s">
        <v>73</v>
      </c>
    </row>
    <row r="76" spans="1:7" x14ac:dyDescent="0.45">
      <c r="A76" t="s">
        <v>222</v>
      </c>
      <c r="B76" t="s">
        <v>229</v>
      </c>
      <c r="C76" t="s">
        <v>2</v>
      </c>
      <c r="D76">
        <v>2030</v>
      </c>
      <c r="E76" s="4">
        <v>13.6028717173626</v>
      </c>
      <c r="F76" t="s">
        <v>178</v>
      </c>
      <c r="G76" t="s">
        <v>73</v>
      </c>
    </row>
    <row r="77" spans="1:7" x14ac:dyDescent="0.45">
      <c r="A77" t="s">
        <v>222</v>
      </c>
      <c r="B77" t="s">
        <v>229</v>
      </c>
      <c r="C77" t="s">
        <v>2</v>
      </c>
      <c r="D77">
        <v>2040</v>
      </c>
      <c r="E77" s="4">
        <v>13.6028717173626</v>
      </c>
      <c r="F77" t="s">
        <v>178</v>
      </c>
      <c r="G77" t="s">
        <v>73</v>
      </c>
    </row>
    <row r="78" spans="1:7" x14ac:dyDescent="0.45">
      <c r="A78" t="s">
        <v>222</v>
      </c>
      <c r="B78" t="s">
        <v>229</v>
      </c>
      <c r="C78" t="s">
        <v>2</v>
      </c>
      <c r="D78">
        <v>2050</v>
      </c>
      <c r="E78" s="4">
        <v>13.6028717173626</v>
      </c>
      <c r="F78" t="s">
        <v>178</v>
      </c>
      <c r="G78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A13" sqref="A13:XFD18"/>
    </sheetView>
  </sheetViews>
  <sheetFormatPr defaultRowHeight="14.25" x14ac:dyDescent="0.45"/>
  <sheetData>
    <row r="1" spans="1:7" x14ac:dyDescent="0.45">
      <c r="A1" t="s">
        <v>18</v>
      </c>
      <c r="B1" t="s">
        <v>20</v>
      </c>
      <c r="C1" t="s">
        <v>2</v>
      </c>
      <c r="D1">
        <v>2030</v>
      </c>
      <c r="E1" s="1">
        <f>0.002*1000000</f>
        <v>2000</v>
      </c>
      <c r="F1" t="s">
        <v>178</v>
      </c>
      <c r="G1" t="s">
        <v>181</v>
      </c>
    </row>
    <row r="2" spans="1:7" x14ac:dyDescent="0.45">
      <c r="A2" t="s">
        <v>18</v>
      </c>
      <c r="B2" t="s">
        <v>20</v>
      </c>
      <c r="C2" t="s">
        <v>2</v>
      </c>
      <c r="D2">
        <v>2040</v>
      </c>
      <c r="E2" s="1">
        <f>0.0012*1000000</f>
        <v>1200</v>
      </c>
      <c r="F2" t="s">
        <v>178</v>
      </c>
      <c r="G2" t="s">
        <v>181</v>
      </c>
    </row>
    <row r="3" spans="1:7" x14ac:dyDescent="0.45">
      <c r="A3" t="s">
        <v>18</v>
      </c>
      <c r="B3" t="s">
        <v>20</v>
      </c>
      <c r="C3" t="s">
        <v>2</v>
      </c>
      <c r="D3">
        <v>2050</v>
      </c>
      <c r="E3" s="1">
        <f>0.0012*1000000</f>
        <v>1200</v>
      </c>
      <c r="F3" t="s">
        <v>178</v>
      </c>
      <c r="G3" t="s">
        <v>181</v>
      </c>
    </row>
    <row r="4" spans="1:7" x14ac:dyDescent="0.45">
      <c r="A4" t="s">
        <v>18</v>
      </c>
      <c r="B4" t="s">
        <v>32</v>
      </c>
      <c r="C4" t="s">
        <v>2</v>
      </c>
      <c r="D4">
        <v>2030</v>
      </c>
      <c r="E4">
        <f>0.01494*1000000</f>
        <v>14940</v>
      </c>
      <c r="F4" t="s">
        <v>178</v>
      </c>
      <c r="G4" t="s">
        <v>179</v>
      </c>
    </row>
    <row r="5" spans="1:7" x14ac:dyDescent="0.45">
      <c r="A5" t="s">
        <v>18</v>
      </c>
      <c r="B5" t="s">
        <v>32</v>
      </c>
      <c r="C5" t="s">
        <v>2</v>
      </c>
      <c r="D5">
        <v>2040</v>
      </c>
      <c r="E5" s="1">
        <f>0.0098604*1000000</f>
        <v>9860.4</v>
      </c>
      <c r="F5" t="s">
        <v>178</v>
      </c>
      <c r="G5" t="s">
        <v>179</v>
      </c>
    </row>
    <row r="6" spans="1:7" x14ac:dyDescent="0.45">
      <c r="A6" t="s">
        <v>18</v>
      </c>
      <c r="B6" t="s">
        <v>32</v>
      </c>
      <c r="C6" t="s">
        <v>2</v>
      </c>
      <c r="D6">
        <v>2050</v>
      </c>
      <c r="E6">
        <f>0.009*1000000</f>
        <v>9000</v>
      </c>
      <c r="F6" t="s">
        <v>178</v>
      </c>
      <c r="G6" t="s">
        <v>179</v>
      </c>
    </row>
    <row r="7" spans="1:7" x14ac:dyDescent="0.45">
      <c r="A7" t="s">
        <v>63</v>
      </c>
      <c r="B7" t="s">
        <v>20</v>
      </c>
      <c r="C7" t="s">
        <v>2</v>
      </c>
      <c r="D7">
        <v>2030</v>
      </c>
      <c r="E7" s="1">
        <v>4.5333333333333342E-8</v>
      </c>
      <c r="F7" t="s">
        <v>178</v>
      </c>
      <c r="G7" t="s">
        <v>181</v>
      </c>
    </row>
    <row r="8" spans="1:7" x14ac:dyDescent="0.45">
      <c r="A8" t="s">
        <v>63</v>
      </c>
      <c r="B8" t="s">
        <v>20</v>
      </c>
      <c r="C8" t="s">
        <v>2</v>
      </c>
      <c r="D8">
        <v>2040</v>
      </c>
      <c r="E8" s="1">
        <v>3.0000000000000004E-8</v>
      </c>
      <c r="F8" t="s">
        <v>178</v>
      </c>
      <c r="G8" t="s">
        <v>181</v>
      </c>
    </row>
    <row r="9" spans="1:7" x14ac:dyDescent="0.45">
      <c r="A9" t="s">
        <v>63</v>
      </c>
      <c r="B9" t="s">
        <v>20</v>
      </c>
      <c r="C9" t="s">
        <v>2</v>
      </c>
      <c r="D9">
        <v>2050</v>
      </c>
      <c r="E9" s="1">
        <v>2.3999999999999997E-8</v>
      </c>
      <c r="F9" t="s">
        <v>178</v>
      </c>
      <c r="G9" t="s">
        <v>181</v>
      </c>
    </row>
    <row r="10" spans="1:7" x14ac:dyDescent="0.45">
      <c r="A10" t="s">
        <v>63</v>
      </c>
      <c r="B10" t="s">
        <v>32</v>
      </c>
      <c r="C10" t="s">
        <v>2</v>
      </c>
      <c r="D10">
        <v>2030</v>
      </c>
      <c r="E10" s="1">
        <v>0</v>
      </c>
      <c r="F10" t="s">
        <v>178</v>
      </c>
      <c r="G10" t="s">
        <v>180</v>
      </c>
    </row>
    <row r="11" spans="1:7" x14ac:dyDescent="0.45">
      <c r="A11" t="s">
        <v>63</v>
      </c>
      <c r="B11" t="s">
        <v>32</v>
      </c>
      <c r="C11" t="s">
        <v>2</v>
      </c>
      <c r="D11">
        <v>2040</v>
      </c>
      <c r="E11" s="1">
        <v>0</v>
      </c>
      <c r="F11" t="s">
        <v>178</v>
      </c>
      <c r="G11" t="s">
        <v>180</v>
      </c>
    </row>
    <row r="12" spans="1:7" x14ac:dyDescent="0.45">
      <c r="A12" t="s">
        <v>63</v>
      </c>
      <c r="B12" t="s">
        <v>32</v>
      </c>
      <c r="C12" t="s">
        <v>2</v>
      </c>
      <c r="D12">
        <v>2050</v>
      </c>
      <c r="E12" s="1">
        <v>0</v>
      </c>
      <c r="F12" t="s">
        <v>178</v>
      </c>
      <c r="G12" t="s">
        <v>180</v>
      </c>
    </row>
    <row r="13" spans="1:7" x14ac:dyDescent="0.45">
      <c r="A13" t="s">
        <v>64</v>
      </c>
      <c r="B13" t="s">
        <v>20</v>
      </c>
      <c r="C13" t="s">
        <v>2</v>
      </c>
      <c r="D13">
        <v>2030</v>
      </c>
      <c r="E13" s="1">
        <v>100</v>
      </c>
      <c r="F13" t="s">
        <v>65</v>
      </c>
      <c r="G13" t="s">
        <v>181</v>
      </c>
    </row>
    <row r="14" spans="1:7" x14ac:dyDescent="0.45">
      <c r="A14" t="s">
        <v>64</v>
      </c>
      <c r="B14" t="s">
        <v>20</v>
      </c>
      <c r="C14" t="s">
        <v>2</v>
      </c>
      <c r="D14">
        <v>2040</v>
      </c>
      <c r="E14" s="1">
        <v>100</v>
      </c>
      <c r="F14" t="s">
        <v>65</v>
      </c>
      <c r="G14" t="s">
        <v>181</v>
      </c>
    </row>
    <row r="15" spans="1:7" x14ac:dyDescent="0.45">
      <c r="A15" t="s">
        <v>64</v>
      </c>
      <c r="B15" t="s">
        <v>20</v>
      </c>
      <c r="C15" t="s">
        <v>2</v>
      </c>
      <c r="D15">
        <v>2050</v>
      </c>
      <c r="E15" s="1">
        <v>100</v>
      </c>
      <c r="F15" t="s">
        <v>65</v>
      </c>
      <c r="G15" t="s">
        <v>181</v>
      </c>
    </row>
    <row r="16" spans="1:7" x14ac:dyDescent="0.45">
      <c r="A16" t="s">
        <v>64</v>
      </c>
      <c r="B16" t="s">
        <v>32</v>
      </c>
      <c r="C16" t="s">
        <v>2</v>
      </c>
      <c r="D16">
        <v>2030</v>
      </c>
      <c r="E16" s="1">
        <v>30</v>
      </c>
      <c r="F16" t="s">
        <v>65</v>
      </c>
      <c r="G16" t="s">
        <v>180</v>
      </c>
    </row>
    <row r="17" spans="1:7" x14ac:dyDescent="0.45">
      <c r="A17" t="s">
        <v>64</v>
      </c>
      <c r="B17" t="s">
        <v>32</v>
      </c>
      <c r="C17" t="s">
        <v>2</v>
      </c>
      <c r="D17">
        <v>2040</v>
      </c>
      <c r="E17" s="1">
        <v>30</v>
      </c>
      <c r="F17" t="s">
        <v>65</v>
      </c>
      <c r="G17" t="s">
        <v>180</v>
      </c>
    </row>
    <row r="18" spans="1:7" x14ac:dyDescent="0.45">
      <c r="A18" t="s">
        <v>64</v>
      </c>
      <c r="B18" t="s">
        <v>32</v>
      </c>
      <c r="C18" t="s">
        <v>2</v>
      </c>
      <c r="D18">
        <v>2050</v>
      </c>
      <c r="E18" s="1">
        <v>30</v>
      </c>
      <c r="F18" t="s">
        <v>65</v>
      </c>
      <c r="G18" t="s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128"/>
  <sheetViews>
    <sheetView workbookViewId="0">
      <selection activeCell="A114" sqref="A114:G125"/>
    </sheetView>
  </sheetViews>
  <sheetFormatPr defaultRowHeight="14.25" x14ac:dyDescent="0.45"/>
  <cols>
    <col min="2" max="2" width="36.796875" customWidth="1"/>
  </cols>
  <sheetData>
    <row r="1" spans="1:7" x14ac:dyDescent="0.45">
      <c r="A1" s="2" t="s">
        <v>14</v>
      </c>
      <c r="B1" s="2" t="s">
        <v>11</v>
      </c>
      <c r="C1" s="2" t="s">
        <v>15</v>
      </c>
      <c r="D1" s="2" t="s">
        <v>16</v>
      </c>
      <c r="E1" s="2" t="s">
        <v>17</v>
      </c>
      <c r="F1" s="2" t="s">
        <v>0</v>
      </c>
      <c r="G1" s="2" t="s">
        <v>1</v>
      </c>
    </row>
    <row r="2" spans="1:7" hidden="1" x14ac:dyDescent="0.45">
      <c r="A2" t="s">
        <v>18</v>
      </c>
      <c r="B2" t="s">
        <v>61</v>
      </c>
      <c r="C2" t="s">
        <v>2</v>
      </c>
      <c r="D2">
        <v>2030</v>
      </c>
      <c r="E2" s="1">
        <v>4104938.2716049384</v>
      </c>
      <c r="F2" t="s">
        <v>19</v>
      </c>
      <c r="G2" t="s">
        <v>220</v>
      </c>
    </row>
    <row r="3" spans="1:7" hidden="1" x14ac:dyDescent="0.45">
      <c r="A3" t="s">
        <v>18</v>
      </c>
      <c r="B3" t="s">
        <v>61</v>
      </c>
      <c r="C3" t="s">
        <v>2</v>
      </c>
      <c r="D3">
        <v>2040</v>
      </c>
      <c r="E3" s="1" t="s">
        <v>221</v>
      </c>
      <c r="F3" t="s">
        <v>19</v>
      </c>
      <c r="G3" t="s">
        <v>220</v>
      </c>
    </row>
    <row r="4" spans="1:7" hidden="1" x14ac:dyDescent="0.45">
      <c r="A4" t="s">
        <v>18</v>
      </c>
      <c r="B4" t="s">
        <v>61</v>
      </c>
      <c r="C4" t="s">
        <v>2</v>
      </c>
      <c r="D4">
        <v>2050</v>
      </c>
      <c r="E4" s="1">
        <v>3325000</v>
      </c>
      <c r="F4" t="s">
        <v>19</v>
      </c>
      <c r="G4" t="s">
        <v>220</v>
      </c>
    </row>
    <row r="5" spans="1:7" hidden="1" x14ac:dyDescent="0.45">
      <c r="A5" t="s">
        <v>18</v>
      </c>
      <c r="B5" t="s">
        <v>62</v>
      </c>
      <c r="C5" t="s">
        <v>2</v>
      </c>
      <c r="D5">
        <v>2030</v>
      </c>
      <c r="E5" s="1">
        <v>4104938.2716049384</v>
      </c>
      <c r="F5" t="s">
        <v>19</v>
      </c>
      <c r="G5" t="s">
        <v>220</v>
      </c>
    </row>
    <row r="6" spans="1:7" ht="13.5" hidden="1" customHeight="1" x14ac:dyDescent="0.45">
      <c r="A6" t="s">
        <v>18</v>
      </c>
      <c r="B6" t="s">
        <v>62</v>
      </c>
      <c r="C6" t="s">
        <v>2</v>
      </c>
      <c r="D6">
        <v>2040</v>
      </c>
      <c r="E6" s="1">
        <v>3694444.4444444445</v>
      </c>
      <c r="F6" t="s">
        <v>19</v>
      </c>
      <c r="G6" t="s">
        <v>220</v>
      </c>
    </row>
    <row r="7" spans="1:7" ht="13.5" hidden="1" customHeight="1" x14ac:dyDescent="0.45">
      <c r="A7" t="s">
        <v>18</v>
      </c>
      <c r="B7" t="s">
        <v>62</v>
      </c>
      <c r="C7" t="s">
        <v>2</v>
      </c>
      <c r="D7">
        <v>2050</v>
      </c>
      <c r="E7" s="1">
        <v>3325000</v>
      </c>
      <c r="F7" t="s">
        <v>19</v>
      </c>
      <c r="G7" t="s">
        <v>220</v>
      </c>
    </row>
    <row r="8" spans="1:7" hidden="1" x14ac:dyDescent="0.45">
      <c r="A8" t="s">
        <v>18</v>
      </c>
      <c r="B8" t="s">
        <v>97</v>
      </c>
      <c r="C8" t="s">
        <v>2</v>
      </c>
      <c r="D8">
        <v>2030</v>
      </c>
      <c r="E8" s="1">
        <f>4.53*1000000 / 0.5</f>
        <v>9060000</v>
      </c>
      <c r="F8" t="s">
        <v>19</v>
      </c>
      <c r="G8" t="s">
        <v>242</v>
      </c>
    </row>
    <row r="9" spans="1:7" hidden="1" x14ac:dyDescent="0.45">
      <c r="A9" t="s">
        <v>18</v>
      </c>
      <c r="B9" t="s">
        <v>97</v>
      </c>
      <c r="C9" t="s">
        <v>2</v>
      </c>
      <c r="D9">
        <v>2040</v>
      </c>
      <c r="E9" s="1">
        <f>AVERAGE(E8,E10)</f>
        <v>8560000</v>
      </c>
      <c r="F9" t="s">
        <v>19</v>
      </c>
      <c r="G9" t="s">
        <v>242</v>
      </c>
    </row>
    <row r="10" spans="1:7" hidden="1" x14ac:dyDescent="0.45">
      <c r="A10" t="s">
        <v>18</v>
      </c>
      <c r="B10" t="s">
        <v>97</v>
      </c>
      <c r="C10" t="s">
        <v>2</v>
      </c>
      <c r="D10">
        <v>2050</v>
      </c>
      <c r="E10" s="1">
        <f>4.03/0.5*1000000</f>
        <v>8060000.0000000009</v>
      </c>
      <c r="F10" t="s">
        <v>19</v>
      </c>
      <c r="G10" t="s">
        <v>242</v>
      </c>
    </row>
    <row r="11" spans="1:7" hidden="1" x14ac:dyDescent="0.45">
      <c r="A11" t="s">
        <v>18</v>
      </c>
      <c r="B11" t="s">
        <v>110</v>
      </c>
      <c r="C11" t="s">
        <v>2</v>
      </c>
      <c r="D11">
        <v>2030</v>
      </c>
      <c r="E11" s="1">
        <f>4.53*1000000 / 0.5</f>
        <v>9060000</v>
      </c>
      <c r="F11" t="s">
        <v>19</v>
      </c>
      <c r="G11" t="s">
        <v>242</v>
      </c>
    </row>
    <row r="12" spans="1:7" hidden="1" x14ac:dyDescent="0.45">
      <c r="A12" t="s">
        <v>18</v>
      </c>
      <c r="B12" t="s">
        <v>110</v>
      </c>
      <c r="C12" t="s">
        <v>2</v>
      </c>
      <c r="D12">
        <v>2040</v>
      </c>
      <c r="E12" s="1">
        <f>AVERAGE(E11,E13)</f>
        <v>8560000</v>
      </c>
      <c r="F12" t="s">
        <v>19</v>
      </c>
      <c r="G12" t="s">
        <v>242</v>
      </c>
    </row>
    <row r="13" spans="1:7" hidden="1" x14ac:dyDescent="0.45">
      <c r="A13" t="s">
        <v>18</v>
      </c>
      <c r="B13" t="s">
        <v>110</v>
      </c>
      <c r="C13" t="s">
        <v>2</v>
      </c>
      <c r="D13">
        <v>2050</v>
      </c>
      <c r="E13" s="1">
        <f>4.03/0.5*1000000</f>
        <v>8060000.0000000009</v>
      </c>
      <c r="F13" t="s">
        <v>19</v>
      </c>
      <c r="G13" t="s">
        <v>242</v>
      </c>
    </row>
    <row r="14" spans="1:7" hidden="1" x14ac:dyDescent="0.45">
      <c r="A14" t="s">
        <v>18</v>
      </c>
      <c r="B14" t="s">
        <v>111</v>
      </c>
      <c r="C14" t="s">
        <v>2</v>
      </c>
      <c r="D14">
        <v>2030</v>
      </c>
      <c r="E14" s="1">
        <v>4104938.2716049384</v>
      </c>
      <c r="F14" t="s">
        <v>19</v>
      </c>
      <c r="G14" t="s">
        <v>220</v>
      </c>
    </row>
    <row r="15" spans="1:7" hidden="1" x14ac:dyDescent="0.45">
      <c r="A15" t="s">
        <v>18</v>
      </c>
      <c r="B15" t="s">
        <v>111</v>
      </c>
      <c r="C15" t="s">
        <v>2</v>
      </c>
      <c r="D15">
        <v>2040</v>
      </c>
      <c r="E15" s="1">
        <v>3694444.4444444445</v>
      </c>
      <c r="F15" t="s">
        <v>19</v>
      </c>
      <c r="G15" t="s">
        <v>220</v>
      </c>
    </row>
    <row r="16" spans="1:7" hidden="1" x14ac:dyDescent="0.45">
      <c r="A16" t="s">
        <v>18</v>
      </c>
      <c r="B16" t="s">
        <v>111</v>
      </c>
      <c r="C16" t="s">
        <v>2</v>
      </c>
      <c r="D16">
        <v>2050</v>
      </c>
      <c r="E16" s="1">
        <v>3325000</v>
      </c>
      <c r="F16" t="s">
        <v>19</v>
      </c>
      <c r="G16" t="s">
        <v>220</v>
      </c>
    </row>
    <row r="17" spans="1:7" x14ac:dyDescent="0.45">
      <c r="A17" t="s">
        <v>18</v>
      </c>
      <c r="B17" t="s">
        <v>130</v>
      </c>
      <c r="C17" t="s">
        <v>2</v>
      </c>
      <c r="D17">
        <v>2030</v>
      </c>
      <c r="E17" s="1">
        <f>0.15*1000000*3.6</f>
        <v>540000</v>
      </c>
      <c r="F17" t="s">
        <v>19</v>
      </c>
      <c r="G17" t="s">
        <v>93</v>
      </c>
    </row>
    <row r="18" spans="1:7" x14ac:dyDescent="0.45">
      <c r="A18" t="s">
        <v>18</v>
      </c>
      <c r="B18" t="s">
        <v>130</v>
      </c>
      <c r="C18" t="s">
        <v>2</v>
      </c>
      <c r="D18">
        <v>2040</v>
      </c>
      <c r="E18" s="1">
        <f>0.15*1000000*3.6</f>
        <v>540000</v>
      </c>
      <c r="F18" t="s">
        <v>19</v>
      </c>
      <c r="G18" t="s">
        <v>93</v>
      </c>
    </row>
    <row r="19" spans="1:7" x14ac:dyDescent="0.45">
      <c r="A19" t="s">
        <v>18</v>
      </c>
      <c r="B19" t="s">
        <v>130</v>
      </c>
      <c r="C19" t="s">
        <v>2</v>
      </c>
      <c r="D19">
        <v>2050</v>
      </c>
      <c r="E19" s="1">
        <f>0.15*1000000*3.6</f>
        <v>540000</v>
      </c>
      <c r="F19" t="s">
        <v>19</v>
      </c>
      <c r="G19" t="s">
        <v>93</v>
      </c>
    </row>
    <row r="20" spans="1:7" hidden="1" x14ac:dyDescent="0.45">
      <c r="A20" t="s">
        <v>63</v>
      </c>
      <c r="B20" t="s">
        <v>61</v>
      </c>
      <c r="C20" t="s">
        <v>2</v>
      </c>
      <c r="D20">
        <v>2030</v>
      </c>
      <c r="E20" s="1">
        <v>180833.33333333334</v>
      </c>
      <c r="F20" t="s">
        <v>19</v>
      </c>
      <c r="G20" t="s">
        <v>220</v>
      </c>
    </row>
    <row r="21" spans="1:7" hidden="1" x14ac:dyDescent="0.45">
      <c r="A21" t="s">
        <v>63</v>
      </c>
      <c r="B21" t="s">
        <v>61</v>
      </c>
      <c r="C21" t="s">
        <v>2</v>
      </c>
      <c r="D21">
        <v>2040</v>
      </c>
      <c r="E21" s="1">
        <v>162750</v>
      </c>
      <c r="F21" t="s">
        <v>19</v>
      </c>
      <c r="G21" t="s">
        <v>220</v>
      </c>
    </row>
    <row r="22" spans="1:7" hidden="1" x14ac:dyDescent="0.45">
      <c r="A22" t="s">
        <v>63</v>
      </c>
      <c r="B22" t="s">
        <v>61</v>
      </c>
      <c r="C22" t="s">
        <v>2</v>
      </c>
      <c r="D22">
        <v>2050</v>
      </c>
      <c r="E22" s="1">
        <v>146475</v>
      </c>
      <c r="F22" t="s">
        <v>19</v>
      </c>
      <c r="G22" t="s">
        <v>220</v>
      </c>
    </row>
    <row r="23" spans="1:7" hidden="1" x14ac:dyDescent="0.45">
      <c r="A23" t="s">
        <v>63</v>
      </c>
      <c r="B23" t="s">
        <v>62</v>
      </c>
      <c r="C23" t="s">
        <v>2</v>
      </c>
      <c r="D23">
        <v>2030</v>
      </c>
      <c r="E23" s="1">
        <v>180833.33333333334</v>
      </c>
      <c r="F23" t="s">
        <v>19</v>
      </c>
      <c r="G23" t="s">
        <v>220</v>
      </c>
    </row>
    <row r="24" spans="1:7" hidden="1" x14ac:dyDescent="0.45">
      <c r="A24" t="s">
        <v>63</v>
      </c>
      <c r="B24" t="s">
        <v>62</v>
      </c>
      <c r="C24" t="s">
        <v>2</v>
      </c>
      <c r="D24">
        <v>2040</v>
      </c>
      <c r="E24" s="1">
        <v>162750</v>
      </c>
      <c r="F24" t="s">
        <v>19</v>
      </c>
      <c r="G24" t="s">
        <v>220</v>
      </c>
    </row>
    <row r="25" spans="1:7" hidden="1" x14ac:dyDescent="0.45">
      <c r="A25" t="s">
        <v>63</v>
      </c>
      <c r="B25" t="s">
        <v>62</v>
      </c>
      <c r="C25" t="s">
        <v>2</v>
      </c>
      <c r="D25">
        <v>2050</v>
      </c>
      <c r="E25" s="1">
        <v>146475</v>
      </c>
      <c r="F25" t="s">
        <v>19</v>
      </c>
      <c r="G25" t="s">
        <v>220</v>
      </c>
    </row>
    <row r="26" spans="1:7" hidden="1" x14ac:dyDescent="0.45">
      <c r="A26" t="s">
        <v>63</v>
      </c>
      <c r="B26" t="s">
        <v>110</v>
      </c>
      <c r="C26" t="s">
        <v>2</v>
      </c>
      <c r="D26">
        <v>2030</v>
      </c>
      <c r="E26" s="1">
        <v>180833.33333333334</v>
      </c>
      <c r="F26" t="s">
        <v>19</v>
      </c>
      <c r="G26" t="s">
        <v>220</v>
      </c>
    </row>
    <row r="27" spans="1:7" hidden="1" x14ac:dyDescent="0.45">
      <c r="A27" t="s">
        <v>63</v>
      </c>
      <c r="B27" t="s">
        <v>110</v>
      </c>
      <c r="C27" t="s">
        <v>2</v>
      </c>
      <c r="D27">
        <v>2040</v>
      </c>
      <c r="E27" s="1">
        <v>162750</v>
      </c>
      <c r="F27" t="s">
        <v>19</v>
      </c>
      <c r="G27" t="s">
        <v>220</v>
      </c>
    </row>
    <row r="28" spans="1:7" hidden="1" x14ac:dyDescent="0.45">
      <c r="A28" t="s">
        <v>63</v>
      </c>
      <c r="B28" t="s">
        <v>110</v>
      </c>
      <c r="C28" t="s">
        <v>2</v>
      </c>
      <c r="D28">
        <v>2050</v>
      </c>
      <c r="E28" s="1">
        <v>146475</v>
      </c>
      <c r="F28" t="s">
        <v>19</v>
      </c>
      <c r="G28" t="s">
        <v>220</v>
      </c>
    </row>
    <row r="29" spans="1:7" hidden="1" x14ac:dyDescent="0.45">
      <c r="A29" t="s">
        <v>63</v>
      </c>
      <c r="B29" t="s">
        <v>111</v>
      </c>
      <c r="C29" t="s">
        <v>2</v>
      </c>
      <c r="D29">
        <v>2030</v>
      </c>
      <c r="E29" s="1">
        <v>180833.33333333334</v>
      </c>
      <c r="F29" t="s">
        <v>19</v>
      </c>
      <c r="G29" t="s">
        <v>220</v>
      </c>
    </row>
    <row r="30" spans="1:7" hidden="1" x14ac:dyDescent="0.45">
      <c r="A30" t="s">
        <v>63</v>
      </c>
      <c r="B30" t="s">
        <v>111</v>
      </c>
      <c r="C30" t="s">
        <v>2</v>
      </c>
      <c r="D30">
        <v>2040</v>
      </c>
      <c r="E30" s="1">
        <v>162750</v>
      </c>
      <c r="F30" t="s">
        <v>19</v>
      </c>
      <c r="G30" t="s">
        <v>220</v>
      </c>
    </row>
    <row r="31" spans="1:7" hidden="1" x14ac:dyDescent="0.45">
      <c r="A31" t="s">
        <v>63</v>
      </c>
      <c r="B31" t="s">
        <v>111</v>
      </c>
      <c r="C31" t="s">
        <v>2</v>
      </c>
      <c r="D31">
        <v>2050</v>
      </c>
      <c r="E31" s="1">
        <v>146475</v>
      </c>
      <c r="F31" t="s">
        <v>19</v>
      </c>
      <c r="G31" t="s">
        <v>220</v>
      </c>
    </row>
    <row r="32" spans="1:7" hidden="1" x14ac:dyDescent="0.45">
      <c r="A32" t="s">
        <v>63</v>
      </c>
      <c r="B32" t="s">
        <v>97</v>
      </c>
      <c r="C32" t="s">
        <v>2</v>
      </c>
      <c r="D32">
        <v>2030</v>
      </c>
      <c r="E32" s="1">
        <v>34529.147982062779</v>
      </c>
      <c r="F32" t="s">
        <v>19</v>
      </c>
      <c r="G32" t="s">
        <v>133</v>
      </c>
    </row>
    <row r="33" spans="1:7" hidden="1" x14ac:dyDescent="0.45">
      <c r="A33" t="s">
        <v>63</v>
      </c>
      <c r="B33" t="s">
        <v>97</v>
      </c>
      <c r="C33" t="s">
        <v>2</v>
      </c>
      <c r="D33">
        <v>2040</v>
      </c>
      <c r="E33" s="1">
        <v>31076.233183856501</v>
      </c>
      <c r="F33" t="s">
        <v>19</v>
      </c>
      <c r="G33" t="s">
        <v>133</v>
      </c>
    </row>
    <row r="34" spans="1:7" hidden="1" x14ac:dyDescent="0.45">
      <c r="A34" t="s">
        <v>63</v>
      </c>
      <c r="B34" t="s">
        <v>97</v>
      </c>
      <c r="C34" t="s">
        <v>2</v>
      </c>
      <c r="D34">
        <v>2050</v>
      </c>
      <c r="E34" s="1">
        <v>27968.609865470851</v>
      </c>
      <c r="F34" t="s">
        <v>19</v>
      </c>
      <c r="G34" t="s">
        <v>132</v>
      </c>
    </row>
    <row r="35" spans="1:7" x14ac:dyDescent="0.45">
      <c r="A35" t="s">
        <v>63</v>
      </c>
      <c r="B35" t="s">
        <v>130</v>
      </c>
      <c r="C35" t="s">
        <v>2</v>
      </c>
      <c r="D35">
        <v>2030</v>
      </c>
      <c r="E35" s="1">
        <f>5320*3.6</f>
        <v>19152</v>
      </c>
      <c r="F35" t="s">
        <v>19</v>
      </c>
      <c r="G35" t="s">
        <v>93</v>
      </c>
    </row>
    <row r="36" spans="1:7" x14ac:dyDescent="0.45">
      <c r="A36" t="s">
        <v>63</v>
      </c>
      <c r="B36" t="s">
        <v>130</v>
      </c>
      <c r="C36" t="s">
        <v>2</v>
      </c>
      <c r="D36">
        <v>2040</v>
      </c>
      <c r="E36" s="1">
        <f>5320*3.6</f>
        <v>19152</v>
      </c>
      <c r="F36" t="s">
        <v>19</v>
      </c>
      <c r="G36" t="s">
        <v>93</v>
      </c>
    </row>
    <row r="37" spans="1:7" x14ac:dyDescent="0.45">
      <c r="A37" t="s">
        <v>63</v>
      </c>
      <c r="B37" t="s">
        <v>130</v>
      </c>
      <c r="C37" t="s">
        <v>2</v>
      </c>
      <c r="D37">
        <v>2050</v>
      </c>
      <c r="E37" s="1">
        <f>5320*3.6</f>
        <v>19152</v>
      </c>
      <c r="F37" t="s">
        <v>19</v>
      </c>
      <c r="G37" t="s">
        <v>93</v>
      </c>
    </row>
    <row r="38" spans="1:7" hidden="1" x14ac:dyDescent="0.45">
      <c r="A38" t="s">
        <v>64</v>
      </c>
      <c r="B38" t="s">
        <v>61</v>
      </c>
      <c r="C38" t="s">
        <v>2</v>
      </c>
      <c r="D38">
        <v>2030</v>
      </c>
      <c r="E38">
        <v>25</v>
      </c>
      <c r="F38" t="s">
        <v>65</v>
      </c>
      <c r="G38" t="s">
        <v>74</v>
      </c>
    </row>
    <row r="39" spans="1:7" hidden="1" x14ac:dyDescent="0.45">
      <c r="A39" t="s">
        <v>64</v>
      </c>
      <c r="B39" t="s">
        <v>61</v>
      </c>
      <c r="C39" t="s">
        <v>2</v>
      </c>
      <c r="D39">
        <v>2040</v>
      </c>
      <c r="E39">
        <v>25</v>
      </c>
      <c r="F39" t="s">
        <v>65</v>
      </c>
      <c r="G39" t="s">
        <v>74</v>
      </c>
    </row>
    <row r="40" spans="1:7" hidden="1" x14ac:dyDescent="0.45">
      <c r="A40" t="s">
        <v>64</v>
      </c>
      <c r="B40" t="s">
        <v>61</v>
      </c>
      <c r="C40" t="s">
        <v>2</v>
      </c>
      <c r="D40">
        <v>2050</v>
      </c>
      <c r="E40">
        <v>25</v>
      </c>
      <c r="F40" t="s">
        <v>65</v>
      </c>
      <c r="G40" t="s">
        <v>74</v>
      </c>
    </row>
    <row r="41" spans="1:7" hidden="1" x14ac:dyDescent="0.45">
      <c r="A41" t="s">
        <v>64</v>
      </c>
      <c r="B41" t="s">
        <v>62</v>
      </c>
      <c r="C41" t="s">
        <v>2</v>
      </c>
      <c r="D41">
        <v>2030</v>
      </c>
      <c r="E41">
        <v>25</v>
      </c>
      <c r="F41" t="s">
        <v>65</v>
      </c>
      <c r="G41" t="s">
        <v>74</v>
      </c>
    </row>
    <row r="42" spans="1:7" hidden="1" x14ac:dyDescent="0.45">
      <c r="A42" t="s">
        <v>64</v>
      </c>
      <c r="B42" t="s">
        <v>62</v>
      </c>
      <c r="C42" t="s">
        <v>2</v>
      </c>
      <c r="D42">
        <v>2040</v>
      </c>
      <c r="E42">
        <v>25</v>
      </c>
      <c r="F42" t="s">
        <v>65</v>
      </c>
      <c r="G42" t="s">
        <v>74</v>
      </c>
    </row>
    <row r="43" spans="1:7" hidden="1" x14ac:dyDescent="0.45">
      <c r="A43" t="s">
        <v>64</v>
      </c>
      <c r="B43" t="s">
        <v>62</v>
      </c>
      <c r="C43" t="s">
        <v>2</v>
      </c>
      <c r="D43">
        <v>2050</v>
      </c>
      <c r="E43" s="1">
        <f>4.53*1000000 / 0.5</f>
        <v>9060000</v>
      </c>
      <c r="F43" t="s">
        <v>65</v>
      </c>
      <c r="G43" t="s">
        <v>242</v>
      </c>
    </row>
    <row r="44" spans="1:7" hidden="1" x14ac:dyDescent="0.45">
      <c r="A44" t="s">
        <v>64</v>
      </c>
      <c r="B44" t="s">
        <v>110</v>
      </c>
      <c r="C44" t="s">
        <v>2</v>
      </c>
      <c r="D44">
        <v>2030</v>
      </c>
      <c r="E44" s="1">
        <f>AVERAGE(E43,E45)</f>
        <v>8560000</v>
      </c>
      <c r="F44" t="s">
        <v>65</v>
      </c>
      <c r="G44" t="s">
        <v>242</v>
      </c>
    </row>
    <row r="45" spans="1:7" hidden="1" x14ac:dyDescent="0.45">
      <c r="A45" t="s">
        <v>64</v>
      </c>
      <c r="B45" t="s">
        <v>110</v>
      </c>
      <c r="C45" t="s">
        <v>2</v>
      </c>
      <c r="D45">
        <v>2040</v>
      </c>
      <c r="E45" s="1">
        <f>4.03/0.5*1000000</f>
        <v>8060000.0000000009</v>
      </c>
      <c r="F45" t="s">
        <v>65</v>
      </c>
      <c r="G45" t="s">
        <v>242</v>
      </c>
    </row>
    <row r="46" spans="1:7" hidden="1" x14ac:dyDescent="0.45">
      <c r="A46" t="s">
        <v>64</v>
      </c>
      <c r="B46" t="s">
        <v>110</v>
      </c>
      <c r="C46" t="s">
        <v>2</v>
      </c>
      <c r="D46">
        <v>2050</v>
      </c>
      <c r="E46" s="1">
        <f>4.53*1000000 / 0.5</f>
        <v>9060000</v>
      </c>
      <c r="F46" t="s">
        <v>65</v>
      </c>
      <c r="G46" t="s">
        <v>242</v>
      </c>
    </row>
    <row r="47" spans="1:7" hidden="1" x14ac:dyDescent="0.45">
      <c r="A47" t="s">
        <v>64</v>
      </c>
      <c r="B47" t="s">
        <v>111</v>
      </c>
      <c r="C47" t="s">
        <v>2</v>
      </c>
      <c r="D47">
        <v>2030</v>
      </c>
      <c r="E47" s="1">
        <f>AVERAGE(E46,E48)</f>
        <v>8560000</v>
      </c>
      <c r="F47" t="s">
        <v>65</v>
      </c>
      <c r="G47" t="s">
        <v>242</v>
      </c>
    </row>
    <row r="48" spans="1:7" hidden="1" x14ac:dyDescent="0.45">
      <c r="A48" t="s">
        <v>64</v>
      </c>
      <c r="B48" t="s">
        <v>111</v>
      </c>
      <c r="C48" t="s">
        <v>2</v>
      </c>
      <c r="D48">
        <v>2040</v>
      </c>
      <c r="E48" s="1">
        <f>4.03/0.5*1000000</f>
        <v>8060000.0000000009</v>
      </c>
      <c r="F48" t="s">
        <v>65</v>
      </c>
      <c r="G48" t="s">
        <v>242</v>
      </c>
    </row>
    <row r="49" spans="1:7" hidden="1" x14ac:dyDescent="0.45">
      <c r="A49" t="s">
        <v>64</v>
      </c>
      <c r="B49" t="s">
        <v>111</v>
      </c>
      <c r="C49" t="s">
        <v>2</v>
      </c>
      <c r="D49">
        <v>2050</v>
      </c>
      <c r="E49">
        <v>25</v>
      </c>
      <c r="F49" t="s">
        <v>65</v>
      </c>
      <c r="G49" t="s">
        <v>74</v>
      </c>
    </row>
    <row r="50" spans="1:7" hidden="1" x14ac:dyDescent="0.45">
      <c r="A50" t="s">
        <v>64</v>
      </c>
      <c r="B50" t="s">
        <v>97</v>
      </c>
      <c r="C50" t="s">
        <v>2</v>
      </c>
      <c r="D50">
        <v>2030</v>
      </c>
      <c r="E50" s="1">
        <v>20</v>
      </c>
      <c r="F50" t="s">
        <v>65</v>
      </c>
      <c r="G50" t="s">
        <v>93</v>
      </c>
    </row>
    <row r="51" spans="1:7" hidden="1" x14ac:dyDescent="0.45">
      <c r="A51" t="s">
        <v>64</v>
      </c>
      <c r="B51" t="s">
        <v>97</v>
      </c>
      <c r="C51" t="s">
        <v>2</v>
      </c>
      <c r="D51">
        <v>2040</v>
      </c>
      <c r="E51" s="1">
        <v>20</v>
      </c>
      <c r="F51" t="s">
        <v>65</v>
      </c>
      <c r="G51" t="s">
        <v>93</v>
      </c>
    </row>
    <row r="52" spans="1:7" hidden="1" x14ac:dyDescent="0.45">
      <c r="A52" t="s">
        <v>64</v>
      </c>
      <c r="B52" t="s">
        <v>97</v>
      </c>
      <c r="C52" t="s">
        <v>2</v>
      </c>
      <c r="D52">
        <v>2050</v>
      </c>
      <c r="E52" s="1">
        <v>20</v>
      </c>
      <c r="F52" t="s">
        <v>65</v>
      </c>
      <c r="G52" t="s">
        <v>93</v>
      </c>
    </row>
    <row r="53" spans="1:7" x14ac:dyDescent="0.45">
      <c r="A53" t="s">
        <v>64</v>
      </c>
      <c r="B53" t="s">
        <v>130</v>
      </c>
      <c r="C53" t="s">
        <v>2</v>
      </c>
      <c r="D53">
        <v>2030</v>
      </c>
      <c r="E53" s="1">
        <v>20</v>
      </c>
      <c r="F53" t="s">
        <v>65</v>
      </c>
      <c r="G53" t="s">
        <v>93</v>
      </c>
    </row>
    <row r="54" spans="1:7" x14ac:dyDescent="0.45">
      <c r="A54" t="s">
        <v>64</v>
      </c>
      <c r="B54" t="s">
        <v>130</v>
      </c>
      <c r="C54" t="s">
        <v>2</v>
      </c>
      <c r="D54">
        <v>2040</v>
      </c>
      <c r="E54" s="1">
        <v>20</v>
      </c>
      <c r="F54" t="s">
        <v>65</v>
      </c>
      <c r="G54" t="s">
        <v>93</v>
      </c>
    </row>
    <row r="55" spans="1:7" x14ac:dyDescent="0.45">
      <c r="A55" t="s">
        <v>64</v>
      </c>
      <c r="B55" t="s">
        <v>130</v>
      </c>
      <c r="C55" t="s">
        <v>2</v>
      </c>
      <c r="D55">
        <v>2050</v>
      </c>
      <c r="E55" s="1">
        <v>20</v>
      </c>
      <c r="F55" t="s">
        <v>65</v>
      </c>
      <c r="G55" t="s">
        <v>93</v>
      </c>
    </row>
    <row r="56" spans="1:7" hidden="1" x14ac:dyDescent="0.45">
      <c r="A56" t="s">
        <v>70</v>
      </c>
      <c r="B56" t="s">
        <v>71</v>
      </c>
      <c r="C56" t="s">
        <v>2</v>
      </c>
      <c r="D56">
        <v>2030</v>
      </c>
      <c r="E56" s="4">
        <v>3.4000000000000002E-2</v>
      </c>
      <c r="F56" t="s">
        <v>72</v>
      </c>
      <c r="G56" t="s">
        <v>109</v>
      </c>
    </row>
    <row r="57" spans="1:7" hidden="1" x14ac:dyDescent="0.45">
      <c r="A57" t="s">
        <v>70</v>
      </c>
      <c r="B57" t="s">
        <v>71</v>
      </c>
      <c r="C57" t="s">
        <v>2</v>
      </c>
      <c r="D57">
        <v>2040</v>
      </c>
      <c r="E57" s="4">
        <v>3.4000000000000002E-2</v>
      </c>
      <c r="F57" t="s">
        <v>72</v>
      </c>
      <c r="G57" t="s">
        <v>109</v>
      </c>
    </row>
    <row r="58" spans="1:7" hidden="1" x14ac:dyDescent="0.45">
      <c r="A58" t="s">
        <v>70</v>
      </c>
      <c r="B58" t="s">
        <v>71</v>
      </c>
      <c r="C58" t="s">
        <v>2</v>
      </c>
      <c r="D58">
        <v>2050</v>
      </c>
      <c r="E58" s="4">
        <v>3.4000000000000002E-2</v>
      </c>
      <c r="F58" t="s">
        <v>72</v>
      </c>
      <c r="G58" t="s">
        <v>109</v>
      </c>
    </row>
    <row r="59" spans="1:7" hidden="1" x14ac:dyDescent="0.45">
      <c r="A59" t="s">
        <v>70</v>
      </c>
      <c r="B59" t="s">
        <v>75</v>
      </c>
      <c r="C59" t="s">
        <v>2</v>
      </c>
      <c r="D59">
        <v>2030</v>
      </c>
      <c r="E59" s="4">
        <v>0.16800000000000001</v>
      </c>
      <c r="F59" t="s">
        <v>72</v>
      </c>
      <c r="G59" t="s">
        <v>109</v>
      </c>
    </row>
    <row r="60" spans="1:7" hidden="1" x14ac:dyDescent="0.45">
      <c r="A60" t="s">
        <v>70</v>
      </c>
      <c r="B60" t="s">
        <v>75</v>
      </c>
      <c r="C60" t="s">
        <v>2</v>
      </c>
      <c r="D60">
        <v>2050</v>
      </c>
      <c r="E60" s="4">
        <v>0.16800000000000001</v>
      </c>
      <c r="F60" t="s">
        <v>72</v>
      </c>
      <c r="G60" t="s">
        <v>109</v>
      </c>
    </row>
    <row r="61" spans="1:7" hidden="1" x14ac:dyDescent="0.45">
      <c r="A61" t="s">
        <v>70</v>
      </c>
      <c r="B61" t="s">
        <v>76</v>
      </c>
      <c r="C61" t="s">
        <v>2</v>
      </c>
      <c r="D61">
        <v>2030</v>
      </c>
      <c r="E61" s="4">
        <v>0.4</v>
      </c>
      <c r="F61" t="s">
        <v>72</v>
      </c>
      <c r="G61" t="s">
        <v>109</v>
      </c>
    </row>
    <row r="62" spans="1:7" hidden="1" x14ac:dyDescent="0.45">
      <c r="A62" t="s">
        <v>70</v>
      </c>
      <c r="B62" t="s">
        <v>76</v>
      </c>
      <c r="C62" t="s">
        <v>2</v>
      </c>
      <c r="D62">
        <v>2050</v>
      </c>
      <c r="E62" s="4">
        <v>0.4</v>
      </c>
      <c r="F62" t="s">
        <v>72</v>
      </c>
      <c r="G62" t="s">
        <v>109</v>
      </c>
    </row>
    <row r="63" spans="1:7" hidden="1" x14ac:dyDescent="0.45">
      <c r="A63" t="s">
        <v>70</v>
      </c>
      <c r="B63" t="s">
        <v>95</v>
      </c>
      <c r="C63" t="s">
        <v>2</v>
      </c>
      <c r="D63">
        <v>2030</v>
      </c>
      <c r="E63" s="4">
        <v>0.21</v>
      </c>
      <c r="F63" t="s">
        <v>72</v>
      </c>
      <c r="G63" t="s">
        <v>109</v>
      </c>
    </row>
    <row r="64" spans="1:7" hidden="1" x14ac:dyDescent="0.45">
      <c r="A64" t="s">
        <v>70</v>
      </c>
      <c r="B64" t="s">
        <v>95</v>
      </c>
      <c r="C64" t="s">
        <v>2</v>
      </c>
      <c r="D64">
        <v>2050</v>
      </c>
      <c r="E64" s="4">
        <v>0.21</v>
      </c>
      <c r="F64" t="s">
        <v>72</v>
      </c>
      <c r="G64" t="s">
        <v>109</v>
      </c>
    </row>
    <row r="65" spans="1:7" hidden="1" x14ac:dyDescent="0.45">
      <c r="A65" t="s">
        <v>70</v>
      </c>
      <c r="B65" t="s">
        <v>77</v>
      </c>
      <c r="C65" t="s">
        <v>2</v>
      </c>
      <c r="D65">
        <v>2030</v>
      </c>
      <c r="E65" s="4">
        <v>3.4000000000000002E-2</v>
      </c>
      <c r="F65" t="s">
        <v>72</v>
      </c>
      <c r="G65" t="s">
        <v>109</v>
      </c>
    </row>
    <row r="66" spans="1:7" hidden="1" x14ac:dyDescent="0.45">
      <c r="A66" t="s">
        <v>70</v>
      </c>
      <c r="B66" t="s">
        <v>77</v>
      </c>
      <c r="C66" t="s">
        <v>2</v>
      </c>
      <c r="D66">
        <v>2050</v>
      </c>
      <c r="E66" s="4">
        <v>3.4000000000000002E-2</v>
      </c>
      <c r="F66" t="s">
        <v>72</v>
      </c>
      <c r="G66" t="s">
        <v>109</v>
      </c>
    </row>
    <row r="67" spans="1:7" hidden="1" x14ac:dyDescent="0.45">
      <c r="A67" t="s">
        <v>70</v>
      </c>
      <c r="B67" t="s">
        <v>78</v>
      </c>
      <c r="C67" t="s">
        <v>2</v>
      </c>
      <c r="D67">
        <v>2030</v>
      </c>
      <c r="E67" s="4">
        <v>0.16800000000000001</v>
      </c>
      <c r="F67" t="s">
        <v>72</v>
      </c>
      <c r="G67" t="s">
        <v>109</v>
      </c>
    </row>
    <row r="68" spans="1:7" hidden="1" x14ac:dyDescent="0.45">
      <c r="A68" t="s">
        <v>70</v>
      </c>
      <c r="B68" t="s">
        <v>78</v>
      </c>
      <c r="C68" t="s">
        <v>2</v>
      </c>
      <c r="D68">
        <v>2050</v>
      </c>
      <c r="E68" s="4">
        <v>0.16800000000000001</v>
      </c>
      <c r="F68" t="s">
        <v>72</v>
      </c>
      <c r="G68" t="s">
        <v>109</v>
      </c>
    </row>
    <row r="69" spans="1:7" hidden="1" x14ac:dyDescent="0.45">
      <c r="A69" t="s">
        <v>70</v>
      </c>
      <c r="B69" t="s">
        <v>79</v>
      </c>
      <c r="C69" t="s">
        <v>2</v>
      </c>
      <c r="D69">
        <v>2030</v>
      </c>
      <c r="E69" s="4">
        <v>0.4</v>
      </c>
      <c r="F69" t="s">
        <v>72</v>
      </c>
      <c r="G69" t="s">
        <v>109</v>
      </c>
    </row>
    <row r="70" spans="1:7" hidden="1" x14ac:dyDescent="0.45">
      <c r="A70" t="s">
        <v>70</v>
      </c>
      <c r="B70" t="s">
        <v>79</v>
      </c>
      <c r="C70" t="s">
        <v>2</v>
      </c>
      <c r="D70">
        <v>2050</v>
      </c>
      <c r="E70" s="4">
        <v>0.4</v>
      </c>
      <c r="F70" t="s">
        <v>72</v>
      </c>
      <c r="G70" t="s">
        <v>109</v>
      </c>
    </row>
    <row r="71" spans="1:7" hidden="1" x14ac:dyDescent="0.45">
      <c r="A71" t="s">
        <v>70</v>
      </c>
      <c r="B71" t="s">
        <v>96</v>
      </c>
      <c r="C71" t="s">
        <v>2</v>
      </c>
      <c r="D71">
        <v>2030</v>
      </c>
      <c r="E71" s="4">
        <v>0.21</v>
      </c>
      <c r="F71" t="s">
        <v>72</v>
      </c>
      <c r="G71" t="s">
        <v>109</v>
      </c>
    </row>
    <row r="72" spans="1:7" hidden="1" x14ac:dyDescent="0.45">
      <c r="A72" t="s">
        <v>70</v>
      </c>
      <c r="B72" t="s">
        <v>96</v>
      </c>
      <c r="C72" t="s">
        <v>2</v>
      </c>
      <c r="D72">
        <v>2050</v>
      </c>
      <c r="E72" s="4">
        <v>0.21</v>
      </c>
      <c r="F72" t="s">
        <v>72</v>
      </c>
      <c r="G72" t="s">
        <v>109</v>
      </c>
    </row>
    <row r="73" spans="1:7" hidden="1" x14ac:dyDescent="0.45">
      <c r="A73" t="s">
        <v>70</v>
      </c>
      <c r="B73" t="s">
        <v>116</v>
      </c>
      <c r="C73" t="s">
        <v>2</v>
      </c>
      <c r="D73">
        <v>2030</v>
      </c>
      <c r="E73" s="4">
        <v>3.5999999999999997E-2</v>
      </c>
      <c r="F73" t="s">
        <v>72</v>
      </c>
      <c r="G73" t="s">
        <v>21</v>
      </c>
    </row>
    <row r="74" spans="1:7" hidden="1" x14ac:dyDescent="0.45">
      <c r="A74" t="s">
        <v>70</v>
      </c>
      <c r="B74" t="s">
        <v>116</v>
      </c>
      <c r="C74" t="s">
        <v>2</v>
      </c>
      <c r="D74">
        <v>2050</v>
      </c>
      <c r="E74" s="4">
        <v>3.5999999999999997E-2</v>
      </c>
      <c r="F74" t="s">
        <v>72</v>
      </c>
      <c r="G74" t="s">
        <v>21</v>
      </c>
    </row>
    <row r="75" spans="1:7" hidden="1" x14ac:dyDescent="0.45">
      <c r="A75" t="s">
        <v>70</v>
      </c>
      <c r="B75" t="s">
        <v>117</v>
      </c>
      <c r="C75" t="s">
        <v>2</v>
      </c>
      <c r="D75">
        <v>2030</v>
      </c>
      <c r="E75" s="4">
        <v>0.23200000000000001</v>
      </c>
      <c r="F75" t="s">
        <v>72</v>
      </c>
      <c r="G75" t="s">
        <v>21</v>
      </c>
    </row>
    <row r="76" spans="1:7" hidden="1" x14ac:dyDescent="0.45">
      <c r="A76" t="s">
        <v>70</v>
      </c>
      <c r="B76" t="s">
        <v>117</v>
      </c>
      <c r="C76" t="s">
        <v>2</v>
      </c>
      <c r="D76">
        <v>2050</v>
      </c>
      <c r="E76" s="4">
        <v>0.23200000000000001</v>
      </c>
      <c r="F76" t="s">
        <v>72</v>
      </c>
      <c r="G76" t="s">
        <v>21</v>
      </c>
    </row>
    <row r="77" spans="1:7" hidden="1" x14ac:dyDescent="0.45">
      <c r="A77" t="s">
        <v>70</v>
      </c>
      <c r="B77" t="s">
        <v>118</v>
      </c>
      <c r="C77" t="s">
        <v>2</v>
      </c>
      <c r="D77">
        <v>2030</v>
      </c>
      <c r="E77" s="4">
        <v>0.4</v>
      </c>
      <c r="F77" t="s">
        <v>72</v>
      </c>
      <c r="G77" t="s">
        <v>21</v>
      </c>
    </row>
    <row r="78" spans="1:7" hidden="1" x14ac:dyDescent="0.45">
      <c r="A78" t="s">
        <v>70</v>
      </c>
      <c r="B78" t="s">
        <v>118</v>
      </c>
      <c r="C78" t="s">
        <v>2</v>
      </c>
      <c r="D78">
        <v>2050</v>
      </c>
      <c r="E78" s="4">
        <f>60430/0.5</f>
        <v>120860</v>
      </c>
      <c r="F78" t="s">
        <v>72</v>
      </c>
      <c r="G78" t="s">
        <v>21</v>
      </c>
    </row>
    <row r="79" spans="1:7" hidden="1" x14ac:dyDescent="0.45">
      <c r="A79" t="s">
        <v>70</v>
      </c>
      <c r="B79" t="s">
        <v>120</v>
      </c>
      <c r="C79" t="s">
        <v>2</v>
      </c>
      <c r="D79">
        <v>2030</v>
      </c>
      <c r="E79" s="4">
        <f>(60430 + 40290)/2/0.5</f>
        <v>100720</v>
      </c>
      <c r="F79" t="s">
        <v>72</v>
      </c>
      <c r="G79" t="s">
        <v>21</v>
      </c>
    </row>
    <row r="80" spans="1:7" hidden="1" x14ac:dyDescent="0.45">
      <c r="A80" t="s">
        <v>70</v>
      </c>
      <c r="B80" t="s">
        <v>120</v>
      </c>
      <c r="C80" t="s">
        <v>2</v>
      </c>
      <c r="D80">
        <v>2050</v>
      </c>
      <c r="E80" s="4">
        <f>40290/0.5</f>
        <v>80580</v>
      </c>
      <c r="F80" t="s">
        <v>72</v>
      </c>
      <c r="G80" t="s">
        <v>21</v>
      </c>
    </row>
    <row r="81" spans="1:7" hidden="1" x14ac:dyDescent="0.45">
      <c r="A81" t="s">
        <v>70</v>
      </c>
      <c r="B81" t="s">
        <v>119</v>
      </c>
      <c r="C81" t="s">
        <v>2</v>
      </c>
      <c r="D81">
        <v>2030</v>
      </c>
      <c r="E81" s="4">
        <f>60430/0.5</f>
        <v>120860</v>
      </c>
      <c r="F81" t="s">
        <v>72</v>
      </c>
      <c r="G81" t="s">
        <v>21</v>
      </c>
    </row>
    <row r="82" spans="1:7" hidden="1" x14ac:dyDescent="0.45">
      <c r="A82" t="s">
        <v>70</v>
      </c>
      <c r="B82" t="s">
        <v>119</v>
      </c>
      <c r="C82" t="s">
        <v>2</v>
      </c>
      <c r="D82">
        <v>2050</v>
      </c>
      <c r="E82" s="4">
        <f>(60430 + 40290)/2/0.5</f>
        <v>100720</v>
      </c>
      <c r="F82" t="s">
        <v>72</v>
      </c>
      <c r="G82" t="s">
        <v>21</v>
      </c>
    </row>
    <row r="83" spans="1:7" hidden="1" x14ac:dyDescent="0.45">
      <c r="A83" t="s">
        <v>70</v>
      </c>
      <c r="B83" t="s">
        <v>112</v>
      </c>
      <c r="C83" t="s">
        <v>2</v>
      </c>
      <c r="D83">
        <v>2030</v>
      </c>
      <c r="E83" s="4">
        <f>40290/0.5</f>
        <v>80580</v>
      </c>
      <c r="F83" t="s">
        <v>72</v>
      </c>
      <c r="G83" t="s">
        <v>21</v>
      </c>
    </row>
    <row r="84" spans="1:7" hidden="1" x14ac:dyDescent="0.45">
      <c r="A84" t="s">
        <v>70</v>
      </c>
      <c r="B84" t="s">
        <v>112</v>
      </c>
      <c r="C84" t="s">
        <v>2</v>
      </c>
      <c r="D84">
        <v>2050</v>
      </c>
      <c r="E84" s="4">
        <f>60430/0.5</f>
        <v>120860</v>
      </c>
      <c r="F84" t="s">
        <v>72</v>
      </c>
      <c r="G84" t="s">
        <v>21</v>
      </c>
    </row>
    <row r="85" spans="1:7" hidden="1" x14ac:dyDescent="0.45">
      <c r="A85" t="s">
        <v>70</v>
      </c>
      <c r="B85" t="s">
        <v>113</v>
      </c>
      <c r="C85" t="s">
        <v>2</v>
      </c>
      <c r="D85">
        <v>2030</v>
      </c>
      <c r="E85" s="4">
        <f>(60430 + 40290)/2/0.5</f>
        <v>100720</v>
      </c>
      <c r="F85" t="s">
        <v>72</v>
      </c>
      <c r="G85" t="s">
        <v>21</v>
      </c>
    </row>
    <row r="86" spans="1:7" hidden="1" x14ac:dyDescent="0.45">
      <c r="A86" t="s">
        <v>70</v>
      </c>
      <c r="B86" t="s">
        <v>113</v>
      </c>
      <c r="C86" t="s">
        <v>2</v>
      </c>
      <c r="D86">
        <v>2050</v>
      </c>
      <c r="E86" s="4">
        <f>40290/0.5</f>
        <v>80580</v>
      </c>
      <c r="F86" t="s">
        <v>72</v>
      </c>
      <c r="G86" t="s">
        <v>21</v>
      </c>
    </row>
    <row r="87" spans="1:7" hidden="1" x14ac:dyDescent="0.45">
      <c r="A87" t="s">
        <v>70</v>
      </c>
      <c r="B87" t="s">
        <v>114</v>
      </c>
      <c r="C87" t="s">
        <v>2</v>
      </c>
      <c r="D87">
        <v>2030</v>
      </c>
      <c r="E87" s="4">
        <f>60430/0.5</f>
        <v>120860</v>
      </c>
      <c r="F87" t="s">
        <v>72</v>
      </c>
      <c r="G87" t="s">
        <v>21</v>
      </c>
    </row>
    <row r="88" spans="1:7" hidden="1" x14ac:dyDescent="0.45">
      <c r="A88" t="s">
        <v>70</v>
      </c>
      <c r="B88" t="s">
        <v>114</v>
      </c>
      <c r="C88" t="s">
        <v>2</v>
      </c>
      <c r="D88">
        <v>2050</v>
      </c>
      <c r="E88" s="4">
        <f>(60430 + 40290)/2/0.5</f>
        <v>100720</v>
      </c>
      <c r="F88" t="s">
        <v>72</v>
      </c>
      <c r="G88" t="s">
        <v>21</v>
      </c>
    </row>
    <row r="89" spans="1:7" hidden="1" x14ac:dyDescent="0.45">
      <c r="A89" t="s">
        <v>70</v>
      </c>
      <c r="B89" t="s">
        <v>121</v>
      </c>
      <c r="C89" t="s">
        <v>2</v>
      </c>
      <c r="D89">
        <v>2030</v>
      </c>
      <c r="E89" s="4">
        <f>40290/0.5</f>
        <v>80580</v>
      </c>
      <c r="F89" t="s">
        <v>72</v>
      </c>
      <c r="G89" t="s">
        <v>21</v>
      </c>
    </row>
    <row r="90" spans="1:7" hidden="1" x14ac:dyDescent="0.45">
      <c r="A90" t="s">
        <v>70</v>
      </c>
      <c r="B90" t="s">
        <v>121</v>
      </c>
      <c r="C90" t="s">
        <v>2</v>
      </c>
      <c r="D90">
        <v>2050</v>
      </c>
      <c r="E90" s="4">
        <v>1.1764705882352942</v>
      </c>
      <c r="F90" t="s">
        <v>72</v>
      </c>
      <c r="G90" t="s">
        <v>21</v>
      </c>
    </row>
    <row r="91" spans="1:7" hidden="1" x14ac:dyDescent="0.45">
      <c r="A91" t="s">
        <v>70</v>
      </c>
      <c r="B91" t="s">
        <v>115</v>
      </c>
      <c r="C91" t="s">
        <v>2</v>
      </c>
      <c r="D91">
        <v>2030</v>
      </c>
      <c r="E91" s="4">
        <v>0.25</v>
      </c>
      <c r="F91" t="s">
        <v>72</v>
      </c>
      <c r="G91" t="s">
        <v>21</v>
      </c>
    </row>
    <row r="92" spans="1:7" hidden="1" x14ac:dyDescent="0.45">
      <c r="A92" t="s">
        <v>70</v>
      </c>
      <c r="B92" t="s">
        <v>115</v>
      </c>
      <c r="C92" t="s">
        <v>2</v>
      </c>
      <c r="D92">
        <v>2050</v>
      </c>
      <c r="E92" s="4">
        <v>0.25</v>
      </c>
      <c r="F92" t="s">
        <v>72</v>
      </c>
      <c r="G92" t="s">
        <v>21</v>
      </c>
    </row>
    <row r="93" spans="1:7" hidden="1" x14ac:dyDescent="0.45">
      <c r="A93" t="s">
        <v>70</v>
      </c>
      <c r="B93" t="s">
        <v>134</v>
      </c>
      <c r="C93" t="s">
        <v>2</v>
      </c>
      <c r="D93">
        <v>2030</v>
      </c>
      <c r="E93" s="4">
        <v>8.92</v>
      </c>
      <c r="F93" t="s">
        <v>72</v>
      </c>
      <c r="G93" t="s">
        <v>93</v>
      </c>
    </row>
    <row r="94" spans="1:7" hidden="1" x14ac:dyDescent="0.45">
      <c r="A94" t="s">
        <v>70</v>
      </c>
      <c r="B94" t="s">
        <v>134</v>
      </c>
      <c r="C94" t="s">
        <v>2</v>
      </c>
      <c r="D94">
        <v>2040</v>
      </c>
      <c r="E94" s="4">
        <v>8.92</v>
      </c>
      <c r="F94" t="s">
        <v>72</v>
      </c>
      <c r="G94" t="s">
        <v>93</v>
      </c>
    </row>
    <row r="95" spans="1:7" hidden="1" x14ac:dyDescent="0.45">
      <c r="A95" t="s">
        <v>70</v>
      </c>
      <c r="B95" t="s">
        <v>134</v>
      </c>
      <c r="C95" t="s">
        <v>2</v>
      </c>
      <c r="D95">
        <v>2050</v>
      </c>
      <c r="E95" s="4">
        <v>8.92</v>
      </c>
      <c r="F95" t="s">
        <v>72</v>
      </c>
      <c r="G95" t="s">
        <v>93</v>
      </c>
    </row>
    <row r="96" spans="1:7" hidden="1" x14ac:dyDescent="0.45">
      <c r="A96" t="s">
        <v>70</v>
      </c>
      <c r="B96" t="s">
        <v>135</v>
      </c>
      <c r="C96" t="s">
        <v>2</v>
      </c>
      <c r="D96">
        <v>2030</v>
      </c>
      <c r="E96" s="4">
        <v>3.74</v>
      </c>
      <c r="F96" t="s">
        <v>72</v>
      </c>
      <c r="G96" t="s">
        <v>93</v>
      </c>
    </row>
    <row r="97" spans="1:7" hidden="1" x14ac:dyDescent="0.45">
      <c r="A97" t="s">
        <v>70</v>
      </c>
      <c r="B97" t="s">
        <v>135</v>
      </c>
      <c r="C97" t="s">
        <v>2</v>
      </c>
      <c r="D97">
        <v>2040</v>
      </c>
      <c r="E97" s="4">
        <v>3.74</v>
      </c>
      <c r="F97" t="s">
        <v>72</v>
      </c>
      <c r="G97" t="s">
        <v>93</v>
      </c>
    </row>
    <row r="98" spans="1:7" hidden="1" x14ac:dyDescent="0.45">
      <c r="A98" t="s">
        <v>70</v>
      </c>
      <c r="B98" t="s">
        <v>135</v>
      </c>
      <c r="C98" t="s">
        <v>2</v>
      </c>
      <c r="D98">
        <v>2050</v>
      </c>
      <c r="E98" s="4">
        <v>3.74</v>
      </c>
      <c r="F98" t="s">
        <v>72</v>
      </c>
      <c r="G98" t="s">
        <v>93</v>
      </c>
    </row>
    <row r="99" spans="1:7" hidden="1" x14ac:dyDescent="0.45">
      <c r="A99" t="s">
        <v>70</v>
      </c>
      <c r="B99" t="s">
        <v>134</v>
      </c>
      <c r="C99" t="s">
        <v>183</v>
      </c>
      <c r="D99">
        <v>2030</v>
      </c>
      <c r="E99" s="4">
        <v>3.74</v>
      </c>
      <c r="F99" t="s">
        <v>72</v>
      </c>
      <c r="G99" t="s">
        <v>184</v>
      </c>
    </row>
    <row r="100" spans="1:7" hidden="1" x14ac:dyDescent="0.45">
      <c r="A100" t="s">
        <v>70</v>
      </c>
      <c r="B100" t="s">
        <v>134</v>
      </c>
      <c r="C100" t="s">
        <v>183</v>
      </c>
      <c r="D100">
        <v>2040</v>
      </c>
      <c r="E100" s="4">
        <v>3.74</v>
      </c>
      <c r="F100" t="s">
        <v>72</v>
      </c>
      <c r="G100" t="s">
        <v>184</v>
      </c>
    </row>
    <row r="101" spans="1:7" hidden="1" x14ac:dyDescent="0.45">
      <c r="A101" t="s">
        <v>70</v>
      </c>
      <c r="B101" t="s">
        <v>134</v>
      </c>
      <c r="C101" t="s">
        <v>183</v>
      </c>
      <c r="D101">
        <v>2050</v>
      </c>
      <c r="E101" s="4">
        <v>3.74</v>
      </c>
      <c r="F101" t="s">
        <v>72</v>
      </c>
      <c r="G101" t="s">
        <v>184</v>
      </c>
    </row>
    <row r="102" spans="1:7" hidden="1" x14ac:dyDescent="0.45">
      <c r="A102" t="s">
        <v>70</v>
      </c>
      <c r="B102" t="s">
        <v>135</v>
      </c>
      <c r="C102" t="s">
        <v>183</v>
      </c>
      <c r="D102">
        <v>2030</v>
      </c>
      <c r="E102" s="4">
        <v>8.92</v>
      </c>
      <c r="F102" t="s">
        <v>72</v>
      </c>
      <c r="G102" t="s">
        <v>184</v>
      </c>
    </row>
    <row r="103" spans="1:7" hidden="1" x14ac:dyDescent="0.45">
      <c r="A103" t="s">
        <v>70</v>
      </c>
      <c r="B103" t="s">
        <v>135</v>
      </c>
      <c r="C103" t="s">
        <v>183</v>
      </c>
      <c r="D103">
        <v>2040</v>
      </c>
      <c r="E103" s="4">
        <v>8.92</v>
      </c>
      <c r="F103" t="s">
        <v>72</v>
      </c>
      <c r="G103" t="s">
        <v>184</v>
      </c>
    </row>
    <row r="104" spans="1:7" hidden="1" x14ac:dyDescent="0.45">
      <c r="A104" t="s">
        <v>70</v>
      </c>
      <c r="B104" t="s">
        <v>135</v>
      </c>
      <c r="C104" t="s">
        <v>183</v>
      </c>
      <c r="D104">
        <v>2050</v>
      </c>
      <c r="E104" s="4">
        <v>8.92</v>
      </c>
      <c r="F104" t="s">
        <v>72</v>
      </c>
      <c r="G104" t="s">
        <v>184</v>
      </c>
    </row>
    <row r="105" spans="1:7" hidden="1" x14ac:dyDescent="0.45">
      <c r="A105" t="s">
        <v>70</v>
      </c>
      <c r="B105" t="s">
        <v>136</v>
      </c>
      <c r="C105" t="s">
        <v>2</v>
      </c>
      <c r="D105">
        <v>2030</v>
      </c>
      <c r="E105" s="4">
        <v>4.95</v>
      </c>
      <c r="F105" t="s">
        <v>72</v>
      </c>
      <c r="G105" t="s">
        <v>93</v>
      </c>
    </row>
    <row r="106" spans="1:7" hidden="1" x14ac:dyDescent="0.45">
      <c r="A106" t="s">
        <v>70</v>
      </c>
      <c r="B106" t="s">
        <v>136</v>
      </c>
      <c r="C106" t="s">
        <v>2</v>
      </c>
      <c r="D106">
        <v>2040</v>
      </c>
      <c r="E106" s="4">
        <v>4.95</v>
      </c>
      <c r="F106" t="s">
        <v>72</v>
      </c>
      <c r="G106" t="s">
        <v>93</v>
      </c>
    </row>
    <row r="107" spans="1:7" hidden="1" x14ac:dyDescent="0.45">
      <c r="A107" t="s">
        <v>70</v>
      </c>
      <c r="B107" t="s">
        <v>136</v>
      </c>
      <c r="C107" t="s">
        <v>2</v>
      </c>
      <c r="D107">
        <v>2050</v>
      </c>
      <c r="E107" s="4">
        <v>4.95</v>
      </c>
      <c r="F107" t="s">
        <v>72</v>
      </c>
      <c r="G107" t="s">
        <v>93</v>
      </c>
    </row>
    <row r="108" spans="1:7" hidden="1" x14ac:dyDescent="0.45">
      <c r="A108" t="s">
        <v>70</v>
      </c>
      <c r="B108" t="s">
        <v>137</v>
      </c>
      <c r="C108" t="s">
        <v>2</v>
      </c>
      <c r="D108">
        <v>2030</v>
      </c>
      <c r="E108" s="4">
        <v>0.18243902439024393</v>
      </c>
      <c r="F108" t="s">
        <v>72</v>
      </c>
      <c r="G108" t="s">
        <v>93</v>
      </c>
    </row>
    <row r="109" spans="1:7" hidden="1" x14ac:dyDescent="0.45">
      <c r="A109" t="s">
        <v>70</v>
      </c>
      <c r="B109" t="s">
        <v>137</v>
      </c>
      <c r="C109" t="s">
        <v>2</v>
      </c>
      <c r="D109">
        <v>2040</v>
      </c>
      <c r="E109" s="4">
        <v>0.18243902439024393</v>
      </c>
      <c r="F109" t="s">
        <v>72</v>
      </c>
      <c r="G109" t="s">
        <v>93</v>
      </c>
    </row>
    <row r="110" spans="1:7" hidden="1" x14ac:dyDescent="0.45">
      <c r="A110" t="s">
        <v>70</v>
      </c>
      <c r="B110" t="s">
        <v>137</v>
      </c>
      <c r="C110" t="s">
        <v>2</v>
      </c>
      <c r="D110">
        <v>2050</v>
      </c>
      <c r="E110" s="4">
        <v>0.18243902439024393</v>
      </c>
      <c r="F110" t="s">
        <v>72</v>
      </c>
      <c r="G110" t="s">
        <v>93</v>
      </c>
    </row>
    <row r="111" spans="1:7" hidden="1" x14ac:dyDescent="0.45">
      <c r="A111" t="s">
        <v>70</v>
      </c>
      <c r="B111" t="s">
        <v>138</v>
      </c>
      <c r="C111" t="s">
        <v>2</v>
      </c>
      <c r="D111">
        <v>2030</v>
      </c>
      <c r="E111" s="4">
        <v>3.4953271028037385</v>
      </c>
      <c r="F111" t="s">
        <v>72</v>
      </c>
      <c r="G111" t="s">
        <v>93</v>
      </c>
    </row>
    <row r="112" spans="1:7" hidden="1" x14ac:dyDescent="0.45">
      <c r="A112" t="s">
        <v>70</v>
      </c>
      <c r="B112" t="s">
        <v>138</v>
      </c>
      <c r="C112" t="s">
        <v>2</v>
      </c>
      <c r="D112">
        <v>2040</v>
      </c>
      <c r="E112" s="4">
        <v>3.4953271028037385</v>
      </c>
      <c r="F112" t="s">
        <v>72</v>
      </c>
      <c r="G112" t="s">
        <v>93</v>
      </c>
    </row>
    <row r="113" spans="1:7" hidden="1" x14ac:dyDescent="0.45">
      <c r="A113" t="s">
        <v>70</v>
      </c>
      <c r="B113" t="s">
        <v>138</v>
      </c>
      <c r="C113" t="s">
        <v>2</v>
      </c>
      <c r="D113">
        <v>2050</v>
      </c>
      <c r="E113" s="4">
        <v>3.4953271028037385</v>
      </c>
      <c r="F113" t="s">
        <v>72</v>
      </c>
      <c r="G113" t="s">
        <v>93</v>
      </c>
    </row>
    <row r="114" spans="1:7" x14ac:dyDescent="0.45">
      <c r="A114" t="s">
        <v>70</v>
      </c>
      <c r="B114" t="s">
        <v>148</v>
      </c>
      <c r="C114" t="s">
        <v>2</v>
      </c>
      <c r="D114">
        <v>2030</v>
      </c>
      <c r="E114" s="4">
        <f>1/0.37</f>
        <v>2.7027027027027026</v>
      </c>
      <c r="F114" t="s">
        <v>72</v>
      </c>
      <c r="G114" t="s">
        <v>93</v>
      </c>
    </row>
    <row r="115" spans="1:7" x14ac:dyDescent="0.45">
      <c r="A115" t="s">
        <v>70</v>
      </c>
      <c r="B115" t="s">
        <v>148</v>
      </c>
      <c r="C115" t="s">
        <v>2</v>
      </c>
      <c r="D115">
        <v>2040</v>
      </c>
      <c r="E115" s="4">
        <f>1/0.37</f>
        <v>2.7027027027027026</v>
      </c>
      <c r="F115" t="s">
        <v>72</v>
      </c>
      <c r="G115" t="s">
        <v>93</v>
      </c>
    </row>
    <row r="116" spans="1:7" x14ac:dyDescent="0.45">
      <c r="A116" t="s">
        <v>70</v>
      </c>
      <c r="B116" t="s">
        <v>148</v>
      </c>
      <c r="C116" t="s">
        <v>2</v>
      </c>
      <c r="D116">
        <v>2050</v>
      </c>
      <c r="E116" s="4">
        <f>1/0.37</f>
        <v>2.7027027027027026</v>
      </c>
      <c r="F116" t="s">
        <v>72</v>
      </c>
      <c r="G116" t="s">
        <v>93</v>
      </c>
    </row>
    <row r="117" spans="1:7" x14ac:dyDescent="0.45">
      <c r="A117" t="s">
        <v>70</v>
      </c>
      <c r="B117" t="s">
        <v>149</v>
      </c>
      <c r="C117" t="s">
        <v>2</v>
      </c>
      <c r="D117">
        <v>2030</v>
      </c>
      <c r="E117" s="4">
        <f>1/0.07</f>
        <v>14.285714285714285</v>
      </c>
      <c r="F117" t="s">
        <v>152</v>
      </c>
      <c r="G117" t="s">
        <v>93</v>
      </c>
    </row>
    <row r="118" spans="1:7" x14ac:dyDescent="0.45">
      <c r="A118" t="s">
        <v>70</v>
      </c>
      <c r="B118" t="s">
        <v>149</v>
      </c>
      <c r="C118" t="s">
        <v>2</v>
      </c>
      <c r="D118">
        <v>2040</v>
      </c>
      <c r="E118" s="4">
        <f>1/0.07</f>
        <v>14.285714285714285</v>
      </c>
      <c r="F118" t="s">
        <v>152</v>
      </c>
      <c r="G118" t="s">
        <v>93</v>
      </c>
    </row>
    <row r="119" spans="1:7" x14ac:dyDescent="0.45">
      <c r="A119" t="s">
        <v>70</v>
      </c>
      <c r="B119" t="s">
        <v>149</v>
      </c>
      <c r="C119" t="s">
        <v>2</v>
      </c>
      <c r="D119">
        <v>2050</v>
      </c>
      <c r="E119" s="4">
        <f>1/0.07</f>
        <v>14.285714285714285</v>
      </c>
      <c r="F119" t="s">
        <v>152</v>
      </c>
      <c r="G119" t="s">
        <v>93</v>
      </c>
    </row>
    <row r="120" spans="1:7" x14ac:dyDescent="0.45">
      <c r="A120" t="s">
        <v>70</v>
      </c>
      <c r="B120" t="s">
        <v>150</v>
      </c>
      <c r="C120" t="s">
        <v>2</v>
      </c>
      <c r="D120">
        <v>2030</v>
      </c>
      <c r="E120" s="4">
        <f>1/0.84</f>
        <v>1.1904761904761905</v>
      </c>
      <c r="F120" t="s">
        <v>72</v>
      </c>
      <c r="G120" t="s">
        <v>93</v>
      </c>
    </row>
    <row r="121" spans="1:7" x14ac:dyDescent="0.45">
      <c r="A121" t="s">
        <v>70</v>
      </c>
      <c r="B121" t="s">
        <v>150</v>
      </c>
      <c r="C121" t="s">
        <v>2</v>
      </c>
      <c r="D121">
        <v>2040</v>
      </c>
      <c r="E121" s="4">
        <f>1/0.84</f>
        <v>1.1904761904761905</v>
      </c>
      <c r="F121" t="s">
        <v>72</v>
      </c>
      <c r="G121" t="s">
        <v>93</v>
      </c>
    </row>
    <row r="122" spans="1:7" x14ac:dyDescent="0.45">
      <c r="A122" t="s">
        <v>70</v>
      </c>
      <c r="B122" t="s">
        <v>150</v>
      </c>
      <c r="C122" t="s">
        <v>2</v>
      </c>
      <c r="D122">
        <v>2050</v>
      </c>
      <c r="E122" s="4">
        <f>1/0.84</f>
        <v>1.1904761904761905</v>
      </c>
      <c r="F122" t="s">
        <v>72</v>
      </c>
      <c r="G122" t="s">
        <v>93</v>
      </c>
    </row>
    <row r="123" spans="1:7" x14ac:dyDescent="0.45">
      <c r="A123" t="s">
        <v>70</v>
      </c>
      <c r="B123" t="s">
        <v>151</v>
      </c>
      <c r="C123" t="s">
        <v>2</v>
      </c>
      <c r="D123">
        <v>2030</v>
      </c>
      <c r="E123" s="4">
        <f>0.11/(0.37)</f>
        <v>0.29729729729729731</v>
      </c>
      <c r="F123" t="s">
        <v>72</v>
      </c>
      <c r="G123" t="s">
        <v>93</v>
      </c>
    </row>
    <row r="124" spans="1:7" x14ac:dyDescent="0.45">
      <c r="A124" t="s">
        <v>70</v>
      </c>
      <c r="B124" t="s">
        <v>151</v>
      </c>
      <c r="C124" t="s">
        <v>2</v>
      </c>
      <c r="D124">
        <v>2040</v>
      </c>
      <c r="E124" s="4">
        <f>0.11/(0.37)</f>
        <v>0.29729729729729731</v>
      </c>
      <c r="F124" t="s">
        <v>72</v>
      </c>
      <c r="G124" t="s">
        <v>93</v>
      </c>
    </row>
    <row r="125" spans="1:7" x14ac:dyDescent="0.45">
      <c r="A125" t="s">
        <v>70</v>
      </c>
      <c r="B125" t="s">
        <v>151</v>
      </c>
      <c r="C125" t="s">
        <v>2</v>
      </c>
      <c r="D125">
        <v>2050</v>
      </c>
      <c r="E125" s="4">
        <f>0.11/(0.37)</f>
        <v>0.29729729729729731</v>
      </c>
      <c r="F125" t="s">
        <v>72</v>
      </c>
      <c r="G125" t="s">
        <v>93</v>
      </c>
    </row>
    <row r="126" spans="1:7" x14ac:dyDescent="0.45">
      <c r="A126" t="s">
        <v>222</v>
      </c>
      <c r="B126" t="s">
        <v>230</v>
      </c>
      <c r="C126" t="s">
        <v>2</v>
      </c>
      <c r="D126">
        <v>2030</v>
      </c>
      <c r="E126" s="4">
        <v>6.2686567164179099</v>
      </c>
      <c r="F126" t="s">
        <v>178</v>
      </c>
      <c r="G126" t="s">
        <v>93</v>
      </c>
    </row>
    <row r="127" spans="1:7" x14ac:dyDescent="0.45">
      <c r="A127" t="s">
        <v>222</v>
      </c>
      <c r="B127" t="s">
        <v>230</v>
      </c>
      <c r="C127" t="s">
        <v>2</v>
      </c>
      <c r="D127">
        <v>2040</v>
      </c>
      <c r="E127" s="4">
        <v>6.2686567164179099</v>
      </c>
      <c r="F127" t="s">
        <v>178</v>
      </c>
      <c r="G127" t="s">
        <v>93</v>
      </c>
    </row>
    <row r="128" spans="1:7" x14ac:dyDescent="0.45">
      <c r="A128" t="s">
        <v>222</v>
      </c>
      <c r="B128" t="s">
        <v>230</v>
      </c>
      <c r="C128" t="s">
        <v>2</v>
      </c>
      <c r="D128">
        <v>2050</v>
      </c>
      <c r="E128" s="4">
        <v>6.2686567164179099</v>
      </c>
      <c r="F128" t="s">
        <v>178</v>
      </c>
      <c r="G128" t="s">
        <v>93</v>
      </c>
    </row>
  </sheetData>
  <autoFilter ref="A1:G128" xr:uid="{00000000-0009-0000-0000-000005000000}">
    <filterColumn colId="1">
      <filters>
        <filter val="[eMeOH, DH, Electricity]"/>
        <filter val="[eMeOH, MeOH, CO2]"/>
        <filter val="[eMeOH, MeOH, Electricity]"/>
        <filter val="[eMeOH, MeOH, H2]"/>
        <filter val="[eMeOH, MeOH]"/>
        <filter val="eMeOH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265"/>
  <sheetViews>
    <sheetView topLeftCell="A116" workbookViewId="0">
      <selection activeCell="A68" sqref="A68:G133"/>
    </sheetView>
  </sheetViews>
  <sheetFormatPr defaultRowHeight="14.25" x14ac:dyDescent="0.45"/>
  <cols>
    <col min="1" max="1" width="18.19921875" customWidth="1"/>
    <col min="2" max="2" width="11.46484375" customWidth="1"/>
    <col min="3" max="3" width="15.1328125" customWidth="1"/>
    <col min="5" max="5" width="10.796875" bestFit="1" customWidth="1"/>
  </cols>
  <sheetData>
    <row r="1" spans="1:8" x14ac:dyDescent="0.45">
      <c r="A1" s="2" t="s">
        <v>14</v>
      </c>
      <c r="B1" s="2" t="s">
        <v>11</v>
      </c>
      <c r="C1" s="2" t="s">
        <v>15</v>
      </c>
      <c r="D1" s="2" t="s">
        <v>16</v>
      </c>
      <c r="E1" s="2" t="s">
        <v>17</v>
      </c>
      <c r="F1" s="2" t="s">
        <v>0</v>
      </c>
      <c r="G1" s="2" t="s">
        <v>1</v>
      </c>
    </row>
    <row r="2" spans="1:8" hidden="1" x14ac:dyDescent="0.45">
      <c r="A2" t="s">
        <v>169</v>
      </c>
      <c r="B2" t="s">
        <v>39</v>
      </c>
      <c r="C2" t="s">
        <v>347</v>
      </c>
      <c r="D2">
        <v>2030</v>
      </c>
      <c r="E2">
        <f>E68/2</f>
        <v>12399783.418971891</v>
      </c>
      <c r="F2" t="s">
        <v>33</v>
      </c>
      <c r="G2" t="s">
        <v>182</v>
      </c>
      <c r="H2" s="1"/>
    </row>
    <row r="3" spans="1:8" hidden="1" x14ac:dyDescent="0.45">
      <c r="A3" t="s">
        <v>169</v>
      </c>
      <c r="B3" t="s">
        <v>40</v>
      </c>
      <c r="C3" t="s">
        <v>347</v>
      </c>
      <c r="D3">
        <v>2030</v>
      </c>
      <c r="E3">
        <f t="shared" ref="E3:E66" si="0">E69/2</f>
        <v>3850216.5810281071</v>
      </c>
      <c r="F3" t="s">
        <v>33</v>
      </c>
      <c r="G3" t="s">
        <v>182</v>
      </c>
      <c r="H3" s="1"/>
    </row>
    <row r="4" spans="1:8" hidden="1" x14ac:dyDescent="0.45">
      <c r="A4" t="s">
        <v>169</v>
      </c>
      <c r="B4" t="s">
        <v>41</v>
      </c>
      <c r="C4" t="s">
        <v>347</v>
      </c>
      <c r="D4">
        <v>2030</v>
      </c>
      <c r="E4">
        <f t="shared" si="0"/>
        <v>1714203.0179272445</v>
      </c>
      <c r="F4" t="s">
        <v>33</v>
      </c>
      <c r="G4" t="s">
        <v>185</v>
      </c>
    </row>
    <row r="5" spans="1:8" hidden="1" x14ac:dyDescent="0.45">
      <c r="A5" t="s">
        <v>169</v>
      </c>
      <c r="B5" t="s">
        <v>42</v>
      </c>
      <c r="C5" t="s">
        <v>347</v>
      </c>
      <c r="D5">
        <v>2030</v>
      </c>
      <c r="E5">
        <f t="shared" si="0"/>
        <v>539180.05586459453</v>
      </c>
      <c r="F5" t="s">
        <v>33</v>
      </c>
      <c r="G5" t="s">
        <v>185</v>
      </c>
    </row>
    <row r="6" spans="1:8" hidden="1" x14ac:dyDescent="0.45">
      <c r="A6" t="s">
        <v>169</v>
      </c>
      <c r="B6" t="s">
        <v>43</v>
      </c>
      <c r="C6" t="s">
        <v>347</v>
      </c>
      <c r="D6">
        <v>2030</v>
      </c>
      <c r="E6">
        <f t="shared" si="0"/>
        <v>314040.11767033703</v>
      </c>
      <c r="F6" t="s">
        <v>33</v>
      </c>
      <c r="G6" t="s">
        <v>185</v>
      </c>
    </row>
    <row r="7" spans="1:8" hidden="1" x14ac:dyDescent="0.45">
      <c r="A7" t="s">
        <v>169</v>
      </c>
      <c r="B7" t="s">
        <v>44</v>
      </c>
      <c r="C7" t="s">
        <v>347</v>
      </c>
      <c r="D7">
        <v>2030</v>
      </c>
      <c r="E7">
        <f t="shared" si="0"/>
        <v>130630.37862812112</v>
      </c>
      <c r="F7" t="s">
        <v>33</v>
      </c>
      <c r="G7" t="s">
        <v>185</v>
      </c>
    </row>
    <row r="8" spans="1:8" hidden="1" x14ac:dyDescent="0.45">
      <c r="A8" t="s">
        <v>169</v>
      </c>
      <c r="B8" t="s">
        <v>45</v>
      </c>
      <c r="C8" t="s">
        <v>347</v>
      </c>
      <c r="D8">
        <v>2030</v>
      </c>
      <c r="E8">
        <f t="shared" si="0"/>
        <v>141946.42990970303</v>
      </c>
      <c r="F8" t="s">
        <v>33</v>
      </c>
      <c r="G8" t="s">
        <v>185</v>
      </c>
    </row>
    <row r="9" spans="1:8" hidden="1" x14ac:dyDescent="0.45">
      <c r="A9" t="s">
        <v>169</v>
      </c>
      <c r="B9" t="s">
        <v>46</v>
      </c>
      <c r="C9" t="s">
        <v>347</v>
      </c>
      <c r="D9">
        <v>2030</v>
      </c>
      <c r="E9">
        <f t="shared" si="0"/>
        <v>212869.74557966206</v>
      </c>
      <c r="F9" t="s">
        <v>33</v>
      </c>
      <c r="G9" t="s">
        <v>182</v>
      </c>
    </row>
    <row r="10" spans="1:8" hidden="1" x14ac:dyDescent="0.45">
      <c r="A10" t="s">
        <v>169</v>
      </c>
      <c r="B10" t="s">
        <v>47</v>
      </c>
      <c r="C10" t="s">
        <v>347</v>
      </c>
      <c r="D10">
        <v>2030</v>
      </c>
      <c r="E10">
        <f t="shared" si="0"/>
        <v>474236.98813055345</v>
      </c>
      <c r="F10" t="s">
        <v>33</v>
      </c>
      <c r="G10" t="s">
        <v>182</v>
      </c>
    </row>
    <row r="11" spans="1:8" hidden="1" x14ac:dyDescent="0.45">
      <c r="A11" t="s">
        <v>169</v>
      </c>
      <c r="B11" t="s">
        <v>48</v>
      </c>
      <c r="C11" t="s">
        <v>347</v>
      </c>
      <c r="D11">
        <v>2030</v>
      </c>
      <c r="E11">
        <f t="shared" si="0"/>
        <v>5691842.5765918624</v>
      </c>
      <c r="F11" t="s">
        <v>33</v>
      </c>
      <c r="G11" t="s">
        <v>182</v>
      </c>
    </row>
    <row r="12" spans="1:8" hidden="1" x14ac:dyDescent="0.45">
      <c r="A12" t="s">
        <v>169</v>
      </c>
      <c r="B12" t="s">
        <v>49</v>
      </c>
      <c r="C12" t="s">
        <v>347</v>
      </c>
      <c r="D12">
        <v>2030</v>
      </c>
      <c r="E12">
        <f t="shared" si="0"/>
        <v>3395550.6896979194</v>
      </c>
      <c r="F12" t="s">
        <v>33</v>
      </c>
      <c r="G12" t="s">
        <v>182</v>
      </c>
    </row>
    <row r="13" spans="1:8" hidden="1" x14ac:dyDescent="0.45">
      <c r="A13" t="s">
        <v>169</v>
      </c>
      <c r="B13" t="s">
        <v>50</v>
      </c>
      <c r="C13" t="s">
        <v>347</v>
      </c>
      <c r="D13">
        <v>2030</v>
      </c>
      <c r="E13">
        <f t="shared" si="0"/>
        <v>4136759.0195329939</v>
      </c>
      <c r="F13" t="s">
        <v>33</v>
      </c>
      <c r="G13" t="s">
        <v>182</v>
      </c>
    </row>
    <row r="14" spans="1:8" hidden="1" x14ac:dyDescent="0.45">
      <c r="A14" t="s">
        <v>169</v>
      </c>
      <c r="B14" t="s">
        <v>51</v>
      </c>
      <c r="C14" t="s">
        <v>347</v>
      </c>
      <c r="D14">
        <v>2030</v>
      </c>
      <c r="E14">
        <f t="shared" si="0"/>
        <v>1696740.9804670068</v>
      </c>
      <c r="F14" t="s">
        <v>33</v>
      </c>
      <c r="G14" t="s">
        <v>182</v>
      </c>
    </row>
    <row r="15" spans="1:8" hidden="1" x14ac:dyDescent="0.45">
      <c r="A15" t="s">
        <v>169</v>
      </c>
      <c r="B15" t="s">
        <v>52</v>
      </c>
      <c r="C15" t="s">
        <v>347</v>
      </c>
      <c r="D15">
        <v>2030</v>
      </c>
      <c r="E15">
        <f t="shared" si="0"/>
        <v>11746214.024779273</v>
      </c>
      <c r="F15" t="s">
        <v>33</v>
      </c>
      <c r="G15" t="s">
        <v>185</v>
      </c>
    </row>
    <row r="16" spans="1:8" hidden="1" x14ac:dyDescent="0.45">
      <c r="A16" t="s">
        <v>169</v>
      </c>
      <c r="B16" t="s">
        <v>53</v>
      </c>
      <c r="C16" t="s">
        <v>347</v>
      </c>
      <c r="D16">
        <v>2030</v>
      </c>
      <c r="E16">
        <f t="shared" si="0"/>
        <v>3694617.4215327264</v>
      </c>
      <c r="F16" t="s">
        <v>33</v>
      </c>
      <c r="G16" t="s">
        <v>185</v>
      </c>
    </row>
    <row r="17" spans="1:7" hidden="1" x14ac:dyDescent="0.45">
      <c r="A17" t="s">
        <v>169</v>
      </c>
      <c r="B17" t="s">
        <v>54</v>
      </c>
      <c r="C17" t="s">
        <v>347</v>
      </c>
      <c r="D17">
        <v>2030</v>
      </c>
      <c r="E17">
        <f t="shared" si="0"/>
        <v>2151893.5598322516</v>
      </c>
      <c r="F17" t="s">
        <v>33</v>
      </c>
      <c r="G17" t="s">
        <v>185</v>
      </c>
    </row>
    <row r="18" spans="1:7" hidden="1" x14ac:dyDescent="0.45">
      <c r="A18" t="s">
        <v>169</v>
      </c>
      <c r="B18" t="s">
        <v>55</v>
      </c>
      <c r="C18" t="s">
        <v>347</v>
      </c>
      <c r="D18">
        <v>2030</v>
      </c>
      <c r="E18">
        <f t="shared" si="0"/>
        <v>895117.07158188417</v>
      </c>
      <c r="F18" t="s">
        <v>33</v>
      </c>
      <c r="G18" t="s">
        <v>185</v>
      </c>
    </row>
    <row r="19" spans="1:7" hidden="1" x14ac:dyDescent="0.45">
      <c r="A19" t="s">
        <v>169</v>
      </c>
      <c r="B19" t="s">
        <v>56</v>
      </c>
      <c r="C19" t="s">
        <v>347</v>
      </c>
      <c r="D19">
        <v>2030</v>
      </c>
      <c r="E19">
        <f t="shared" si="0"/>
        <v>972657.92227386462</v>
      </c>
      <c r="F19" t="s">
        <v>33</v>
      </c>
      <c r="G19" t="s">
        <v>185</v>
      </c>
    </row>
    <row r="20" spans="1:7" hidden="1" x14ac:dyDescent="0.45">
      <c r="A20" t="s">
        <v>169</v>
      </c>
      <c r="B20" t="s">
        <v>57</v>
      </c>
      <c r="C20" t="s">
        <v>347</v>
      </c>
      <c r="D20">
        <v>2030</v>
      </c>
      <c r="E20">
        <f t="shared" si="0"/>
        <v>10546945.687066747</v>
      </c>
      <c r="F20" t="s">
        <v>33</v>
      </c>
      <c r="G20" t="s">
        <v>182</v>
      </c>
    </row>
    <row r="21" spans="1:7" hidden="1" x14ac:dyDescent="0.45">
      <c r="A21" t="s">
        <v>169</v>
      </c>
      <c r="B21" t="s">
        <v>58</v>
      </c>
      <c r="C21" t="s">
        <v>347</v>
      </c>
      <c r="D21">
        <v>2030</v>
      </c>
      <c r="E21">
        <f t="shared" si="0"/>
        <v>21426420.999647669</v>
      </c>
      <c r="F21" t="s">
        <v>33</v>
      </c>
      <c r="G21" t="s">
        <v>182</v>
      </c>
    </row>
    <row r="22" spans="1:7" hidden="1" x14ac:dyDescent="0.45">
      <c r="A22" t="s">
        <v>169</v>
      </c>
      <c r="B22" t="s">
        <v>59</v>
      </c>
      <c r="C22" t="s">
        <v>347</v>
      </c>
      <c r="D22">
        <v>2030</v>
      </c>
      <c r="E22">
        <f t="shared" si="0"/>
        <v>38875856.57188797</v>
      </c>
      <c r="F22" t="s">
        <v>33</v>
      </c>
      <c r="G22" t="s">
        <v>182</v>
      </c>
    </row>
    <row r="23" spans="1:7" hidden="1" x14ac:dyDescent="0.45">
      <c r="A23" t="s">
        <v>169</v>
      </c>
      <c r="B23" t="s">
        <v>60</v>
      </c>
      <c r="C23" t="s">
        <v>347</v>
      </c>
      <c r="D23">
        <v>2030</v>
      </c>
      <c r="E23">
        <f t="shared" si="0"/>
        <v>14823276.741397623</v>
      </c>
      <c r="F23" t="s">
        <v>33</v>
      </c>
      <c r="G23" t="s">
        <v>182</v>
      </c>
    </row>
    <row r="24" spans="1:7" hidden="1" x14ac:dyDescent="0.45">
      <c r="A24" t="s">
        <v>169</v>
      </c>
      <c r="B24" t="s">
        <v>39</v>
      </c>
      <c r="C24" t="s">
        <v>347</v>
      </c>
      <c r="D24">
        <v>2040</v>
      </c>
      <c r="E24">
        <f t="shared" si="0"/>
        <v>12399783.418971891</v>
      </c>
      <c r="F24" t="s">
        <v>33</v>
      </c>
      <c r="G24" t="s">
        <v>182</v>
      </c>
    </row>
    <row r="25" spans="1:7" hidden="1" x14ac:dyDescent="0.45">
      <c r="A25" t="s">
        <v>169</v>
      </c>
      <c r="B25" t="s">
        <v>40</v>
      </c>
      <c r="C25" t="s">
        <v>347</v>
      </c>
      <c r="D25">
        <v>2040</v>
      </c>
      <c r="E25">
        <f t="shared" si="0"/>
        <v>3850216.5810281071</v>
      </c>
      <c r="F25" t="s">
        <v>33</v>
      </c>
      <c r="G25" t="s">
        <v>182</v>
      </c>
    </row>
    <row r="26" spans="1:7" hidden="1" x14ac:dyDescent="0.45">
      <c r="A26" t="s">
        <v>169</v>
      </c>
      <c r="B26" t="s">
        <v>41</v>
      </c>
      <c r="C26" t="s">
        <v>347</v>
      </c>
      <c r="D26">
        <v>2040</v>
      </c>
      <c r="E26">
        <f t="shared" si="0"/>
        <v>1714203.0179272445</v>
      </c>
      <c r="F26" t="s">
        <v>33</v>
      </c>
      <c r="G26" t="s">
        <v>185</v>
      </c>
    </row>
    <row r="27" spans="1:7" hidden="1" x14ac:dyDescent="0.45">
      <c r="A27" t="s">
        <v>169</v>
      </c>
      <c r="B27" t="s">
        <v>42</v>
      </c>
      <c r="C27" t="s">
        <v>347</v>
      </c>
      <c r="D27">
        <v>2040</v>
      </c>
      <c r="E27">
        <f t="shared" si="0"/>
        <v>539180.05586459453</v>
      </c>
      <c r="F27" t="s">
        <v>33</v>
      </c>
      <c r="G27" t="s">
        <v>185</v>
      </c>
    </row>
    <row r="28" spans="1:7" hidden="1" x14ac:dyDescent="0.45">
      <c r="A28" t="s">
        <v>169</v>
      </c>
      <c r="B28" t="s">
        <v>43</v>
      </c>
      <c r="C28" t="s">
        <v>347</v>
      </c>
      <c r="D28">
        <v>2040</v>
      </c>
      <c r="E28">
        <f t="shared" si="0"/>
        <v>314040.11767033703</v>
      </c>
      <c r="F28" t="s">
        <v>33</v>
      </c>
      <c r="G28" t="s">
        <v>185</v>
      </c>
    </row>
    <row r="29" spans="1:7" hidden="1" x14ac:dyDescent="0.45">
      <c r="A29" t="s">
        <v>169</v>
      </c>
      <c r="B29" t="s">
        <v>44</v>
      </c>
      <c r="C29" t="s">
        <v>347</v>
      </c>
      <c r="D29">
        <v>2040</v>
      </c>
      <c r="E29">
        <f t="shared" si="0"/>
        <v>130630.37862812112</v>
      </c>
      <c r="F29" t="s">
        <v>33</v>
      </c>
      <c r="G29" t="s">
        <v>185</v>
      </c>
    </row>
    <row r="30" spans="1:7" hidden="1" x14ac:dyDescent="0.45">
      <c r="A30" t="s">
        <v>169</v>
      </c>
      <c r="B30" t="s">
        <v>45</v>
      </c>
      <c r="C30" t="s">
        <v>347</v>
      </c>
      <c r="D30">
        <v>2040</v>
      </c>
      <c r="E30">
        <f t="shared" si="0"/>
        <v>141946.42990970303</v>
      </c>
      <c r="F30" t="s">
        <v>33</v>
      </c>
      <c r="G30" t="s">
        <v>185</v>
      </c>
    </row>
    <row r="31" spans="1:7" hidden="1" x14ac:dyDescent="0.45">
      <c r="A31" t="s">
        <v>169</v>
      </c>
      <c r="B31" t="s">
        <v>46</v>
      </c>
      <c r="C31" t="s">
        <v>347</v>
      </c>
      <c r="D31">
        <v>2040</v>
      </c>
      <c r="E31">
        <f t="shared" si="0"/>
        <v>212869.74557966206</v>
      </c>
      <c r="F31" t="s">
        <v>33</v>
      </c>
      <c r="G31" t="s">
        <v>182</v>
      </c>
    </row>
    <row r="32" spans="1:7" hidden="1" x14ac:dyDescent="0.45">
      <c r="A32" t="s">
        <v>169</v>
      </c>
      <c r="B32" t="s">
        <v>47</v>
      </c>
      <c r="C32" t="s">
        <v>347</v>
      </c>
      <c r="D32">
        <v>2040</v>
      </c>
      <c r="E32">
        <f t="shared" si="0"/>
        <v>474236.98813055345</v>
      </c>
      <c r="F32" t="s">
        <v>33</v>
      </c>
      <c r="G32" t="s">
        <v>182</v>
      </c>
    </row>
    <row r="33" spans="1:7" hidden="1" x14ac:dyDescent="0.45">
      <c r="A33" t="s">
        <v>169</v>
      </c>
      <c r="B33" t="s">
        <v>48</v>
      </c>
      <c r="C33" t="s">
        <v>347</v>
      </c>
      <c r="D33">
        <v>2040</v>
      </c>
      <c r="E33">
        <f t="shared" si="0"/>
        <v>5691842.5765918624</v>
      </c>
      <c r="F33" t="s">
        <v>33</v>
      </c>
      <c r="G33" t="s">
        <v>182</v>
      </c>
    </row>
    <row r="34" spans="1:7" hidden="1" x14ac:dyDescent="0.45">
      <c r="A34" t="s">
        <v>169</v>
      </c>
      <c r="B34" t="s">
        <v>49</v>
      </c>
      <c r="C34" t="s">
        <v>347</v>
      </c>
      <c r="D34">
        <v>2040</v>
      </c>
      <c r="E34">
        <f t="shared" si="0"/>
        <v>3395550.6896979194</v>
      </c>
      <c r="F34" t="s">
        <v>33</v>
      </c>
      <c r="G34" t="s">
        <v>182</v>
      </c>
    </row>
    <row r="35" spans="1:7" hidden="1" x14ac:dyDescent="0.45">
      <c r="A35" t="s">
        <v>169</v>
      </c>
      <c r="B35" t="s">
        <v>50</v>
      </c>
      <c r="C35" t="s">
        <v>347</v>
      </c>
      <c r="D35">
        <v>2040</v>
      </c>
      <c r="E35">
        <f t="shared" si="0"/>
        <v>4136759.0195329939</v>
      </c>
      <c r="F35" t="s">
        <v>33</v>
      </c>
      <c r="G35" t="s">
        <v>182</v>
      </c>
    </row>
    <row r="36" spans="1:7" hidden="1" x14ac:dyDescent="0.45">
      <c r="A36" t="s">
        <v>169</v>
      </c>
      <c r="B36" t="s">
        <v>51</v>
      </c>
      <c r="C36" t="s">
        <v>347</v>
      </c>
      <c r="D36">
        <v>2040</v>
      </c>
      <c r="E36">
        <f t="shared" si="0"/>
        <v>1696740.9804670068</v>
      </c>
      <c r="F36" t="s">
        <v>33</v>
      </c>
      <c r="G36" t="s">
        <v>182</v>
      </c>
    </row>
    <row r="37" spans="1:7" hidden="1" x14ac:dyDescent="0.45">
      <c r="A37" t="s">
        <v>169</v>
      </c>
      <c r="B37" t="s">
        <v>52</v>
      </c>
      <c r="C37" t="s">
        <v>347</v>
      </c>
      <c r="D37">
        <v>2040</v>
      </c>
      <c r="E37">
        <f t="shared" si="0"/>
        <v>11746214.024779273</v>
      </c>
      <c r="F37" t="s">
        <v>33</v>
      </c>
      <c r="G37" t="s">
        <v>185</v>
      </c>
    </row>
    <row r="38" spans="1:7" hidden="1" x14ac:dyDescent="0.45">
      <c r="A38" t="s">
        <v>169</v>
      </c>
      <c r="B38" t="s">
        <v>53</v>
      </c>
      <c r="C38" t="s">
        <v>347</v>
      </c>
      <c r="D38">
        <v>2040</v>
      </c>
      <c r="E38">
        <f t="shared" si="0"/>
        <v>3694617.4215327264</v>
      </c>
      <c r="F38" t="s">
        <v>33</v>
      </c>
      <c r="G38" t="s">
        <v>185</v>
      </c>
    </row>
    <row r="39" spans="1:7" hidden="1" x14ac:dyDescent="0.45">
      <c r="A39" t="s">
        <v>169</v>
      </c>
      <c r="B39" t="s">
        <v>54</v>
      </c>
      <c r="C39" t="s">
        <v>347</v>
      </c>
      <c r="D39">
        <v>2040</v>
      </c>
      <c r="E39">
        <f t="shared" si="0"/>
        <v>2151893.5598322516</v>
      </c>
      <c r="F39" t="s">
        <v>33</v>
      </c>
      <c r="G39" t="s">
        <v>185</v>
      </c>
    </row>
    <row r="40" spans="1:7" hidden="1" x14ac:dyDescent="0.45">
      <c r="A40" t="s">
        <v>169</v>
      </c>
      <c r="B40" t="s">
        <v>55</v>
      </c>
      <c r="C40" t="s">
        <v>347</v>
      </c>
      <c r="D40">
        <v>2040</v>
      </c>
      <c r="E40">
        <f t="shared" si="0"/>
        <v>895117.07158188417</v>
      </c>
      <c r="F40" t="s">
        <v>33</v>
      </c>
      <c r="G40" t="s">
        <v>185</v>
      </c>
    </row>
    <row r="41" spans="1:7" hidden="1" x14ac:dyDescent="0.45">
      <c r="A41" t="s">
        <v>169</v>
      </c>
      <c r="B41" t="s">
        <v>56</v>
      </c>
      <c r="C41" t="s">
        <v>347</v>
      </c>
      <c r="D41">
        <v>2040</v>
      </c>
      <c r="E41">
        <f t="shared" si="0"/>
        <v>972657.92227386462</v>
      </c>
      <c r="F41" t="s">
        <v>33</v>
      </c>
      <c r="G41" t="s">
        <v>185</v>
      </c>
    </row>
    <row r="42" spans="1:7" hidden="1" x14ac:dyDescent="0.45">
      <c r="A42" t="s">
        <v>169</v>
      </c>
      <c r="B42" t="s">
        <v>57</v>
      </c>
      <c r="C42" t="s">
        <v>347</v>
      </c>
      <c r="D42">
        <v>2040</v>
      </c>
      <c r="E42">
        <f t="shared" si="0"/>
        <v>10546945.687066747</v>
      </c>
      <c r="F42" t="s">
        <v>33</v>
      </c>
      <c r="G42" t="s">
        <v>182</v>
      </c>
    </row>
    <row r="43" spans="1:7" hidden="1" x14ac:dyDescent="0.45">
      <c r="A43" t="s">
        <v>169</v>
      </c>
      <c r="B43" t="s">
        <v>58</v>
      </c>
      <c r="C43" t="s">
        <v>347</v>
      </c>
      <c r="D43">
        <v>2040</v>
      </c>
      <c r="E43">
        <f t="shared" si="0"/>
        <v>21426420.999647669</v>
      </c>
      <c r="F43" t="s">
        <v>33</v>
      </c>
      <c r="G43" t="s">
        <v>182</v>
      </c>
    </row>
    <row r="44" spans="1:7" hidden="1" x14ac:dyDescent="0.45">
      <c r="A44" t="s">
        <v>169</v>
      </c>
      <c r="B44" t="s">
        <v>59</v>
      </c>
      <c r="C44" t="s">
        <v>347</v>
      </c>
      <c r="D44">
        <v>2040</v>
      </c>
      <c r="E44">
        <f t="shared" si="0"/>
        <v>38875856.57188797</v>
      </c>
      <c r="F44" t="s">
        <v>33</v>
      </c>
      <c r="G44" t="s">
        <v>182</v>
      </c>
    </row>
    <row r="45" spans="1:7" hidden="1" x14ac:dyDescent="0.45">
      <c r="A45" t="s">
        <v>169</v>
      </c>
      <c r="B45" t="s">
        <v>60</v>
      </c>
      <c r="C45" t="s">
        <v>347</v>
      </c>
      <c r="D45">
        <v>2040</v>
      </c>
      <c r="E45">
        <f t="shared" si="0"/>
        <v>14823276.741397623</v>
      </c>
      <c r="F45" t="s">
        <v>33</v>
      </c>
      <c r="G45" t="s">
        <v>182</v>
      </c>
    </row>
    <row r="46" spans="1:7" hidden="1" x14ac:dyDescent="0.45">
      <c r="A46" t="s">
        <v>169</v>
      </c>
      <c r="B46" t="s">
        <v>39</v>
      </c>
      <c r="C46" t="s">
        <v>347</v>
      </c>
      <c r="D46">
        <v>2050</v>
      </c>
      <c r="E46">
        <f t="shared" si="0"/>
        <v>12399783.418971891</v>
      </c>
      <c r="F46" t="s">
        <v>33</v>
      </c>
      <c r="G46" t="s">
        <v>182</v>
      </c>
    </row>
    <row r="47" spans="1:7" hidden="1" x14ac:dyDescent="0.45">
      <c r="A47" t="s">
        <v>169</v>
      </c>
      <c r="B47" t="s">
        <v>40</v>
      </c>
      <c r="C47" t="s">
        <v>347</v>
      </c>
      <c r="D47">
        <v>2050</v>
      </c>
      <c r="E47">
        <f t="shared" si="0"/>
        <v>3850216.5810281071</v>
      </c>
      <c r="F47" t="s">
        <v>33</v>
      </c>
      <c r="G47" t="s">
        <v>182</v>
      </c>
    </row>
    <row r="48" spans="1:7" hidden="1" x14ac:dyDescent="0.45">
      <c r="A48" t="s">
        <v>169</v>
      </c>
      <c r="B48" t="s">
        <v>41</v>
      </c>
      <c r="C48" t="s">
        <v>347</v>
      </c>
      <c r="D48">
        <v>2050</v>
      </c>
      <c r="E48">
        <f t="shared" si="0"/>
        <v>1714203.0179272445</v>
      </c>
      <c r="F48" t="s">
        <v>33</v>
      </c>
      <c r="G48" t="s">
        <v>185</v>
      </c>
    </row>
    <row r="49" spans="1:7" hidden="1" x14ac:dyDescent="0.45">
      <c r="A49" t="s">
        <v>169</v>
      </c>
      <c r="B49" t="s">
        <v>42</v>
      </c>
      <c r="C49" t="s">
        <v>347</v>
      </c>
      <c r="D49">
        <v>2050</v>
      </c>
      <c r="E49">
        <f t="shared" si="0"/>
        <v>539180.05586459453</v>
      </c>
      <c r="F49" t="s">
        <v>33</v>
      </c>
      <c r="G49" t="s">
        <v>185</v>
      </c>
    </row>
    <row r="50" spans="1:7" hidden="1" x14ac:dyDescent="0.45">
      <c r="A50" t="s">
        <v>169</v>
      </c>
      <c r="B50" t="s">
        <v>43</v>
      </c>
      <c r="C50" t="s">
        <v>347</v>
      </c>
      <c r="D50">
        <v>2050</v>
      </c>
      <c r="E50">
        <f t="shared" si="0"/>
        <v>314040.11767033703</v>
      </c>
      <c r="F50" t="s">
        <v>33</v>
      </c>
      <c r="G50" t="s">
        <v>185</v>
      </c>
    </row>
    <row r="51" spans="1:7" hidden="1" x14ac:dyDescent="0.45">
      <c r="A51" t="s">
        <v>169</v>
      </c>
      <c r="B51" t="s">
        <v>44</v>
      </c>
      <c r="C51" t="s">
        <v>347</v>
      </c>
      <c r="D51">
        <v>2050</v>
      </c>
      <c r="E51">
        <f t="shared" si="0"/>
        <v>130630.37862812112</v>
      </c>
      <c r="F51" t="s">
        <v>33</v>
      </c>
      <c r="G51" t="s">
        <v>185</v>
      </c>
    </row>
    <row r="52" spans="1:7" hidden="1" x14ac:dyDescent="0.45">
      <c r="A52" t="s">
        <v>169</v>
      </c>
      <c r="B52" t="s">
        <v>45</v>
      </c>
      <c r="C52" t="s">
        <v>347</v>
      </c>
      <c r="D52">
        <v>2050</v>
      </c>
      <c r="E52">
        <f t="shared" si="0"/>
        <v>141946.42990970303</v>
      </c>
      <c r="F52" t="s">
        <v>33</v>
      </c>
      <c r="G52" t="s">
        <v>185</v>
      </c>
    </row>
    <row r="53" spans="1:7" hidden="1" x14ac:dyDescent="0.45">
      <c r="A53" t="s">
        <v>169</v>
      </c>
      <c r="B53" t="s">
        <v>46</v>
      </c>
      <c r="C53" t="s">
        <v>347</v>
      </c>
      <c r="D53">
        <v>2050</v>
      </c>
      <c r="E53">
        <f t="shared" si="0"/>
        <v>212869.74557966206</v>
      </c>
      <c r="F53" t="s">
        <v>33</v>
      </c>
      <c r="G53" t="s">
        <v>182</v>
      </c>
    </row>
    <row r="54" spans="1:7" hidden="1" x14ac:dyDescent="0.45">
      <c r="A54" t="s">
        <v>169</v>
      </c>
      <c r="B54" t="s">
        <v>47</v>
      </c>
      <c r="C54" t="s">
        <v>347</v>
      </c>
      <c r="D54">
        <v>2050</v>
      </c>
      <c r="E54">
        <f t="shared" si="0"/>
        <v>474236.98813055345</v>
      </c>
      <c r="F54" t="s">
        <v>33</v>
      </c>
      <c r="G54" t="s">
        <v>182</v>
      </c>
    </row>
    <row r="55" spans="1:7" hidden="1" x14ac:dyDescent="0.45">
      <c r="A55" t="s">
        <v>169</v>
      </c>
      <c r="B55" t="s">
        <v>48</v>
      </c>
      <c r="C55" t="s">
        <v>347</v>
      </c>
      <c r="D55">
        <v>2050</v>
      </c>
      <c r="E55">
        <f t="shared" si="0"/>
        <v>5691842.5765918624</v>
      </c>
      <c r="F55" t="s">
        <v>33</v>
      </c>
      <c r="G55" t="s">
        <v>182</v>
      </c>
    </row>
    <row r="56" spans="1:7" hidden="1" x14ac:dyDescent="0.45">
      <c r="A56" t="s">
        <v>169</v>
      </c>
      <c r="B56" t="s">
        <v>49</v>
      </c>
      <c r="C56" t="s">
        <v>347</v>
      </c>
      <c r="D56">
        <v>2050</v>
      </c>
      <c r="E56">
        <f t="shared" si="0"/>
        <v>3395550.6896979194</v>
      </c>
      <c r="F56" t="s">
        <v>33</v>
      </c>
      <c r="G56" t="s">
        <v>182</v>
      </c>
    </row>
    <row r="57" spans="1:7" hidden="1" x14ac:dyDescent="0.45">
      <c r="A57" t="s">
        <v>169</v>
      </c>
      <c r="B57" t="s">
        <v>50</v>
      </c>
      <c r="C57" t="s">
        <v>347</v>
      </c>
      <c r="D57">
        <v>2050</v>
      </c>
      <c r="E57">
        <f t="shared" si="0"/>
        <v>4136759.0195329939</v>
      </c>
      <c r="F57" t="s">
        <v>33</v>
      </c>
      <c r="G57" t="s">
        <v>182</v>
      </c>
    </row>
    <row r="58" spans="1:7" hidden="1" x14ac:dyDescent="0.45">
      <c r="A58" t="s">
        <v>169</v>
      </c>
      <c r="B58" t="s">
        <v>51</v>
      </c>
      <c r="C58" t="s">
        <v>347</v>
      </c>
      <c r="D58">
        <v>2050</v>
      </c>
      <c r="E58">
        <f t="shared" si="0"/>
        <v>1696740.9804670068</v>
      </c>
      <c r="F58" t="s">
        <v>33</v>
      </c>
      <c r="G58" t="s">
        <v>182</v>
      </c>
    </row>
    <row r="59" spans="1:7" hidden="1" x14ac:dyDescent="0.45">
      <c r="A59" t="s">
        <v>169</v>
      </c>
      <c r="B59" t="s">
        <v>52</v>
      </c>
      <c r="C59" t="s">
        <v>347</v>
      </c>
      <c r="D59">
        <v>2050</v>
      </c>
      <c r="E59">
        <f t="shared" si="0"/>
        <v>11746214.024779273</v>
      </c>
      <c r="F59" t="s">
        <v>33</v>
      </c>
      <c r="G59" t="s">
        <v>185</v>
      </c>
    </row>
    <row r="60" spans="1:7" hidden="1" x14ac:dyDescent="0.45">
      <c r="A60" t="s">
        <v>169</v>
      </c>
      <c r="B60" t="s">
        <v>53</v>
      </c>
      <c r="C60" t="s">
        <v>347</v>
      </c>
      <c r="D60">
        <v>2050</v>
      </c>
      <c r="E60">
        <f t="shared" si="0"/>
        <v>3694617.4215327264</v>
      </c>
      <c r="F60" t="s">
        <v>33</v>
      </c>
      <c r="G60" t="s">
        <v>185</v>
      </c>
    </row>
    <row r="61" spans="1:7" hidden="1" x14ac:dyDescent="0.45">
      <c r="A61" t="s">
        <v>169</v>
      </c>
      <c r="B61" t="s">
        <v>54</v>
      </c>
      <c r="C61" t="s">
        <v>347</v>
      </c>
      <c r="D61">
        <v>2050</v>
      </c>
      <c r="E61">
        <f t="shared" si="0"/>
        <v>2151893.5598322516</v>
      </c>
      <c r="F61" t="s">
        <v>33</v>
      </c>
      <c r="G61" t="s">
        <v>185</v>
      </c>
    </row>
    <row r="62" spans="1:7" hidden="1" x14ac:dyDescent="0.45">
      <c r="A62" t="s">
        <v>169</v>
      </c>
      <c r="B62" t="s">
        <v>55</v>
      </c>
      <c r="C62" t="s">
        <v>347</v>
      </c>
      <c r="D62">
        <v>2050</v>
      </c>
      <c r="E62">
        <f t="shared" si="0"/>
        <v>895117.07158188417</v>
      </c>
      <c r="F62" t="s">
        <v>33</v>
      </c>
      <c r="G62" t="s">
        <v>185</v>
      </c>
    </row>
    <row r="63" spans="1:7" hidden="1" x14ac:dyDescent="0.45">
      <c r="A63" t="s">
        <v>169</v>
      </c>
      <c r="B63" t="s">
        <v>56</v>
      </c>
      <c r="C63" t="s">
        <v>347</v>
      </c>
      <c r="D63">
        <v>2050</v>
      </c>
      <c r="E63">
        <f t="shared" si="0"/>
        <v>972657.92227386462</v>
      </c>
      <c r="F63" t="s">
        <v>33</v>
      </c>
      <c r="G63" t="s">
        <v>185</v>
      </c>
    </row>
    <row r="64" spans="1:7" hidden="1" x14ac:dyDescent="0.45">
      <c r="A64" t="s">
        <v>169</v>
      </c>
      <c r="B64" t="s">
        <v>57</v>
      </c>
      <c r="C64" t="s">
        <v>347</v>
      </c>
      <c r="D64">
        <v>2050</v>
      </c>
      <c r="E64">
        <f t="shared" si="0"/>
        <v>10546945.687066747</v>
      </c>
      <c r="F64" t="s">
        <v>33</v>
      </c>
      <c r="G64" t="s">
        <v>182</v>
      </c>
    </row>
    <row r="65" spans="1:7" hidden="1" x14ac:dyDescent="0.45">
      <c r="A65" t="s">
        <v>169</v>
      </c>
      <c r="B65" t="s">
        <v>58</v>
      </c>
      <c r="C65" t="s">
        <v>347</v>
      </c>
      <c r="D65">
        <v>2050</v>
      </c>
      <c r="E65">
        <f t="shared" si="0"/>
        <v>21426420.999647669</v>
      </c>
      <c r="F65" t="s">
        <v>33</v>
      </c>
      <c r="G65" t="s">
        <v>182</v>
      </c>
    </row>
    <row r="66" spans="1:7" hidden="1" x14ac:dyDescent="0.45">
      <c r="A66" t="s">
        <v>169</v>
      </c>
      <c r="B66" t="s">
        <v>59</v>
      </c>
      <c r="C66" t="s">
        <v>347</v>
      </c>
      <c r="D66">
        <v>2050</v>
      </c>
      <c r="E66">
        <f t="shared" si="0"/>
        <v>38875856.57188797</v>
      </c>
      <c r="F66" t="s">
        <v>33</v>
      </c>
      <c r="G66" t="s">
        <v>182</v>
      </c>
    </row>
    <row r="67" spans="1:7" hidden="1" x14ac:dyDescent="0.45">
      <c r="A67" t="s">
        <v>169</v>
      </c>
      <c r="B67" t="s">
        <v>60</v>
      </c>
      <c r="C67" t="s">
        <v>347</v>
      </c>
      <c r="D67">
        <v>2050</v>
      </c>
      <c r="E67">
        <f t="shared" ref="E67" si="1">E133/2</f>
        <v>14823276.741397623</v>
      </c>
      <c r="F67" t="s">
        <v>33</v>
      </c>
      <c r="G67" t="s">
        <v>182</v>
      </c>
    </row>
    <row r="68" spans="1:7" x14ac:dyDescent="0.45">
      <c r="A68" t="s">
        <v>169</v>
      </c>
      <c r="B68" t="s">
        <v>39</v>
      </c>
      <c r="C68" t="s">
        <v>2</v>
      </c>
      <c r="D68">
        <v>2030</v>
      </c>
      <c r="E68">
        <v>24799566.837943781</v>
      </c>
      <c r="F68" t="s">
        <v>33</v>
      </c>
      <c r="G68" t="s">
        <v>182</v>
      </c>
    </row>
    <row r="69" spans="1:7" x14ac:dyDescent="0.45">
      <c r="A69" t="s">
        <v>169</v>
      </c>
      <c r="B69" t="s">
        <v>40</v>
      </c>
      <c r="C69" t="s">
        <v>2</v>
      </c>
      <c r="D69">
        <v>2030</v>
      </c>
      <c r="E69">
        <v>7700433.1620562142</v>
      </c>
      <c r="F69" t="s">
        <v>33</v>
      </c>
      <c r="G69" t="s">
        <v>182</v>
      </c>
    </row>
    <row r="70" spans="1:7" x14ac:dyDescent="0.45">
      <c r="A70" t="s">
        <v>169</v>
      </c>
      <c r="B70" t="s">
        <v>41</v>
      </c>
      <c r="C70" t="s">
        <v>2</v>
      </c>
      <c r="D70">
        <v>2030</v>
      </c>
      <c r="E70">
        <v>3428406.0358544891</v>
      </c>
      <c r="F70" t="s">
        <v>33</v>
      </c>
      <c r="G70" t="s">
        <v>185</v>
      </c>
    </row>
    <row r="71" spans="1:7" x14ac:dyDescent="0.45">
      <c r="A71" t="s">
        <v>169</v>
      </c>
      <c r="B71" t="s">
        <v>42</v>
      </c>
      <c r="C71" t="s">
        <v>2</v>
      </c>
      <c r="D71">
        <v>2030</v>
      </c>
      <c r="E71">
        <v>1078360.1117291891</v>
      </c>
      <c r="F71" t="s">
        <v>33</v>
      </c>
      <c r="G71" t="s">
        <v>185</v>
      </c>
    </row>
    <row r="72" spans="1:7" x14ac:dyDescent="0.45">
      <c r="A72" t="s">
        <v>169</v>
      </c>
      <c r="B72" t="s">
        <v>43</v>
      </c>
      <c r="C72" t="s">
        <v>2</v>
      </c>
      <c r="D72">
        <v>2030</v>
      </c>
      <c r="E72">
        <v>628080.23534067406</v>
      </c>
      <c r="F72" t="s">
        <v>33</v>
      </c>
      <c r="G72" t="s">
        <v>185</v>
      </c>
    </row>
    <row r="73" spans="1:7" x14ac:dyDescent="0.45">
      <c r="A73" t="s">
        <v>169</v>
      </c>
      <c r="B73" t="s">
        <v>44</v>
      </c>
      <c r="C73" t="s">
        <v>2</v>
      </c>
      <c r="D73">
        <v>2030</v>
      </c>
      <c r="E73">
        <v>261260.75725624224</v>
      </c>
      <c r="F73" t="s">
        <v>33</v>
      </c>
      <c r="G73" t="s">
        <v>185</v>
      </c>
    </row>
    <row r="74" spans="1:7" x14ac:dyDescent="0.45">
      <c r="A74" t="s">
        <v>169</v>
      </c>
      <c r="B74" t="s">
        <v>45</v>
      </c>
      <c r="C74" t="s">
        <v>2</v>
      </c>
      <c r="D74">
        <v>2030</v>
      </c>
      <c r="E74">
        <v>283892.85981940606</v>
      </c>
      <c r="F74" t="s">
        <v>33</v>
      </c>
      <c r="G74" t="s">
        <v>185</v>
      </c>
    </row>
    <row r="75" spans="1:7" x14ac:dyDescent="0.45">
      <c r="A75" t="s">
        <v>169</v>
      </c>
      <c r="B75" t="s">
        <v>46</v>
      </c>
      <c r="C75" t="s">
        <v>2</v>
      </c>
      <c r="D75">
        <v>2030</v>
      </c>
      <c r="E75">
        <v>425739.49115932413</v>
      </c>
      <c r="F75" t="s">
        <v>33</v>
      </c>
      <c r="G75" t="s">
        <v>182</v>
      </c>
    </row>
    <row r="76" spans="1:7" x14ac:dyDescent="0.45">
      <c r="A76" t="s">
        <v>169</v>
      </c>
      <c r="B76" t="s">
        <v>47</v>
      </c>
      <c r="C76" t="s">
        <v>2</v>
      </c>
      <c r="D76">
        <v>2030</v>
      </c>
      <c r="E76">
        <v>948473.9762611069</v>
      </c>
      <c r="F76" t="s">
        <v>33</v>
      </c>
      <c r="G76" t="s">
        <v>182</v>
      </c>
    </row>
    <row r="77" spans="1:7" x14ac:dyDescent="0.45">
      <c r="A77" t="s">
        <v>169</v>
      </c>
      <c r="B77" t="s">
        <v>48</v>
      </c>
      <c r="C77" t="s">
        <v>2</v>
      </c>
      <c r="D77">
        <v>2030</v>
      </c>
      <c r="E77">
        <v>11383685.153183725</v>
      </c>
      <c r="F77" t="s">
        <v>33</v>
      </c>
      <c r="G77" t="s">
        <v>182</v>
      </c>
    </row>
    <row r="78" spans="1:7" x14ac:dyDescent="0.45">
      <c r="A78" t="s">
        <v>169</v>
      </c>
      <c r="B78" t="s">
        <v>49</v>
      </c>
      <c r="C78" t="s">
        <v>2</v>
      </c>
      <c r="D78">
        <v>2030</v>
      </c>
      <c r="E78">
        <v>6791101.3793958388</v>
      </c>
      <c r="F78" t="s">
        <v>33</v>
      </c>
      <c r="G78" t="s">
        <v>182</v>
      </c>
    </row>
    <row r="79" spans="1:7" x14ac:dyDescent="0.45">
      <c r="A79" t="s">
        <v>169</v>
      </c>
      <c r="B79" t="s">
        <v>50</v>
      </c>
      <c r="C79" t="s">
        <v>2</v>
      </c>
      <c r="D79">
        <v>2030</v>
      </c>
      <c r="E79">
        <v>8273518.0390659878</v>
      </c>
      <c r="F79" t="s">
        <v>33</v>
      </c>
      <c r="G79" t="s">
        <v>182</v>
      </c>
    </row>
    <row r="80" spans="1:7" x14ac:dyDescent="0.45">
      <c r="A80" t="s">
        <v>169</v>
      </c>
      <c r="B80" t="s">
        <v>51</v>
      </c>
      <c r="C80" t="s">
        <v>2</v>
      </c>
      <c r="D80">
        <v>2030</v>
      </c>
      <c r="E80">
        <v>3393481.9609340136</v>
      </c>
      <c r="F80" t="s">
        <v>33</v>
      </c>
      <c r="G80" t="s">
        <v>182</v>
      </c>
    </row>
    <row r="81" spans="1:7" x14ac:dyDescent="0.45">
      <c r="A81" t="s">
        <v>169</v>
      </c>
      <c r="B81" t="s">
        <v>52</v>
      </c>
      <c r="C81" t="s">
        <v>2</v>
      </c>
      <c r="D81">
        <v>2030</v>
      </c>
      <c r="E81">
        <v>23492428.049558546</v>
      </c>
      <c r="F81" t="s">
        <v>33</v>
      </c>
      <c r="G81" t="s">
        <v>185</v>
      </c>
    </row>
    <row r="82" spans="1:7" x14ac:dyDescent="0.45">
      <c r="A82" t="s">
        <v>169</v>
      </c>
      <c r="B82" t="s">
        <v>53</v>
      </c>
      <c r="C82" t="s">
        <v>2</v>
      </c>
      <c r="D82">
        <v>2030</v>
      </c>
      <c r="E82">
        <v>7389234.8430654528</v>
      </c>
      <c r="F82" t="s">
        <v>33</v>
      </c>
      <c r="G82" t="s">
        <v>185</v>
      </c>
    </row>
    <row r="83" spans="1:7" x14ac:dyDescent="0.45">
      <c r="A83" t="s">
        <v>169</v>
      </c>
      <c r="B83" t="s">
        <v>54</v>
      </c>
      <c r="C83" t="s">
        <v>2</v>
      </c>
      <c r="D83">
        <v>2030</v>
      </c>
      <c r="E83">
        <v>4303787.1196645033</v>
      </c>
      <c r="F83" t="s">
        <v>33</v>
      </c>
      <c r="G83" t="s">
        <v>185</v>
      </c>
    </row>
    <row r="84" spans="1:7" x14ac:dyDescent="0.45">
      <c r="A84" t="s">
        <v>169</v>
      </c>
      <c r="B84" t="s">
        <v>55</v>
      </c>
      <c r="C84" t="s">
        <v>2</v>
      </c>
      <c r="D84">
        <v>2030</v>
      </c>
      <c r="E84">
        <v>1790234.1431637683</v>
      </c>
      <c r="F84" t="s">
        <v>33</v>
      </c>
      <c r="G84" t="s">
        <v>185</v>
      </c>
    </row>
    <row r="85" spans="1:7" x14ac:dyDescent="0.45">
      <c r="A85" t="s">
        <v>169</v>
      </c>
      <c r="B85" t="s">
        <v>56</v>
      </c>
      <c r="C85" t="s">
        <v>2</v>
      </c>
      <c r="D85">
        <v>2030</v>
      </c>
      <c r="E85">
        <v>1945315.8445477292</v>
      </c>
      <c r="F85" t="s">
        <v>33</v>
      </c>
      <c r="G85" t="s">
        <v>185</v>
      </c>
    </row>
    <row r="86" spans="1:7" x14ac:dyDescent="0.45">
      <c r="A86" t="s">
        <v>169</v>
      </c>
      <c r="B86" t="s">
        <v>57</v>
      </c>
      <c r="C86" t="s">
        <v>2</v>
      </c>
      <c r="D86">
        <v>2030</v>
      </c>
      <c r="E86">
        <v>21093891.374133494</v>
      </c>
      <c r="F86" t="s">
        <v>33</v>
      </c>
      <c r="G86" t="s">
        <v>182</v>
      </c>
    </row>
    <row r="87" spans="1:7" x14ac:dyDescent="0.45">
      <c r="A87" t="s">
        <v>169</v>
      </c>
      <c r="B87" t="s">
        <v>58</v>
      </c>
      <c r="C87" t="s">
        <v>2</v>
      </c>
      <c r="D87">
        <v>2030</v>
      </c>
      <c r="E87">
        <v>42852841.999295339</v>
      </c>
      <c r="F87" t="s">
        <v>33</v>
      </c>
      <c r="G87" t="s">
        <v>182</v>
      </c>
    </row>
    <row r="88" spans="1:7" x14ac:dyDescent="0.45">
      <c r="A88" t="s">
        <v>169</v>
      </c>
      <c r="B88" t="s">
        <v>59</v>
      </c>
      <c r="C88" t="s">
        <v>2</v>
      </c>
      <c r="D88">
        <v>2030</v>
      </c>
      <c r="E88">
        <v>77751713.14377594</v>
      </c>
      <c r="F88" t="s">
        <v>33</v>
      </c>
      <c r="G88" t="s">
        <v>182</v>
      </c>
    </row>
    <row r="89" spans="1:7" x14ac:dyDescent="0.45">
      <c r="A89" t="s">
        <v>169</v>
      </c>
      <c r="B89" t="s">
        <v>60</v>
      </c>
      <c r="C89" t="s">
        <v>2</v>
      </c>
      <c r="D89">
        <v>2030</v>
      </c>
      <c r="E89">
        <v>29646553.482795246</v>
      </c>
      <c r="F89" t="s">
        <v>33</v>
      </c>
      <c r="G89" t="s">
        <v>182</v>
      </c>
    </row>
    <row r="90" spans="1:7" x14ac:dyDescent="0.45">
      <c r="A90" t="s">
        <v>169</v>
      </c>
      <c r="B90" t="s">
        <v>39</v>
      </c>
      <c r="C90" t="s">
        <v>2</v>
      </c>
      <c r="D90">
        <v>2040</v>
      </c>
      <c r="E90">
        <v>24799566.837943781</v>
      </c>
      <c r="F90" t="s">
        <v>33</v>
      </c>
      <c r="G90" t="s">
        <v>182</v>
      </c>
    </row>
    <row r="91" spans="1:7" x14ac:dyDescent="0.45">
      <c r="A91" t="s">
        <v>169</v>
      </c>
      <c r="B91" t="s">
        <v>40</v>
      </c>
      <c r="C91" t="s">
        <v>2</v>
      </c>
      <c r="D91">
        <v>2040</v>
      </c>
      <c r="E91">
        <v>7700433.1620562142</v>
      </c>
      <c r="F91" t="s">
        <v>33</v>
      </c>
      <c r="G91" t="s">
        <v>182</v>
      </c>
    </row>
    <row r="92" spans="1:7" x14ac:dyDescent="0.45">
      <c r="A92" t="s">
        <v>169</v>
      </c>
      <c r="B92" t="s">
        <v>41</v>
      </c>
      <c r="C92" t="s">
        <v>2</v>
      </c>
      <c r="D92">
        <v>2040</v>
      </c>
      <c r="E92">
        <v>3428406.0358544891</v>
      </c>
      <c r="F92" t="s">
        <v>33</v>
      </c>
      <c r="G92" t="s">
        <v>185</v>
      </c>
    </row>
    <row r="93" spans="1:7" x14ac:dyDescent="0.45">
      <c r="A93" t="s">
        <v>169</v>
      </c>
      <c r="B93" t="s">
        <v>42</v>
      </c>
      <c r="C93" t="s">
        <v>2</v>
      </c>
      <c r="D93">
        <v>2040</v>
      </c>
      <c r="E93">
        <v>1078360.1117291891</v>
      </c>
      <c r="F93" t="s">
        <v>33</v>
      </c>
      <c r="G93" t="s">
        <v>185</v>
      </c>
    </row>
    <row r="94" spans="1:7" x14ac:dyDescent="0.45">
      <c r="A94" t="s">
        <v>169</v>
      </c>
      <c r="B94" t="s">
        <v>43</v>
      </c>
      <c r="C94" t="s">
        <v>2</v>
      </c>
      <c r="D94">
        <v>2040</v>
      </c>
      <c r="E94">
        <v>628080.23534067406</v>
      </c>
      <c r="F94" t="s">
        <v>33</v>
      </c>
      <c r="G94" t="s">
        <v>185</v>
      </c>
    </row>
    <row r="95" spans="1:7" x14ac:dyDescent="0.45">
      <c r="A95" t="s">
        <v>169</v>
      </c>
      <c r="B95" t="s">
        <v>44</v>
      </c>
      <c r="C95" t="s">
        <v>2</v>
      </c>
      <c r="D95">
        <v>2040</v>
      </c>
      <c r="E95">
        <v>261260.75725624224</v>
      </c>
      <c r="F95" t="s">
        <v>33</v>
      </c>
      <c r="G95" t="s">
        <v>185</v>
      </c>
    </row>
    <row r="96" spans="1:7" x14ac:dyDescent="0.45">
      <c r="A96" t="s">
        <v>169</v>
      </c>
      <c r="B96" t="s">
        <v>45</v>
      </c>
      <c r="C96" t="s">
        <v>2</v>
      </c>
      <c r="D96">
        <v>2040</v>
      </c>
      <c r="E96">
        <v>283892.85981940606</v>
      </c>
      <c r="F96" t="s">
        <v>33</v>
      </c>
      <c r="G96" t="s">
        <v>185</v>
      </c>
    </row>
    <row r="97" spans="1:7" x14ac:dyDescent="0.45">
      <c r="A97" t="s">
        <v>169</v>
      </c>
      <c r="B97" t="s">
        <v>46</v>
      </c>
      <c r="C97" t="s">
        <v>2</v>
      </c>
      <c r="D97">
        <v>2040</v>
      </c>
      <c r="E97">
        <v>425739.49115932413</v>
      </c>
      <c r="F97" t="s">
        <v>33</v>
      </c>
      <c r="G97" t="s">
        <v>182</v>
      </c>
    </row>
    <row r="98" spans="1:7" x14ac:dyDescent="0.45">
      <c r="A98" t="s">
        <v>169</v>
      </c>
      <c r="B98" t="s">
        <v>47</v>
      </c>
      <c r="C98" t="s">
        <v>2</v>
      </c>
      <c r="D98">
        <v>2040</v>
      </c>
      <c r="E98">
        <v>948473.9762611069</v>
      </c>
      <c r="F98" t="s">
        <v>33</v>
      </c>
      <c r="G98" t="s">
        <v>182</v>
      </c>
    </row>
    <row r="99" spans="1:7" x14ac:dyDescent="0.45">
      <c r="A99" t="s">
        <v>169</v>
      </c>
      <c r="B99" t="s">
        <v>48</v>
      </c>
      <c r="C99" t="s">
        <v>2</v>
      </c>
      <c r="D99">
        <v>2040</v>
      </c>
      <c r="E99">
        <v>11383685.153183725</v>
      </c>
      <c r="F99" t="s">
        <v>33</v>
      </c>
      <c r="G99" t="s">
        <v>182</v>
      </c>
    </row>
    <row r="100" spans="1:7" x14ac:dyDescent="0.45">
      <c r="A100" t="s">
        <v>169</v>
      </c>
      <c r="B100" t="s">
        <v>49</v>
      </c>
      <c r="C100" t="s">
        <v>2</v>
      </c>
      <c r="D100">
        <v>2040</v>
      </c>
      <c r="E100">
        <v>6791101.3793958388</v>
      </c>
      <c r="F100" t="s">
        <v>33</v>
      </c>
      <c r="G100" t="s">
        <v>182</v>
      </c>
    </row>
    <row r="101" spans="1:7" x14ac:dyDescent="0.45">
      <c r="A101" t="s">
        <v>169</v>
      </c>
      <c r="B101" t="s">
        <v>50</v>
      </c>
      <c r="C101" t="s">
        <v>2</v>
      </c>
      <c r="D101">
        <v>2040</v>
      </c>
      <c r="E101">
        <v>8273518.0390659878</v>
      </c>
      <c r="F101" t="s">
        <v>33</v>
      </c>
      <c r="G101" t="s">
        <v>182</v>
      </c>
    </row>
    <row r="102" spans="1:7" x14ac:dyDescent="0.45">
      <c r="A102" t="s">
        <v>169</v>
      </c>
      <c r="B102" t="s">
        <v>51</v>
      </c>
      <c r="C102" t="s">
        <v>2</v>
      </c>
      <c r="D102">
        <v>2040</v>
      </c>
      <c r="E102">
        <v>3393481.9609340136</v>
      </c>
      <c r="F102" t="s">
        <v>33</v>
      </c>
      <c r="G102" t="s">
        <v>182</v>
      </c>
    </row>
    <row r="103" spans="1:7" x14ac:dyDescent="0.45">
      <c r="A103" t="s">
        <v>169</v>
      </c>
      <c r="B103" t="s">
        <v>52</v>
      </c>
      <c r="C103" t="s">
        <v>2</v>
      </c>
      <c r="D103">
        <v>2040</v>
      </c>
      <c r="E103">
        <v>23492428.049558546</v>
      </c>
      <c r="F103" t="s">
        <v>33</v>
      </c>
      <c r="G103" t="s">
        <v>185</v>
      </c>
    </row>
    <row r="104" spans="1:7" x14ac:dyDescent="0.45">
      <c r="A104" t="s">
        <v>169</v>
      </c>
      <c r="B104" t="s">
        <v>53</v>
      </c>
      <c r="C104" t="s">
        <v>2</v>
      </c>
      <c r="D104">
        <v>2040</v>
      </c>
      <c r="E104">
        <v>7389234.8430654528</v>
      </c>
      <c r="F104" t="s">
        <v>33</v>
      </c>
      <c r="G104" t="s">
        <v>185</v>
      </c>
    </row>
    <row r="105" spans="1:7" x14ac:dyDescent="0.45">
      <c r="A105" t="s">
        <v>169</v>
      </c>
      <c r="B105" t="s">
        <v>54</v>
      </c>
      <c r="C105" t="s">
        <v>2</v>
      </c>
      <c r="D105">
        <v>2040</v>
      </c>
      <c r="E105">
        <v>4303787.1196645033</v>
      </c>
      <c r="F105" t="s">
        <v>33</v>
      </c>
      <c r="G105" t="s">
        <v>185</v>
      </c>
    </row>
    <row r="106" spans="1:7" x14ac:dyDescent="0.45">
      <c r="A106" t="s">
        <v>169</v>
      </c>
      <c r="B106" t="s">
        <v>55</v>
      </c>
      <c r="C106" t="s">
        <v>2</v>
      </c>
      <c r="D106">
        <v>2040</v>
      </c>
      <c r="E106">
        <v>1790234.1431637683</v>
      </c>
      <c r="F106" t="s">
        <v>33</v>
      </c>
      <c r="G106" t="s">
        <v>185</v>
      </c>
    </row>
    <row r="107" spans="1:7" x14ac:dyDescent="0.45">
      <c r="A107" t="s">
        <v>169</v>
      </c>
      <c r="B107" t="s">
        <v>56</v>
      </c>
      <c r="C107" t="s">
        <v>2</v>
      </c>
      <c r="D107">
        <v>2040</v>
      </c>
      <c r="E107">
        <v>1945315.8445477292</v>
      </c>
      <c r="F107" t="s">
        <v>33</v>
      </c>
      <c r="G107" t="s">
        <v>185</v>
      </c>
    </row>
    <row r="108" spans="1:7" x14ac:dyDescent="0.45">
      <c r="A108" t="s">
        <v>169</v>
      </c>
      <c r="B108" t="s">
        <v>57</v>
      </c>
      <c r="C108" t="s">
        <v>2</v>
      </c>
      <c r="D108">
        <v>2040</v>
      </c>
      <c r="E108">
        <v>21093891.374133494</v>
      </c>
      <c r="F108" t="s">
        <v>33</v>
      </c>
      <c r="G108" t="s">
        <v>182</v>
      </c>
    </row>
    <row r="109" spans="1:7" x14ac:dyDescent="0.45">
      <c r="A109" t="s">
        <v>169</v>
      </c>
      <c r="B109" t="s">
        <v>58</v>
      </c>
      <c r="C109" t="s">
        <v>2</v>
      </c>
      <c r="D109">
        <v>2040</v>
      </c>
      <c r="E109">
        <v>42852841.999295339</v>
      </c>
      <c r="F109" t="s">
        <v>33</v>
      </c>
      <c r="G109" t="s">
        <v>182</v>
      </c>
    </row>
    <row r="110" spans="1:7" x14ac:dyDescent="0.45">
      <c r="A110" t="s">
        <v>169</v>
      </c>
      <c r="B110" t="s">
        <v>59</v>
      </c>
      <c r="C110" t="s">
        <v>2</v>
      </c>
      <c r="D110">
        <v>2040</v>
      </c>
      <c r="E110">
        <v>77751713.14377594</v>
      </c>
      <c r="F110" t="s">
        <v>33</v>
      </c>
      <c r="G110" t="s">
        <v>182</v>
      </c>
    </row>
    <row r="111" spans="1:7" x14ac:dyDescent="0.45">
      <c r="A111" t="s">
        <v>169</v>
      </c>
      <c r="B111" t="s">
        <v>60</v>
      </c>
      <c r="C111" t="s">
        <v>2</v>
      </c>
      <c r="D111">
        <v>2040</v>
      </c>
      <c r="E111">
        <v>29646553.482795246</v>
      </c>
      <c r="F111" t="s">
        <v>33</v>
      </c>
      <c r="G111" t="s">
        <v>182</v>
      </c>
    </row>
    <row r="112" spans="1:7" x14ac:dyDescent="0.45">
      <c r="A112" t="s">
        <v>169</v>
      </c>
      <c r="B112" t="s">
        <v>39</v>
      </c>
      <c r="C112" t="s">
        <v>2</v>
      </c>
      <c r="D112">
        <v>2050</v>
      </c>
      <c r="E112">
        <v>24799566.837943781</v>
      </c>
      <c r="F112" t="s">
        <v>33</v>
      </c>
      <c r="G112" t="s">
        <v>182</v>
      </c>
    </row>
    <row r="113" spans="1:7" x14ac:dyDescent="0.45">
      <c r="A113" t="s">
        <v>169</v>
      </c>
      <c r="B113" t="s">
        <v>40</v>
      </c>
      <c r="C113" t="s">
        <v>2</v>
      </c>
      <c r="D113">
        <v>2050</v>
      </c>
      <c r="E113">
        <v>7700433.1620562142</v>
      </c>
      <c r="F113" t="s">
        <v>33</v>
      </c>
      <c r="G113" t="s">
        <v>182</v>
      </c>
    </row>
    <row r="114" spans="1:7" x14ac:dyDescent="0.45">
      <c r="A114" t="s">
        <v>169</v>
      </c>
      <c r="B114" t="s">
        <v>41</v>
      </c>
      <c r="C114" t="s">
        <v>2</v>
      </c>
      <c r="D114">
        <v>2050</v>
      </c>
      <c r="E114">
        <v>3428406.0358544891</v>
      </c>
      <c r="F114" t="s">
        <v>33</v>
      </c>
      <c r="G114" t="s">
        <v>185</v>
      </c>
    </row>
    <row r="115" spans="1:7" x14ac:dyDescent="0.45">
      <c r="A115" t="s">
        <v>169</v>
      </c>
      <c r="B115" t="s">
        <v>42</v>
      </c>
      <c r="C115" t="s">
        <v>2</v>
      </c>
      <c r="D115">
        <v>2050</v>
      </c>
      <c r="E115">
        <v>1078360.1117291891</v>
      </c>
      <c r="F115" t="s">
        <v>33</v>
      </c>
      <c r="G115" t="s">
        <v>185</v>
      </c>
    </row>
    <row r="116" spans="1:7" x14ac:dyDescent="0.45">
      <c r="A116" t="s">
        <v>169</v>
      </c>
      <c r="B116" t="s">
        <v>43</v>
      </c>
      <c r="C116" t="s">
        <v>2</v>
      </c>
      <c r="D116">
        <v>2050</v>
      </c>
      <c r="E116">
        <v>628080.23534067406</v>
      </c>
      <c r="F116" t="s">
        <v>33</v>
      </c>
      <c r="G116" t="s">
        <v>185</v>
      </c>
    </row>
    <row r="117" spans="1:7" x14ac:dyDescent="0.45">
      <c r="A117" t="s">
        <v>169</v>
      </c>
      <c r="B117" t="s">
        <v>44</v>
      </c>
      <c r="C117" t="s">
        <v>2</v>
      </c>
      <c r="D117">
        <v>2050</v>
      </c>
      <c r="E117">
        <v>261260.75725624224</v>
      </c>
      <c r="F117" t="s">
        <v>33</v>
      </c>
      <c r="G117" t="s">
        <v>185</v>
      </c>
    </row>
    <row r="118" spans="1:7" x14ac:dyDescent="0.45">
      <c r="A118" t="s">
        <v>169</v>
      </c>
      <c r="B118" t="s">
        <v>45</v>
      </c>
      <c r="C118" t="s">
        <v>2</v>
      </c>
      <c r="D118">
        <v>2050</v>
      </c>
      <c r="E118">
        <v>283892.85981940606</v>
      </c>
      <c r="F118" t="s">
        <v>33</v>
      </c>
      <c r="G118" t="s">
        <v>185</v>
      </c>
    </row>
    <row r="119" spans="1:7" x14ac:dyDescent="0.45">
      <c r="A119" t="s">
        <v>169</v>
      </c>
      <c r="B119" t="s">
        <v>46</v>
      </c>
      <c r="C119" t="s">
        <v>2</v>
      </c>
      <c r="D119">
        <v>2050</v>
      </c>
      <c r="E119">
        <v>425739.49115932413</v>
      </c>
      <c r="F119" t="s">
        <v>33</v>
      </c>
      <c r="G119" t="s">
        <v>182</v>
      </c>
    </row>
    <row r="120" spans="1:7" x14ac:dyDescent="0.45">
      <c r="A120" t="s">
        <v>169</v>
      </c>
      <c r="B120" t="s">
        <v>47</v>
      </c>
      <c r="C120" t="s">
        <v>2</v>
      </c>
      <c r="D120">
        <v>2050</v>
      </c>
      <c r="E120">
        <v>948473.9762611069</v>
      </c>
      <c r="F120" t="s">
        <v>33</v>
      </c>
      <c r="G120" t="s">
        <v>182</v>
      </c>
    </row>
    <row r="121" spans="1:7" x14ac:dyDescent="0.45">
      <c r="A121" t="s">
        <v>169</v>
      </c>
      <c r="B121" t="s">
        <v>48</v>
      </c>
      <c r="C121" t="s">
        <v>2</v>
      </c>
      <c r="D121">
        <v>2050</v>
      </c>
      <c r="E121">
        <v>11383685.153183725</v>
      </c>
      <c r="F121" t="s">
        <v>33</v>
      </c>
      <c r="G121" t="s">
        <v>182</v>
      </c>
    </row>
    <row r="122" spans="1:7" x14ac:dyDescent="0.45">
      <c r="A122" t="s">
        <v>169</v>
      </c>
      <c r="B122" t="s">
        <v>49</v>
      </c>
      <c r="C122" t="s">
        <v>2</v>
      </c>
      <c r="D122">
        <v>2050</v>
      </c>
      <c r="E122">
        <v>6791101.3793958388</v>
      </c>
      <c r="F122" t="s">
        <v>33</v>
      </c>
      <c r="G122" t="s">
        <v>182</v>
      </c>
    </row>
    <row r="123" spans="1:7" x14ac:dyDescent="0.45">
      <c r="A123" t="s">
        <v>169</v>
      </c>
      <c r="B123" t="s">
        <v>50</v>
      </c>
      <c r="C123" t="s">
        <v>2</v>
      </c>
      <c r="D123">
        <v>2050</v>
      </c>
      <c r="E123">
        <v>8273518.0390659878</v>
      </c>
      <c r="F123" t="s">
        <v>33</v>
      </c>
      <c r="G123" t="s">
        <v>182</v>
      </c>
    </row>
    <row r="124" spans="1:7" x14ac:dyDescent="0.45">
      <c r="A124" t="s">
        <v>169</v>
      </c>
      <c r="B124" t="s">
        <v>51</v>
      </c>
      <c r="C124" t="s">
        <v>2</v>
      </c>
      <c r="D124">
        <v>2050</v>
      </c>
      <c r="E124">
        <v>3393481.9609340136</v>
      </c>
      <c r="F124" t="s">
        <v>33</v>
      </c>
      <c r="G124" t="s">
        <v>182</v>
      </c>
    </row>
    <row r="125" spans="1:7" x14ac:dyDescent="0.45">
      <c r="A125" t="s">
        <v>169</v>
      </c>
      <c r="B125" t="s">
        <v>52</v>
      </c>
      <c r="C125" t="s">
        <v>2</v>
      </c>
      <c r="D125">
        <v>2050</v>
      </c>
      <c r="E125">
        <v>23492428.049558546</v>
      </c>
      <c r="F125" t="s">
        <v>33</v>
      </c>
      <c r="G125" t="s">
        <v>185</v>
      </c>
    </row>
    <row r="126" spans="1:7" x14ac:dyDescent="0.45">
      <c r="A126" t="s">
        <v>169</v>
      </c>
      <c r="B126" t="s">
        <v>53</v>
      </c>
      <c r="C126" t="s">
        <v>2</v>
      </c>
      <c r="D126">
        <v>2050</v>
      </c>
      <c r="E126">
        <v>7389234.8430654528</v>
      </c>
      <c r="F126" t="s">
        <v>33</v>
      </c>
      <c r="G126" t="s">
        <v>185</v>
      </c>
    </row>
    <row r="127" spans="1:7" x14ac:dyDescent="0.45">
      <c r="A127" t="s">
        <v>169</v>
      </c>
      <c r="B127" t="s">
        <v>54</v>
      </c>
      <c r="C127" t="s">
        <v>2</v>
      </c>
      <c r="D127">
        <v>2050</v>
      </c>
      <c r="E127">
        <v>4303787.1196645033</v>
      </c>
      <c r="F127" t="s">
        <v>33</v>
      </c>
      <c r="G127" t="s">
        <v>185</v>
      </c>
    </row>
    <row r="128" spans="1:7" x14ac:dyDescent="0.45">
      <c r="A128" t="s">
        <v>169</v>
      </c>
      <c r="B128" t="s">
        <v>55</v>
      </c>
      <c r="C128" t="s">
        <v>2</v>
      </c>
      <c r="D128">
        <v>2050</v>
      </c>
      <c r="E128">
        <v>1790234.1431637683</v>
      </c>
      <c r="F128" t="s">
        <v>33</v>
      </c>
      <c r="G128" t="s">
        <v>185</v>
      </c>
    </row>
    <row r="129" spans="1:7" x14ac:dyDescent="0.45">
      <c r="A129" t="s">
        <v>169</v>
      </c>
      <c r="B129" t="s">
        <v>56</v>
      </c>
      <c r="C129" t="s">
        <v>2</v>
      </c>
      <c r="D129">
        <v>2050</v>
      </c>
      <c r="E129">
        <v>1945315.8445477292</v>
      </c>
      <c r="F129" t="s">
        <v>33</v>
      </c>
      <c r="G129" t="s">
        <v>185</v>
      </c>
    </row>
    <row r="130" spans="1:7" x14ac:dyDescent="0.45">
      <c r="A130" t="s">
        <v>169</v>
      </c>
      <c r="B130" t="s">
        <v>57</v>
      </c>
      <c r="C130" t="s">
        <v>2</v>
      </c>
      <c r="D130">
        <v>2050</v>
      </c>
      <c r="E130">
        <v>21093891.374133494</v>
      </c>
      <c r="F130" t="s">
        <v>33</v>
      </c>
      <c r="G130" t="s">
        <v>182</v>
      </c>
    </row>
    <row r="131" spans="1:7" x14ac:dyDescent="0.45">
      <c r="A131" t="s">
        <v>169</v>
      </c>
      <c r="B131" t="s">
        <v>58</v>
      </c>
      <c r="C131" t="s">
        <v>2</v>
      </c>
      <c r="D131">
        <v>2050</v>
      </c>
      <c r="E131">
        <v>42852841.999295339</v>
      </c>
      <c r="F131" t="s">
        <v>33</v>
      </c>
      <c r="G131" t="s">
        <v>182</v>
      </c>
    </row>
    <row r="132" spans="1:7" x14ac:dyDescent="0.45">
      <c r="A132" t="s">
        <v>169</v>
      </c>
      <c r="B132" t="s">
        <v>59</v>
      </c>
      <c r="C132" t="s">
        <v>2</v>
      </c>
      <c r="D132">
        <v>2050</v>
      </c>
      <c r="E132">
        <v>77751713.14377594</v>
      </c>
      <c r="F132" t="s">
        <v>33</v>
      </c>
      <c r="G132" t="s">
        <v>182</v>
      </c>
    </row>
    <row r="133" spans="1:7" x14ac:dyDescent="0.45">
      <c r="A133" t="s">
        <v>169</v>
      </c>
      <c r="B133" t="s">
        <v>60</v>
      </c>
      <c r="C133" t="s">
        <v>2</v>
      </c>
      <c r="D133">
        <v>2050</v>
      </c>
      <c r="E133">
        <v>29646553.482795246</v>
      </c>
      <c r="F133" t="s">
        <v>33</v>
      </c>
      <c r="G133" t="s">
        <v>182</v>
      </c>
    </row>
    <row r="134" spans="1:7" hidden="1" x14ac:dyDescent="0.45">
      <c r="A134" t="s">
        <v>169</v>
      </c>
      <c r="B134" t="s">
        <v>39</v>
      </c>
      <c r="C134" t="s">
        <v>348</v>
      </c>
      <c r="D134">
        <v>2030</v>
      </c>
      <c r="E134">
        <f>E68*0.75</f>
        <v>18599675.128457837</v>
      </c>
      <c r="F134" t="s">
        <v>33</v>
      </c>
      <c r="G134" t="s">
        <v>182</v>
      </c>
    </row>
    <row r="135" spans="1:7" hidden="1" x14ac:dyDescent="0.45">
      <c r="A135" t="s">
        <v>169</v>
      </c>
      <c r="B135" t="s">
        <v>40</v>
      </c>
      <c r="C135" t="s">
        <v>348</v>
      </c>
      <c r="D135">
        <v>2030</v>
      </c>
      <c r="E135">
        <f t="shared" ref="E135:E198" si="2">E69*0.75</f>
        <v>5775324.8715421604</v>
      </c>
      <c r="F135" t="s">
        <v>33</v>
      </c>
      <c r="G135" t="s">
        <v>182</v>
      </c>
    </row>
    <row r="136" spans="1:7" hidden="1" x14ac:dyDescent="0.45">
      <c r="A136" t="s">
        <v>169</v>
      </c>
      <c r="B136" t="s">
        <v>41</v>
      </c>
      <c r="C136" t="s">
        <v>348</v>
      </c>
      <c r="D136">
        <v>2030</v>
      </c>
      <c r="E136">
        <f t="shared" si="2"/>
        <v>2571304.5268908669</v>
      </c>
      <c r="F136" t="s">
        <v>33</v>
      </c>
      <c r="G136" t="s">
        <v>185</v>
      </c>
    </row>
    <row r="137" spans="1:7" hidden="1" x14ac:dyDescent="0.45">
      <c r="A137" t="s">
        <v>169</v>
      </c>
      <c r="B137" t="s">
        <v>42</v>
      </c>
      <c r="C137" t="s">
        <v>348</v>
      </c>
      <c r="D137">
        <v>2030</v>
      </c>
      <c r="E137">
        <f t="shared" si="2"/>
        <v>808770.08379689185</v>
      </c>
      <c r="F137" t="s">
        <v>33</v>
      </c>
      <c r="G137" t="s">
        <v>185</v>
      </c>
    </row>
    <row r="138" spans="1:7" hidden="1" x14ac:dyDescent="0.45">
      <c r="A138" t="s">
        <v>169</v>
      </c>
      <c r="B138" t="s">
        <v>43</v>
      </c>
      <c r="C138" t="s">
        <v>348</v>
      </c>
      <c r="D138">
        <v>2030</v>
      </c>
      <c r="E138">
        <f t="shared" si="2"/>
        <v>471060.17650550557</v>
      </c>
      <c r="F138" t="s">
        <v>33</v>
      </c>
      <c r="G138" t="s">
        <v>185</v>
      </c>
    </row>
    <row r="139" spans="1:7" hidden="1" x14ac:dyDescent="0.45">
      <c r="A139" t="s">
        <v>169</v>
      </c>
      <c r="B139" t="s">
        <v>44</v>
      </c>
      <c r="C139" t="s">
        <v>348</v>
      </c>
      <c r="D139">
        <v>2030</v>
      </c>
      <c r="E139">
        <f t="shared" si="2"/>
        <v>195945.56794218169</v>
      </c>
      <c r="F139" t="s">
        <v>33</v>
      </c>
      <c r="G139" t="s">
        <v>185</v>
      </c>
    </row>
    <row r="140" spans="1:7" hidden="1" x14ac:dyDescent="0.45">
      <c r="A140" t="s">
        <v>169</v>
      </c>
      <c r="B140" t="s">
        <v>45</v>
      </c>
      <c r="C140" t="s">
        <v>348</v>
      </c>
      <c r="D140">
        <v>2030</v>
      </c>
      <c r="E140">
        <f t="shared" si="2"/>
        <v>212919.64486455455</v>
      </c>
      <c r="F140" t="s">
        <v>33</v>
      </c>
      <c r="G140" t="s">
        <v>185</v>
      </c>
    </row>
    <row r="141" spans="1:7" hidden="1" x14ac:dyDescent="0.45">
      <c r="A141" t="s">
        <v>169</v>
      </c>
      <c r="B141" t="s">
        <v>46</v>
      </c>
      <c r="C141" t="s">
        <v>348</v>
      </c>
      <c r="D141">
        <v>2030</v>
      </c>
      <c r="E141">
        <f t="shared" si="2"/>
        <v>319304.61836949311</v>
      </c>
      <c r="F141" t="s">
        <v>33</v>
      </c>
      <c r="G141" t="s">
        <v>182</v>
      </c>
    </row>
    <row r="142" spans="1:7" hidden="1" x14ac:dyDescent="0.45">
      <c r="A142" t="s">
        <v>169</v>
      </c>
      <c r="B142" t="s">
        <v>47</v>
      </c>
      <c r="C142" t="s">
        <v>348</v>
      </c>
      <c r="D142">
        <v>2030</v>
      </c>
      <c r="E142">
        <f t="shared" si="2"/>
        <v>711355.48219583021</v>
      </c>
      <c r="F142" t="s">
        <v>33</v>
      </c>
      <c r="G142" t="s">
        <v>182</v>
      </c>
    </row>
    <row r="143" spans="1:7" hidden="1" x14ac:dyDescent="0.45">
      <c r="A143" t="s">
        <v>169</v>
      </c>
      <c r="B143" t="s">
        <v>48</v>
      </c>
      <c r="C143" t="s">
        <v>348</v>
      </c>
      <c r="D143">
        <v>2030</v>
      </c>
      <c r="E143">
        <f t="shared" si="2"/>
        <v>8537763.8648877926</v>
      </c>
      <c r="F143" t="s">
        <v>33</v>
      </c>
      <c r="G143" t="s">
        <v>182</v>
      </c>
    </row>
    <row r="144" spans="1:7" hidden="1" x14ac:dyDescent="0.45">
      <c r="A144" t="s">
        <v>169</v>
      </c>
      <c r="B144" t="s">
        <v>49</v>
      </c>
      <c r="C144" t="s">
        <v>348</v>
      </c>
      <c r="D144">
        <v>2030</v>
      </c>
      <c r="E144">
        <f t="shared" si="2"/>
        <v>5093326.0345468791</v>
      </c>
      <c r="F144" t="s">
        <v>33</v>
      </c>
      <c r="G144" t="s">
        <v>182</v>
      </c>
    </row>
    <row r="145" spans="1:7" hidden="1" x14ac:dyDescent="0.45">
      <c r="A145" t="s">
        <v>169</v>
      </c>
      <c r="B145" t="s">
        <v>50</v>
      </c>
      <c r="C145" t="s">
        <v>348</v>
      </c>
      <c r="D145">
        <v>2030</v>
      </c>
      <c r="E145">
        <f t="shared" si="2"/>
        <v>6205138.5292994911</v>
      </c>
      <c r="F145" t="s">
        <v>33</v>
      </c>
      <c r="G145" t="s">
        <v>182</v>
      </c>
    </row>
    <row r="146" spans="1:7" hidden="1" x14ac:dyDescent="0.45">
      <c r="A146" t="s">
        <v>169</v>
      </c>
      <c r="B146" t="s">
        <v>51</v>
      </c>
      <c r="C146" t="s">
        <v>348</v>
      </c>
      <c r="D146">
        <v>2030</v>
      </c>
      <c r="E146">
        <f t="shared" si="2"/>
        <v>2545111.4707005103</v>
      </c>
      <c r="F146" t="s">
        <v>33</v>
      </c>
      <c r="G146" t="s">
        <v>182</v>
      </c>
    </row>
    <row r="147" spans="1:7" hidden="1" x14ac:dyDescent="0.45">
      <c r="A147" t="s">
        <v>169</v>
      </c>
      <c r="B147" t="s">
        <v>52</v>
      </c>
      <c r="C147" t="s">
        <v>348</v>
      </c>
      <c r="D147">
        <v>2030</v>
      </c>
      <c r="E147">
        <f t="shared" si="2"/>
        <v>17619321.037168909</v>
      </c>
      <c r="F147" t="s">
        <v>33</v>
      </c>
      <c r="G147" t="s">
        <v>185</v>
      </c>
    </row>
    <row r="148" spans="1:7" hidden="1" x14ac:dyDescent="0.45">
      <c r="A148" t="s">
        <v>169</v>
      </c>
      <c r="B148" t="s">
        <v>53</v>
      </c>
      <c r="C148" t="s">
        <v>348</v>
      </c>
      <c r="D148">
        <v>2030</v>
      </c>
      <c r="E148">
        <f t="shared" si="2"/>
        <v>5541926.1322990898</v>
      </c>
      <c r="F148" t="s">
        <v>33</v>
      </c>
      <c r="G148" t="s">
        <v>185</v>
      </c>
    </row>
    <row r="149" spans="1:7" hidden="1" x14ac:dyDescent="0.45">
      <c r="A149" t="s">
        <v>169</v>
      </c>
      <c r="B149" t="s">
        <v>54</v>
      </c>
      <c r="C149" t="s">
        <v>348</v>
      </c>
      <c r="D149">
        <v>2030</v>
      </c>
      <c r="E149">
        <f t="shared" si="2"/>
        <v>3227840.3397483774</v>
      </c>
      <c r="F149" t="s">
        <v>33</v>
      </c>
      <c r="G149" t="s">
        <v>185</v>
      </c>
    </row>
    <row r="150" spans="1:7" hidden="1" x14ac:dyDescent="0.45">
      <c r="A150" t="s">
        <v>169</v>
      </c>
      <c r="B150" t="s">
        <v>55</v>
      </c>
      <c r="C150" t="s">
        <v>348</v>
      </c>
      <c r="D150">
        <v>2030</v>
      </c>
      <c r="E150">
        <f t="shared" si="2"/>
        <v>1342675.6073728262</v>
      </c>
      <c r="F150" t="s">
        <v>33</v>
      </c>
      <c r="G150" t="s">
        <v>185</v>
      </c>
    </row>
    <row r="151" spans="1:7" hidden="1" x14ac:dyDescent="0.45">
      <c r="A151" t="s">
        <v>169</v>
      </c>
      <c r="B151" t="s">
        <v>56</v>
      </c>
      <c r="C151" t="s">
        <v>348</v>
      </c>
      <c r="D151">
        <v>2030</v>
      </c>
      <c r="E151">
        <f t="shared" si="2"/>
        <v>1458986.883410797</v>
      </c>
      <c r="F151" t="s">
        <v>33</v>
      </c>
      <c r="G151" t="s">
        <v>185</v>
      </c>
    </row>
    <row r="152" spans="1:7" hidden="1" x14ac:dyDescent="0.45">
      <c r="A152" t="s">
        <v>169</v>
      </c>
      <c r="B152" t="s">
        <v>57</v>
      </c>
      <c r="C152" t="s">
        <v>348</v>
      </c>
      <c r="D152">
        <v>2030</v>
      </c>
      <c r="E152">
        <f t="shared" si="2"/>
        <v>15820418.530600119</v>
      </c>
      <c r="F152" t="s">
        <v>33</v>
      </c>
      <c r="G152" t="s">
        <v>182</v>
      </c>
    </row>
    <row r="153" spans="1:7" hidden="1" x14ac:dyDescent="0.45">
      <c r="A153" t="s">
        <v>169</v>
      </c>
      <c r="B153" t="s">
        <v>58</v>
      </c>
      <c r="C153" t="s">
        <v>348</v>
      </c>
      <c r="D153">
        <v>2030</v>
      </c>
      <c r="E153">
        <f t="shared" si="2"/>
        <v>32139631.499471504</v>
      </c>
      <c r="F153" t="s">
        <v>33</v>
      </c>
      <c r="G153" t="s">
        <v>182</v>
      </c>
    </row>
    <row r="154" spans="1:7" hidden="1" x14ac:dyDescent="0.45">
      <c r="A154" t="s">
        <v>169</v>
      </c>
      <c r="B154" t="s">
        <v>59</v>
      </c>
      <c r="C154" t="s">
        <v>348</v>
      </c>
      <c r="D154">
        <v>2030</v>
      </c>
      <c r="E154">
        <f t="shared" si="2"/>
        <v>58313784.857831955</v>
      </c>
      <c r="F154" t="s">
        <v>33</v>
      </c>
      <c r="G154" t="s">
        <v>182</v>
      </c>
    </row>
    <row r="155" spans="1:7" hidden="1" x14ac:dyDescent="0.45">
      <c r="A155" t="s">
        <v>169</v>
      </c>
      <c r="B155" t="s">
        <v>60</v>
      </c>
      <c r="C155" t="s">
        <v>348</v>
      </c>
      <c r="D155">
        <v>2030</v>
      </c>
      <c r="E155">
        <f t="shared" si="2"/>
        <v>22234915.112096436</v>
      </c>
      <c r="F155" t="s">
        <v>33</v>
      </c>
      <c r="G155" t="s">
        <v>182</v>
      </c>
    </row>
    <row r="156" spans="1:7" hidden="1" x14ac:dyDescent="0.45">
      <c r="A156" t="s">
        <v>169</v>
      </c>
      <c r="B156" t="s">
        <v>39</v>
      </c>
      <c r="C156" t="s">
        <v>348</v>
      </c>
      <c r="D156">
        <v>2040</v>
      </c>
      <c r="E156">
        <f t="shared" si="2"/>
        <v>18599675.128457837</v>
      </c>
      <c r="F156" t="s">
        <v>33</v>
      </c>
      <c r="G156" t="s">
        <v>182</v>
      </c>
    </row>
    <row r="157" spans="1:7" hidden="1" x14ac:dyDescent="0.45">
      <c r="A157" t="s">
        <v>169</v>
      </c>
      <c r="B157" t="s">
        <v>40</v>
      </c>
      <c r="C157" t="s">
        <v>348</v>
      </c>
      <c r="D157">
        <v>2040</v>
      </c>
      <c r="E157">
        <f t="shared" si="2"/>
        <v>5775324.8715421604</v>
      </c>
      <c r="F157" t="s">
        <v>33</v>
      </c>
      <c r="G157" t="s">
        <v>182</v>
      </c>
    </row>
    <row r="158" spans="1:7" hidden="1" x14ac:dyDescent="0.45">
      <c r="A158" t="s">
        <v>169</v>
      </c>
      <c r="B158" t="s">
        <v>41</v>
      </c>
      <c r="C158" t="s">
        <v>348</v>
      </c>
      <c r="D158">
        <v>2040</v>
      </c>
      <c r="E158">
        <f t="shared" si="2"/>
        <v>2571304.5268908669</v>
      </c>
      <c r="F158" t="s">
        <v>33</v>
      </c>
      <c r="G158" t="s">
        <v>185</v>
      </c>
    </row>
    <row r="159" spans="1:7" hidden="1" x14ac:dyDescent="0.45">
      <c r="A159" t="s">
        <v>169</v>
      </c>
      <c r="B159" t="s">
        <v>42</v>
      </c>
      <c r="C159" t="s">
        <v>348</v>
      </c>
      <c r="D159">
        <v>2040</v>
      </c>
      <c r="E159">
        <f t="shared" si="2"/>
        <v>808770.08379689185</v>
      </c>
      <c r="F159" t="s">
        <v>33</v>
      </c>
      <c r="G159" t="s">
        <v>185</v>
      </c>
    </row>
    <row r="160" spans="1:7" hidden="1" x14ac:dyDescent="0.45">
      <c r="A160" t="s">
        <v>169</v>
      </c>
      <c r="B160" t="s">
        <v>43</v>
      </c>
      <c r="C160" t="s">
        <v>348</v>
      </c>
      <c r="D160">
        <v>2040</v>
      </c>
      <c r="E160">
        <f t="shared" si="2"/>
        <v>471060.17650550557</v>
      </c>
      <c r="F160" t="s">
        <v>33</v>
      </c>
      <c r="G160" t="s">
        <v>185</v>
      </c>
    </row>
    <row r="161" spans="1:7" hidden="1" x14ac:dyDescent="0.45">
      <c r="A161" t="s">
        <v>169</v>
      </c>
      <c r="B161" t="s">
        <v>44</v>
      </c>
      <c r="C161" t="s">
        <v>348</v>
      </c>
      <c r="D161">
        <v>2040</v>
      </c>
      <c r="E161">
        <f t="shared" si="2"/>
        <v>195945.56794218169</v>
      </c>
      <c r="F161" t="s">
        <v>33</v>
      </c>
      <c r="G161" t="s">
        <v>185</v>
      </c>
    </row>
    <row r="162" spans="1:7" hidden="1" x14ac:dyDescent="0.45">
      <c r="A162" t="s">
        <v>169</v>
      </c>
      <c r="B162" t="s">
        <v>45</v>
      </c>
      <c r="C162" t="s">
        <v>348</v>
      </c>
      <c r="D162">
        <v>2040</v>
      </c>
      <c r="E162">
        <f t="shared" si="2"/>
        <v>212919.64486455455</v>
      </c>
      <c r="F162" t="s">
        <v>33</v>
      </c>
      <c r="G162" t="s">
        <v>185</v>
      </c>
    </row>
    <row r="163" spans="1:7" hidden="1" x14ac:dyDescent="0.45">
      <c r="A163" t="s">
        <v>169</v>
      </c>
      <c r="B163" t="s">
        <v>46</v>
      </c>
      <c r="C163" t="s">
        <v>348</v>
      </c>
      <c r="D163">
        <v>2040</v>
      </c>
      <c r="E163">
        <f t="shared" si="2"/>
        <v>319304.61836949311</v>
      </c>
      <c r="F163" t="s">
        <v>33</v>
      </c>
      <c r="G163" t="s">
        <v>182</v>
      </c>
    </row>
    <row r="164" spans="1:7" hidden="1" x14ac:dyDescent="0.45">
      <c r="A164" t="s">
        <v>169</v>
      </c>
      <c r="B164" t="s">
        <v>47</v>
      </c>
      <c r="C164" t="s">
        <v>348</v>
      </c>
      <c r="D164">
        <v>2040</v>
      </c>
      <c r="E164">
        <f t="shared" si="2"/>
        <v>711355.48219583021</v>
      </c>
      <c r="F164" t="s">
        <v>33</v>
      </c>
      <c r="G164" t="s">
        <v>182</v>
      </c>
    </row>
    <row r="165" spans="1:7" hidden="1" x14ac:dyDescent="0.45">
      <c r="A165" t="s">
        <v>169</v>
      </c>
      <c r="B165" t="s">
        <v>48</v>
      </c>
      <c r="C165" t="s">
        <v>348</v>
      </c>
      <c r="D165">
        <v>2040</v>
      </c>
      <c r="E165">
        <f t="shared" si="2"/>
        <v>8537763.8648877926</v>
      </c>
      <c r="F165" t="s">
        <v>33</v>
      </c>
      <c r="G165" t="s">
        <v>182</v>
      </c>
    </row>
    <row r="166" spans="1:7" hidden="1" x14ac:dyDescent="0.45">
      <c r="A166" t="s">
        <v>169</v>
      </c>
      <c r="B166" t="s">
        <v>49</v>
      </c>
      <c r="C166" t="s">
        <v>348</v>
      </c>
      <c r="D166">
        <v>2040</v>
      </c>
      <c r="E166">
        <f t="shared" si="2"/>
        <v>5093326.0345468791</v>
      </c>
      <c r="F166" t="s">
        <v>33</v>
      </c>
      <c r="G166" t="s">
        <v>182</v>
      </c>
    </row>
    <row r="167" spans="1:7" hidden="1" x14ac:dyDescent="0.45">
      <c r="A167" t="s">
        <v>169</v>
      </c>
      <c r="B167" t="s">
        <v>50</v>
      </c>
      <c r="C167" t="s">
        <v>348</v>
      </c>
      <c r="D167">
        <v>2040</v>
      </c>
      <c r="E167">
        <f t="shared" si="2"/>
        <v>6205138.5292994911</v>
      </c>
      <c r="F167" t="s">
        <v>33</v>
      </c>
      <c r="G167" t="s">
        <v>182</v>
      </c>
    </row>
    <row r="168" spans="1:7" hidden="1" x14ac:dyDescent="0.45">
      <c r="A168" t="s">
        <v>169</v>
      </c>
      <c r="B168" t="s">
        <v>51</v>
      </c>
      <c r="C168" t="s">
        <v>348</v>
      </c>
      <c r="D168">
        <v>2040</v>
      </c>
      <c r="E168">
        <f t="shared" si="2"/>
        <v>2545111.4707005103</v>
      </c>
      <c r="F168" t="s">
        <v>33</v>
      </c>
      <c r="G168" t="s">
        <v>182</v>
      </c>
    </row>
    <row r="169" spans="1:7" hidden="1" x14ac:dyDescent="0.45">
      <c r="A169" t="s">
        <v>169</v>
      </c>
      <c r="B169" t="s">
        <v>52</v>
      </c>
      <c r="C169" t="s">
        <v>348</v>
      </c>
      <c r="D169">
        <v>2040</v>
      </c>
      <c r="E169">
        <f t="shared" si="2"/>
        <v>17619321.037168909</v>
      </c>
      <c r="F169" t="s">
        <v>33</v>
      </c>
      <c r="G169" t="s">
        <v>185</v>
      </c>
    </row>
    <row r="170" spans="1:7" hidden="1" x14ac:dyDescent="0.45">
      <c r="A170" t="s">
        <v>169</v>
      </c>
      <c r="B170" t="s">
        <v>53</v>
      </c>
      <c r="C170" t="s">
        <v>348</v>
      </c>
      <c r="D170">
        <v>2040</v>
      </c>
      <c r="E170">
        <f t="shared" si="2"/>
        <v>5541926.1322990898</v>
      </c>
      <c r="F170" t="s">
        <v>33</v>
      </c>
      <c r="G170" t="s">
        <v>185</v>
      </c>
    </row>
    <row r="171" spans="1:7" hidden="1" x14ac:dyDescent="0.45">
      <c r="A171" t="s">
        <v>169</v>
      </c>
      <c r="B171" t="s">
        <v>54</v>
      </c>
      <c r="C171" t="s">
        <v>348</v>
      </c>
      <c r="D171">
        <v>2040</v>
      </c>
      <c r="E171">
        <f t="shared" si="2"/>
        <v>3227840.3397483774</v>
      </c>
      <c r="F171" t="s">
        <v>33</v>
      </c>
      <c r="G171" t="s">
        <v>185</v>
      </c>
    </row>
    <row r="172" spans="1:7" hidden="1" x14ac:dyDescent="0.45">
      <c r="A172" t="s">
        <v>169</v>
      </c>
      <c r="B172" t="s">
        <v>55</v>
      </c>
      <c r="C172" t="s">
        <v>348</v>
      </c>
      <c r="D172">
        <v>2040</v>
      </c>
      <c r="E172">
        <f t="shared" si="2"/>
        <v>1342675.6073728262</v>
      </c>
      <c r="F172" t="s">
        <v>33</v>
      </c>
      <c r="G172" t="s">
        <v>185</v>
      </c>
    </row>
    <row r="173" spans="1:7" hidden="1" x14ac:dyDescent="0.45">
      <c r="A173" t="s">
        <v>169</v>
      </c>
      <c r="B173" t="s">
        <v>56</v>
      </c>
      <c r="C173" t="s">
        <v>348</v>
      </c>
      <c r="D173">
        <v>2040</v>
      </c>
      <c r="E173">
        <f t="shared" si="2"/>
        <v>1458986.883410797</v>
      </c>
      <c r="F173" t="s">
        <v>33</v>
      </c>
      <c r="G173" t="s">
        <v>185</v>
      </c>
    </row>
    <row r="174" spans="1:7" hidden="1" x14ac:dyDescent="0.45">
      <c r="A174" t="s">
        <v>169</v>
      </c>
      <c r="B174" t="s">
        <v>57</v>
      </c>
      <c r="C174" t="s">
        <v>348</v>
      </c>
      <c r="D174">
        <v>2040</v>
      </c>
      <c r="E174">
        <f t="shared" si="2"/>
        <v>15820418.530600119</v>
      </c>
      <c r="F174" t="s">
        <v>33</v>
      </c>
      <c r="G174" t="s">
        <v>182</v>
      </c>
    </row>
    <row r="175" spans="1:7" hidden="1" x14ac:dyDescent="0.45">
      <c r="A175" t="s">
        <v>169</v>
      </c>
      <c r="B175" t="s">
        <v>58</v>
      </c>
      <c r="C175" t="s">
        <v>348</v>
      </c>
      <c r="D175">
        <v>2040</v>
      </c>
      <c r="E175">
        <f t="shared" si="2"/>
        <v>32139631.499471504</v>
      </c>
      <c r="F175" t="s">
        <v>33</v>
      </c>
      <c r="G175" t="s">
        <v>182</v>
      </c>
    </row>
    <row r="176" spans="1:7" hidden="1" x14ac:dyDescent="0.45">
      <c r="A176" t="s">
        <v>169</v>
      </c>
      <c r="B176" t="s">
        <v>59</v>
      </c>
      <c r="C176" t="s">
        <v>348</v>
      </c>
      <c r="D176">
        <v>2040</v>
      </c>
      <c r="E176">
        <f t="shared" si="2"/>
        <v>58313784.857831955</v>
      </c>
      <c r="F176" t="s">
        <v>33</v>
      </c>
      <c r="G176" t="s">
        <v>182</v>
      </c>
    </row>
    <row r="177" spans="1:7" hidden="1" x14ac:dyDescent="0.45">
      <c r="A177" t="s">
        <v>169</v>
      </c>
      <c r="B177" t="s">
        <v>60</v>
      </c>
      <c r="C177" t="s">
        <v>348</v>
      </c>
      <c r="D177">
        <v>2040</v>
      </c>
      <c r="E177">
        <f t="shared" si="2"/>
        <v>22234915.112096436</v>
      </c>
      <c r="F177" t="s">
        <v>33</v>
      </c>
      <c r="G177" t="s">
        <v>182</v>
      </c>
    </row>
    <row r="178" spans="1:7" hidden="1" x14ac:dyDescent="0.45">
      <c r="A178" t="s">
        <v>169</v>
      </c>
      <c r="B178" t="s">
        <v>39</v>
      </c>
      <c r="C178" t="s">
        <v>348</v>
      </c>
      <c r="D178">
        <v>2050</v>
      </c>
      <c r="E178">
        <f t="shared" si="2"/>
        <v>18599675.128457837</v>
      </c>
      <c r="F178" t="s">
        <v>33</v>
      </c>
      <c r="G178" t="s">
        <v>182</v>
      </c>
    </row>
    <row r="179" spans="1:7" hidden="1" x14ac:dyDescent="0.45">
      <c r="A179" t="s">
        <v>169</v>
      </c>
      <c r="B179" t="s">
        <v>40</v>
      </c>
      <c r="C179" t="s">
        <v>348</v>
      </c>
      <c r="D179">
        <v>2050</v>
      </c>
      <c r="E179">
        <f t="shared" si="2"/>
        <v>5775324.8715421604</v>
      </c>
      <c r="F179" t="s">
        <v>33</v>
      </c>
      <c r="G179" t="s">
        <v>182</v>
      </c>
    </row>
    <row r="180" spans="1:7" hidden="1" x14ac:dyDescent="0.45">
      <c r="A180" t="s">
        <v>169</v>
      </c>
      <c r="B180" t="s">
        <v>41</v>
      </c>
      <c r="C180" t="s">
        <v>348</v>
      </c>
      <c r="D180">
        <v>2050</v>
      </c>
      <c r="E180">
        <f t="shared" si="2"/>
        <v>2571304.5268908669</v>
      </c>
      <c r="F180" t="s">
        <v>33</v>
      </c>
      <c r="G180" t="s">
        <v>185</v>
      </c>
    </row>
    <row r="181" spans="1:7" hidden="1" x14ac:dyDescent="0.45">
      <c r="A181" t="s">
        <v>169</v>
      </c>
      <c r="B181" t="s">
        <v>42</v>
      </c>
      <c r="C181" t="s">
        <v>348</v>
      </c>
      <c r="D181">
        <v>2050</v>
      </c>
      <c r="E181">
        <f t="shared" si="2"/>
        <v>808770.08379689185</v>
      </c>
      <c r="F181" t="s">
        <v>33</v>
      </c>
      <c r="G181" t="s">
        <v>185</v>
      </c>
    </row>
    <row r="182" spans="1:7" hidden="1" x14ac:dyDescent="0.45">
      <c r="A182" t="s">
        <v>169</v>
      </c>
      <c r="B182" t="s">
        <v>43</v>
      </c>
      <c r="C182" t="s">
        <v>348</v>
      </c>
      <c r="D182">
        <v>2050</v>
      </c>
      <c r="E182">
        <f t="shared" si="2"/>
        <v>471060.17650550557</v>
      </c>
      <c r="F182" t="s">
        <v>33</v>
      </c>
      <c r="G182" t="s">
        <v>185</v>
      </c>
    </row>
    <row r="183" spans="1:7" hidden="1" x14ac:dyDescent="0.45">
      <c r="A183" t="s">
        <v>169</v>
      </c>
      <c r="B183" t="s">
        <v>44</v>
      </c>
      <c r="C183" t="s">
        <v>348</v>
      </c>
      <c r="D183">
        <v>2050</v>
      </c>
      <c r="E183">
        <f t="shared" si="2"/>
        <v>195945.56794218169</v>
      </c>
      <c r="F183" t="s">
        <v>33</v>
      </c>
      <c r="G183" t="s">
        <v>185</v>
      </c>
    </row>
    <row r="184" spans="1:7" hidden="1" x14ac:dyDescent="0.45">
      <c r="A184" t="s">
        <v>169</v>
      </c>
      <c r="B184" t="s">
        <v>45</v>
      </c>
      <c r="C184" t="s">
        <v>348</v>
      </c>
      <c r="D184">
        <v>2050</v>
      </c>
      <c r="E184">
        <f t="shared" si="2"/>
        <v>212919.64486455455</v>
      </c>
      <c r="F184" t="s">
        <v>33</v>
      </c>
      <c r="G184" t="s">
        <v>185</v>
      </c>
    </row>
    <row r="185" spans="1:7" hidden="1" x14ac:dyDescent="0.45">
      <c r="A185" t="s">
        <v>169</v>
      </c>
      <c r="B185" t="s">
        <v>46</v>
      </c>
      <c r="C185" t="s">
        <v>348</v>
      </c>
      <c r="D185">
        <v>2050</v>
      </c>
      <c r="E185">
        <f t="shared" si="2"/>
        <v>319304.61836949311</v>
      </c>
      <c r="F185" t="s">
        <v>33</v>
      </c>
      <c r="G185" t="s">
        <v>182</v>
      </c>
    </row>
    <row r="186" spans="1:7" hidden="1" x14ac:dyDescent="0.45">
      <c r="A186" t="s">
        <v>169</v>
      </c>
      <c r="B186" t="s">
        <v>47</v>
      </c>
      <c r="C186" t="s">
        <v>348</v>
      </c>
      <c r="D186">
        <v>2050</v>
      </c>
      <c r="E186">
        <f t="shared" si="2"/>
        <v>711355.48219583021</v>
      </c>
      <c r="F186" t="s">
        <v>33</v>
      </c>
      <c r="G186" t="s">
        <v>182</v>
      </c>
    </row>
    <row r="187" spans="1:7" hidden="1" x14ac:dyDescent="0.45">
      <c r="A187" t="s">
        <v>169</v>
      </c>
      <c r="B187" t="s">
        <v>48</v>
      </c>
      <c r="C187" t="s">
        <v>348</v>
      </c>
      <c r="D187">
        <v>2050</v>
      </c>
      <c r="E187">
        <f t="shared" si="2"/>
        <v>8537763.8648877926</v>
      </c>
      <c r="F187" t="s">
        <v>33</v>
      </c>
      <c r="G187" t="s">
        <v>182</v>
      </c>
    </row>
    <row r="188" spans="1:7" hidden="1" x14ac:dyDescent="0.45">
      <c r="A188" t="s">
        <v>169</v>
      </c>
      <c r="B188" t="s">
        <v>49</v>
      </c>
      <c r="C188" t="s">
        <v>348</v>
      </c>
      <c r="D188">
        <v>2050</v>
      </c>
      <c r="E188">
        <f t="shared" si="2"/>
        <v>5093326.0345468791</v>
      </c>
      <c r="F188" t="s">
        <v>33</v>
      </c>
      <c r="G188" t="s">
        <v>182</v>
      </c>
    </row>
    <row r="189" spans="1:7" hidden="1" x14ac:dyDescent="0.45">
      <c r="A189" t="s">
        <v>169</v>
      </c>
      <c r="B189" t="s">
        <v>50</v>
      </c>
      <c r="C189" t="s">
        <v>348</v>
      </c>
      <c r="D189">
        <v>2050</v>
      </c>
      <c r="E189">
        <f t="shared" si="2"/>
        <v>6205138.5292994911</v>
      </c>
      <c r="F189" t="s">
        <v>33</v>
      </c>
      <c r="G189" t="s">
        <v>182</v>
      </c>
    </row>
    <row r="190" spans="1:7" hidden="1" x14ac:dyDescent="0.45">
      <c r="A190" t="s">
        <v>169</v>
      </c>
      <c r="B190" t="s">
        <v>51</v>
      </c>
      <c r="C190" t="s">
        <v>348</v>
      </c>
      <c r="D190">
        <v>2050</v>
      </c>
      <c r="E190">
        <f t="shared" si="2"/>
        <v>2545111.4707005103</v>
      </c>
      <c r="F190" t="s">
        <v>33</v>
      </c>
      <c r="G190" t="s">
        <v>182</v>
      </c>
    </row>
    <row r="191" spans="1:7" hidden="1" x14ac:dyDescent="0.45">
      <c r="A191" t="s">
        <v>169</v>
      </c>
      <c r="B191" t="s">
        <v>52</v>
      </c>
      <c r="C191" t="s">
        <v>348</v>
      </c>
      <c r="D191">
        <v>2050</v>
      </c>
      <c r="E191">
        <f t="shared" si="2"/>
        <v>17619321.037168909</v>
      </c>
      <c r="F191" t="s">
        <v>33</v>
      </c>
      <c r="G191" t="s">
        <v>185</v>
      </c>
    </row>
    <row r="192" spans="1:7" hidden="1" x14ac:dyDescent="0.45">
      <c r="A192" t="s">
        <v>169</v>
      </c>
      <c r="B192" t="s">
        <v>53</v>
      </c>
      <c r="C192" t="s">
        <v>348</v>
      </c>
      <c r="D192">
        <v>2050</v>
      </c>
      <c r="E192">
        <f t="shared" si="2"/>
        <v>5541926.1322990898</v>
      </c>
      <c r="F192" t="s">
        <v>33</v>
      </c>
      <c r="G192" t="s">
        <v>185</v>
      </c>
    </row>
    <row r="193" spans="1:7" hidden="1" x14ac:dyDescent="0.45">
      <c r="A193" t="s">
        <v>169</v>
      </c>
      <c r="B193" t="s">
        <v>54</v>
      </c>
      <c r="C193" t="s">
        <v>348</v>
      </c>
      <c r="D193">
        <v>2050</v>
      </c>
      <c r="E193">
        <f t="shared" si="2"/>
        <v>3227840.3397483774</v>
      </c>
      <c r="F193" t="s">
        <v>33</v>
      </c>
      <c r="G193" t="s">
        <v>185</v>
      </c>
    </row>
    <row r="194" spans="1:7" hidden="1" x14ac:dyDescent="0.45">
      <c r="A194" t="s">
        <v>169</v>
      </c>
      <c r="B194" t="s">
        <v>55</v>
      </c>
      <c r="C194" t="s">
        <v>348</v>
      </c>
      <c r="D194">
        <v>2050</v>
      </c>
      <c r="E194">
        <f t="shared" si="2"/>
        <v>1342675.6073728262</v>
      </c>
      <c r="F194" t="s">
        <v>33</v>
      </c>
      <c r="G194" t="s">
        <v>185</v>
      </c>
    </row>
    <row r="195" spans="1:7" hidden="1" x14ac:dyDescent="0.45">
      <c r="A195" t="s">
        <v>169</v>
      </c>
      <c r="B195" t="s">
        <v>56</v>
      </c>
      <c r="C195" t="s">
        <v>348</v>
      </c>
      <c r="D195">
        <v>2050</v>
      </c>
      <c r="E195">
        <f t="shared" si="2"/>
        <v>1458986.883410797</v>
      </c>
      <c r="F195" t="s">
        <v>33</v>
      </c>
      <c r="G195" t="s">
        <v>185</v>
      </c>
    </row>
    <row r="196" spans="1:7" hidden="1" x14ac:dyDescent="0.45">
      <c r="A196" t="s">
        <v>169</v>
      </c>
      <c r="B196" t="s">
        <v>57</v>
      </c>
      <c r="C196" t="s">
        <v>348</v>
      </c>
      <c r="D196">
        <v>2050</v>
      </c>
      <c r="E196">
        <f t="shared" si="2"/>
        <v>15820418.530600119</v>
      </c>
      <c r="F196" t="s">
        <v>33</v>
      </c>
      <c r="G196" t="s">
        <v>182</v>
      </c>
    </row>
    <row r="197" spans="1:7" hidden="1" x14ac:dyDescent="0.45">
      <c r="A197" t="s">
        <v>169</v>
      </c>
      <c r="B197" t="s">
        <v>58</v>
      </c>
      <c r="C197" t="s">
        <v>348</v>
      </c>
      <c r="D197">
        <v>2050</v>
      </c>
      <c r="E197">
        <f t="shared" si="2"/>
        <v>32139631.499471504</v>
      </c>
      <c r="F197" t="s">
        <v>33</v>
      </c>
      <c r="G197" t="s">
        <v>182</v>
      </c>
    </row>
    <row r="198" spans="1:7" hidden="1" x14ac:dyDescent="0.45">
      <c r="A198" t="s">
        <v>169</v>
      </c>
      <c r="B198" t="s">
        <v>59</v>
      </c>
      <c r="C198" t="s">
        <v>348</v>
      </c>
      <c r="D198">
        <v>2050</v>
      </c>
      <c r="E198">
        <f t="shared" si="2"/>
        <v>58313784.857831955</v>
      </c>
      <c r="F198" t="s">
        <v>33</v>
      </c>
      <c r="G198" t="s">
        <v>182</v>
      </c>
    </row>
    <row r="199" spans="1:7" hidden="1" x14ac:dyDescent="0.45">
      <c r="A199" t="s">
        <v>169</v>
      </c>
      <c r="B199" t="s">
        <v>60</v>
      </c>
      <c r="C199" t="s">
        <v>348</v>
      </c>
      <c r="D199">
        <v>2050</v>
      </c>
      <c r="E199">
        <f t="shared" ref="E199" si="3">E133*0.75</f>
        <v>22234915.112096436</v>
      </c>
      <c r="F199" t="s">
        <v>33</v>
      </c>
      <c r="G199" t="s">
        <v>182</v>
      </c>
    </row>
    <row r="200" spans="1:7" hidden="1" x14ac:dyDescent="0.45">
      <c r="A200" t="s">
        <v>169</v>
      </c>
      <c r="B200" t="s">
        <v>39</v>
      </c>
      <c r="C200" t="s">
        <v>349</v>
      </c>
      <c r="D200">
        <v>2030</v>
      </c>
      <c r="E200">
        <f>E68*0.25</f>
        <v>6199891.7094859453</v>
      </c>
      <c r="F200" t="s">
        <v>33</v>
      </c>
      <c r="G200" t="s">
        <v>182</v>
      </c>
    </row>
    <row r="201" spans="1:7" hidden="1" x14ac:dyDescent="0.45">
      <c r="A201" t="s">
        <v>169</v>
      </c>
      <c r="B201" t="s">
        <v>40</v>
      </c>
      <c r="C201" t="s">
        <v>349</v>
      </c>
      <c r="D201">
        <v>2030</v>
      </c>
      <c r="E201">
        <f t="shared" ref="E201:E264" si="4">E69*0.25</f>
        <v>1925108.2905140535</v>
      </c>
      <c r="F201" t="s">
        <v>33</v>
      </c>
      <c r="G201" t="s">
        <v>182</v>
      </c>
    </row>
    <row r="202" spans="1:7" hidden="1" x14ac:dyDescent="0.45">
      <c r="A202" t="s">
        <v>169</v>
      </c>
      <c r="B202" t="s">
        <v>41</v>
      </c>
      <c r="C202" t="s">
        <v>349</v>
      </c>
      <c r="D202">
        <v>2030</v>
      </c>
      <c r="E202">
        <f t="shared" si="4"/>
        <v>857101.50896362227</v>
      </c>
      <c r="F202" t="s">
        <v>33</v>
      </c>
      <c r="G202" t="s">
        <v>185</v>
      </c>
    </row>
    <row r="203" spans="1:7" hidden="1" x14ac:dyDescent="0.45">
      <c r="A203" t="s">
        <v>169</v>
      </c>
      <c r="B203" t="s">
        <v>42</v>
      </c>
      <c r="C203" t="s">
        <v>349</v>
      </c>
      <c r="D203">
        <v>2030</v>
      </c>
      <c r="E203">
        <f t="shared" si="4"/>
        <v>269590.02793229726</v>
      </c>
      <c r="F203" t="s">
        <v>33</v>
      </c>
      <c r="G203" t="s">
        <v>185</v>
      </c>
    </row>
    <row r="204" spans="1:7" hidden="1" x14ac:dyDescent="0.45">
      <c r="A204" t="s">
        <v>169</v>
      </c>
      <c r="B204" t="s">
        <v>43</v>
      </c>
      <c r="C204" t="s">
        <v>349</v>
      </c>
      <c r="D204">
        <v>2030</v>
      </c>
      <c r="E204">
        <f t="shared" si="4"/>
        <v>157020.05883516851</v>
      </c>
      <c r="F204" t="s">
        <v>33</v>
      </c>
      <c r="G204" t="s">
        <v>185</v>
      </c>
    </row>
    <row r="205" spans="1:7" hidden="1" x14ac:dyDescent="0.45">
      <c r="A205" t="s">
        <v>169</v>
      </c>
      <c r="B205" t="s">
        <v>44</v>
      </c>
      <c r="C205" t="s">
        <v>349</v>
      </c>
      <c r="D205">
        <v>2030</v>
      </c>
      <c r="E205">
        <f t="shared" si="4"/>
        <v>65315.189314060561</v>
      </c>
      <c r="F205" t="s">
        <v>33</v>
      </c>
      <c r="G205" t="s">
        <v>185</v>
      </c>
    </row>
    <row r="206" spans="1:7" hidden="1" x14ac:dyDescent="0.45">
      <c r="A206" t="s">
        <v>169</v>
      </c>
      <c r="B206" t="s">
        <v>45</v>
      </c>
      <c r="C206" t="s">
        <v>349</v>
      </c>
      <c r="D206">
        <v>2030</v>
      </c>
      <c r="E206">
        <f t="shared" si="4"/>
        <v>70973.214954851515</v>
      </c>
      <c r="F206" t="s">
        <v>33</v>
      </c>
      <c r="G206" t="s">
        <v>185</v>
      </c>
    </row>
    <row r="207" spans="1:7" hidden="1" x14ac:dyDescent="0.45">
      <c r="A207" t="s">
        <v>169</v>
      </c>
      <c r="B207" t="s">
        <v>46</v>
      </c>
      <c r="C207" t="s">
        <v>349</v>
      </c>
      <c r="D207">
        <v>2030</v>
      </c>
      <c r="E207">
        <f t="shared" si="4"/>
        <v>106434.87278983103</v>
      </c>
      <c r="F207" t="s">
        <v>33</v>
      </c>
      <c r="G207" t="s">
        <v>182</v>
      </c>
    </row>
    <row r="208" spans="1:7" hidden="1" x14ac:dyDescent="0.45">
      <c r="A208" t="s">
        <v>169</v>
      </c>
      <c r="B208" t="s">
        <v>47</v>
      </c>
      <c r="C208" t="s">
        <v>349</v>
      </c>
      <c r="D208">
        <v>2030</v>
      </c>
      <c r="E208">
        <f t="shared" si="4"/>
        <v>237118.49406527673</v>
      </c>
      <c r="F208" t="s">
        <v>33</v>
      </c>
      <c r="G208" t="s">
        <v>182</v>
      </c>
    </row>
    <row r="209" spans="1:7" hidden="1" x14ac:dyDescent="0.45">
      <c r="A209" t="s">
        <v>169</v>
      </c>
      <c r="B209" t="s">
        <v>48</v>
      </c>
      <c r="C209" t="s">
        <v>349</v>
      </c>
      <c r="D209">
        <v>2030</v>
      </c>
      <c r="E209">
        <f t="shared" si="4"/>
        <v>2845921.2882959312</v>
      </c>
      <c r="F209" t="s">
        <v>33</v>
      </c>
      <c r="G209" t="s">
        <v>182</v>
      </c>
    </row>
    <row r="210" spans="1:7" hidden="1" x14ac:dyDescent="0.45">
      <c r="A210" t="s">
        <v>169</v>
      </c>
      <c r="B210" t="s">
        <v>49</v>
      </c>
      <c r="C210" t="s">
        <v>349</v>
      </c>
      <c r="D210">
        <v>2030</v>
      </c>
      <c r="E210">
        <f t="shared" si="4"/>
        <v>1697775.3448489597</v>
      </c>
      <c r="F210" t="s">
        <v>33</v>
      </c>
      <c r="G210" t="s">
        <v>182</v>
      </c>
    </row>
    <row r="211" spans="1:7" hidden="1" x14ac:dyDescent="0.45">
      <c r="A211" t="s">
        <v>169</v>
      </c>
      <c r="B211" t="s">
        <v>50</v>
      </c>
      <c r="C211" t="s">
        <v>349</v>
      </c>
      <c r="D211">
        <v>2030</v>
      </c>
      <c r="E211">
        <f t="shared" si="4"/>
        <v>2068379.509766497</v>
      </c>
      <c r="F211" t="s">
        <v>33</v>
      </c>
      <c r="G211" t="s">
        <v>182</v>
      </c>
    </row>
    <row r="212" spans="1:7" hidden="1" x14ac:dyDescent="0.45">
      <c r="A212" t="s">
        <v>169</v>
      </c>
      <c r="B212" t="s">
        <v>51</v>
      </c>
      <c r="C212" t="s">
        <v>349</v>
      </c>
      <c r="D212">
        <v>2030</v>
      </c>
      <c r="E212">
        <f t="shared" si="4"/>
        <v>848370.4902335034</v>
      </c>
      <c r="F212" t="s">
        <v>33</v>
      </c>
      <c r="G212" t="s">
        <v>182</v>
      </c>
    </row>
    <row r="213" spans="1:7" hidden="1" x14ac:dyDescent="0.45">
      <c r="A213" t="s">
        <v>169</v>
      </c>
      <c r="B213" t="s">
        <v>52</v>
      </c>
      <c r="C213" t="s">
        <v>349</v>
      </c>
      <c r="D213">
        <v>2030</v>
      </c>
      <c r="E213">
        <f t="shared" si="4"/>
        <v>5873107.0123896366</v>
      </c>
      <c r="F213" t="s">
        <v>33</v>
      </c>
      <c r="G213" t="s">
        <v>185</v>
      </c>
    </row>
    <row r="214" spans="1:7" hidden="1" x14ac:dyDescent="0.45">
      <c r="A214" t="s">
        <v>169</v>
      </c>
      <c r="B214" t="s">
        <v>53</v>
      </c>
      <c r="C214" t="s">
        <v>349</v>
      </c>
      <c r="D214">
        <v>2030</v>
      </c>
      <c r="E214">
        <f t="shared" si="4"/>
        <v>1847308.7107663632</v>
      </c>
      <c r="F214" t="s">
        <v>33</v>
      </c>
      <c r="G214" t="s">
        <v>185</v>
      </c>
    </row>
    <row r="215" spans="1:7" hidden="1" x14ac:dyDescent="0.45">
      <c r="A215" t="s">
        <v>169</v>
      </c>
      <c r="B215" t="s">
        <v>54</v>
      </c>
      <c r="C215" t="s">
        <v>349</v>
      </c>
      <c r="D215">
        <v>2030</v>
      </c>
      <c r="E215">
        <f t="shared" si="4"/>
        <v>1075946.7799161258</v>
      </c>
      <c r="F215" t="s">
        <v>33</v>
      </c>
      <c r="G215" t="s">
        <v>185</v>
      </c>
    </row>
    <row r="216" spans="1:7" hidden="1" x14ac:dyDescent="0.45">
      <c r="A216" t="s">
        <v>169</v>
      </c>
      <c r="B216" t="s">
        <v>55</v>
      </c>
      <c r="C216" t="s">
        <v>349</v>
      </c>
      <c r="D216">
        <v>2030</v>
      </c>
      <c r="E216">
        <f t="shared" si="4"/>
        <v>447558.53579094209</v>
      </c>
      <c r="F216" t="s">
        <v>33</v>
      </c>
      <c r="G216" t="s">
        <v>185</v>
      </c>
    </row>
    <row r="217" spans="1:7" hidden="1" x14ac:dyDescent="0.45">
      <c r="A217" t="s">
        <v>169</v>
      </c>
      <c r="B217" t="s">
        <v>56</v>
      </c>
      <c r="C217" t="s">
        <v>349</v>
      </c>
      <c r="D217">
        <v>2030</v>
      </c>
      <c r="E217">
        <f t="shared" si="4"/>
        <v>486328.96113693231</v>
      </c>
      <c r="F217" t="s">
        <v>33</v>
      </c>
      <c r="G217" t="s">
        <v>185</v>
      </c>
    </row>
    <row r="218" spans="1:7" hidden="1" x14ac:dyDescent="0.45">
      <c r="A218" t="s">
        <v>169</v>
      </c>
      <c r="B218" t="s">
        <v>57</v>
      </c>
      <c r="C218" t="s">
        <v>349</v>
      </c>
      <c r="D218">
        <v>2030</v>
      </c>
      <c r="E218">
        <f t="shared" si="4"/>
        <v>5273472.8435333734</v>
      </c>
      <c r="F218" t="s">
        <v>33</v>
      </c>
      <c r="G218" t="s">
        <v>182</v>
      </c>
    </row>
    <row r="219" spans="1:7" hidden="1" x14ac:dyDescent="0.45">
      <c r="A219" t="s">
        <v>169</v>
      </c>
      <c r="B219" t="s">
        <v>58</v>
      </c>
      <c r="C219" t="s">
        <v>349</v>
      </c>
      <c r="D219">
        <v>2030</v>
      </c>
      <c r="E219">
        <f t="shared" si="4"/>
        <v>10713210.499823835</v>
      </c>
      <c r="F219" t="s">
        <v>33</v>
      </c>
      <c r="G219" t="s">
        <v>182</v>
      </c>
    </row>
    <row r="220" spans="1:7" hidden="1" x14ac:dyDescent="0.45">
      <c r="A220" t="s">
        <v>169</v>
      </c>
      <c r="B220" t="s">
        <v>59</v>
      </c>
      <c r="C220" t="s">
        <v>349</v>
      </c>
      <c r="D220">
        <v>2030</v>
      </c>
      <c r="E220">
        <f t="shared" si="4"/>
        <v>19437928.285943985</v>
      </c>
      <c r="F220" t="s">
        <v>33</v>
      </c>
      <c r="G220" t="s">
        <v>182</v>
      </c>
    </row>
    <row r="221" spans="1:7" hidden="1" x14ac:dyDescent="0.45">
      <c r="A221" t="s">
        <v>169</v>
      </c>
      <c r="B221" t="s">
        <v>60</v>
      </c>
      <c r="C221" t="s">
        <v>349</v>
      </c>
      <c r="D221">
        <v>2030</v>
      </c>
      <c r="E221">
        <f t="shared" si="4"/>
        <v>7411638.3706988115</v>
      </c>
      <c r="F221" t="s">
        <v>33</v>
      </c>
      <c r="G221" t="s">
        <v>182</v>
      </c>
    </row>
    <row r="222" spans="1:7" hidden="1" x14ac:dyDescent="0.45">
      <c r="A222" t="s">
        <v>169</v>
      </c>
      <c r="B222" t="s">
        <v>39</v>
      </c>
      <c r="C222" t="s">
        <v>349</v>
      </c>
      <c r="D222">
        <v>2040</v>
      </c>
      <c r="E222">
        <f t="shared" si="4"/>
        <v>6199891.7094859453</v>
      </c>
      <c r="F222" t="s">
        <v>33</v>
      </c>
      <c r="G222" t="s">
        <v>182</v>
      </c>
    </row>
    <row r="223" spans="1:7" hidden="1" x14ac:dyDescent="0.45">
      <c r="A223" t="s">
        <v>169</v>
      </c>
      <c r="B223" t="s">
        <v>40</v>
      </c>
      <c r="C223" t="s">
        <v>349</v>
      </c>
      <c r="D223">
        <v>2040</v>
      </c>
      <c r="E223">
        <f t="shared" si="4"/>
        <v>1925108.2905140535</v>
      </c>
      <c r="F223" t="s">
        <v>33</v>
      </c>
      <c r="G223" t="s">
        <v>182</v>
      </c>
    </row>
    <row r="224" spans="1:7" hidden="1" x14ac:dyDescent="0.45">
      <c r="A224" t="s">
        <v>169</v>
      </c>
      <c r="B224" t="s">
        <v>41</v>
      </c>
      <c r="C224" t="s">
        <v>349</v>
      </c>
      <c r="D224">
        <v>2040</v>
      </c>
      <c r="E224">
        <f t="shared" si="4"/>
        <v>857101.50896362227</v>
      </c>
      <c r="F224" t="s">
        <v>33</v>
      </c>
      <c r="G224" t="s">
        <v>185</v>
      </c>
    </row>
    <row r="225" spans="1:7" hidden="1" x14ac:dyDescent="0.45">
      <c r="A225" t="s">
        <v>169</v>
      </c>
      <c r="B225" t="s">
        <v>42</v>
      </c>
      <c r="C225" t="s">
        <v>349</v>
      </c>
      <c r="D225">
        <v>2040</v>
      </c>
      <c r="E225">
        <f t="shared" si="4"/>
        <v>269590.02793229726</v>
      </c>
      <c r="F225" t="s">
        <v>33</v>
      </c>
      <c r="G225" t="s">
        <v>185</v>
      </c>
    </row>
    <row r="226" spans="1:7" hidden="1" x14ac:dyDescent="0.45">
      <c r="A226" t="s">
        <v>169</v>
      </c>
      <c r="B226" t="s">
        <v>43</v>
      </c>
      <c r="C226" t="s">
        <v>349</v>
      </c>
      <c r="D226">
        <v>2040</v>
      </c>
      <c r="E226">
        <f t="shared" si="4"/>
        <v>157020.05883516851</v>
      </c>
      <c r="F226" t="s">
        <v>33</v>
      </c>
      <c r="G226" t="s">
        <v>185</v>
      </c>
    </row>
    <row r="227" spans="1:7" hidden="1" x14ac:dyDescent="0.45">
      <c r="A227" t="s">
        <v>169</v>
      </c>
      <c r="B227" t="s">
        <v>44</v>
      </c>
      <c r="C227" t="s">
        <v>349</v>
      </c>
      <c r="D227">
        <v>2040</v>
      </c>
      <c r="E227">
        <f t="shared" si="4"/>
        <v>65315.189314060561</v>
      </c>
      <c r="F227" t="s">
        <v>33</v>
      </c>
      <c r="G227" t="s">
        <v>185</v>
      </c>
    </row>
    <row r="228" spans="1:7" hidden="1" x14ac:dyDescent="0.45">
      <c r="A228" t="s">
        <v>169</v>
      </c>
      <c r="B228" t="s">
        <v>45</v>
      </c>
      <c r="C228" t="s">
        <v>349</v>
      </c>
      <c r="D228">
        <v>2040</v>
      </c>
      <c r="E228">
        <f t="shared" si="4"/>
        <v>70973.214954851515</v>
      </c>
      <c r="F228" t="s">
        <v>33</v>
      </c>
      <c r="G228" t="s">
        <v>185</v>
      </c>
    </row>
    <row r="229" spans="1:7" hidden="1" x14ac:dyDescent="0.45">
      <c r="A229" t="s">
        <v>169</v>
      </c>
      <c r="B229" t="s">
        <v>46</v>
      </c>
      <c r="C229" t="s">
        <v>349</v>
      </c>
      <c r="D229">
        <v>2040</v>
      </c>
      <c r="E229">
        <f t="shared" si="4"/>
        <v>106434.87278983103</v>
      </c>
      <c r="F229" t="s">
        <v>33</v>
      </c>
      <c r="G229" t="s">
        <v>182</v>
      </c>
    </row>
    <row r="230" spans="1:7" hidden="1" x14ac:dyDescent="0.45">
      <c r="A230" t="s">
        <v>169</v>
      </c>
      <c r="B230" t="s">
        <v>47</v>
      </c>
      <c r="C230" t="s">
        <v>349</v>
      </c>
      <c r="D230">
        <v>2040</v>
      </c>
      <c r="E230">
        <f t="shared" si="4"/>
        <v>237118.49406527673</v>
      </c>
      <c r="F230" t="s">
        <v>33</v>
      </c>
      <c r="G230" t="s">
        <v>182</v>
      </c>
    </row>
    <row r="231" spans="1:7" hidden="1" x14ac:dyDescent="0.45">
      <c r="A231" t="s">
        <v>169</v>
      </c>
      <c r="B231" t="s">
        <v>48</v>
      </c>
      <c r="C231" t="s">
        <v>349</v>
      </c>
      <c r="D231">
        <v>2040</v>
      </c>
      <c r="E231">
        <f t="shared" si="4"/>
        <v>2845921.2882959312</v>
      </c>
      <c r="F231" t="s">
        <v>33</v>
      </c>
      <c r="G231" t="s">
        <v>182</v>
      </c>
    </row>
    <row r="232" spans="1:7" hidden="1" x14ac:dyDescent="0.45">
      <c r="A232" t="s">
        <v>169</v>
      </c>
      <c r="B232" t="s">
        <v>49</v>
      </c>
      <c r="C232" t="s">
        <v>349</v>
      </c>
      <c r="D232">
        <v>2040</v>
      </c>
      <c r="E232">
        <f t="shared" si="4"/>
        <v>1697775.3448489597</v>
      </c>
      <c r="F232" t="s">
        <v>33</v>
      </c>
      <c r="G232" t="s">
        <v>182</v>
      </c>
    </row>
    <row r="233" spans="1:7" hidden="1" x14ac:dyDescent="0.45">
      <c r="A233" t="s">
        <v>169</v>
      </c>
      <c r="B233" t="s">
        <v>50</v>
      </c>
      <c r="C233" t="s">
        <v>349</v>
      </c>
      <c r="D233">
        <v>2040</v>
      </c>
      <c r="E233">
        <f t="shared" si="4"/>
        <v>2068379.509766497</v>
      </c>
      <c r="F233" t="s">
        <v>33</v>
      </c>
      <c r="G233" t="s">
        <v>182</v>
      </c>
    </row>
    <row r="234" spans="1:7" hidden="1" x14ac:dyDescent="0.45">
      <c r="A234" t="s">
        <v>169</v>
      </c>
      <c r="B234" t="s">
        <v>51</v>
      </c>
      <c r="C234" t="s">
        <v>349</v>
      </c>
      <c r="D234">
        <v>2040</v>
      </c>
      <c r="E234">
        <f t="shared" si="4"/>
        <v>848370.4902335034</v>
      </c>
      <c r="F234" t="s">
        <v>33</v>
      </c>
      <c r="G234" t="s">
        <v>182</v>
      </c>
    </row>
    <row r="235" spans="1:7" hidden="1" x14ac:dyDescent="0.45">
      <c r="A235" t="s">
        <v>169</v>
      </c>
      <c r="B235" t="s">
        <v>52</v>
      </c>
      <c r="C235" t="s">
        <v>349</v>
      </c>
      <c r="D235">
        <v>2040</v>
      </c>
      <c r="E235">
        <f t="shared" si="4"/>
        <v>5873107.0123896366</v>
      </c>
      <c r="F235" t="s">
        <v>33</v>
      </c>
      <c r="G235" t="s">
        <v>185</v>
      </c>
    </row>
    <row r="236" spans="1:7" hidden="1" x14ac:dyDescent="0.45">
      <c r="A236" t="s">
        <v>169</v>
      </c>
      <c r="B236" t="s">
        <v>53</v>
      </c>
      <c r="C236" t="s">
        <v>349</v>
      </c>
      <c r="D236">
        <v>2040</v>
      </c>
      <c r="E236">
        <f t="shared" si="4"/>
        <v>1847308.7107663632</v>
      </c>
      <c r="F236" t="s">
        <v>33</v>
      </c>
      <c r="G236" t="s">
        <v>185</v>
      </c>
    </row>
    <row r="237" spans="1:7" hidden="1" x14ac:dyDescent="0.45">
      <c r="A237" t="s">
        <v>169</v>
      </c>
      <c r="B237" t="s">
        <v>54</v>
      </c>
      <c r="C237" t="s">
        <v>349</v>
      </c>
      <c r="D237">
        <v>2040</v>
      </c>
      <c r="E237">
        <f t="shared" si="4"/>
        <v>1075946.7799161258</v>
      </c>
      <c r="F237" t="s">
        <v>33</v>
      </c>
      <c r="G237" t="s">
        <v>185</v>
      </c>
    </row>
    <row r="238" spans="1:7" hidden="1" x14ac:dyDescent="0.45">
      <c r="A238" t="s">
        <v>169</v>
      </c>
      <c r="B238" t="s">
        <v>55</v>
      </c>
      <c r="C238" t="s">
        <v>349</v>
      </c>
      <c r="D238">
        <v>2040</v>
      </c>
      <c r="E238">
        <f t="shared" si="4"/>
        <v>447558.53579094209</v>
      </c>
      <c r="F238" t="s">
        <v>33</v>
      </c>
      <c r="G238" t="s">
        <v>185</v>
      </c>
    </row>
    <row r="239" spans="1:7" hidden="1" x14ac:dyDescent="0.45">
      <c r="A239" t="s">
        <v>169</v>
      </c>
      <c r="B239" t="s">
        <v>56</v>
      </c>
      <c r="C239" t="s">
        <v>349</v>
      </c>
      <c r="D239">
        <v>2040</v>
      </c>
      <c r="E239">
        <f t="shared" si="4"/>
        <v>486328.96113693231</v>
      </c>
      <c r="F239" t="s">
        <v>33</v>
      </c>
      <c r="G239" t="s">
        <v>185</v>
      </c>
    </row>
    <row r="240" spans="1:7" hidden="1" x14ac:dyDescent="0.45">
      <c r="A240" t="s">
        <v>169</v>
      </c>
      <c r="B240" t="s">
        <v>57</v>
      </c>
      <c r="C240" t="s">
        <v>349</v>
      </c>
      <c r="D240">
        <v>2040</v>
      </c>
      <c r="E240">
        <f t="shared" si="4"/>
        <v>5273472.8435333734</v>
      </c>
      <c r="F240" t="s">
        <v>33</v>
      </c>
      <c r="G240" t="s">
        <v>182</v>
      </c>
    </row>
    <row r="241" spans="1:7" hidden="1" x14ac:dyDescent="0.45">
      <c r="A241" t="s">
        <v>169</v>
      </c>
      <c r="B241" t="s">
        <v>58</v>
      </c>
      <c r="C241" t="s">
        <v>349</v>
      </c>
      <c r="D241">
        <v>2040</v>
      </c>
      <c r="E241">
        <f t="shared" si="4"/>
        <v>10713210.499823835</v>
      </c>
      <c r="F241" t="s">
        <v>33</v>
      </c>
      <c r="G241" t="s">
        <v>182</v>
      </c>
    </row>
    <row r="242" spans="1:7" hidden="1" x14ac:dyDescent="0.45">
      <c r="A242" t="s">
        <v>169</v>
      </c>
      <c r="B242" t="s">
        <v>59</v>
      </c>
      <c r="C242" t="s">
        <v>349</v>
      </c>
      <c r="D242">
        <v>2040</v>
      </c>
      <c r="E242">
        <f t="shared" si="4"/>
        <v>19437928.285943985</v>
      </c>
      <c r="F242" t="s">
        <v>33</v>
      </c>
      <c r="G242" t="s">
        <v>182</v>
      </c>
    </row>
    <row r="243" spans="1:7" hidden="1" x14ac:dyDescent="0.45">
      <c r="A243" t="s">
        <v>169</v>
      </c>
      <c r="B243" t="s">
        <v>60</v>
      </c>
      <c r="C243" t="s">
        <v>349</v>
      </c>
      <c r="D243">
        <v>2040</v>
      </c>
      <c r="E243">
        <f t="shared" si="4"/>
        <v>7411638.3706988115</v>
      </c>
      <c r="F243" t="s">
        <v>33</v>
      </c>
      <c r="G243" t="s">
        <v>182</v>
      </c>
    </row>
    <row r="244" spans="1:7" hidden="1" x14ac:dyDescent="0.45">
      <c r="A244" t="s">
        <v>169</v>
      </c>
      <c r="B244" t="s">
        <v>39</v>
      </c>
      <c r="C244" t="s">
        <v>349</v>
      </c>
      <c r="D244">
        <v>2050</v>
      </c>
      <c r="E244">
        <f t="shared" si="4"/>
        <v>6199891.7094859453</v>
      </c>
      <c r="F244" t="s">
        <v>33</v>
      </c>
      <c r="G244" t="s">
        <v>182</v>
      </c>
    </row>
    <row r="245" spans="1:7" hidden="1" x14ac:dyDescent="0.45">
      <c r="A245" t="s">
        <v>169</v>
      </c>
      <c r="B245" t="s">
        <v>40</v>
      </c>
      <c r="C245" t="s">
        <v>349</v>
      </c>
      <c r="D245">
        <v>2050</v>
      </c>
      <c r="E245">
        <f t="shared" si="4"/>
        <v>1925108.2905140535</v>
      </c>
      <c r="F245" t="s">
        <v>33</v>
      </c>
      <c r="G245" t="s">
        <v>182</v>
      </c>
    </row>
    <row r="246" spans="1:7" hidden="1" x14ac:dyDescent="0.45">
      <c r="A246" t="s">
        <v>169</v>
      </c>
      <c r="B246" t="s">
        <v>41</v>
      </c>
      <c r="C246" t="s">
        <v>349</v>
      </c>
      <c r="D246">
        <v>2050</v>
      </c>
      <c r="E246">
        <f t="shared" si="4"/>
        <v>857101.50896362227</v>
      </c>
      <c r="F246" t="s">
        <v>33</v>
      </c>
      <c r="G246" t="s">
        <v>185</v>
      </c>
    </row>
    <row r="247" spans="1:7" hidden="1" x14ac:dyDescent="0.45">
      <c r="A247" t="s">
        <v>169</v>
      </c>
      <c r="B247" t="s">
        <v>42</v>
      </c>
      <c r="C247" t="s">
        <v>349</v>
      </c>
      <c r="D247">
        <v>2050</v>
      </c>
      <c r="E247">
        <f t="shared" si="4"/>
        <v>269590.02793229726</v>
      </c>
      <c r="F247" t="s">
        <v>33</v>
      </c>
      <c r="G247" t="s">
        <v>185</v>
      </c>
    </row>
    <row r="248" spans="1:7" hidden="1" x14ac:dyDescent="0.45">
      <c r="A248" t="s">
        <v>169</v>
      </c>
      <c r="B248" t="s">
        <v>43</v>
      </c>
      <c r="C248" t="s">
        <v>349</v>
      </c>
      <c r="D248">
        <v>2050</v>
      </c>
      <c r="E248">
        <f t="shared" si="4"/>
        <v>157020.05883516851</v>
      </c>
      <c r="F248" t="s">
        <v>33</v>
      </c>
      <c r="G248" t="s">
        <v>185</v>
      </c>
    </row>
    <row r="249" spans="1:7" hidden="1" x14ac:dyDescent="0.45">
      <c r="A249" t="s">
        <v>169</v>
      </c>
      <c r="B249" t="s">
        <v>44</v>
      </c>
      <c r="C249" t="s">
        <v>349</v>
      </c>
      <c r="D249">
        <v>2050</v>
      </c>
      <c r="E249">
        <f t="shared" si="4"/>
        <v>65315.189314060561</v>
      </c>
      <c r="F249" t="s">
        <v>33</v>
      </c>
      <c r="G249" t="s">
        <v>185</v>
      </c>
    </row>
    <row r="250" spans="1:7" hidden="1" x14ac:dyDescent="0.45">
      <c r="A250" t="s">
        <v>169</v>
      </c>
      <c r="B250" t="s">
        <v>45</v>
      </c>
      <c r="C250" t="s">
        <v>349</v>
      </c>
      <c r="D250">
        <v>2050</v>
      </c>
      <c r="E250">
        <f t="shared" si="4"/>
        <v>70973.214954851515</v>
      </c>
      <c r="F250" t="s">
        <v>33</v>
      </c>
      <c r="G250" t="s">
        <v>185</v>
      </c>
    </row>
    <row r="251" spans="1:7" hidden="1" x14ac:dyDescent="0.45">
      <c r="A251" t="s">
        <v>169</v>
      </c>
      <c r="B251" t="s">
        <v>46</v>
      </c>
      <c r="C251" t="s">
        <v>349</v>
      </c>
      <c r="D251">
        <v>2050</v>
      </c>
      <c r="E251">
        <f t="shared" si="4"/>
        <v>106434.87278983103</v>
      </c>
      <c r="F251" t="s">
        <v>33</v>
      </c>
      <c r="G251" t="s">
        <v>182</v>
      </c>
    </row>
    <row r="252" spans="1:7" hidden="1" x14ac:dyDescent="0.45">
      <c r="A252" t="s">
        <v>169</v>
      </c>
      <c r="B252" t="s">
        <v>47</v>
      </c>
      <c r="C252" t="s">
        <v>349</v>
      </c>
      <c r="D252">
        <v>2050</v>
      </c>
      <c r="E252">
        <f t="shared" si="4"/>
        <v>237118.49406527673</v>
      </c>
      <c r="F252" t="s">
        <v>33</v>
      </c>
      <c r="G252" t="s">
        <v>182</v>
      </c>
    </row>
    <row r="253" spans="1:7" hidden="1" x14ac:dyDescent="0.45">
      <c r="A253" t="s">
        <v>169</v>
      </c>
      <c r="B253" t="s">
        <v>48</v>
      </c>
      <c r="C253" t="s">
        <v>349</v>
      </c>
      <c r="D253">
        <v>2050</v>
      </c>
      <c r="E253">
        <f t="shared" si="4"/>
        <v>2845921.2882959312</v>
      </c>
      <c r="F253" t="s">
        <v>33</v>
      </c>
      <c r="G253" t="s">
        <v>182</v>
      </c>
    </row>
    <row r="254" spans="1:7" hidden="1" x14ac:dyDescent="0.45">
      <c r="A254" t="s">
        <v>169</v>
      </c>
      <c r="B254" t="s">
        <v>49</v>
      </c>
      <c r="C254" t="s">
        <v>349</v>
      </c>
      <c r="D254">
        <v>2050</v>
      </c>
      <c r="E254">
        <f t="shared" si="4"/>
        <v>1697775.3448489597</v>
      </c>
      <c r="F254" t="s">
        <v>33</v>
      </c>
      <c r="G254" t="s">
        <v>182</v>
      </c>
    </row>
    <row r="255" spans="1:7" hidden="1" x14ac:dyDescent="0.45">
      <c r="A255" t="s">
        <v>169</v>
      </c>
      <c r="B255" t="s">
        <v>50</v>
      </c>
      <c r="C255" t="s">
        <v>349</v>
      </c>
      <c r="D255">
        <v>2050</v>
      </c>
      <c r="E255">
        <f t="shared" si="4"/>
        <v>2068379.509766497</v>
      </c>
      <c r="F255" t="s">
        <v>33</v>
      </c>
      <c r="G255" t="s">
        <v>182</v>
      </c>
    </row>
    <row r="256" spans="1:7" hidden="1" x14ac:dyDescent="0.45">
      <c r="A256" t="s">
        <v>169</v>
      </c>
      <c r="B256" t="s">
        <v>51</v>
      </c>
      <c r="C256" t="s">
        <v>349</v>
      </c>
      <c r="D256">
        <v>2050</v>
      </c>
      <c r="E256">
        <f t="shared" si="4"/>
        <v>848370.4902335034</v>
      </c>
      <c r="F256" t="s">
        <v>33</v>
      </c>
      <c r="G256" t="s">
        <v>182</v>
      </c>
    </row>
    <row r="257" spans="1:7" hidden="1" x14ac:dyDescent="0.45">
      <c r="A257" t="s">
        <v>169</v>
      </c>
      <c r="B257" t="s">
        <v>52</v>
      </c>
      <c r="C257" t="s">
        <v>349</v>
      </c>
      <c r="D257">
        <v>2050</v>
      </c>
      <c r="E257">
        <f t="shared" si="4"/>
        <v>5873107.0123896366</v>
      </c>
      <c r="F257" t="s">
        <v>33</v>
      </c>
      <c r="G257" t="s">
        <v>185</v>
      </c>
    </row>
    <row r="258" spans="1:7" hidden="1" x14ac:dyDescent="0.45">
      <c r="A258" t="s">
        <v>169</v>
      </c>
      <c r="B258" t="s">
        <v>53</v>
      </c>
      <c r="C258" t="s">
        <v>349</v>
      </c>
      <c r="D258">
        <v>2050</v>
      </c>
      <c r="E258">
        <f t="shared" si="4"/>
        <v>1847308.7107663632</v>
      </c>
      <c r="F258" t="s">
        <v>33</v>
      </c>
      <c r="G258" t="s">
        <v>185</v>
      </c>
    </row>
    <row r="259" spans="1:7" hidden="1" x14ac:dyDescent="0.45">
      <c r="A259" t="s">
        <v>169</v>
      </c>
      <c r="B259" t="s">
        <v>54</v>
      </c>
      <c r="C259" t="s">
        <v>349</v>
      </c>
      <c r="D259">
        <v>2050</v>
      </c>
      <c r="E259">
        <f t="shared" si="4"/>
        <v>1075946.7799161258</v>
      </c>
      <c r="F259" t="s">
        <v>33</v>
      </c>
      <c r="G259" t="s">
        <v>185</v>
      </c>
    </row>
    <row r="260" spans="1:7" hidden="1" x14ac:dyDescent="0.45">
      <c r="A260" t="s">
        <v>169</v>
      </c>
      <c r="B260" t="s">
        <v>55</v>
      </c>
      <c r="C260" t="s">
        <v>349</v>
      </c>
      <c r="D260">
        <v>2050</v>
      </c>
      <c r="E260">
        <f t="shared" si="4"/>
        <v>447558.53579094209</v>
      </c>
      <c r="F260" t="s">
        <v>33</v>
      </c>
      <c r="G260" t="s">
        <v>185</v>
      </c>
    </row>
    <row r="261" spans="1:7" hidden="1" x14ac:dyDescent="0.45">
      <c r="A261" t="s">
        <v>169</v>
      </c>
      <c r="B261" t="s">
        <v>56</v>
      </c>
      <c r="C261" t="s">
        <v>349</v>
      </c>
      <c r="D261">
        <v>2050</v>
      </c>
      <c r="E261">
        <f t="shared" si="4"/>
        <v>486328.96113693231</v>
      </c>
      <c r="F261" t="s">
        <v>33</v>
      </c>
      <c r="G261" t="s">
        <v>185</v>
      </c>
    </row>
    <row r="262" spans="1:7" hidden="1" x14ac:dyDescent="0.45">
      <c r="A262" t="s">
        <v>169</v>
      </c>
      <c r="B262" t="s">
        <v>57</v>
      </c>
      <c r="C262" t="s">
        <v>349</v>
      </c>
      <c r="D262">
        <v>2050</v>
      </c>
      <c r="E262">
        <f t="shared" si="4"/>
        <v>5273472.8435333734</v>
      </c>
      <c r="F262" t="s">
        <v>33</v>
      </c>
      <c r="G262" t="s">
        <v>182</v>
      </c>
    </row>
    <row r="263" spans="1:7" hidden="1" x14ac:dyDescent="0.45">
      <c r="A263" t="s">
        <v>169</v>
      </c>
      <c r="B263" t="s">
        <v>58</v>
      </c>
      <c r="C263" t="s">
        <v>349</v>
      </c>
      <c r="D263">
        <v>2050</v>
      </c>
      <c r="E263">
        <f t="shared" si="4"/>
        <v>10713210.499823835</v>
      </c>
      <c r="F263" t="s">
        <v>33</v>
      </c>
      <c r="G263" t="s">
        <v>182</v>
      </c>
    </row>
    <row r="264" spans="1:7" hidden="1" x14ac:dyDescent="0.45">
      <c r="A264" t="s">
        <v>169</v>
      </c>
      <c r="B264" t="s">
        <v>59</v>
      </c>
      <c r="C264" t="s">
        <v>349</v>
      </c>
      <c r="D264">
        <v>2050</v>
      </c>
      <c r="E264">
        <f t="shared" si="4"/>
        <v>19437928.285943985</v>
      </c>
      <c r="F264" t="s">
        <v>33</v>
      </c>
      <c r="G264" t="s">
        <v>182</v>
      </c>
    </row>
    <row r="265" spans="1:7" hidden="1" x14ac:dyDescent="0.45">
      <c r="A265" t="s">
        <v>169</v>
      </c>
      <c r="B265" t="s">
        <v>60</v>
      </c>
      <c r="C265" t="s">
        <v>349</v>
      </c>
      <c r="D265">
        <v>2050</v>
      </c>
      <c r="E265">
        <f t="shared" ref="E265" si="5">E133*0.25</f>
        <v>7411638.3706988115</v>
      </c>
      <c r="F265" t="s">
        <v>33</v>
      </c>
      <c r="G265" t="s">
        <v>182</v>
      </c>
    </row>
  </sheetData>
  <autoFilter ref="A1:G265" xr:uid="{00000000-0001-0000-0600-000000000000}">
    <filterColumn colId="2">
      <filters>
        <filter val="Base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1f9e84-bbb0-4d15-9dee-bace6ae3f7f6" xsi:nil="true"/>
    <lcf76f155ced4ddcb4097134ff3c332f xmlns="ef0e01b4-518e-45c7-a643-9d274d70197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1F8C9920E55141B996D67CDBD0CD60" ma:contentTypeVersion="14" ma:contentTypeDescription="Create a new document." ma:contentTypeScope="" ma:versionID="7ed2659ce3321c6fd85dc5663d6d8957">
  <xsd:schema xmlns:xsd="http://www.w3.org/2001/XMLSchema" xmlns:xs="http://www.w3.org/2001/XMLSchema" xmlns:p="http://schemas.microsoft.com/office/2006/metadata/properties" xmlns:ns2="ef0e01b4-518e-45c7-a643-9d274d70197c" xmlns:ns3="031f9e84-bbb0-4d15-9dee-bace6ae3f7f6" targetNamespace="http://schemas.microsoft.com/office/2006/metadata/properties" ma:root="true" ma:fieldsID="bee7e3031cf3505ef90dbb9a6db4847d" ns2:_="" ns3:_="">
    <xsd:import namespace="ef0e01b4-518e-45c7-a643-9d274d70197c"/>
    <xsd:import namespace="031f9e84-bbb0-4d15-9dee-bace6ae3f7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e01b4-518e-45c7-a643-9d274d7019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f9e84-bbb0-4d15-9dee-bace6ae3f7f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3369179-ee01-480d-bab1-3517544fa349}" ma:internalName="TaxCatchAll" ma:showField="CatchAllData" ma:web="031f9e84-bbb0-4d15-9dee-bace6ae3f7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510EC8-8B14-4FEE-9C81-9434EC6212B2}">
  <ds:schemaRefs>
    <ds:schemaRef ds:uri="http://purl.org/dc/dcmitype/"/>
    <ds:schemaRef ds:uri="031f9e84-bbb0-4d15-9dee-bace6ae3f7f6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ef0e01b4-518e-45c7-a643-9d274d70197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ECFD3E2-F508-4BCC-8037-3CB18B5535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16248F-7C7F-472F-AAD2-161E0900E3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0e01b4-518e-45c7-a643-9d274d70197c"/>
    <ds:schemaRef ds:uri="031f9e84-bbb0-4d15-9dee-bace6ae3f7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Inputs</vt:lpstr>
      <vt:lpstr>FuelDemand</vt:lpstr>
      <vt:lpstr>BioPrices</vt:lpstr>
      <vt:lpstr>SteelDemand</vt:lpstr>
      <vt:lpstr>Pyro</vt:lpstr>
      <vt:lpstr>MeOH Old</vt:lpstr>
      <vt:lpstr>Storages</vt:lpstr>
      <vt:lpstr>Lester+Bramstoft</vt:lpstr>
      <vt:lpstr>LowBioPot</vt:lpstr>
      <vt:lpstr>SOEC_Breakthrough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Berg Rosendal</dc:creator>
  <cp:lastModifiedBy>Mathias Berg Rosendal</cp:lastModifiedBy>
  <dcterms:created xsi:type="dcterms:W3CDTF">2015-06-05T18:19:34Z</dcterms:created>
  <dcterms:modified xsi:type="dcterms:W3CDTF">2023-05-26T09:52:36Z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0x010100D01F8C9920E55141B996D67CDBD0CD60</vt:lpwstr>
  </property>
  <property fmtid="{D5CDD505-2E9C-101B-9397-08002B2CF9AE}" pid="3" name="MediaServiceImageTags">
    <vt:lpwstr/>
  </property>
</Properties>
</file>