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kte\FAUST\Papers\Black Box  - Investortype_MMVA\GAMS_dynamic\euetsmsr\co2iter_indfix_shortrun\"/>
    </mc:Choice>
  </mc:AlternateContent>
  <bookViews>
    <workbookView xWindow="0" yWindow="0" windowWidth="28800" windowHeight="11970" tabRatio="905" activeTab="1"/>
  </bookViews>
  <sheets>
    <sheet name="co2elec_out" sheetId="7" r:id="rId1"/>
    <sheet name="co2ind_out" sheetId="38" r:id="rId2"/>
    <sheet name="co2elec_annual" sheetId="8" r:id="rId3"/>
    <sheet name="EUETS_annual" sheetId="1" r:id="rId4"/>
    <sheet name="EUETS_period" sheetId="3" r:id="rId5"/>
    <sheet name="co2can_in" sheetId="35" r:id="rId6"/>
    <sheet name="co2ele_in" sheetId="9" r:id="rId7"/>
    <sheet name="co2ele_org" sheetId="40" r:id="rId8"/>
    <sheet name="co2eleuk_in" sheetId="36" r:id="rId9"/>
    <sheet name="co2ind_in" sheetId="10" r:id="rId10"/>
    <sheet name="co2indorg_in" sheetId="39" r:id="rId11"/>
    <sheet name="co2induk_in" sheetId="37" r:id="rId12"/>
    <sheet name="co2indfix_in" sheetId="31" r:id="rId13"/>
    <sheet name="co2indshare_in" sheetId="32" r:id="rId14"/>
    <sheet name="tnacuse_in" sheetId="5" r:id="rId15"/>
    <sheet name="tnac_in" sheetId="6" r:id="rId16"/>
    <sheet name="co2add_in" sheetId="30" r:id="rId17"/>
    <sheet name="co2allocated_in" sheetId="25" r:id="rId18"/>
    <sheet name="co2auctioned_in" sheetId="21" r:id="rId19"/>
    <sheet name="msr_in" sheetId="22" r:id="rId20"/>
    <sheet name="msrin_in" sheetId="24" r:id="rId21"/>
    <sheet name="cancel_in" sheetId="23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7" l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B3" i="40" l="1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2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E41" i="8" l="1"/>
  <c r="E42" i="8" l="1"/>
  <c r="D41" i="8" l="1"/>
  <c r="A15" i="7" l="1"/>
  <c r="A16" i="7"/>
  <c r="N42" i="8"/>
  <c r="A16" i="39" l="1"/>
  <c r="A15" i="39"/>
  <c r="A14" i="39"/>
  <c r="A13" i="39"/>
  <c r="A12" i="39"/>
  <c r="A11" i="39"/>
  <c r="A10" i="39"/>
  <c r="A9" i="39"/>
  <c r="A8" i="39"/>
  <c r="A7" i="39"/>
  <c r="A6" i="39"/>
  <c r="A5" i="39"/>
  <c r="A4" i="39"/>
  <c r="A3" i="39"/>
  <c r="A2" i="39"/>
  <c r="M36" i="8"/>
  <c r="L36" i="8"/>
  <c r="M35" i="8"/>
  <c r="M31" i="8"/>
  <c r="L3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2" i="8"/>
  <c r="M33" i="8"/>
  <c r="M34" i="8"/>
  <c r="L12" i="8"/>
  <c r="L44" i="8" s="1"/>
  <c r="M11" i="8"/>
  <c r="L11" i="8"/>
  <c r="L43" i="8" s="1"/>
  <c r="H51" i="8"/>
  <c r="H52" i="8"/>
  <c r="H54" i="8"/>
  <c r="H53" i="8"/>
  <c r="L16" i="8"/>
  <c r="L48" i="8" s="1"/>
  <c r="D7" i="38"/>
  <c r="C18" i="38"/>
  <c r="B18" i="38" s="1"/>
  <c r="C17" i="38"/>
  <c r="C16" i="38"/>
  <c r="C15" i="38"/>
  <c r="A15" i="38"/>
  <c r="A16" i="38" s="1"/>
  <c r="A17" i="38" s="1"/>
  <c r="A18" i="38" s="1"/>
  <c r="C14" i="38"/>
  <c r="C13" i="38"/>
  <c r="C12" i="38"/>
  <c r="C11" i="38"/>
  <c r="C10" i="38"/>
  <c r="C9" i="38"/>
  <c r="C8" i="38"/>
  <c r="D8" i="38"/>
  <c r="C7" i="38"/>
  <c r="B7" i="38" s="1"/>
  <c r="C6" i="38"/>
  <c r="B6" i="38" s="1"/>
  <c r="C5" i="38"/>
  <c r="B5" i="38" s="1"/>
  <c r="C4" i="38"/>
  <c r="B4" i="38" s="1"/>
  <c r="B8" i="38" l="1"/>
  <c r="D9" i="38"/>
  <c r="D10" i="38" s="1"/>
  <c r="I48" i="8"/>
  <c r="V9" i="3" s="1"/>
  <c r="H47" i="8"/>
  <c r="Q2" i="8"/>
  <c r="R2" i="8"/>
  <c r="Q3" i="8"/>
  <c r="R3" i="8"/>
  <c r="Q4" i="8"/>
  <c r="R4" i="8"/>
  <c r="Q5" i="8"/>
  <c r="R5" i="8"/>
  <c r="Q6" i="8"/>
  <c r="R6" i="8"/>
  <c r="Q7" i="8"/>
  <c r="R7" i="8"/>
  <c r="Q8" i="8"/>
  <c r="R8" i="8"/>
  <c r="Q9" i="8"/>
  <c r="Q41" i="8" s="1"/>
  <c r="R9" i="8"/>
  <c r="R41" i="8"/>
  <c r="Q10" i="8"/>
  <c r="Q42" i="8" s="1"/>
  <c r="R10" i="8"/>
  <c r="R42" i="8" s="1"/>
  <c r="B3" i="36"/>
  <c r="B2" i="36"/>
  <c r="J2" i="1"/>
  <c r="J3" i="1"/>
  <c r="J4" i="1"/>
  <c r="J5" i="1"/>
  <c r="J6" i="1"/>
  <c r="J7" i="1"/>
  <c r="J8" i="1"/>
  <c r="J9" i="1"/>
  <c r="J10" i="1"/>
  <c r="W2" i="3"/>
  <c r="B2" i="37" s="1"/>
  <c r="W3" i="3"/>
  <c r="B3" i="37" s="1"/>
  <c r="T2" i="3"/>
  <c r="T3" i="3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1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48" i="1"/>
  <c r="L13" i="8"/>
  <c r="L45" i="8" s="1"/>
  <c r="L14" i="8"/>
  <c r="L46" i="8" s="1"/>
  <c r="L15" i="8"/>
  <c r="L47" i="8" s="1"/>
  <c r="L17" i="8"/>
  <c r="L49" i="8" s="1"/>
  <c r="L18" i="8"/>
  <c r="L50" i="8" s="1"/>
  <c r="L19" i="8"/>
  <c r="L51" i="8" s="1"/>
  <c r="L20" i="8"/>
  <c r="F10" i="1"/>
  <c r="E10" i="1"/>
  <c r="Q12" i="8"/>
  <c r="Q44" i="8" s="1"/>
  <c r="R12" i="8"/>
  <c r="R44" i="8" s="1"/>
  <c r="Q13" i="8"/>
  <c r="Z13" i="1" s="1"/>
  <c r="T6" i="3" s="1"/>
  <c r="B6" i="36" s="1"/>
  <c r="R13" i="8"/>
  <c r="R45" i="8" s="1"/>
  <c r="Q14" i="8"/>
  <c r="Q46" i="8" s="1"/>
  <c r="R14" i="8"/>
  <c r="R46" i="8" s="1"/>
  <c r="Q15" i="8"/>
  <c r="Q47" i="8" s="1"/>
  <c r="R15" i="8"/>
  <c r="R47" i="8" s="1"/>
  <c r="Q16" i="8"/>
  <c r="Q48" i="8" s="1"/>
  <c r="R16" i="8"/>
  <c r="R48" i="8" s="1"/>
  <c r="Q17" i="8"/>
  <c r="Q49" i="8" s="1"/>
  <c r="R17" i="8"/>
  <c r="R49" i="8" s="1"/>
  <c r="Q18" i="8"/>
  <c r="Q50" i="8" s="1"/>
  <c r="R18" i="8"/>
  <c r="R50" i="8" s="1"/>
  <c r="Q19" i="8"/>
  <c r="Q51" i="8" s="1"/>
  <c r="R19" i="8"/>
  <c r="R51" i="8" s="1"/>
  <c r="Q20" i="8"/>
  <c r="Z20" i="1" s="1"/>
  <c r="R20" i="8"/>
  <c r="AB20" i="1" s="1"/>
  <c r="Q21" i="8"/>
  <c r="Z21" i="1" s="1"/>
  <c r="R21" i="8"/>
  <c r="AB21" i="1" s="1"/>
  <c r="Q22" i="8"/>
  <c r="Z22" i="1" s="1"/>
  <c r="R22" i="8"/>
  <c r="AB22" i="1" s="1"/>
  <c r="Q23" i="8"/>
  <c r="Z23" i="1" s="1"/>
  <c r="R23" i="8"/>
  <c r="AB23" i="1" s="1"/>
  <c r="Q24" i="8"/>
  <c r="Z24" i="1" s="1"/>
  <c r="R24" i="8"/>
  <c r="AB24" i="1" s="1"/>
  <c r="Q25" i="8"/>
  <c r="Z25" i="1" s="1"/>
  <c r="R25" i="8"/>
  <c r="AB25" i="1" s="1"/>
  <c r="Q26" i="8"/>
  <c r="Z26" i="1" s="1"/>
  <c r="R26" i="8"/>
  <c r="AB26" i="1" s="1"/>
  <c r="Q27" i="8"/>
  <c r="Z27" i="1" s="1"/>
  <c r="R27" i="8"/>
  <c r="AB27" i="1" s="1"/>
  <c r="Q28" i="8"/>
  <c r="Z28" i="1" s="1"/>
  <c r="R28" i="8"/>
  <c r="AB28" i="1" s="1"/>
  <c r="Q29" i="8"/>
  <c r="Z29" i="1" s="1"/>
  <c r="R29" i="8"/>
  <c r="AB29" i="1" s="1"/>
  <c r="Q30" i="8"/>
  <c r="Z30" i="1" s="1"/>
  <c r="R30" i="8"/>
  <c r="AB30" i="1" s="1"/>
  <c r="Q31" i="8"/>
  <c r="Z31" i="1" s="1"/>
  <c r="R31" i="8"/>
  <c r="AB31" i="1" s="1"/>
  <c r="Q32" i="8"/>
  <c r="Z32" i="1" s="1"/>
  <c r="R32" i="8"/>
  <c r="AB32" i="1" s="1"/>
  <c r="Q33" i="8"/>
  <c r="Z33" i="1" s="1"/>
  <c r="R33" i="8"/>
  <c r="AB33" i="1" s="1"/>
  <c r="Q34" i="8"/>
  <c r="Z34" i="1" s="1"/>
  <c r="R34" i="8"/>
  <c r="Q35" i="8"/>
  <c r="Z35" i="1" s="1"/>
  <c r="R35" i="8"/>
  <c r="AB35" i="1" s="1"/>
  <c r="Q36" i="8"/>
  <c r="Z36" i="1" s="1"/>
  <c r="R36" i="8"/>
  <c r="AB36" i="1" s="1"/>
  <c r="Q37" i="8"/>
  <c r="Z37" i="1" s="1"/>
  <c r="R37" i="8"/>
  <c r="AB37" i="1" s="1"/>
  <c r="Q38" i="8"/>
  <c r="Z38" i="1" s="1"/>
  <c r="R38" i="8"/>
  <c r="AB38" i="1" s="1"/>
  <c r="Q39" i="8"/>
  <c r="Z39" i="1" s="1"/>
  <c r="R39" i="8"/>
  <c r="AB39" i="1" s="1"/>
  <c r="R11" i="8"/>
  <c r="AB11" i="1" s="1"/>
  <c r="W4" i="3" s="1"/>
  <c r="B4" i="37" s="1"/>
  <c r="Q11" i="8"/>
  <c r="Q43" i="8" s="1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A2" i="37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R43" i="8" l="1"/>
  <c r="B9" i="38"/>
  <c r="D11" i="38"/>
  <c r="B10" i="38"/>
  <c r="W14" i="3"/>
  <c r="B14" i="37" s="1"/>
  <c r="AB16" i="1"/>
  <c r="W9" i="3" s="1"/>
  <c r="B9" i="37" s="1"/>
  <c r="AB14" i="1"/>
  <c r="W7" i="3" s="1"/>
  <c r="B7" i="37" s="1"/>
  <c r="W16" i="3"/>
  <c r="B16" i="37" s="1"/>
  <c r="T16" i="3"/>
  <c r="B16" i="36" s="1"/>
  <c r="R54" i="8"/>
  <c r="Z14" i="1"/>
  <c r="T7" i="3" s="1"/>
  <c r="B7" i="36" s="1"/>
  <c r="AB34" i="1"/>
  <c r="W15" i="3" s="1"/>
  <c r="B15" i="37" s="1"/>
  <c r="W13" i="3"/>
  <c r="B13" i="37" s="1"/>
  <c r="AB19" i="1"/>
  <c r="W12" i="3" s="1"/>
  <c r="B12" i="37" s="1"/>
  <c r="AB18" i="1"/>
  <c r="W11" i="3" s="1"/>
  <c r="B11" i="37" s="1"/>
  <c r="Q55" i="8"/>
  <c r="AB17" i="1"/>
  <c r="W10" i="3" s="1"/>
  <c r="B10" i="37" s="1"/>
  <c r="T15" i="3"/>
  <c r="B15" i="36" s="1"/>
  <c r="AB15" i="1"/>
  <c r="W8" i="3" s="1"/>
  <c r="B8" i="37" s="1"/>
  <c r="AB13" i="1"/>
  <c r="W6" i="3" s="1"/>
  <c r="B6" i="37" s="1"/>
  <c r="AB12" i="1"/>
  <c r="W5" i="3" s="1"/>
  <c r="B5" i="37" s="1"/>
  <c r="Z16" i="1"/>
  <c r="T9" i="3" s="1"/>
  <c r="B9" i="36" s="1"/>
  <c r="Q45" i="8"/>
  <c r="R52" i="8"/>
  <c r="Z15" i="1"/>
  <c r="T8" i="3" s="1"/>
  <c r="B8" i="36" s="1"/>
  <c r="T14" i="3"/>
  <c r="B14" i="36" s="1"/>
  <c r="T13" i="3"/>
  <c r="B13" i="36" s="1"/>
  <c r="Z12" i="1"/>
  <c r="T5" i="3" s="1"/>
  <c r="B5" i="36" s="1"/>
  <c r="Z19" i="1"/>
  <c r="T12" i="3" s="1"/>
  <c r="B12" i="36" s="1"/>
  <c r="Q54" i="8"/>
  <c r="Z11" i="1"/>
  <c r="Z18" i="1"/>
  <c r="T11" i="3" s="1"/>
  <c r="B11" i="36" s="1"/>
  <c r="Z17" i="1"/>
  <c r="T10" i="3" s="1"/>
  <c r="B10" i="36" s="1"/>
  <c r="Q53" i="8"/>
  <c r="R53" i="8"/>
  <c r="Q52" i="8"/>
  <c r="R55" i="8"/>
  <c r="AB41" i="1" l="1"/>
  <c r="D12" i="38"/>
  <c r="B11" i="38"/>
  <c r="AB40" i="1"/>
  <c r="Z40" i="1"/>
  <c r="Z41" i="1"/>
  <c r="T4" i="3"/>
  <c r="B4" i="36" s="1"/>
  <c r="D15" i="1"/>
  <c r="AG10" i="1"/>
  <c r="D13" i="38" l="1"/>
  <c r="B12" i="38"/>
  <c r="P10" i="1"/>
  <c r="O10" i="1"/>
  <c r="C11" i="1"/>
  <c r="C9" i="1"/>
  <c r="D14" i="38" l="1"/>
  <c r="B13" i="38"/>
  <c r="E9" i="1"/>
  <c r="K10" i="1"/>
  <c r="L10" i="1" s="1"/>
  <c r="M10" i="1"/>
  <c r="N10" i="1"/>
  <c r="D15" i="38" l="1"/>
  <c r="B14" i="38"/>
  <c r="I10" i="1"/>
  <c r="AF10" i="1"/>
  <c r="D16" i="38" l="1"/>
  <c r="B15" i="38"/>
  <c r="B2" i="8"/>
  <c r="B3" i="8"/>
  <c r="B4" i="8"/>
  <c r="B5" i="8"/>
  <c r="B6" i="8"/>
  <c r="B7" i="8"/>
  <c r="B8" i="8"/>
  <c r="B9" i="8"/>
  <c r="B10" i="8"/>
  <c r="C2" i="8"/>
  <c r="C3" i="8"/>
  <c r="C4" i="8"/>
  <c r="C5" i="8"/>
  <c r="C6" i="8"/>
  <c r="C7" i="8"/>
  <c r="C8" i="8"/>
  <c r="C9" i="8"/>
  <c r="C10" i="8"/>
  <c r="D2" i="8"/>
  <c r="D3" i="8"/>
  <c r="D4" i="8"/>
  <c r="D5" i="8"/>
  <c r="D6" i="8"/>
  <c r="D7" i="8"/>
  <c r="D8" i="8"/>
  <c r="D9" i="8"/>
  <c r="D10" i="8"/>
  <c r="D17" i="38" l="1"/>
  <c r="B17" i="38" s="1"/>
  <c r="B16" i="38"/>
  <c r="B3" i="3"/>
  <c r="B4" i="3" s="1"/>
  <c r="B5" i="3" s="1"/>
  <c r="B6" i="3" s="1"/>
  <c r="B7" i="3" s="1"/>
  <c r="B8" i="3" s="1"/>
  <c r="B9" i="3" s="1"/>
  <c r="B10" i="3" s="1"/>
  <c r="B11" i="3" s="1"/>
  <c r="B12" i="3" s="1"/>
  <c r="C3" i="3"/>
  <c r="A3" i="9" s="1"/>
  <c r="A3" i="3"/>
  <c r="A4" i="3" s="1"/>
  <c r="A5" i="3" s="1"/>
  <c r="A6" i="3" s="1"/>
  <c r="A7" i="3" s="1"/>
  <c r="A8" i="3" s="1"/>
  <c r="A9" i="3" s="1"/>
  <c r="A10" i="3" s="1"/>
  <c r="A11" i="3" s="1"/>
  <c r="A12" i="3" s="1"/>
  <c r="F3" i="3"/>
  <c r="B3" i="30" s="1"/>
  <c r="M3" i="3"/>
  <c r="N3" i="3"/>
  <c r="B3" i="22" s="1"/>
  <c r="P3" i="3"/>
  <c r="Q3" i="3"/>
  <c r="Z3" i="3"/>
  <c r="B3" i="35" s="1"/>
  <c r="M4" i="3"/>
  <c r="P4" i="3"/>
  <c r="Q4" i="3"/>
  <c r="R4" i="3" s="1"/>
  <c r="Z4" i="3"/>
  <c r="B4" i="35" s="1"/>
  <c r="P5" i="3"/>
  <c r="Z5" i="3"/>
  <c r="B5" i="35" s="1"/>
  <c r="Z6" i="3"/>
  <c r="B6" i="35" s="1"/>
  <c r="Z7" i="3"/>
  <c r="B7" i="35" s="1"/>
  <c r="Z8" i="3"/>
  <c r="B8" i="35" s="1"/>
  <c r="Z9" i="3"/>
  <c r="B9" i="35" s="1"/>
  <c r="Z10" i="3"/>
  <c r="B10" i="35" s="1"/>
  <c r="Z11" i="3"/>
  <c r="B11" i="35" s="1"/>
  <c r="Z12" i="3"/>
  <c r="B12" i="35" s="1"/>
  <c r="H42" i="8"/>
  <c r="I42" i="8"/>
  <c r="H43" i="8"/>
  <c r="I43" i="8"/>
  <c r="H44" i="8"/>
  <c r="H45" i="8"/>
  <c r="H46" i="8"/>
  <c r="H48" i="8"/>
  <c r="M48" i="8" s="1"/>
  <c r="H49" i="8"/>
  <c r="H50" i="8"/>
  <c r="C14" i="7"/>
  <c r="B14" i="7" s="1"/>
  <c r="C13" i="7"/>
  <c r="B13" i="7" s="1"/>
  <c r="C12" i="7"/>
  <c r="B12" i="7" s="1"/>
  <c r="C11" i="7"/>
  <c r="B11" i="7" s="1"/>
  <c r="C10" i="7"/>
  <c r="B10" i="7" s="1"/>
  <c r="C9" i="7"/>
  <c r="B9" i="7" s="1"/>
  <c r="C8" i="7"/>
  <c r="B8" i="7" s="1"/>
  <c r="C7" i="7"/>
  <c r="B7" i="7" s="1"/>
  <c r="C6" i="7"/>
  <c r="B6" i="7" s="1"/>
  <c r="C5" i="7"/>
  <c r="B5" i="7" s="1"/>
  <c r="B42" i="8" s="1"/>
  <c r="A3" i="6"/>
  <c r="A3" i="30"/>
  <c r="A3" i="21"/>
  <c r="A3" i="23"/>
  <c r="A3" i="35"/>
  <c r="V3" i="3" l="1"/>
  <c r="M42" i="8"/>
  <c r="V4" i="3"/>
  <c r="K43" i="8"/>
  <c r="M43" i="8"/>
  <c r="B43" i="8"/>
  <c r="B11" i="8" s="1"/>
  <c r="C11" i="8" s="1"/>
  <c r="D11" i="8" s="1"/>
  <c r="N11" i="8" s="1"/>
  <c r="O11" i="8" s="1"/>
  <c r="B44" i="8"/>
  <c r="B12" i="8" s="1"/>
  <c r="C12" i="8" s="1"/>
  <c r="D12" i="8" s="1"/>
  <c r="D44" i="8" s="1"/>
  <c r="B45" i="8"/>
  <c r="B13" i="8" s="1"/>
  <c r="C13" i="8" s="1"/>
  <c r="D13" i="8" s="1"/>
  <c r="N13" i="8" s="1"/>
  <c r="B46" i="8"/>
  <c r="B14" i="8" s="1"/>
  <c r="C14" i="8" s="1"/>
  <c r="D14" i="8" s="1"/>
  <c r="B47" i="8"/>
  <c r="B15" i="8" s="1"/>
  <c r="C15" i="8" s="1"/>
  <c r="D15" i="8" s="1"/>
  <c r="B48" i="8"/>
  <c r="B16" i="8" s="1"/>
  <c r="C16" i="8" s="1"/>
  <c r="D16" i="8" s="1"/>
  <c r="N16" i="8" s="1"/>
  <c r="O16" i="8" s="1"/>
  <c r="B49" i="8"/>
  <c r="B17" i="8" s="1"/>
  <c r="C17" i="8" s="1"/>
  <c r="D17" i="8" s="1"/>
  <c r="B51" i="8"/>
  <c r="B19" i="8" s="1"/>
  <c r="C19" i="8" s="1"/>
  <c r="D19" i="8" s="1"/>
  <c r="R3" i="3"/>
  <c r="B3" i="23" s="1"/>
  <c r="A3" i="31"/>
  <c r="A3" i="25"/>
  <c r="A3" i="22"/>
  <c r="A3" i="10"/>
  <c r="A3" i="5"/>
  <c r="A3" i="24"/>
  <c r="A3" i="32"/>
  <c r="C4" i="3"/>
  <c r="B50" i="8"/>
  <c r="B18" i="8" s="1"/>
  <c r="C18" i="8" s="1"/>
  <c r="D18" i="8" s="1"/>
  <c r="B4" i="23"/>
  <c r="Y4" i="3"/>
  <c r="B4" i="32" s="1"/>
  <c r="O3" i="3" l="1"/>
  <c r="B3" i="24" s="1"/>
  <c r="C5" i="3"/>
  <c r="A4" i="25"/>
  <c r="A4" i="31"/>
  <c r="A4" i="9"/>
  <c r="A4" i="24"/>
  <c r="A4" i="23"/>
  <c r="A4" i="10"/>
  <c r="A4" i="22"/>
  <c r="A4" i="32"/>
  <c r="A4" i="6"/>
  <c r="A4" i="21"/>
  <c r="A4" i="5"/>
  <c r="A4" i="35"/>
  <c r="A4" i="30"/>
  <c r="C4" i="7"/>
  <c r="B4" i="7" s="1"/>
  <c r="C15" i="7"/>
  <c r="B15" i="7" s="1"/>
  <c r="C16" i="7"/>
  <c r="B16" i="7" s="1"/>
  <c r="L39" i="8"/>
  <c r="M2" i="3"/>
  <c r="A5" i="9" l="1"/>
  <c r="A5" i="10"/>
  <c r="A5" i="21"/>
  <c r="A5" i="31"/>
  <c r="A5" i="25"/>
  <c r="C6" i="3"/>
  <c r="A5" i="32"/>
  <c r="A5" i="30"/>
  <c r="A5" i="24"/>
  <c r="A5" i="6"/>
  <c r="A5" i="5"/>
  <c r="A5" i="22"/>
  <c r="A5" i="35"/>
  <c r="A5" i="23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6" i="1"/>
  <c r="AI5" i="1"/>
  <c r="AH10" i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9" i="1"/>
  <c r="AH8" i="1"/>
  <c r="AH7" i="1"/>
  <c r="AH5" i="1"/>
  <c r="A2" i="35"/>
  <c r="F3" i="1"/>
  <c r="L4" i="1"/>
  <c r="L3" i="1"/>
  <c r="F5" i="1"/>
  <c r="I55" i="8"/>
  <c r="V16" i="3" s="1"/>
  <c r="I54" i="8"/>
  <c r="I41" i="8"/>
  <c r="AG9" i="1"/>
  <c r="AE10" i="1" s="1"/>
  <c r="AA3" i="3" s="1"/>
  <c r="V2" i="3" l="1"/>
  <c r="V15" i="3"/>
  <c r="M54" i="8"/>
  <c r="AF9" i="1"/>
  <c r="A6" i="25"/>
  <c r="A6" i="35"/>
  <c r="A6" i="9"/>
  <c r="A6" i="31"/>
  <c r="A6" i="32"/>
  <c r="A6" i="5"/>
  <c r="A6" i="23"/>
  <c r="A6" i="30"/>
  <c r="A6" i="24"/>
  <c r="A6" i="6"/>
  <c r="A6" i="10"/>
  <c r="A6" i="21"/>
  <c r="A6" i="22"/>
  <c r="C7" i="3"/>
  <c r="Z2" i="3"/>
  <c r="B2" i="35" s="1"/>
  <c r="E2" i="8"/>
  <c r="F2" i="8" s="1"/>
  <c r="G2" i="8" s="1"/>
  <c r="AA2" i="1" s="1"/>
  <c r="E3" i="8"/>
  <c r="F3" i="8" s="1"/>
  <c r="G3" i="8" s="1"/>
  <c r="AA3" i="1" s="1"/>
  <c r="E4" i="8"/>
  <c r="F4" i="8" s="1"/>
  <c r="G4" i="8" s="1"/>
  <c r="AA4" i="1" s="1"/>
  <c r="E5" i="8"/>
  <c r="E6" i="8"/>
  <c r="F6" i="8" s="1"/>
  <c r="G6" i="8" s="1"/>
  <c r="AA6" i="1" s="1"/>
  <c r="E7" i="8"/>
  <c r="F7" i="8" s="1"/>
  <c r="G7" i="8" s="1"/>
  <c r="AA7" i="1" s="1"/>
  <c r="E8" i="8"/>
  <c r="F5" i="8"/>
  <c r="G5" i="8" s="1"/>
  <c r="AA5" i="1" s="1"/>
  <c r="M9" i="8"/>
  <c r="H41" i="8"/>
  <c r="M41" i="8" s="1"/>
  <c r="A7" i="6" l="1"/>
  <c r="A7" i="25"/>
  <c r="A7" i="24"/>
  <c r="A7" i="32"/>
  <c r="C8" i="3"/>
  <c r="A7" i="23"/>
  <c r="A7" i="9"/>
  <c r="A7" i="10"/>
  <c r="A7" i="22"/>
  <c r="A7" i="30"/>
  <c r="A7" i="35"/>
  <c r="A7" i="5"/>
  <c r="A7" i="21"/>
  <c r="A7" i="31"/>
  <c r="F8" i="8"/>
  <c r="G8" i="8" s="1"/>
  <c r="AA8" i="1" s="1"/>
  <c r="Q2" i="3"/>
  <c r="P2" i="3"/>
  <c r="A8" i="22" l="1"/>
  <c r="A8" i="6"/>
  <c r="A8" i="9"/>
  <c r="A8" i="10"/>
  <c r="A8" i="30"/>
  <c r="C9" i="3"/>
  <c r="A8" i="5"/>
  <c r="A8" i="23"/>
  <c r="A8" i="25"/>
  <c r="A8" i="21"/>
  <c r="A8" i="32"/>
  <c r="A8" i="24"/>
  <c r="A8" i="35"/>
  <c r="A8" i="31"/>
  <c r="A17" i="7"/>
  <c r="A18" i="7" s="1"/>
  <c r="A13" i="3"/>
  <c r="A14" i="3" s="1"/>
  <c r="A15" i="3" s="1"/>
  <c r="A16" i="3" s="1"/>
  <c r="R2" i="3"/>
  <c r="A52" i="8"/>
  <c r="A53" i="8" s="1"/>
  <c r="A54" i="8" s="1"/>
  <c r="A55" i="8" s="1"/>
  <c r="C42" i="8"/>
  <c r="A9" i="5" l="1"/>
  <c r="A9" i="9"/>
  <c r="A9" i="10"/>
  <c r="A9" i="24"/>
  <c r="A9" i="30"/>
  <c r="A9" i="22"/>
  <c r="C10" i="3"/>
  <c r="A9" i="23"/>
  <c r="A9" i="35"/>
  <c r="A9" i="21"/>
  <c r="A9" i="6"/>
  <c r="A9" i="32"/>
  <c r="A9" i="25"/>
  <c r="A9" i="31"/>
  <c r="B13" i="3"/>
  <c r="D42" i="8"/>
  <c r="C11" i="3" l="1"/>
  <c r="A10" i="32"/>
  <c r="A10" i="24"/>
  <c r="A10" i="5"/>
  <c r="A10" i="6"/>
  <c r="A10" i="25"/>
  <c r="A10" i="30"/>
  <c r="A10" i="22"/>
  <c r="A10" i="35"/>
  <c r="A10" i="31"/>
  <c r="A10" i="23"/>
  <c r="A10" i="9"/>
  <c r="A10" i="21"/>
  <c r="A10" i="10"/>
  <c r="C13" i="3"/>
  <c r="B14" i="3"/>
  <c r="I44" i="8" l="1"/>
  <c r="A11" i="32"/>
  <c r="A11" i="5"/>
  <c r="A11" i="9"/>
  <c r="A11" i="31"/>
  <c r="A11" i="23"/>
  <c r="A11" i="10"/>
  <c r="A11" i="22"/>
  <c r="A11" i="24"/>
  <c r="A11" i="21"/>
  <c r="C12" i="3"/>
  <c r="A11" i="25"/>
  <c r="A11" i="30"/>
  <c r="A11" i="35"/>
  <c r="A11" i="6"/>
  <c r="A13" i="23"/>
  <c r="A13" i="30"/>
  <c r="A13" i="22"/>
  <c r="A13" i="10"/>
  <c r="A13" i="6"/>
  <c r="A13" i="9"/>
  <c r="A13" i="31"/>
  <c r="A13" i="5"/>
  <c r="A13" i="21"/>
  <c r="A13" i="35"/>
  <c r="A13" i="25"/>
  <c r="A13" i="24"/>
  <c r="A13" i="32"/>
  <c r="Y2" i="3"/>
  <c r="B2" i="32" s="1"/>
  <c r="C14" i="3"/>
  <c r="B15" i="3"/>
  <c r="V10" i="1"/>
  <c r="AO10" i="1" s="1"/>
  <c r="AC2" i="1"/>
  <c r="AC3" i="1"/>
  <c r="AC4" i="1"/>
  <c r="AC5" i="1"/>
  <c r="AC6" i="1"/>
  <c r="AC7" i="1"/>
  <c r="AC8" i="1"/>
  <c r="AC9" i="1"/>
  <c r="AC10" i="1"/>
  <c r="AC30" i="1"/>
  <c r="AC31" i="1"/>
  <c r="AC32" i="1"/>
  <c r="AC33" i="1"/>
  <c r="AC34" i="1"/>
  <c r="AC35" i="1"/>
  <c r="AC36" i="1"/>
  <c r="AC37" i="1"/>
  <c r="AC38" i="1"/>
  <c r="AC39" i="1"/>
  <c r="AC1" i="1"/>
  <c r="AD1" i="1"/>
  <c r="L3" i="8"/>
  <c r="L4" i="8"/>
  <c r="L5" i="8"/>
  <c r="L6" i="8"/>
  <c r="L7" i="8"/>
  <c r="L8" i="8"/>
  <c r="L9" i="8"/>
  <c r="L41" i="8" s="1"/>
  <c r="K41" i="8" s="1"/>
  <c r="L10" i="8"/>
  <c r="L42" i="8" s="1"/>
  <c r="L32" i="8"/>
  <c r="L33" i="8"/>
  <c r="L34" i="8"/>
  <c r="L35" i="8"/>
  <c r="L37" i="8"/>
  <c r="L38" i="8"/>
  <c r="L2" i="8"/>
  <c r="A2" i="32"/>
  <c r="A2" i="31"/>
  <c r="A2" i="30"/>
  <c r="M3" i="8"/>
  <c r="AD3" i="1" s="1"/>
  <c r="M4" i="8"/>
  <c r="AD4" i="1" s="1"/>
  <c r="M5" i="8"/>
  <c r="AD5" i="1" s="1"/>
  <c r="M6" i="8"/>
  <c r="AD6" i="1" s="1"/>
  <c r="M7" i="8"/>
  <c r="AD7" i="1" s="1"/>
  <c r="M8" i="8"/>
  <c r="AD8" i="1" s="1"/>
  <c r="M10" i="8"/>
  <c r="Y3" i="3" s="1"/>
  <c r="B3" i="32" s="1"/>
  <c r="Q12" i="1"/>
  <c r="Q13" i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I2" i="1"/>
  <c r="I3" i="1"/>
  <c r="I4" i="1"/>
  <c r="I5" i="1"/>
  <c r="R12" i="1"/>
  <c r="R13" i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S11" i="1"/>
  <c r="T11" i="1"/>
  <c r="R11" i="1"/>
  <c r="F4" i="1"/>
  <c r="F2" i="1"/>
  <c r="L5" i="1"/>
  <c r="Q11" i="1"/>
  <c r="K42" i="8" l="1"/>
  <c r="O42" i="8"/>
  <c r="U3" i="3" s="1"/>
  <c r="L55" i="8"/>
  <c r="K55" i="8" s="1"/>
  <c r="V5" i="3"/>
  <c r="K44" i="8"/>
  <c r="M44" i="8"/>
  <c r="N44" i="8" s="1"/>
  <c r="O44" i="8" s="1"/>
  <c r="E44" i="8" s="1"/>
  <c r="I45" i="8"/>
  <c r="A12" i="5"/>
  <c r="A12" i="31"/>
  <c r="A12" i="23"/>
  <c r="A12" i="6"/>
  <c r="A12" i="24"/>
  <c r="A12" i="21"/>
  <c r="A12" i="10"/>
  <c r="A12" i="32"/>
  <c r="A12" i="9"/>
  <c r="A12" i="22"/>
  <c r="A12" i="25"/>
  <c r="A12" i="35"/>
  <c r="A12" i="30"/>
  <c r="X3" i="3"/>
  <c r="B3" i="39" s="1"/>
  <c r="A14" i="23"/>
  <c r="A14" i="24"/>
  <c r="A14" i="30"/>
  <c r="A14" i="22"/>
  <c r="A14" i="9"/>
  <c r="A14" i="31"/>
  <c r="A14" i="5"/>
  <c r="A14" i="35"/>
  <c r="A14" i="21"/>
  <c r="A14" i="10"/>
  <c r="A14" i="32"/>
  <c r="A14" i="6"/>
  <c r="A14" i="25"/>
  <c r="C15" i="3"/>
  <c r="B16" i="3"/>
  <c r="C16" i="3" s="1"/>
  <c r="S12" i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T12" i="1"/>
  <c r="AD10" i="1"/>
  <c r="AD9" i="1"/>
  <c r="AC11" i="1"/>
  <c r="AC12" i="1"/>
  <c r="A2" i="25"/>
  <c r="A2" i="24"/>
  <c r="A2" i="23"/>
  <c r="A2" i="22"/>
  <c r="A2" i="21"/>
  <c r="A2" i="6"/>
  <c r="A2" i="5"/>
  <c r="A2" i="10"/>
  <c r="A2" i="9"/>
  <c r="C18" i="7"/>
  <c r="B18" i="7" s="1"/>
  <c r="C17" i="7"/>
  <c r="B17" i="7" s="1"/>
  <c r="U11" i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W10" i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X10" i="1"/>
  <c r="U5" i="3" l="1"/>
  <c r="V6" i="3"/>
  <c r="M45" i="8"/>
  <c r="B3" i="31"/>
  <c r="E10" i="8"/>
  <c r="F10" i="8" s="1"/>
  <c r="F42" i="8" s="1"/>
  <c r="X4" i="3"/>
  <c r="B4" i="39" s="1"/>
  <c r="I46" i="8"/>
  <c r="X5" i="3"/>
  <c r="B5" i="39" s="1"/>
  <c r="A16" i="24"/>
  <c r="A16" i="10"/>
  <c r="A16" i="32"/>
  <c r="A16" i="6"/>
  <c r="A16" i="25"/>
  <c r="A16" i="23"/>
  <c r="A16" i="35"/>
  <c r="A16" i="30"/>
  <c r="A16" i="22"/>
  <c r="A16" i="9"/>
  <c r="A16" i="31"/>
  <c r="A16" i="5"/>
  <c r="A16" i="21"/>
  <c r="A15" i="10"/>
  <c r="A15" i="32"/>
  <c r="A15" i="6"/>
  <c r="A15" i="25"/>
  <c r="A15" i="23"/>
  <c r="A15" i="30"/>
  <c r="A15" i="22"/>
  <c r="A15" i="9"/>
  <c r="A15" i="31"/>
  <c r="A15" i="5"/>
  <c r="A15" i="21"/>
  <c r="A15" i="35"/>
  <c r="A15" i="24"/>
  <c r="X11" i="1"/>
  <c r="T13" i="1"/>
  <c r="X16" i="3"/>
  <c r="B16" i="39" s="1"/>
  <c r="B52" i="8"/>
  <c r="B22" i="8" s="1"/>
  <c r="B41" i="8"/>
  <c r="B53" i="8"/>
  <c r="B27" i="8" s="1"/>
  <c r="B54" i="8"/>
  <c r="B32" i="8" s="1"/>
  <c r="B55" i="8"/>
  <c r="B35" i="8" s="1"/>
  <c r="N11" i="1"/>
  <c r="V7" i="3" l="1"/>
  <c r="M46" i="8"/>
  <c r="B16" i="31"/>
  <c r="G10" i="8"/>
  <c r="G42" i="8" s="1"/>
  <c r="B5" i="31"/>
  <c r="B4" i="31"/>
  <c r="B36" i="8"/>
  <c r="B37" i="8" s="1"/>
  <c r="B38" i="8" s="1"/>
  <c r="AK10" i="1"/>
  <c r="X12" i="1"/>
  <c r="G11" i="1"/>
  <c r="F4" i="3" s="1"/>
  <c r="B4" i="30" s="1"/>
  <c r="T14" i="1"/>
  <c r="AC13" i="1"/>
  <c r="N10" i="8"/>
  <c r="O10" i="8" s="1"/>
  <c r="Y10" i="1"/>
  <c r="S3" i="3" s="1"/>
  <c r="N8" i="8"/>
  <c r="N6" i="8"/>
  <c r="N5" i="8"/>
  <c r="N3" i="8"/>
  <c r="O3" i="8" s="1"/>
  <c r="AA10" i="1" l="1"/>
  <c r="B3" i="9"/>
  <c r="B3" i="10"/>
  <c r="K45" i="8"/>
  <c r="I47" i="8"/>
  <c r="K3" i="3"/>
  <c r="B3" i="6" s="1"/>
  <c r="J4" i="3"/>
  <c r="X6" i="3"/>
  <c r="B6" i="39" s="1"/>
  <c r="X13" i="1"/>
  <c r="G12" i="1"/>
  <c r="F5" i="3" s="1"/>
  <c r="B5" i="30" s="1"/>
  <c r="T15" i="1"/>
  <c r="B39" i="8"/>
  <c r="C36" i="8" s="1"/>
  <c r="D36" i="8" s="1"/>
  <c r="N36" i="8" s="1"/>
  <c r="C38" i="8"/>
  <c r="D38" i="8" s="1"/>
  <c r="AC14" i="1"/>
  <c r="M2" i="8"/>
  <c r="AD2" i="1" s="1"/>
  <c r="Y2" i="1"/>
  <c r="Y3" i="1"/>
  <c r="O5" i="8"/>
  <c r="Y5" i="1"/>
  <c r="Y6" i="1"/>
  <c r="O6" i="8"/>
  <c r="Y8" i="1"/>
  <c r="O8" i="8"/>
  <c r="N4" i="8"/>
  <c r="O4" i="8" s="1"/>
  <c r="N7" i="8"/>
  <c r="L2" i="1"/>
  <c r="V8" i="3" l="1"/>
  <c r="M47" i="8"/>
  <c r="K46" i="8"/>
  <c r="B6" i="31"/>
  <c r="C35" i="8"/>
  <c r="D35" i="8" s="1"/>
  <c r="X7" i="3"/>
  <c r="B7" i="39" s="1"/>
  <c r="X14" i="1"/>
  <c r="G13" i="1"/>
  <c r="F6" i="3" s="1"/>
  <c r="B6" i="30" s="1"/>
  <c r="T16" i="1"/>
  <c r="C39" i="8"/>
  <c r="D39" i="8" s="1"/>
  <c r="C37" i="8"/>
  <c r="D37" i="8" s="1"/>
  <c r="N2" i="8"/>
  <c r="O2" i="8" s="1"/>
  <c r="AC15" i="1"/>
  <c r="Y7" i="1"/>
  <c r="O7" i="8"/>
  <c r="Y4" i="1"/>
  <c r="A3" i="8"/>
  <c r="A4" i="8" s="1"/>
  <c r="A5" i="8" s="1"/>
  <c r="A6" i="8" s="1"/>
  <c r="A7" i="8" s="1"/>
  <c r="A8" i="8" s="1"/>
  <c r="A9" i="8" s="1"/>
  <c r="A10" i="8" s="1"/>
  <c r="A11" i="8" s="1"/>
  <c r="K47" i="8" l="1"/>
  <c r="B7" i="31"/>
  <c r="I50" i="8"/>
  <c r="I49" i="8"/>
  <c r="X8" i="3"/>
  <c r="B8" i="39" s="1"/>
  <c r="A12" i="8"/>
  <c r="A13" i="8" s="1"/>
  <c r="A14" i="8" s="1"/>
  <c r="X15" i="1"/>
  <c r="G14" i="1"/>
  <c r="F7" i="3" s="1"/>
  <c r="B7" i="30" s="1"/>
  <c r="T17" i="1"/>
  <c r="D55" i="8"/>
  <c r="C55" i="8"/>
  <c r="AC16" i="1"/>
  <c r="V10" i="3" l="1"/>
  <c r="K49" i="8"/>
  <c r="M49" i="8"/>
  <c r="V11" i="3"/>
  <c r="M50" i="8"/>
  <c r="B8" i="31"/>
  <c r="I51" i="8"/>
  <c r="K48" i="8"/>
  <c r="X16" i="1"/>
  <c r="G15" i="1"/>
  <c r="F8" i="3" s="1"/>
  <c r="B8" i="30" s="1"/>
  <c r="T18" i="1"/>
  <c r="A15" i="8"/>
  <c r="AC17" i="1"/>
  <c r="Y39" i="1"/>
  <c r="V12" i="3" l="1"/>
  <c r="M51" i="8"/>
  <c r="X10" i="3"/>
  <c r="B10" i="39" s="1"/>
  <c r="X9" i="3"/>
  <c r="B9" i="39" s="1"/>
  <c r="X17" i="1"/>
  <c r="G16" i="1"/>
  <c r="F9" i="3" s="1"/>
  <c r="B9" i="30" s="1"/>
  <c r="T19" i="1"/>
  <c r="A16" i="8"/>
  <c r="AC18" i="1"/>
  <c r="K50" i="8"/>
  <c r="X11" i="3" l="1"/>
  <c r="B11" i="39" s="1"/>
  <c r="B9" i="31"/>
  <c r="B10" i="31"/>
  <c r="C41" i="8"/>
  <c r="X18" i="1"/>
  <c r="G17" i="1"/>
  <c r="F10" i="3" s="1"/>
  <c r="B10" i="30" s="1"/>
  <c r="T20" i="1"/>
  <c r="A17" i="8"/>
  <c r="AC19" i="1"/>
  <c r="K51" i="8"/>
  <c r="Y38" i="1"/>
  <c r="B11" i="31" l="1"/>
  <c r="X12" i="3"/>
  <c r="B12" i="39" s="1"/>
  <c r="X19" i="1"/>
  <c r="G18" i="1"/>
  <c r="F11" i="3" s="1"/>
  <c r="B11" i="30" s="1"/>
  <c r="T21" i="1"/>
  <c r="N9" i="8"/>
  <c r="O9" i="8" s="1"/>
  <c r="A18" i="8"/>
  <c r="C46" i="8"/>
  <c r="AC20" i="1"/>
  <c r="Y37" i="1"/>
  <c r="Y9" i="1"/>
  <c r="B12" i="31" l="1"/>
  <c r="D46" i="8"/>
  <c r="N46" i="8" s="1"/>
  <c r="O46" i="8" s="1"/>
  <c r="E46" i="8" s="1"/>
  <c r="C43" i="8"/>
  <c r="C45" i="8"/>
  <c r="C44" i="8"/>
  <c r="X20" i="1"/>
  <c r="G19" i="1"/>
  <c r="F12" i="3" s="1"/>
  <c r="B12" i="30" s="1"/>
  <c r="T22" i="1"/>
  <c r="S2" i="3"/>
  <c r="A19" i="8"/>
  <c r="AC21" i="1"/>
  <c r="L21" i="8"/>
  <c r="Y36" i="1"/>
  <c r="Y35" i="1"/>
  <c r="U7" i="3" l="1"/>
  <c r="I52" i="8"/>
  <c r="D45" i="8"/>
  <c r="N45" i="8" s="1"/>
  <c r="O45" i="8" s="1"/>
  <c r="E45" i="8" s="1"/>
  <c r="D43" i="8"/>
  <c r="N43" i="8" s="1"/>
  <c r="O43" i="8" s="1"/>
  <c r="E43" i="8" s="1"/>
  <c r="X21" i="1"/>
  <c r="G20" i="1"/>
  <c r="S16" i="3"/>
  <c r="T23" i="1"/>
  <c r="B2" i="9"/>
  <c r="A20" i="8"/>
  <c r="AC22" i="1"/>
  <c r="L22" i="8"/>
  <c r="X9" i="1"/>
  <c r="V9" i="1"/>
  <c r="O9" i="1"/>
  <c r="P9" i="1"/>
  <c r="W9" i="1"/>
  <c r="N9" i="1"/>
  <c r="M9" i="1" s="1"/>
  <c r="AG8" i="1"/>
  <c r="AF8" i="1" s="1"/>
  <c r="X8" i="1"/>
  <c r="V8" i="1"/>
  <c r="P8" i="1"/>
  <c r="O8" i="1"/>
  <c r="W8" i="1"/>
  <c r="N8" i="1"/>
  <c r="M8" i="1" s="1"/>
  <c r="AG7" i="1"/>
  <c r="AF7" i="1" s="1"/>
  <c r="X7" i="1"/>
  <c r="P7" i="1"/>
  <c r="O7" i="1"/>
  <c r="H7" i="1" s="1"/>
  <c r="W7" i="1"/>
  <c r="N7" i="1"/>
  <c r="M7" i="1" s="1"/>
  <c r="E8" i="1" s="1"/>
  <c r="AG6" i="1"/>
  <c r="AF6" i="1" s="1"/>
  <c r="X6" i="1"/>
  <c r="G6" i="1" s="1"/>
  <c r="P6" i="1"/>
  <c r="O6" i="1"/>
  <c r="W6" i="1"/>
  <c r="N6" i="1"/>
  <c r="AG5" i="1"/>
  <c r="AF5" i="1" s="1"/>
  <c r="X5" i="1"/>
  <c r="W5" i="1"/>
  <c r="P5" i="1"/>
  <c r="O5" i="1"/>
  <c r="N5" i="1"/>
  <c r="M5" i="1" s="1"/>
  <c r="C2" i="1"/>
  <c r="C3" i="1" s="1"/>
  <c r="C4" i="1" s="1"/>
  <c r="C5" i="1" s="1"/>
  <c r="C6" i="1" s="1"/>
  <c r="C7" i="1" s="1"/>
  <c r="C8" i="1" s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U4" i="3" l="1"/>
  <c r="U6" i="3"/>
  <c r="V13" i="3"/>
  <c r="M52" i="8"/>
  <c r="E11" i="8"/>
  <c r="F11" i="8" s="1"/>
  <c r="G11" i="8" s="1"/>
  <c r="I11" i="1" s="1"/>
  <c r="H11" i="1" s="1"/>
  <c r="L11" i="1" s="1"/>
  <c r="B16" i="9"/>
  <c r="K8" i="1"/>
  <c r="L8" i="1" s="1"/>
  <c r="I8" i="1" s="1"/>
  <c r="H8" i="1"/>
  <c r="AE9" i="1"/>
  <c r="AA2" i="3" s="1"/>
  <c r="G9" i="1"/>
  <c r="F2" i="3" s="1"/>
  <c r="B2" i="30" s="1"/>
  <c r="G10" i="1"/>
  <c r="G8" i="1"/>
  <c r="G7" i="1"/>
  <c r="AM7" i="1"/>
  <c r="AN7" i="1" s="1"/>
  <c r="AO8" i="1"/>
  <c r="K9" i="1"/>
  <c r="H9" i="1"/>
  <c r="H10" i="1"/>
  <c r="AO9" i="1"/>
  <c r="N2" i="3" s="1"/>
  <c r="O2" i="3" s="1"/>
  <c r="AM8" i="1"/>
  <c r="AN8" i="1" s="1"/>
  <c r="M6" i="1"/>
  <c r="AK5" i="1"/>
  <c r="H6" i="1"/>
  <c r="F6" i="1" s="1"/>
  <c r="X22" i="1"/>
  <c r="G21" i="1"/>
  <c r="T24" i="1"/>
  <c r="A21" i="8"/>
  <c r="AC23" i="1"/>
  <c r="L23" i="8"/>
  <c r="Y14" i="1"/>
  <c r="S7" i="3" s="1"/>
  <c r="K6" i="1"/>
  <c r="L6" i="1" s="1"/>
  <c r="K7" i="1"/>
  <c r="L7" i="1" s="1"/>
  <c r="B2" i="23"/>
  <c r="AE8" i="1"/>
  <c r="AE6" i="1"/>
  <c r="AE7" i="1"/>
  <c r="B7" i="9" l="1"/>
  <c r="G3" i="3"/>
  <c r="B3" i="21" s="1"/>
  <c r="H3" i="3"/>
  <c r="I3" i="3"/>
  <c r="D3" i="3"/>
  <c r="L9" i="1"/>
  <c r="G2" i="3" s="1"/>
  <c r="H2" i="3"/>
  <c r="AK9" i="1"/>
  <c r="I9" i="1"/>
  <c r="F9" i="1"/>
  <c r="D2" i="3"/>
  <c r="F7" i="1"/>
  <c r="F8" i="1"/>
  <c r="X23" i="1"/>
  <c r="G22" i="1"/>
  <c r="T25" i="1"/>
  <c r="E6" i="1"/>
  <c r="I6" i="1" s="1"/>
  <c r="E7" i="1"/>
  <c r="I7" i="1" s="1"/>
  <c r="A22" i="8"/>
  <c r="B20" i="8" s="1"/>
  <c r="AC24" i="1"/>
  <c r="L24" i="8"/>
  <c r="L52" i="8" s="1"/>
  <c r="Y11" i="1"/>
  <c r="S4" i="3" s="1"/>
  <c r="Y12" i="1"/>
  <c r="S5" i="3" s="1"/>
  <c r="Y13" i="1"/>
  <c r="S6" i="3" s="1"/>
  <c r="AK7" i="1"/>
  <c r="AK8" i="1"/>
  <c r="AL9" i="1" s="1"/>
  <c r="AK6" i="1"/>
  <c r="C12" i="1"/>
  <c r="K52" i="8" l="1"/>
  <c r="B21" i="8"/>
  <c r="AM9" i="1"/>
  <c r="AN9" i="1" s="1"/>
  <c r="J3" i="3"/>
  <c r="B5" i="9"/>
  <c r="B6" i="9"/>
  <c r="B4" i="9"/>
  <c r="E3" i="3"/>
  <c r="B3" i="25" s="1"/>
  <c r="D4" i="3"/>
  <c r="I2" i="3"/>
  <c r="X24" i="1"/>
  <c r="G23" i="1"/>
  <c r="E2" i="3"/>
  <c r="B2" i="25" s="1"/>
  <c r="AL10" i="1"/>
  <c r="L3" i="3" s="1"/>
  <c r="B3" i="5" s="1"/>
  <c r="K2" i="3"/>
  <c r="T26" i="1"/>
  <c r="J2" i="3"/>
  <c r="AL7" i="1"/>
  <c r="A23" i="8"/>
  <c r="AC25" i="1"/>
  <c r="L25" i="8"/>
  <c r="B2" i="22"/>
  <c r="B2" i="24"/>
  <c r="B2" i="21"/>
  <c r="AL8" i="1"/>
  <c r="AL6" i="1"/>
  <c r="C13" i="1"/>
  <c r="X13" i="3" l="1"/>
  <c r="B13" i="39" s="1"/>
  <c r="C51" i="8"/>
  <c r="X25" i="1"/>
  <c r="G24" i="1"/>
  <c r="F13" i="3" s="1"/>
  <c r="B13" i="30" s="1"/>
  <c r="T27" i="1"/>
  <c r="L2" i="3"/>
  <c r="B2" i="5" s="1"/>
  <c r="A24" i="8"/>
  <c r="C50" i="8"/>
  <c r="C47" i="8"/>
  <c r="C49" i="8"/>
  <c r="C48" i="8"/>
  <c r="AC26" i="1"/>
  <c r="L26" i="8"/>
  <c r="B2" i="6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C14" i="1"/>
  <c r="B13" i="31" l="1"/>
  <c r="I53" i="8"/>
  <c r="D48" i="8"/>
  <c r="N48" i="8" s="1"/>
  <c r="O48" i="8" s="1"/>
  <c r="E48" i="8" s="1"/>
  <c r="D47" i="8"/>
  <c r="N47" i="8" s="1"/>
  <c r="O47" i="8" s="1"/>
  <c r="E47" i="8" s="1"/>
  <c r="D50" i="8"/>
  <c r="N50" i="8" s="1"/>
  <c r="O50" i="8" s="1"/>
  <c r="E50" i="8" s="1"/>
  <c r="D49" i="8"/>
  <c r="N49" i="8" s="1"/>
  <c r="O49" i="8" s="1"/>
  <c r="E49" i="8" s="1"/>
  <c r="D51" i="8"/>
  <c r="N51" i="8" s="1"/>
  <c r="O51" i="8" s="1"/>
  <c r="E51" i="8" s="1"/>
  <c r="X26" i="1"/>
  <c r="G25" i="1"/>
  <c r="T28" i="1"/>
  <c r="A25" i="8"/>
  <c r="AC27" i="1"/>
  <c r="L27" i="8"/>
  <c r="AM10" i="1"/>
  <c r="U10" i="3" l="1"/>
  <c r="U12" i="3"/>
  <c r="U11" i="3"/>
  <c r="U8" i="3"/>
  <c r="U9" i="3"/>
  <c r="V14" i="3"/>
  <c r="M53" i="8"/>
  <c r="X27" i="1"/>
  <c r="G26" i="1"/>
  <c r="T29" i="1"/>
  <c r="AN10" i="1"/>
  <c r="V11" i="1" s="1"/>
  <c r="AP11" i="1"/>
  <c r="AO11" i="1" s="1"/>
  <c r="A26" i="8"/>
  <c r="AC28" i="1"/>
  <c r="L28" i="8"/>
  <c r="L30" i="8"/>
  <c r="L54" i="8" s="1"/>
  <c r="M5" i="3" l="1"/>
  <c r="N4" i="3"/>
  <c r="X28" i="1"/>
  <c r="G27" i="1"/>
  <c r="T30" i="1"/>
  <c r="A27" i="8"/>
  <c r="AC29" i="1"/>
  <c r="L29" i="8"/>
  <c r="L53" i="8" s="1"/>
  <c r="Y16" i="1"/>
  <c r="S9" i="3" s="1"/>
  <c r="Y18" i="1"/>
  <c r="S11" i="3" s="1"/>
  <c r="Y17" i="1"/>
  <c r="S10" i="3" s="1"/>
  <c r="Y15" i="1"/>
  <c r="S8" i="3" s="1"/>
  <c r="Y19" i="1"/>
  <c r="S12" i="3" s="1"/>
  <c r="AE4" i="1"/>
  <c r="AE3" i="1"/>
  <c r="AE2" i="1"/>
  <c r="K54" i="8" l="1"/>
  <c r="K53" i="8"/>
  <c r="B23" i="8"/>
  <c r="B24" i="8"/>
  <c r="B25" i="8"/>
  <c r="B26" i="8"/>
  <c r="B12" i="9"/>
  <c r="B10" i="9"/>
  <c r="B8" i="9"/>
  <c r="B11" i="9"/>
  <c r="B9" i="9"/>
  <c r="B4" i="22"/>
  <c r="O4" i="3"/>
  <c r="B4" i="24" s="1"/>
  <c r="X29" i="1"/>
  <c r="G28" i="1"/>
  <c r="T31" i="1"/>
  <c r="A28" i="8"/>
  <c r="AE5" i="1"/>
  <c r="X15" i="3" l="1"/>
  <c r="B15" i="39" s="1"/>
  <c r="B15" i="31"/>
  <c r="X14" i="3"/>
  <c r="B14" i="39" s="1"/>
  <c r="X30" i="1"/>
  <c r="G29" i="1"/>
  <c r="T32" i="1"/>
  <c r="C24" i="8"/>
  <c r="D24" i="8" s="1"/>
  <c r="C23" i="8"/>
  <c r="D23" i="8" s="1"/>
  <c r="C20" i="8"/>
  <c r="D20" i="8" s="1"/>
  <c r="C21" i="8"/>
  <c r="D21" i="8" s="1"/>
  <c r="C22" i="8"/>
  <c r="D22" i="8" s="1"/>
  <c r="A29" i="8"/>
  <c r="B14" i="31" l="1"/>
  <c r="F14" i="3"/>
  <c r="B14" i="30" s="1"/>
  <c r="X31" i="1"/>
  <c r="G30" i="1"/>
  <c r="T33" i="1"/>
  <c r="A30" i="8"/>
  <c r="C52" i="8"/>
  <c r="X32" i="1" l="1"/>
  <c r="G31" i="1"/>
  <c r="T34" i="1"/>
  <c r="D52" i="8"/>
  <c r="N52" i="8" s="1"/>
  <c r="O52" i="8" s="1"/>
  <c r="E52" i="8" s="1"/>
  <c r="A31" i="8"/>
  <c r="U13" i="3" l="1"/>
  <c r="X33" i="1"/>
  <c r="G32" i="1"/>
  <c r="T35" i="1"/>
  <c r="A32" i="8"/>
  <c r="B31" i="8"/>
  <c r="Y22" i="1"/>
  <c r="Y24" i="1"/>
  <c r="Y21" i="1"/>
  <c r="Y23" i="1"/>
  <c r="Y20" i="1"/>
  <c r="B28" i="8" l="1"/>
  <c r="B29" i="8"/>
  <c r="B30" i="8"/>
  <c r="X34" i="1"/>
  <c r="G33" i="1"/>
  <c r="S13" i="3"/>
  <c r="T36" i="1"/>
  <c r="A33" i="8"/>
  <c r="C29" i="8" l="1"/>
  <c r="D29" i="8" s="1"/>
  <c r="C27" i="8"/>
  <c r="D27" i="8" s="1"/>
  <c r="B13" i="9"/>
  <c r="X35" i="1"/>
  <c r="G34" i="1"/>
  <c r="T37" i="1"/>
  <c r="C28" i="8"/>
  <c r="D28" i="8" s="1"/>
  <c r="C25" i="8"/>
  <c r="D25" i="8" s="1"/>
  <c r="C26" i="8"/>
  <c r="D26" i="8" s="1"/>
  <c r="A34" i="8"/>
  <c r="F15" i="3" l="1"/>
  <c r="B15" i="30" s="1"/>
  <c r="X36" i="1"/>
  <c r="G35" i="1"/>
  <c r="T38" i="1"/>
  <c r="A35" i="8"/>
  <c r="B34" i="8"/>
  <c r="C53" i="8"/>
  <c r="D53" i="8"/>
  <c r="N53" i="8" s="1"/>
  <c r="O53" i="8" s="1"/>
  <c r="E53" i="8" s="1"/>
  <c r="Y29" i="1"/>
  <c r="U14" i="3" l="1"/>
  <c r="X37" i="1"/>
  <c r="G36" i="1"/>
  <c r="T39" i="1"/>
  <c r="A36" i="8"/>
  <c r="A37" i="8" s="1"/>
  <c r="A38" i="8" s="1"/>
  <c r="A39" i="8" s="1"/>
  <c r="B33" i="8"/>
  <c r="Y27" i="1"/>
  <c r="Y26" i="1"/>
  <c r="Y25" i="1"/>
  <c r="Y28" i="1"/>
  <c r="C33" i="8" l="1"/>
  <c r="D33" i="8" s="1"/>
  <c r="C31" i="8"/>
  <c r="D31" i="8" s="1"/>
  <c r="N31" i="8" s="1"/>
  <c r="C30" i="8"/>
  <c r="D30" i="8" s="1"/>
  <c r="C32" i="8"/>
  <c r="D32" i="8" s="1"/>
  <c r="C34" i="8"/>
  <c r="D34" i="8" s="1"/>
  <c r="X38" i="1"/>
  <c r="G37" i="1"/>
  <c r="S14" i="3"/>
  <c r="D54" i="8" l="1"/>
  <c r="N54" i="8" s="1"/>
  <c r="O54" i="8" s="1"/>
  <c r="E54" i="8" s="1"/>
  <c r="C54" i="8"/>
  <c r="B14" i="9"/>
  <c r="X39" i="1"/>
  <c r="G39" i="1" s="1"/>
  <c r="G38" i="1"/>
  <c r="U15" i="3" l="1"/>
  <c r="F16" i="3"/>
  <c r="B16" i="30" s="1"/>
  <c r="Y34" i="1"/>
  <c r="Y30" i="1"/>
  <c r="Y31" i="1"/>
  <c r="Y32" i="1"/>
  <c r="Y33" i="1"/>
  <c r="S15" i="3" l="1"/>
  <c r="Y41" i="1"/>
  <c r="Y40" i="1"/>
  <c r="B15" i="9" l="1"/>
  <c r="O11" i="1" l="1"/>
  <c r="K11" i="1" l="1"/>
  <c r="F11" i="1" s="1"/>
  <c r="E4" i="3"/>
  <c r="B4" i="25" s="1"/>
  <c r="G4" i="3"/>
  <c r="B4" i="21" s="1"/>
  <c r="I4" i="3" l="1"/>
  <c r="H4" i="3"/>
  <c r="P11" i="1"/>
  <c r="M11" i="1" l="1"/>
  <c r="Z13" i="3" l="1"/>
  <c r="B13" i="35" s="1"/>
  <c r="Z14" i="3" l="1"/>
  <c r="B14" i="35" s="1"/>
  <c r="Z15" i="3" l="1"/>
  <c r="B15" i="35" s="1"/>
  <c r="Z16" i="3" l="1"/>
  <c r="B16" i="35" s="1"/>
  <c r="AD26" i="1" l="1"/>
  <c r="AD20" i="1"/>
  <c r="M38" i="8"/>
  <c r="AD38" i="1" s="1"/>
  <c r="O36" i="8"/>
  <c r="N22" i="8"/>
  <c r="O22" i="8" s="1"/>
  <c r="N26" i="8"/>
  <c r="O26" i="8" s="1"/>
  <c r="N25" i="8"/>
  <c r="O25" i="8" s="1"/>
  <c r="N29" i="8"/>
  <c r="O29" i="8" s="1"/>
  <c r="H55" i="8"/>
  <c r="M55" i="8" s="1"/>
  <c r="N55" i="8" s="1"/>
  <c r="O55" i="8" s="1"/>
  <c r="E55" i="8" s="1"/>
  <c r="AD30" i="1"/>
  <c r="N32" i="8"/>
  <c r="O32" i="8" s="1"/>
  <c r="N24" i="8"/>
  <c r="O24" i="8" s="1"/>
  <c r="AD12" i="1"/>
  <c r="N28" i="8"/>
  <c r="O28" i="8" s="1"/>
  <c r="O13" i="8"/>
  <c r="AD27" i="1"/>
  <c r="M39" i="8"/>
  <c r="N39" i="8" s="1"/>
  <c r="O39" i="8" s="1"/>
  <c r="M37" i="8"/>
  <c r="AD37" i="1" s="1"/>
  <c r="N21" i="8"/>
  <c r="O21" i="8" s="1"/>
  <c r="N33" i="8"/>
  <c r="O33" i="8" s="1"/>
  <c r="AD31" i="1"/>
  <c r="AD19" i="1"/>
  <c r="AD11" i="1"/>
  <c r="AD23" i="1"/>
  <c r="U16" i="3" l="1"/>
  <c r="N34" i="8"/>
  <c r="O34" i="8" s="1"/>
  <c r="N35" i="8"/>
  <c r="O35" i="8" s="1"/>
  <c r="AD15" i="1"/>
  <c r="N15" i="8"/>
  <c r="O15" i="8" s="1"/>
  <c r="AD17" i="1"/>
  <c r="N17" i="8"/>
  <c r="O17" i="8" s="1"/>
  <c r="AD14" i="1"/>
  <c r="N14" i="8"/>
  <c r="O14" i="8" s="1"/>
  <c r="AD18" i="1"/>
  <c r="N18" i="8"/>
  <c r="O18" i="8" s="1"/>
  <c r="AD16" i="1"/>
  <c r="AD29" i="1"/>
  <c r="Y10" i="3"/>
  <c r="Y11" i="3"/>
  <c r="Y12" i="3"/>
  <c r="Y9" i="3"/>
  <c r="Y6" i="3"/>
  <c r="Y8" i="3"/>
  <c r="Y7" i="3"/>
  <c r="Y5" i="3"/>
  <c r="Y15" i="3"/>
  <c r="N12" i="8"/>
  <c r="O12" i="8" s="1"/>
  <c r="AD13" i="1"/>
  <c r="AD32" i="1"/>
  <c r="AD21" i="1"/>
  <c r="O31" i="8"/>
  <c r="Y14" i="3"/>
  <c r="N27" i="8"/>
  <c r="O27" i="8" s="1"/>
  <c r="AD39" i="1"/>
  <c r="AD25" i="1"/>
  <c r="AD35" i="1"/>
  <c r="N19" i="8"/>
  <c r="O19" i="8" s="1"/>
  <c r="N38" i="8"/>
  <c r="O38" i="8" s="1"/>
  <c r="N23" i="8"/>
  <c r="O23" i="8" s="1"/>
  <c r="N30" i="8"/>
  <c r="O30" i="8" s="1"/>
  <c r="AD22" i="1"/>
  <c r="AD33" i="1"/>
  <c r="AD34" i="1"/>
  <c r="N20" i="8"/>
  <c r="O20" i="8" s="1"/>
  <c r="N37" i="8"/>
  <c r="O37" i="8" s="1"/>
  <c r="AD28" i="1"/>
  <c r="AD24" i="1"/>
  <c r="AD36" i="1"/>
  <c r="B14" i="32" l="1"/>
  <c r="B15" i="32"/>
  <c r="B8" i="32"/>
  <c r="B12" i="32"/>
  <c r="B7" i="32"/>
  <c r="B6" i="32"/>
  <c r="B9" i="32"/>
  <c r="B11" i="32"/>
  <c r="B10" i="32"/>
  <c r="B5" i="32"/>
  <c r="Y16" i="3"/>
  <c r="B16" i="32" s="1"/>
  <c r="E16" i="8"/>
  <c r="Y13" i="3"/>
  <c r="B13" i="32" l="1"/>
  <c r="E18" i="8"/>
  <c r="F18" i="8" s="1"/>
  <c r="E27" i="8"/>
  <c r="E19" i="8"/>
  <c r="F19" i="8" s="1"/>
  <c r="G19" i="8" s="1"/>
  <c r="I19" i="1" s="1"/>
  <c r="H19" i="1" s="1"/>
  <c r="E32" i="8"/>
  <c r="F16" i="8"/>
  <c r="E17" i="8"/>
  <c r="F17" i="8" s="1"/>
  <c r="G17" i="8" s="1"/>
  <c r="I17" i="1" s="1"/>
  <c r="H17" i="1" s="1"/>
  <c r="E14" i="8"/>
  <c r="E12" i="8"/>
  <c r="E13" i="8"/>
  <c r="E35" i="8"/>
  <c r="E22" i="8"/>
  <c r="G16" i="8" l="1"/>
  <c r="I16" i="1" s="1"/>
  <c r="H16" i="1" s="1"/>
  <c r="F48" i="8"/>
  <c r="G18" i="8"/>
  <c r="I18" i="1" s="1"/>
  <c r="H18" i="1" s="1"/>
  <c r="F50" i="8"/>
  <c r="E29" i="8"/>
  <c r="E30" i="8"/>
  <c r="E31" i="8"/>
  <c r="E28" i="8"/>
  <c r="E21" i="8"/>
  <c r="F13" i="8"/>
  <c r="F45" i="8" s="1"/>
  <c r="F12" i="8"/>
  <c r="G12" i="8" s="1"/>
  <c r="I12" i="1" s="1"/>
  <c r="E15" i="8"/>
  <c r="F15" i="8" s="1"/>
  <c r="G15" i="8" s="1"/>
  <c r="I15" i="1" s="1"/>
  <c r="H15" i="1" s="1"/>
  <c r="F14" i="8"/>
  <c r="G14" i="8" s="1"/>
  <c r="G46" i="8" s="1"/>
  <c r="E33" i="8"/>
  <c r="E34" i="8"/>
  <c r="E36" i="8"/>
  <c r="E37" i="8" s="1"/>
  <c r="E25" i="8"/>
  <c r="E20" i="8"/>
  <c r="F43" i="8"/>
  <c r="E23" i="8"/>
  <c r="E24" i="8"/>
  <c r="F51" i="8"/>
  <c r="E26" i="8"/>
  <c r="F28" i="8" l="1"/>
  <c r="G28" i="8" s="1"/>
  <c r="F34" i="8"/>
  <c r="F32" i="8"/>
  <c r="F31" i="8"/>
  <c r="F33" i="8"/>
  <c r="F46" i="8"/>
  <c r="F44" i="8"/>
  <c r="F30" i="8"/>
  <c r="G30" i="8" s="1"/>
  <c r="G32" i="8"/>
  <c r="F22" i="8"/>
  <c r="F29" i="8"/>
  <c r="G29" i="8" s="1"/>
  <c r="H12" i="1"/>
  <c r="L12" i="1" s="1"/>
  <c r="G5" i="3" s="1"/>
  <c r="B5" i="21" s="1"/>
  <c r="E5" i="3"/>
  <c r="B5" i="25" s="1"/>
  <c r="I14" i="1"/>
  <c r="G13" i="8"/>
  <c r="I13" i="1" s="1"/>
  <c r="D5" i="3"/>
  <c r="O12" i="1"/>
  <c r="G31" i="8"/>
  <c r="G34" i="8"/>
  <c r="G33" i="8"/>
  <c r="F25" i="8"/>
  <c r="G25" i="8" s="1"/>
  <c r="F20" i="8"/>
  <c r="F21" i="8"/>
  <c r="G50" i="8"/>
  <c r="G51" i="8"/>
  <c r="G48" i="8"/>
  <c r="G43" i="8"/>
  <c r="F47" i="8"/>
  <c r="F26" i="8"/>
  <c r="F27" i="8"/>
  <c r="F23" i="8"/>
  <c r="G23" i="8" s="1"/>
  <c r="I23" i="1" s="1"/>
  <c r="H23" i="1" s="1"/>
  <c r="F49" i="8"/>
  <c r="F24" i="8"/>
  <c r="G44" i="8"/>
  <c r="E38" i="8"/>
  <c r="G45" i="8" l="1"/>
  <c r="G20" i="8"/>
  <c r="F52" i="8"/>
  <c r="I25" i="1"/>
  <c r="H25" i="1" s="1"/>
  <c r="I30" i="1"/>
  <c r="H30" i="1" s="1"/>
  <c r="G54" i="8"/>
  <c r="E6" i="3"/>
  <c r="B6" i="25" s="1"/>
  <c r="H13" i="1"/>
  <c r="H14" i="1"/>
  <c r="E7" i="3"/>
  <c r="B7" i="25" s="1"/>
  <c r="AA31" i="1"/>
  <c r="AE31" i="1" s="1"/>
  <c r="I31" i="1"/>
  <c r="H31" i="1" s="1"/>
  <c r="AA32" i="1"/>
  <c r="AE32" i="1" s="1"/>
  <c r="I32" i="1"/>
  <c r="H32" i="1" s="1"/>
  <c r="AA28" i="1"/>
  <c r="AE28" i="1" s="1"/>
  <c r="I28" i="1"/>
  <c r="H28" i="1" s="1"/>
  <c r="AA34" i="1"/>
  <c r="AE34" i="1" s="1"/>
  <c r="I34" i="1"/>
  <c r="H34" i="1" s="1"/>
  <c r="AA33" i="1"/>
  <c r="AE33" i="1" s="1"/>
  <c r="I33" i="1"/>
  <c r="H33" i="1" s="1"/>
  <c r="F54" i="8"/>
  <c r="G22" i="8"/>
  <c r="AA23" i="1"/>
  <c r="AE23" i="1" s="1"/>
  <c r="G24" i="8"/>
  <c r="G27" i="8"/>
  <c r="G26" i="8"/>
  <c r="G21" i="8"/>
  <c r="AA11" i="1"/>
  <c r="AA20" i="1"/>
  <c r="G47" i="8"/>
  <c r="AA16" i="1"/>
  <c r="AA14" i="1"/>
  <c r="AA19" i="1"/>
  <c r="AA12" i="1"/>
  <c r="G49" i="8"/>
  <c r="AA13" i="1"/>
  <c r="AA18" i="1"/>
  <c r="F53" i="8"/>
  <c r="E39" i="8"/>
  <c r="F39" i="8" s="1"/>
  <c r="AA30" i="1"/>
  <c r="AA25" i="1"/>
  <c r="F35" i="8" l="1"/>
  <c r="G53" i="8"/>
  <c r="I20" i="1"/>
  <c r="H20" i="1" s="1"/>
  <c r="G52" i="8"/>
  <c r="AE11" i="1"/>
  <c r="AA4" i="3" s="1"/>
  <c r="D7" i="3"/>
  <c r="L14" i="1"/>
  <c r="G7" i="3" s="1"/>
  <c r="B7" i="21" s="1"/>
  <c r="D6" i="3"/>
  <c r="L13" i="1"/>
  <c r="G6" i="3" s="1"/>
  <c r="B6" i="21" s="1"/>
  <c r="O13" i="1"/>
  <c r="O14" i="1" s="1"/>
  <c r="AA27" i="1"/>
  <c r="AE27" i="1" s="1"/>
  <c r="I27" i="1"/>
  <c r="H27" i="1" s="1"/>
  <c r="AA24" i="1"/>
  <c r="AE24" i="1" s="1"/>
  <c r="I24" i="1"/>
  <c r="H24" i="1" s="1"/>
  <c r="AA26" i="1"/>
  <c r="AE26" i="1" s="1"/>
  <c r="I26" i="1"/>
  <c r="H26" i="1" s="1"/>
  <c r="AA29" i="1"/>
  <c r="AE29" i="1" s="1"/>
  <c r="I29" i="1"/>
  <c r="H29" i="1" s="1"/>
  <c r="AA21" i="1"/>
  <c r="AE21" i="1" s="1"/>
  <c r="I21" i="1"/>
  <c r="H21" i="1" s="1"/>
  <c r="AA22" i="1"/>
  <c r="AE22" i="1" s="1"/>
  <c r="I22" i="1"/>
  <c r="H22" i="1" s="1"/>
  <c r="B4" i="10"/>
  <c r="G39" i="8"/>
  <c r="AA39" i="1" s="1"/>
  <c r="AE39" i="1" s="1"/>
  <c r="AE20" i="1"/>
  <c r="G35" i="8"/>
  <c r="AE18" i="1"/>
  <c r="AA11" i="3" s="1"/>
  <c r="AE13" i="1"/>
  <c r="AA6" i="3" s="1"/>
  <c r="AE16" i="1"/>
  <c r="AA9" i="3" s="1"/>
  <c r="AE12" i="1"/>
  <c r="AA5" i="3" s="1"/>
  <c r="AE19" i="1"/>
  <c r="AA12" i="3" s="1"/>
  <c r="AE14" i="1"/>
  <c r="AA7" i="3" s="1"/>
  <c r="F37" i="8"/>
  <c r="AA15" i="1"/>
  <c r="AA17" i="1"/>
  <c r="F36" i="8"/>
  <c r="AE25" i="1"/>
  <c r="AE30" i="1"/>
  <c r="AA15" i="3" s="1"/>
  <c r="F38" i="8"/>
  <c r="AG11" i="1" l="1"/>
  <c r="AA13" i="3"/>
  <c r="AA14" i="3"/>
  <c r="B5" i="10"/>
  <c r="B7" i="10"/>
  <c r="B12" i="10"/>
  <c r="B9" i="10"/>
  <c r="B15" i="10"/>
  <c r="B8" i="10"/>
  <c r="B6" i="10"/>
  <c r="B11" i="10"/>
  <c r="B13" i="10"/>
  <c r="G36" i="8"/>
  <c r="AA36" i="1" s="1"/>
  <c r="AE36" i="1" s="1"/>
  <c r="G37" i="8"/>
  <c r="AA37" i="1" s="1"/>
  <c r="AE37" i="1" s="1"/>
  <c r="G38" i="8"/>
  <c r="AA38" i="1" s="1"/>
  <c r="AE38" i="1" s="1"/>
  <c r="AE17" i="1"/>
  <c r="AA10" i="3" s="1"/>
  <c r="AE15" i="1"/>
  <c r="AA8" i="3" s="1"/>
  <c r="AG12" i="1"/>
  <c r="AF11" i="1"/>
  <c r="AK11" i="1" s="1"/>
  <c r="AA35" i="1"/>
  <c r="F55" i="8"/>
  <c r="B14" i="10" l="1"/>
  <c r="AA41" i="1"/>
  <c r="G55" i="8"/>
  <c r="B10" i="10"/>
  <c r="J5" i="3"/>
  <c r="K4" i="3"/>
  <c r="B4" i="6" s="1"/>
  <c r="AE35" i="1"/>
  <c r="AM11" i="1"/>
  <c r="AL11" i="1"/>
  <c r="L4" i="3" s="1"/>
  <c r="B4" i="5" s="1"/>
  <c r="AG13" i="1"/>
  <c r="B16" i="10" l="1"/>
  <c r="AG14" i="1"/>
  <c r="AP12" i="1"/>
  <c r="AN11" i="1"/>
  <c r="AA16" i="3"/>
  <c r="AE41" i="1"/>
  <c r="AE40" i="1"/>
  <c r="AQ12" i="1" l="1"/>
  <c r="V12" i="1"/>
  <c r="AG15" i="1"/>
  <c r="K12" i="1" l="1"/>
  <c r="AG16" i="1"/>
  <c r="AJ12" i="1"/>
  <c r="AO12" i="1"/>
  <c r="H5" i="3" l="1"/>
  <c r="F12" i="1"/>
  <c r="Q5" i="3"/>
  <c r="R5" i="3" s="1"/>
  <c r="B5" i="23" s="1"/>
  <c r="P6" i="3"/>
  <c r="M6" i="3"/>
  <c r="N5" i="3"/>
  <c r="AF12" i="1"/>
  <c r="AG17" i="1"/>
  <c r="P12" i="1"/>
  <c r="I5" i="3"/>
  <c r="O5" i="3" l="1"/>
  <c r="B5" i="24" s="1"/>
  <c r="B5" i="22"/>
  <c r="M12" i="1"/>
  <c r="AK12" i="1" s="1"/>
  <c r="AM12" i="1" s="1"/>
  <c r="AG18" i="1"/>
  <c r="J6" i="3" l="1"/>
  <c r="K5" i="3"/>
  <c r="B5" i="6" s="1"/>
  <c r="AG19" i="1"/>
  <c r="AL12" i="1"/>
  <c r="L5" i="3" s="1"/>
  <c r="B5" i="5" s="1"/>
  <c r="AG20" i="1" l="1"/>
  <c r="AN12" i="1"/>
  <c r="AP13" i="1"/>
  <c r="AQ13" i="1" l="1"/>
  <c r="AO13" i="1" s="1"/>
  <c r="AG21" i="1"/>
  <c r="V13" i="1"/>
  <c r="M7" i="3" l="1"/>
  <c r="N6" i="3"/>
  <c r="K13" i="1"/>
  <c r="H6" i="3" s="1"/>
  <c r="AG22" i="1"/>
  <c r="AJ13" i="1"/>
  <c r="B6" i="22" l="1"/>
  <c r="P7" i="3"/>
  <c r="Q6" i="3"/>
  <c r="R6" i="3" s="1"/>
  <c r="B6" i="23" s="1"/>
  <c r="AG23" i="1"/>
  <c r="F13" i="1"/>
  <c r="I6" i="3" s="1"/>
  <c r="P13" i="1"/>
  <c r="AF13" i="1"/>
  <c r="O6" i="3" l="1"/>
  <c r="B6" i="24" s="1"/>
  <c r="M13" i="1"/>
  <c r="AK13" i="1" s="1"/>
  <c r="AG24" i="1"/>
  <c r="K6" i="3" l="1"/>
  <c r="B6" i="6" s="1"/>
  <c r="J7" i="3"/>
  <c r="AG25" i="1"/>
  <c r="AM13" i="1"/>
  <c r="AL13" i="1"/>
  <c r="L6" i="3" s="1"/>
  <c r="B6" i="5" s="1"/>
  <c r="AN13" i="1" l="1"/>
  <c r="AP14" i="1"/>
  <c r="AG26" i="1"/>
  <c r="AG27" i="1" l="1"/>
  <c r="AQ14" i="1"/>
  <c r="AO14" i="1" s="1"/>
  <c r="V14" i="1"/>
  <c r="N7" i="3" l="1"/>
  <c r="M8" i="3"/>
  <c r="K14" i="1"/>
  <c r="H7" i="3" s="1"/>
  <c r="AJ14" i="1"/>
  <c r="AG28" i="1"/>
  <c r="Q7" i="3" l="1"/>
  <c r="R7" i="3" s="1"/>
  <c r="B7" i="23" s="1"/>
  <c r="P8" i="3"/>
  <c r="B7" i="22"/>
  <c r="AF14" i="1"/>
  <c r="AG29" i="1"/>
  <c r="F14" i="1"/>
  <c r="I7" i="3" s="1"/>
  <c r="P14" i="1"/>
  <c r="O7" i="3" l="1"/>
  <c r="B7" i="24" s="1"/>
  <c r="M14" i="1"/>
  <c r="AK14" i="1" s="1"/>
  <c r="AG30" i="1"/>
  <c r="J8" i="3" l="1"/>
  <c r="K7" i="3"/>
  <c r="B7" i="6" s="1"/>
  <c r="AG31" i="1"/>
  <c r="AM14" i="1"/>
  <c r="AL14" i="1"/>
  <c r="L7" i="3" s="1"/>
  <c r="B7" i="5" s="1"/>
  <c r="AN14" i="1" l="1"/>
  <c r="AP15" i="1"/>
  <c r="AG32" i="1"/>
  <c r="AQ15" i="1" l="1"/>
  <c r="AG33" i="1"/>
  <c r="V15" i="1"/>
  <c r="AG34" i="1" l="1"/>
  <c r="AJ15" i="1"/>
  <c r="AO15" i="1"/>
  <c r="M9" i="3" l="1"/>
  <c r="N8" i="3"/>
  <c r="P9" i="3"/>
  <c r="Q8" i="3"/>
  <c r="R8" i="3" s="1"/>
  <c r="B8" i="23" s="1"/>
  <c r="AF15" i="1"/>
  <c r="AG35" i="1"/>
  <c r="O8" i="3" l="1"/>
  <c r="B8" i="24" s="1"/>
  <c r="B8" i="22"/>
  <c r="AG36" i="1"/>
  <c r="AG37" i="1" l="1"/>
  <c r="AG38" i="1" l="1"/>
  <c r="AG39" i="1" l="1"/>
  <c r="D16" i="1" l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15" i="1"/>
  <c r="C16" i="1" s="1"/>
  <c r="C17" i="1" s="1"/>
  <c r="C18" i="1" s="1"/>
  <c r="L15" i="1" l="1"/>
  <c r="C19" i="1"/>
  <c r="C20" i="1" s="1"/>
  <c r="C21" i="1" s="1"/>
  <c r="C22" i="1" s="1"/>
  <c r="G8" i="3" l="1"/>
  <c r="B8" i="21" s="1"/>
  <c r="K15" i="1"/>
  <c r="F15" i="1" s="1"/>
  <c r="C23" i="1"/>
  <c r="O15" i="1"/>
  <c r="D8" i="3"/>
  <c r="L16" i="1"/>
  <c r="E8" i="3"/>
  <c r="B8" i="25" s="1"/>
  <c r="L17" i="1" l="1"/>
  <c r="D9" i="3"/>
  <c r="I8" i="3"/>
  <c r="O16" i="1"/>
  <c r="C24" i="1"/>
  <c r="H8" i="3"/>
  <c r="P15" i="1"/>
  <c r="L23" i="1" l="1"/>
  <c r="O17" i="1"/>
  <c r="G9" i="3"/>
  <c r="B9" i="21" s="1"/>
  <c r="E9" i="3"/>
  <c r="B9" i="25" s="1"/>
  <c r="C25" i="1"/>
  <c r="M15" i="1"/>
  <c r="AK15" i="1" s="1"/>
  <c r="L22" i="1"/>
  <c r="G10" i="3"/>
  <c r="B10" i="21" s="1"/>
  <c r="L18" i="1"/>
  <c r="D10" i="3"/>
  <c r="E10" i="3"/>
  <c r="B10" i="25" s="1"/>
  <c r="D11" i="3" l="1"/>
  <c r="C26" i="1"/>
  <c r="G11" i="3"/>
  <c r="B11" i="21" s="1"/>
  <c r="E11" i="3"/>
  <c r="B11" i="25" s="1"/>
  <c r="AM15" i="1"/>
  <c r="AL15" i="1"/>
  <c r="L8" i="3" s="1"/>
  <c r="B8" i="5" s="1"/>
  <c r="K8" i="3"/>
  <c r="B8" i="6" s="1"/>
  <c r="J9" i="3"/>
  <c r="L24" i="1"/>
  <c r="L19" i="1"/>
  <c r="O18" i="1"/>
  <c r="O19" i="1" l="1"/>
  <c r="G12" i="3"/>
  <c r="B12" i="21" s="1"/>
  <c r="L20" i="1"/>
  <c r="D12" i="3"/>
  <c r="E12" i="3"/>
  <c r="B12" i="25" s="1"/>
  <c r="AN15" i="1"/>
  <c r="AP16" i="1"/>
  <c r="C27" i="1"/>
  <c r="L25" i="1" l="1"/>
  <c r="V16" i="1"/>
  <c r="L26" i="1"/>
  <c r="C28" i="1"/>
  <c r="AQ16" i="1"/>
  <c r="O20" i="1"/>
  <c r="AJ16" i="1" l="1"/>
  <c r="O21" i="1"/>
  <c r="L21" i="1"/>
  <c r="AO16" i="1"/>
  <c r="L27" i="1"/>
  <c r="C29" i="1"/>
  <c r="D13" i="3"/>
  <c r="K16" i="1"/>
  <c r="C30" i="1" l="1"/>
  <c r="G13" i="3"/>
  <c r="B13" i="21" s="1"/>
  <c r="E13" i="3"/>
  <c r="B13" i="25" s="1"/>
  <c r="H9" i="3"/>
  <c r="F16" i="1"/>
  <c r="P16" i="1"/>
  <c r="L28" i="1"/>
  <c r="O22" i="1"/>
  <c r="M10" i="3"/>
  <c r="N9" i="3"/>
  <c r="P10" i="3"/>
  <c r="AF16" i="1"/>
  <c r="Q9" i="3"/>
  <c r="R9" i="3" s="1"/>
  <c r="B9" i="23" s="1"/>
  <c r="M16" i="1" l="1"/>
  <c r="AK16" i="1" s="1"/>
  <c r="B9" i="22"/>
  <c r="O9" i="3"/>
  <c r="B9" i="24" s="1"/>
  <c r="O23" i="1"/>
  <c r="I9" i="3"/>
  <c r="C31" i="1"/>
  <c r="C32" i="1" l="1"/>
  <c r="O24" i="1"/>
  <c r="L29" i="1"/>
  <c r="D14" i="3"/>
  <c r="AM16" i="1"/>
  <c r="K9" i="3"/>
  <c r="B9" i="6" s="1"/>
  <c r="J10" i="3"/>
  <c r="AL16" i="1"/>
  <c r="L9" i="3" s="1"/>
  <c r="B9" i="5" s="1"/>
  <c r="AN16" i="1" l="1"/>
  <c r="AP17" i="1"/>
  <c r="E14" i="3"/>
  <c r="B14" i="25" s="1"/>
  <c r="G14" i="3"/>
  <c r="B14" i="21" s="1"/>
  <c r="O25" i="1"/>
  <c r="C33" i="1"/>
  <c r="L31" i="1"/>
  <c r="L30" i="1"/>
  <c r="O26" i="1" l="1"/>
  <c r="C34" i="1"/>
  <c r="AQ17" i="1"/>
  <c r="V17" i="1"/>
  <c r="K17" i="1" l="1"/>
  <c r="C35" i="1"/>
  <c r="AJ17" i="1"/>
  <c r="AO17" i="1"/>
  <c r="O27" i="1"/>
  <c r="L32" i="1"/>
  <c r="O28" i="1" l="1"/>
  <c r="L33" i="1"/>
  <c r="N10" i="3"/>
  <c r="M11" i="3"/>
  <c r="Q10" i="3"/>
  <c r="R10" i="3" s="1"/>
  <c r="B10" i="23" s="1"/>
  <c r="P11" i="3"/>
  <c r="AF17" i="1"/>
  <c r="C36" i="1"/>
  <c r="H10" i="3"/>
  <c r="F17" i="1"/>
  <c r="P17" i="1"/>
  <c r="D15" i="3" l="1"/>
  <c r="M17" i="1"/>
  <c r="AK17" i="1" s="1"/>
  <c r="I10" i="3"/>
  <c r="C37" i="1"/>
  <c r="H35" i="1"/>
  <c r="L34" i="1"/>
  <c r="G15" i="3" s="1"/>
  <c r="B15" i="21" s="1"/>
  <c r="O10" i="3"/>
  <c r="B10" i="24" s="1"/>
  <c r="B10" i="22"/>
  <c r="O29" i="1"/>
  <c r="E15" i="3" l="1"/>
  <c r="B15" i="25" s="1"/>
  <c r="H36" i="1"/>
  <c r="O30" i="1"/>
  <c r="L35" i="1"/>
  <c r="C38" i="1"/>
  <c r="K10" i="3"/>
  <c r="B10" i="6" s="1"/>
  <c r="AM17" i="1"/>
  <c r="J11" i="3"/>
  <c r="AL17" i="1"/>
  <c r="L10" i="3" s="1"/>
  <c r="B10" i="5" s="1"/>
  <c r="AN17" i="1" l="1"/>
  <c r="AP18" i="1"/>
  <c r="C39" i="1"/>
  <c r="H37" i="1"/>
  <c r="L37" i="1"/>
  <c r="I35" i="1"/>
  <c r="O31" i="1"/>
  <c r="L36" i="1"/>
  <c r="I36" i="1" l="1"/>
  <c r="O32" i="1"/>
  <c r="I37" i="1"/>
  <c r="H38" i="1"/>
  <c r="H39" i="1"/>
  <c r="E40" i="1"/>
  <c r="E41" i="1"/>
  <c r="AQ18" i="1"/>
  <c r="V18" i="1"/>
  <c r="AJ18" i="1" l="1"/>
  <c r="K18" i="1"/>
  <c r="AO18" i="1"/>
  <c r="H41" i="1"/>
  <c r="H40" i="1"/>
  <c r="L39" i="1"/>
  <c r="L38" i="1"/>
  <c r="D16" i="3"/>
  <c r="O33" i="1"/>
  <c r="O34" i="1" l="1"/>
  <c r="G16" i="3"/>
  <c r="B16" i="21" s="1"/>
  <c r="I38" i="1"/>
  <c r="L40" i="1"/>
  <c r="L41" i="1"/>
  <c r="I39" i="1"/>
  <c r="N11" i="3"/>
  <c r="M12" i="3"/>
  <c r="H11" i="3"/>
  <c r="F18" i="1"/>
  <c r="P18" i="1"/>
  <c r="P12" i="3"/>
  <c r="AF18" i="1"/>
  <c r="Q11" i="3"/>
  <c r="R11" i="3" s="1"/>
  <c r="B11" i="23" s="1"/>
  <c r="I11" i="3" l="1"/>
  <c r="M18" i="1"/>
  <c r="AK18" i="1" s="1"/>
  <c r="O11" i="3"/>
  <c r="B11" i="24" s="1"/>
  <c r="B11" i="22"/>
  <c r="E16" i="3"/>
  <c r="B16" i="25" s="1"/>
  <c r="O35" i="1"/>
  <c r="O36" i="1" l="1"/>
  <c r="J12" i="3"/>
  <c r="AM18" i="1"/>
  <c r="K11" i="3"/>
  <c r="B11" i="6" s="1"/>
  <c r="AL18" i="1"/>
  <c r="L11" i="3" s="1"/>
  <c r="B11" i="5" s="1"/>
  <c r="AN18" i="1" l="1"/>
  <c r="AP19" i="1"/>
  <c r="O37" i="1"/>
  <c r="O38" i="1" l="1"/>
  <c r="AQ19" i="1"/>
  <c r="V19" i="1"/>
  <c r="K19" i="1" l="1"/>
  <c r="AJ19" i="1"/>
  <c r="AO19" i="1"/>
  <c r="O39" i="1"/>
  <c r="N12" i="3" l="1"/>
  <c r="Q12" i="3"/>
  <c r="AF19" i="1"/>
  <c r="H12" i="3"/>
  <c r="F19" i="1"/>
  <c r="P19" i="1"/>
  <c r="B12" i="22" l="1"/>
  <c r="M13" i="3"/>
  <c r="M19" i="1"/>
  <c r="AK19" i="1" s="1"/>
  <c r="I12" i="3"/>
  <c r="P13" i="3"/>
  <c r="R12" i="3"/>
  <c r="B12" i="23" s="1"/>
  <c r="K12" i="3" l="1"/>
  <c r="AM19" i="1"/>
  <c r="AP20" i="1" s="1"/>
  <c r="AQ20" i="1" s="1"/>
  <c r="AL19" i="1"/>
  <c r="L12" i="3" s="1"/>
  <c r="B12" i="5" s="1"/>
  <c r="O12" i="3"/>
  <c r="B12" i="24" s="1"/>
  <c r="AN19" i="1" l="1"/>
  <c r="J13" i="3"/>
  <c r="B12" i="6"/>
  <c r="AO20" i="1" l="1"/>
  <c r="V20" i="1"/>
  <c r="K20" i="1" l="1"/>
  <c r="AJ20" i="1"/>
  <c r="AF20" i="1" l="1"/>
  <c r="F20" i="1"/>
  <c r="P20" i="1"/>
  <c r="M20" i="1" l="1"/>
  <c r="AK20" i="1" s="1"/>
  <c r="AM20" i="1" l="1"/>
  <c r="AP21" i="1" s="1"/>
  <c r="AL20" i="1"/>
  <c r="AQ21" i="1" l="1"/>
  <c r="AO21" i="1" s="1"/>
  <c r="AN20" i="1"/>
  <c r="V21" i="1" s="1"/>
  <c r="AJ21" i="1" l="1"/>
  <c r="K21" i="1"/>
  <c r="F21" i="1" l="1"/>
  <c r="P21" i="1"/>
  <c r="AF21" i="1"/>
  <c r="M21" i="1" l="1"/>
  <c r="AK21" i="1" s="1"/>
  <c r="AM21" i="1" l="1"/>
  <c r="AL21" i="1"/>
  <c r="AN21" i="1" l="1"/>
  <c r="V22" i="1" s="1"/>
  <c r="AP22" i="1"/>
  <c r="AQ22" i="1" l="1"/>
  <c r="AO22" i="1" s="1"/>
  <c r="K22" i="1"/>
  <c r="AJ22" i="1" l="1"/>
  <c r="AF22" i="1" s="1"/>
  <c r="F22" i="1"/>
  <c r="P22" i="1"/>
  <c r="M22" i="1" l="1"/>
  <c r="AK22" i="1" s="1"/>
  <c r="AM22" i="1" l="1"/>
  <c r="AL22" i="1"/>
  <c r="AN22" i="1" l="1"/>
  <c r="V23" i="1" s="1"/>
  <c r="AP23" i="1"/>
  <c r="AQ23" i="1" s="1"/>
  <c r="AJ23" i="1" l="1"/>
  <c r="K23" i="1"/>
  <c r="F23" i="1" l="1"/>
  <c r="P23" i="1"/>
  <c r="AF23" i="1"/>
  <c r="AO23" i="1"/>
  <c r="M23" i="1" l="1"/>
  <c r="AK23" i="1" s="1"/>
  <c r="AM23" i="1" l="1"/>
  <c r="AL23" i="1"/>
  <c r="AN23" i="1" l="1"/>
  <c r="V24" i="1" s="1"/>
  <c r="AP24" i="1"/>
  <c r="AQ24" i="1" s="1"/>
  <c r="AJ24" i="1" l="1"/>
  <c r="K24" i="1"/>
  <c r="F24" i="1" l="1"/>
  <c r="I13" i="3" s="1"/>
  <c r="H13" i="3"/>
  <c r="P24" i="1"/>
  <c r="Q13" i="3"/>
  <c r="AF24" i="1"/>
  <c r="AO24" i="1"/>
  <c r="N13" i="3" l="1"/>
  <c r="R13" i="3"/>
  <c r="B13" i="23" s="1"/>
  <c r="P14" i="3"/>
  <c r="M24" i="1"/>
  <c r="AK24" i="1" s="1"/>
  <c r="AM24" i="1" l="1"/>
  <c r="AP25" i="1" s="1"/>
  <c r="AQ25" i="1" s="1"/>
  <c r="K13" i="3"/>
  <c r="AL24" i="1"/>
  <c r="L13" i="3" s="1"/>
  <c r="B13" i="5" s="1"/>
  <c r="M14" i="3"/>
  <c r="B13" i="22"/>
  <c r="O13" i="3"/>
  <c r="B13" i="24" s="1"/>
  <c r="B13" i="6" l="1"/>
  <c r="J14" i="3"/>
  <c r="AN24" i="1"/>
  <c r="V25" i="1" s="1"/>
  <c r="AJ25" i="1" l="1"/>
  <c r="K25" i="1"/>
  <c r="F25" i="1" l="1"/>
  <c r="P25" i="1"/>
  <c r="AF25" i="1"/>
  <c r="AO25" i="1"/>
  <c r="M25" i="1" l="1"/>
  <c r="AK25" i="1" s="1"/>
  <c r="AM25" i="1" l="1"/>
  <c r="AP26" i="1" s="1"/>
  <c r="AQ26" i="1" s="1"/>
  <c r="AL25" i="1"/>
  <c r="AN25" i="1" l="1"/>
  <c r="V26" i="1" s="1"/>
  <c r="AJ26" i="1" l="1"/>
  <c r="K26" i="1"/>
  <c r="AO26" i="1" l="1"/>
  <c r="F26" i="1"/>
  <c r="P26" i="1"/>
  <c r="AF26" i="1"/>
  <c r="M26" i="1" l="1"/>
  <c r="AK26" i="1" s="1"/>
  <c r="AM26" i="1" l="1"/>
  <c r="AL26" i="1"/>
  <c r="AN26" i="1" l="1"/>
  <c r="V27" i="1" s="1"/>
  <c r="AP27" i="1"/>
  <c r="AQ27" i="1" s="1"/>
  <c r="AJ27" i="1" l="1"/>
  <c r="K27" i="1"/>
  <c r="AO27" i="1" l="1"/>
  <c r="F27" i="1"/>
  <c r="P27" i="1"/>
  <c r="AF27" i="1"/>
  <c r="M27" i="1" l="1"/>
  <c r="AK27" i="1" s="1"/>
  <c r="AM27" i="1" l="1"/>
  <c r="AL27" i="1"/>
  <c r="AN27" i="1" l="1"/>
  <c r="V28" i="1" s="1"/>
  <c r="AP28" i="1"/>
  <c r="AQ28" i="1" s="1"/>
  <c r="AJ28" i="1" l="1"/>
  <c r="K28" i="1"/>
  <c r="F28" i="1" l="1"/>
  <c r="P28" i="1"/>
  <c r="AF28" i="1"/>
  <c r="AO28" i="1"/>
  <c r="M28" i="1" l="1"/>
  <c r="AK28" i="1" s="1"/>
  <c r="AM28" i="1" l="1"/>
  <c r="AL28" i="1"/>
  <c r="AN28" i="1" l="1"/>
  <c r="V29" i="1" s="1"/>
  <c r="AP29" i="1"/>
  <c r="AQ29" i="1" s="1"/>
  <c r="AJ29" i="1" l="1"/>
  <c r="K29" i="1"/>
  <c r="AO29" i="1" l="1"/>
  <c r="N14" i="3" s="1"/>
  <c r="F29" i="1"/>
  <c r="I14" i="3" s="1"/>
  <c r="H14" i="3"/>
  <c r="P29" i="1"/>
  <c r="AF29" i="1"/>
  <c r="Q14" i="3"/>
  <c r="P15" i="3" l="1"/>
  <c r="R14" i="3"/>
  <c r="B14" i="23" s="1"/>
  <c r="B14" i="22"/>
  <c r="M15" i="3"/>
  <c r="M29" i="1"/>
  <c r="AK29" i="1" s="1"/>
  <c r="O14" i="3" l="1"/>
  <c r="B14" i="24" s="1"/>
  <c r="AM29" i="1"/>
  <c r="K14" i="3"/>
  <c r="AL29" i="1"/>
  <c r="L14" i="3" s="1"/>
  <c r="B14" i="5" s="1"/>
  <c r="J15" i="3" l="1"/>
  <c r="B14" i="6"/>
  <c r="AN29" i="1"/>
  <c r="V30" i="1" s="1"/>
  <c r="AP30" i="1"/>
  <c r="AQ30" i="1" s="1"/>
  <c r="AJ30" i="1" l="1"/>
  <c r="K30" i="1"/>
  <c r="F30" i="1" l="1"/>
  <c r="P30" i="1"/>
  <c r="AF30" i="1"/>
  <c r="AO30" i="1"/>
  <c r="M30" i="1" l="1"/>
  <c r="AK30" i="1" s="1"/>
  <c r="AM30" i="1" l="1"/>
  <c r="AL30" i="1"/>
  <c r="AN30" i="1" l="1"/>
  <c r="V31" i="1" s="1"/>
  <c r="AP31" i="1"/>
  <c r="AQ31" i="1" s="1"/>
  <c r="AJ31" i="1" l="1"/>
  <c r="K31" i="1"/>
  <c r="AO31" i="1" l="1"/>
  <c r="F31" i="1"/>
  <c r="P31" i="1"/>
  <c r="AF31" i="1"/>
  <c r="M31" i="1" l="1"/>
  <c r="AK31" i="1" s="1"/>
  <c r="AM31" i="1" l="1"/>
  <c r="AL31" i="1"/>
  <c r="AN31" i="1" l="1"/>
  <c r="V32" i="1" s="1"/>
  <c r="AP32" i="1"/>
  <c r="AQ32" i="1" s="1"/>
  <c r="AJ32" i="1" l="1"/>
  <c r="K32" i="1"/>
  <c r="AO32" i="1" l="1"/>
  <c r="F32" i="1"/>
  <c r="P32" i="1"/>
  <c r="AF32" i="1"/>
  <c r="M32" i="1" l="1"/>
  <c r="AK32" i="1" s="1"/>
  <c r="AM32" i="1" l="1"/>
  <c r="AL32" i="1"/>
  <c r="AN32" i="1" l="1"/>
  <c r="V33" i="1" s="1"/>
  <c r="AP33" i="1"/>
  <c r="AQ33" i="1" s="1"/>
  <c r="AJ33" i="1" l="1"/>
  <c r="K33" i="1"/>
  <c r="AO33" i="1" l="1"/>
  <c r="F33" i="1"/>
  <c r="P33" i="1"/>
  <c r="AF33" i="1"/>
  <c r="M33" i="1" l="1"/>
  <c r="AK33" i="1" s="1"/>
  <c r="AM33" i="1" l="1"/>
  <c r="AL33" i="1"/>
  <c r="AN33" i="1" l="1"/>
  <c r="V34" i="1" s="1"/>
  <c r="AP34" i="1"/>
  <c r="AQ34" i="1" s="1"/>
  <c r="AJ34" i="1" l="1"/>
  <c r="K34" i="1"/>
  <c r="AO34" i="1" l="1"/>
  <c r="N15" i="3" s="1"/>
  <c r="F34" i="1"/>
  <c r="I15" i="3" s="1"/>
  <c r="H15" i="3"/>
  <c r="P34" i="1"/>
  <c r="AF34" i="1"/>
  <c r="Q15" i="3"/>
  <c r="P16" i="3" l="1"/>
  <c r="R15" i="3"/>
  <c r="B15" i="23" s="1"/>
  <c r="B15" i="22"/>
  <c r="M16" i="3"/>
  <c r="M34" i="1"/>
  <c r="AK34" i="1" s="1"/>
  <c r="O15" i="3" l="1"/>
  <c r="B15" i="24" s="1"/>
  <c r="K15" i="3"/>
  <c r="AM34" i="1"/>
  <c r="AL34" i="1"/>
  <c r="L15" i="3" s="1"/>
  <c r="B15" i="5" s="1"/>
  <c r="AN34" i="1" l="1"/>
  <c r="V35" i="1" s="1"/>
  <c r="AP35" i="1"/>
  <c r="AQ35" i="1" s="1"/>
  <c r="B15" i="6"/>
  <c r="J16" i="3"/>
  <c r="AJ35" i="1" l="1"/>
  <c r="K35" i="1"/>
  <c r="F35" i="1" l="1"/>
  <c r="P35" i="1"/>
  <c r="AF35" i="1"/>
  <c r="AO35" i="1"/>
  <c r="M35" i="1" l="1"/>
  <c r="AK35" i="1" s="1"/>
  <c r="AM35" i="1" l="1"/>
  <c r="AL35" i="1"/>
  <c r="AN35" i="1" l="1"/>
  <c r="V36" i="1" s="1"/>
  <c r="AP36" i="1"/>
  <c r="AQ36" i="1" s="1"/>
  <c r="AJ36" i="1" l="1"/>
  <c r="K36" i="1"/>
  <c r="F36" i="1" l="1"/>
  <c r="P36" i="1"/>
  <c r="AF36" i="1"/>
  <c r="AO36" i="1"/>
  <c r="M36" i="1" l="1"/>
  <c r="AK36" i="1" s="1"/>
  <c r="AM36" i="1" l="1"/>
  <c r="AL36" i="1"/>
  <c r="AN36" i="1" l="1"/>
  <c r="V37" i="1" s="1"/>
  <c r="AP37" i="1"/>
  <c r="AQ37" i="1" s="1"/>
  <c r="AJ37" i="1" l="1"/>
  <c r="K37" i="1"/>
  <c r="F37" i="1" l="1"/>
  <c r="P37" i="1"/>
  <c r="AF37" i="1"/>
  <c r="AO37" i="1"/>
  <c r="M37" i="1" l="1"/>
  <c r="AK37" i="1" s="1"/>
  <c r="AM37" i="1" l="1"/>
  <c r="AL37" i="1"/>
  <c r="AN37" i="1" l="1"/>
  <c r="V38" i="1" s="1"/>
  <c r="AP38" i="1"/>
  <c r="AQ38" i="1" s="1"/>
  <c r="AJ38" i="1" l="1"/>
  <c r="K38" i="1"/>
  <c r="F38" i="1" l="1"/>
  <c r="P38" i="1"/>
  <c r="AF38" i="1"/>
  <c r="AO38" i="1"/>
  <c r="M38" i="1" l="1"/>
  <c r="AK38" i="1" s="1"/>
  <c r="AM38" i="1" l="1"/>
  <c r="AL38" i="1"/>
  <c r="AN38" i="1" l="1"/>
  <c r="V39" i="1" s="1"/>
  <c r="K39" i="1" s="1"/>
  <c r="AP39" i="1"/>
  <c r="AQ39" i="1" s="1"/>
  <c r="F39" i="1" l="1"/>
  <c r="K41" i="1"/>
  <c r="K40" i="1"/>
  <c r="H16" i="3"/>
  <c r="P39" i="1"/>
  <c r="M39" i="1" s="1"/>
  <c r="F40" i="1" l="1"/>
  <c r="F41" i="1"/>
  <c r="I16" i="3"/>
  <c r="AQ40" i="1"/>
  <c r="AQ41" i="1"/>
  <c r="AJ39" i="1"/>
  <c r="AO39" i="1"/>
  <c r="N16" i="3" s="1"/>
  <c r="B16" i="22" l="1"/>
  <c r="Q16" i="3"/>
  <c r="R16" i="3" s="1"/>
  <c r="B16" i="23" s="1"/>
  <c r="AF39" i="1"/>
  <c r="AK39" i="1" s="1"/>
  <c r="K16" i="3" l="1"/>
  <c r="B16" i="6" s="1"/>
  <c r="AM39" i="1"/>
  <c r="AN39" i="1" s="1"/>
  <c r="AL39" i="1"/>
  <c r="L16" i="3" s="1"/>
  <c r="B16" i="5" s="1"/>
  <c r="O16" i="3"/>
  <c r="B16" i="24" s="1"/>
  <c r="AN41" i="1" l="1"/>
  <c r="AN40" i="1"/>
  <c r="E9" i="8" l="1"/>
  <c r="F9" i="8" s="1"/>
  <c r="X2" i="3"/>
  <c r="B2" i="39" s="1"/>
  <c r="B2" i="31" l="1"/>
  <c r="F41" i="8"/>
  <c r="G9" i="8"/>
  <c r="G41" i="8" l="1"/>
  <c r="AA9" i="1"/>
  <c r="AA40" i="1" s="1"/>
  <c r="N41" i="8"/>
  <c r="O41" i="8" s="1"/>
  <c r="U2" i="3" s="1"/>
  <c r="B2" i="10" s="1"/>
</calcChain>
</file>

<file path=xl/sharedStrings.xml><?xml version="1.0" encoding="utf-8"?>
<sst xmlns="http://schemas.openxmlformats.org/spreadsheetml/2006/main" count="159" uniqueCount="110">
  <si>
    <t>year</t>
  </si>
  <si>
    <t>model-year</t>
  </si>
  <si>
    <t>cap</t>
  </si>
  <si>
    <t>linear factor</t>
  </si>
  <si>
    <t>NER300</t>
  </si>
  <si>
    <t>International credits</t>
  </si>
  <si>
    <t>Accumulated supply</t>
  </si>
  <si>
    <t>Accumulated demand</t>
  </si>
  <si>
    <t>MSR holdings</t>
  </si>
  <si>
    <t>In MSR</t>
  </si>
  <si>
    <t>Allowances deducted from auctioning volumes (2014-2016)</t>
  </si>
  <si>
    <t>Allowances deducted from auctioning volume due to MSR</t>
  </si>
  <si>
    <t>Planned auctioning</t>
  </si>
  <si>
    <t>CO2 elec</t>
  </si>
  <si>
    <t>CO2 total</t>
  </si>
  <si>
    <t>Annual supply - planned</t>
  </si>
  <si>
    <t>Annual supply - true</t>
  </si>
  <si>
    <t>Allowances auctioned - true</t>
  </si>
  <si>
    <t>Allowances allocated</t>
  </si>
  <si>
    <t>In MSR true</t>
  </si>
  <si>
    <t>MSR holdings wo cancelling</t>
  </si>
  <si>
    <t>MSR cancelling</t>
  </si>
  <si>
    <t>CO2 ind + aviation</t>
  </si>
  <si>
    <t>Sum 21 - 50</t>
  </si>
  <si>
    <t>Sum 13 - 50</t>
  </si>
  <si>
    <t xml:space="preserve"> </t>
  </si>
  <si>
    <t>Allowances auctioned</t>
  </si>
  <si>
    <t>Allowances allocated (for free)</t>
  </si>
  <si>
    <t>Accumulated verified emissions</t>
  </si>
  <si>
    <t>Accumulated cancelled</t>
  </si>
  <si>
    <t>from</t>
  </si>
  <si>
    <t>to</t>
  </si>
  <si>
    <t>TNAC start</t>
  </si>
  <si>
    <t>TNAC end</t>
  </si>
  <si>
    <t>MSR start</t>
  </si>
  <si>
    <t>MSR end</t>
  </si>
  <si>
    <t>t</t>
  </si>
  <si>
    <t>2020</t>
  </si>
  <si>
    <t>2035</t>
  </si>
  <si>
    <t>2040</t>
  </si>
  <si>
    <t>2045</t>
  </si>
  <si>
    <t>2050</t>
  </si>
  <si>
    <t>co2elec</t>
  </si>
  <si>
    <t>co2ind</t>
  </si>
  <si>
    <t>CO2 elec benchmark</t>
  </si>
  <si>
    <t>TNAC use</t>
  </si>
  <si>
    <t>TNAC used (NBC - net banked credits/certificates)</t>
  </si>
  <si>
    <t>TNAC (CBC - cumulative banked credits/certificate)</t>
  </si>
  <si>
    <t>CO2 ind benchmark</t>
  </si>
  <si>
    <t>Banked from 2008 to 2012</t>
  </si>
  <si>
    <t>MSR in</t>
  </si>
  <si>
    <t>Cancelling</t>
  </si>
  <si>
    <t>Cancelling start</t>
  </si>
  <si>
    <t>Cancelling end</t>
  </si>
  <si>
    <t>Supply</t>
  </si>
  <si>
    <t>Auctioning true</t>
  </si>
  <si>
    <t>Auctioning plan</t>
  </si>
  <si>
    <t>cancel</t>
  </si>
  <si>
    <t>msrin</t>
  </si>
  <si>
    <t>tnacuse</t>
  </si>
  <si>
    <t>tnac</t>
  </si>
  <si>
    <t>msr</t>
  </si>
  <si>
    <t>Planned allocation</t>
  </si>
  <si>
    <t>Unallocated allowances to be auctrioned for Innovation Fund</t>
  </si>
  <si>
    <t xml:space="preserve">Unallocated allowances </t>
  </si>
  <si>
    <t>New entrants reserve</t>
  </si>
  <si>
    <t>Allowances used for flexibility</t>
  </si>
  <si>
    <t>Accumulated cancelled from MSR</t>
  </si>
  <si>
    <t>CO2 ind fix</t>
  </si>
  <si>
    <t>CO2 ind elec share</t>
  </si>
  <si>
    <t>add</t>
  </si>
  <si>
    <t>allocated</t>
  </si>
  <si>
    <t>auctioned</t>
  </si>
  <si>
    <t>Added</t>
  </si>
  <si>
    <t>co2indshare</t>
  </si>
  <si>
    <t>co2indfix</t>
  </si>
  <si>
    <t>CO2 elec model out adjusted</t>
  </si>
  <si>
    <t>CO2 elec model out interpolated</t>
  </si>
  <si>
    <t>CO2 elec simulation in</t>
  </si>
  <si>
    <t>CO2 ind simulation in</t>
  </si>
  <si>
    <t>CO2 ind fix share absolute</t>
  </si>
  <si>
    <t>CO2 ind fix share relative</t>
  </si>
  <si>
    <t>CO2 ind elec share relative</t>
  </si>
  <si>
    <t>CO2 ind elec share absolute</t>
  </si>
  <si>
    <t>CO2 ind formula</t>
  </si>
  <si>
    <t>Allocation true</t>
  </si>
  <si>
    <t>Allocation plan</t>
  </si>
  <si>
    <t>CO2 ind model out interpolated</t>
  </si>
  <si>
    <t>CO2 ind model out adjusted</t>
  </si>
  <si>
    <t>Allowances added (from 2017 onwards) + flexibility</t>
  </si>
  <si>
    <t>co2can</t>
  </si>
  <si>
    <t>CO2 can</t>
  </si>
  <si>
    <t>Demand cancelled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</si>
  <si>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</si>
  <si>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</si>
  <si>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</si>
  <si>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</si>
  <si>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</si>
  <si>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</si>
  <si>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</si>
  <si>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</si>
  <si>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</si>
  <si>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</si>
  <si>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Allowances allocated - share of industrial emissions</t>
  </si>
  <si>
    <t>CO2 elec uk</t>
  </si>
  <si>
    <t>CO2 ind + avai uk</t>
  </si>
  <si>
    <t>CO2 ind + aviation uk</t>
  </si>
  <si>
    <t>Including UK</t>
  </si>
  <si>
    <t>CO2 ind uk</t>
  </si>
  <si>
    <t>CO2 ind+ avaiation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</si>
</sst>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#,##0.000"/>
    <numFmt numFmtId="166" formatCode="0.000000"/>
    <numFmt numFmtId="167" formatCode="#,##0.00000"/>
  </numFmts>
  <fonts count="2" x14ac:knownFonts="1">
    <font>
      <sz val="10"/>
      <color theme="1"/>
      <name val="Source Sans Pro"/>
      <family val="2"/>
    </font>
    <font>
      <sz val="10"/>
      <color theme="0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8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2" fontId="0" fillId="2" borderId="2" xfId="0" applyNumberFormat="1" applyFill="1" applyBorder="1"/>
    <xf numFmtId="4" fontId="0" fillId="3" borderId="2" xfId="0" applyNumberFormat="1" applyFill="1" applyBorder="1"/>
    <xf numFmtId="4" fontId="0" fillId="3" borderId="4" xfId="0" applyNumberFormat="1" applyFill="1" applyBorder="1"/>
    <xf numFmtId="4" fontId="0" fillId="3" borderId="6" xfId="0" applyNumberFormat="1" applyFill="1" applyBorder="1"/>
    <xf numFmtId="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4" borderId="2" xfId="0" applyFill="1" applyBorder="1"/>
    <xf numFmtId="0" fontId="0" fillId="0" borderId="2" xfId="0" applyBorder="1"/>
    <xf numFmtId="4" fontId="0" fillId="2" borderId="2" xfId="0" applyNumberFormat="1" applyFill="1" applyBorder="1"/>
    <xf numFmtId="4" fontId="0" fillId="0" borderId="2" xfId="0" applyNumberFormat="1" applyBorder="1"/>
    <xf numFmtId="2" fontId="0" fillId="3" borderId="2" xfId="0" applyNumberFormat="1" applyFill="1" applyBorder="1"/>
    <xf numFmtId="4" fontId="0" fillId="3" borderId="1" xfId="0" applyNumberFormat="1" applyFill="1" applyBorder="1"/>
    <xf numFmtId="4" fontId="0" fillId="0" borderId="8" xfId="0" applyNumberFormat="1" applyBorder="1"/>
    <xf numFmtId="4" fontId="0" fillId="2" borderId="8" xfId="0" applyNumberFormat="1" applyFill="1" applyBorder="1"/>
    <xf numFmtId="4" fontId="0" fillId="0" borderId="1" xfId="0" applyNumberFormat="1" applyBorder="1"/>
    <xf numFmtId="4" fontId="0" fillId="2" borderId="9" xfId="0" applyNumberFormat="1" applyFill="1" applyBorder="1"/>
    <xf numFmtId="4" fontId="0" fillId="3" borderId="8" xfId="0" applyNumberFormat="1" applyFill="1" applyBorder="1"/>
    <xf numFmtId="4" fontId="0" fillId="3" borderId="9" xfId="0" applyNumberFormat="1" applyFill="1" applyBorder="1"/>
    <xf numFmtId="4" fontId="0" fillId="0" borderId="9" xfId="0" applyNumberFormat="1" applyBorder="1"/>
    <xf numFmtId="0" fontId="0" fillId="0" borderId="10" xfId="0" applyBorder="1"/>
    <xf numFmtId="4" fontId="0" fillId="2" borderId="10" xfId="0" applyNumberFormat="1" applyFill="1" applyBorder="1"/>
    <xf numFmtId="4" fontId="0" fillId="0" borderId="11" xfId="0" applyNumberFormat="1" applyBorder="1"/>
    <xf numFmtId="4" fontId="0" fillId="2" borderId="12" xfId="0" applyNumberFormat="1" applyFill="1" applyBorder="1"/>
    <xf numFmtId="4" fontId="0" fillId="3" borderId="10" xfId="0" applyNumberFormat="1" applyFill="1" applyBorder="1"/>
    <xf numFmtId="2" fontId="0" fillId="2" borderId="10" xfId="0" applyNumberFormat="1" applyFill="1" applyBorder="1"/>
    <xf numFmtId="4" fontId="0" fillId="3" borderId="11" xfId="0" applyNumberFormat="1" applyFill="1" applyBorder="1"/>
    <xf numFmtId="4" fontId="0" fillId="0" borderId="12" xfId="0" applyNumberFormat="1" applyBorder="1"/>
    <xf numFmtId="4" fontId="0" fillId="0" borderId="10" xfId="0" applyNumberFormat="1" applyBorder="1"/>
    <xf numFmtId="4" fontId="0" fillId="0" borderId="13" xfId="0" applyNumberFormat="1" applyBorder="1"/>
    <xf numFmtId="0" fontId="0" fillId="4" borderId="14" xfId="0" applyFill="1" applyBorder="1"/>
    <xf numFmtId="4" fontId="0" fillId="3" borderId="14" xfId="0" applyNumberFormat="1" applyFill="1" applyBorder="1"/>
    <xf numFmtId="4" fontId="0" fillId="2" borderId="15" xfId="0" applyNumberFormat="1" applyFill="1" applyBorder="1"/>
    <xf numFmtId="4" fontId="0" fillId="3" borderId="16" xfId="0" applyNumberFormat="1" applyFill="1" applyBorder="1"/>
    <xf numFmtId="4" fontId="0" fillId="0" borderId="14" xfId="0" applyNumberFormat="1" applyBorder="1"/>
    <xf numFmtId="0" fontId="0" fillId="4" borderId="18" xfId="0" applyFill="1" applyBorder="1"/>
    <xf numFmtId="4" fontId="0" fillId="3" borderId="18" xfId="0" applyNumberFormat="1" applyFill="1" applyBorder="1"/>
    <xf numFmtId="4" fontId="0" fillId="2" borderId="19" xfId="0" applyNumberFormat="1" applyFill="1" applyBorder="1"/>
    <xf numFmtId="4" fontId="0" fillId="3" borderId="20" xfId="0" applyNumberFormat="1" applyFill="1" applyBorder="1"/>
    <xf numFmtId="2" fontId="0" fillId="3" borderId="18" xfId="0" applyNumberFormat="1" applyFill="1" applyBorder="1"/>
    <xf numFmtId="4" fontId="0" fillId="3" borderId="19" xfId="0" applyNumberFormat="1" applyFill="1" applyBorder="1"/>
    <xf numFmtId="4" fontId="0" fillId="2" borderId="18" xfId="0" applyNumberFormat="1" applyFill="1" applyBorder="1"/>
    <xf numFmtId="4" fontId="0" fillId="3" borderId="7" xfId="0" applyNumberFormat="1" applyFill="1" applyBorder="1"/>
    <xf numFmtId="4" fontId="0" fillId="0" borderId="1" xfId="0" applyNumberFormat="1" applyBorder="1" applyAlignment="1">
      <alignment wrapText="1"/>
    </xf>
    <xf numFmtId="0" fontId="0" fillId="0" borderId="14" xfId="0" applyBorder="1"/>
    <xf numFmtId="0" fontId="0" fillId="4" borderId="27" xfId="0" applyFill="1" applyBorder="1"/>
    <xf numFmtId="4" fontId="0" fillId="0" borderId="28" xfId="0" applyNumberFormat="1" applyBorder="1"/>
    <xf numFmtId="0" fontId="0" fillId="4" borderId="3" xfId="0" applyFill="1" applyBorder="1"/>
    <xf numFmtId="4" fontId="0" fillId="0" borderId="29" xfId="0" applyNumberFormat="1" applyBorder="1"/>
    <xf numFmtId="0" fontId="0" fillId="4" borderId="30" xfId="0" applyFill="1" applyBorder="1"/>
    <xf numFmtId="4" fontId="0" fillId="0" borderId="31" xfId="0" applyNumberFormat="1" applyBorder="1"/>
    <xf numFmtId="0" fontId="0" fillId="4" borderId="32" xfId="0" applyFill="1" applyBorder="1"/>
    <xf numFmtId="4" fontId="0" fillId="3" borderId="29" xfId="0" applyNumberFormat="1" applyFill="1" applyBorder="1"/>
    <xf numFmtId="0" fontId="0" fillId="4" borderId="5" xfId="0" applyFill="1" applyBorder="1"/>
    <xf numFmtId="0" fontId="0" fillId="4" borderId="6" xfId="0" applyFill="1" applyBorder="1"/>
    <xf numFmtId="4" fontId="0" fillId="2" borderId="34" xfId="0" applyNumberFormat="1" applyFill="1" applyBorder="1"/>
    <xf numFmtId="4" fontId="0" fillId="3" borderId="35" xfId="0" applyNumberFormat="1" applyFill="1" applyBorder="1"/>
    <xf numFmtId="4" fontId="0" fillId="2" borderId="6" xfId="0" applyNumberFormat="1" applyFill="1" applyBorder="1"/>
    <xf numFmtId="4" fontId="0" fillId="3" borderId="34" xfId="0" applyNumberFormat="1" applyFill="1" applyBorder="1"/>
    <xf numFmtId="4" fontId="0" fillId="3" borderId="36" xfId="0" applyNumberFormat="1" applyFill="1" applyBorder="1"/>
    <xf numFmtId="4" fontId="0" fillId="3" borderId="37" xfId="0" applyNumberFormat="1" applyFill="1" applyBorder="1"/>
    <xf numFmtId="4" fontId="0" fillId="0" borderId="41" xfId="0" applyNumberFormat="1" applyBorder="1"/>
    <xf numFmtId="0" fontId="0" fillId="6" borderId="40" xfId="0" applyFill="1" applyBorder="1"/>
    <xf numFmtId="0" fontId="0" fillId="0" borderId="41" xfId="0" applyBorder="1"/>
    <xf numFmtId="0" fontId="0" fillId="6" borderId="42" xfId="0" applyFill="1" applyBorder="1"/>
    <xf numFmtId="0" fontId="0" fillId="0" borderId="43" xfId="0" applyBorder="1"/>
    <xf numFmtId="4" fontId="0" fillId="0" borderId="43" xfId="0" applyNumberFormat="1" applyBorder="1"/>
    <xf numFmtId="0" fontId="0" fillId="6" borderId="21" xfId="0" applyFill="1" applyBorder="1" applyAlignment="1">
      <alignment wrapText="1"/>
    </xf>
    <xf numFmtId="0" fontId="0" fillId="6" borderId="22" xfId="0" applyFill="1" applyBorder="1" applyAlignment="1">
      <alignment wrapText="1"/>
    </xf>
    <xf numFmtId="4" fontId="0" fillId="6" borderId="22" xfId="0" applyNumberFormat="1" applyFill="1" applyBorder="1" applyAlignment="1">
      <alignment wrapText="1"/>
    </xf>
    <xf numFmtId="4" fontId="0" fillId="6" borderId="23" xfId="0" applyNumberFormat="1" applyFill="1" applyBorder="1" applyAlignment="1">
      <alignment wrapText="1"/>
    </xf>
    <xf numFmtId="4" fontId="0" fillId="6" borderId="24" xfId="0" applyNumberFormat="1" applyFill="1" applyBorder="1" applyAlignment="1">
      <alignment wrapText="1"/>
    </xf>
    <xf numFmtId="4" fontId="0" fillId="6" borderId="25" xfId="0" applyNumberFormat="1" applyFill="1" applyBorder="1" applyAlignment="1">
      <alignment wrapText="1"/>
    </xf>
    <xf numFmtId="4" fontId="0" fillId="6" borderId="26" xfId="0" applyNumberFormat="1" applyFill="1" applyBorder="1" applyAlignment="1">
      <alignment wrapText="1"/>
    </xf>
    <xf numFmtId="0" fontId="0" fillId="4" borderId="17" xfId="0" applyFill="1" applyBorder="1"/>
    <xf numFmtId="0" fontId="0" fillId="4" borderId="1" xfId="0" applyFill="1" applyBorder="1"/>
    <xf numFmtId="0" fontId="0" fillId="0" borderId="1" xfId="0" applyBorder="1"/>
    <xf numFmtId="4" fontId="0" fillId="3" borderId="12" xfId="0" applyNumberFormat="1" applyFill="1" applyBorder="1"/>
    <xf numFmtId="4" fontId="0" fillId="3" borderId="33" xfId="0" applyNumberFormat="1" applyFill="1" applyBorder="1"/>
    <xf numFmtId="4" fontId="0" fillId="6" borderId="38" xfId="0" applyNumberFormat="1" applyFill="1" applyBorder="1" applyAlignment="1">
      <alignment wrapText="1"/>
    </xf>
    <xf numFmtId="4" fontId="0" fillId="6" borderId="39" xfId="0" applyNumberFormat="1" applyFill="1" applyBorder="1" applyAlignment="1">
      <alignment wrapText="1"/>
    </xf>
    <xf numFmtId="4" fontId="0" fillId="3" borderId="44" xfId="0" applyNumberFormat="1" applyFill="1" applyBorder="1"/>
    <xf numFmtId="4" fontId="0" fillId="0" borderId="0" xfId="0" applyNumberFormat="1"/>
    <xf numFmtId="0" fontId="0" fillId="4" borderId="45" xfId="0" applyFill="1" applyBorder="1"/>
    <xf numFmtId="164" fontId="0" fillId="0" borderId="14" xfId="0" applyNumberFormat="1" applyBorder="1"/>
    <xf numFmtId="1" fontId="0" fillId="2" borderId="1" xfId="0" applyNumberFormat="1" applyFill="1" applyBorder="1"/>
    <xf numFmtId="1" fontId="0" fillId="2" borderId="2" xfId="0" applyNumberFormat="1" applyFill="1" applyBorder="1"/>
    <xf numFmtId="3" fontId="0" fillId="3" borderId="2" xfId="0" applyNumberFormat="1" applyFill="1" applyBorder="1"/>
    <xf numFmtId="3" fontId="0" fillId="5" borderId="2" xfId="0" applyNumberFormat="1" applyFill="1" applyBorder="1"/>
    <xf numFmtId="4" fontId="0" fillId="6" borderId="46" xfId="0" applyNumberFormat="1" applyFill="1" applyBorder="1" applyAlignment="1">
      <alignment wrapText="1"/>
    </xf>
    <xf numFmtId="4" fontId="0" fillId="6" borderId="47" xfId="0" applyNumberFormat="1" applyFill="1" applyBorder="1" applyAlignment="1">
      <alignment wrapText="1"/>
    </xf>
    <xf numFmtId="4" fontId="0" fillId="3" borderId="48" xfId="0" applyNumberFormat="1" applyFill="1" applyBorder="1"/>
    <xf numFmtId="4" fontId="0" fillId="3" borderId="49" xfId="0" applyNumberFormat="1" applyFill="1" applyBorder="1"/>
    <xf numFmtId="4" fontId="0" fillId="3" borderId="50" xfId="0" applyNumberFormat="1" applyFill="1" applyBorder="1"/>
    <xf numFmtId="0" fontId="0" fillId="4" borderId="48" xfId="0" applyFill="1" applyBorder="1"/>
    <xf numFmtId="0" fontId="0" fillId="4" borderId="49" xfId="0" applyFill="1" applyBorder="1"/>
    <xf numFmtId="0" fontId="0" fillId="4" borderId="50" xfId="0" applyFill="1" applyBorder="1"/>
    <xf numFmtId="4" fontId="0" fillId="6" borderId="51" xfId="0" applyNumberFormat="1" applyFill="1" applyBorder="1" applyAlignment="1">
      <alignment wrapText="1"/>
    </xf>
    <xf numFmtId="4" fontId="0" fillId="3" borderId="52" xfId="0" applyNumberFormat="1" applyFill="1" applyBorder="1"/>
    <xf numFmtId="4" fontId="0" fillId="3" borderId="3" xfId="0" applyNumberFormat="1" applyFill="1" applyBorder="1"/>
    <xf numFmtId="4" fontId="0" fillId="3" borderId="5" xfId="0" applyNumberFormat="1" applyFill="1" applyBorder="1"/>
    <xf numFmtId="4" fontId="0" fillId="3" borderId="32" xfId="0" applyNumberFormat="1" applyFill="1" applyBorder="1"/>
    <xf numFmtId="2" fontId="0" fillId="0" borderId="1" xfId="0" applyNumberFormat="1" applyBorder="1"/>
    <xf numFmtId="2" fontId="0" fillId="0" borderId="2" xfId="0" applyNumberFormat="1" applyBorder="1"/>
    <xf numFmtId="0" fontId="0" fillId="2" borderId="17" xfId="0" quotePrefix="1" applyNumberFormat="1" applyFill="1" applyBorder="1"/>
    <xf numFmtId="0" fontId="0" fillId="2" borderId="14" xfId="0" quotePrefix="1" applyNumberFormat="1" applyFill="1" applyBorder="1"/>
    <xf numFmtId="4" fontId="0" fillId="6" borderId="53" xfId="0" applyNumberFormat="1" applyFill="1" applyBorder="1" applyAlignment="1">
      <alignment wrapText="1"/>
    </xf>
    <xf numFmtId="4" fontId="0" fillId="0" borderId="54" xfId="0" applyNumberFormat="1" applyBorder="1"/>
    <xf numFmtId="4" fontId="0" fillId="0" borderId="49" xfId="0" applyNumberFormat="1" applyBorder="1"/>
    <xf numFmtId="4" fontId="0" fillId="2" borderId="49" xfId="0" applyNumberFormat="1" applyFill="1" applyBorder="1"/>
    <xf numFmtId="4" fontId="0" fillId="2" borderId="55" xfId="0" applyNumberFormat="1" applyFill="1" applyBorder="1"/>
    <xf numFmtId="4" fontId="0" fillId="3" borderId="56" xfId="0" applyNumberFormat="1" applyFill="1" applyBorder="1"/>
    <xf numFmtId="4" fontId="0" fillId="6" borderId="57" xfId="0" applyNumberFormat="1" applyFill="1" applyBorder="1" applyAlignment="1">
      <alignment wrapText="1"/>
    </xf>
    <xf numFmtId="4" fontId="0" fillId="0" borderId="58" xfId="0" applyNumberFormat="1" applyBorder="1"/>
    <xf numFmtId="4" fontId="0" fillId="0" borderId="59" xfId="0" applyNumberFormat="1" applyBorder="1"/>
    <xf numFmtId="4" fontId="0" fillId="3" borderId="59" xfId="0" applyNumberFormat="1" applyFill="1" applyBorder="1"/>
    <xf numFmtId="4" fontId="0" fillId="3" borderId="60" xfId="0" applyNumberFormat="1" applyFill="1" applyBorder="1"/>
    <xf numFmtId="4" fontId="0" fillId="2" borderId="14" xfId="0" applyNumberFormat="1" applyFill="1" applyBorder="1"/>
    <xf numFmtId="4" fontId="0" fillId="3" borderId="15" xfId="0" applyNumberFormat="1" applyFill="1" applyBorder="1"/>
    <xf numFmtId="4" fontId="0" fillId="3" borderId="17" xfId="0" applyNumberFormat="1" applyFill="1" applyBorder="1"/>
    <xf numFmtId="4" fontId="0" fillId="0" borderId="62" xfId="0" applyNumberFormat="1" applyBorder="1"/>
    <xf numFmtId="4" fontId="0" fillId="0" borderId="33" xfId="0" applyNumberFormat="1" applyBorder="1"/>
    <xf numFmtId="4" fontId="0" fillId="0" borderId="61" xfId="0" applyNumberFormat="1" applyBorder="1"/>
    <xf numFmtId="4" fontId="0" fillId="0" borderId="18" xfId="0" applyNumberFormat="1" applyBorder="1"/>
    <xf numFmtId="4" fontId="0" fillId="3" borderId="54" xfId="0" applyNumberFormat="1" applyFill="1" applyBorder="1"/>
    <xf numFmtId="4" fontId="0" fillId="3" borderId="55" xfId="0" applyNumberFormat="1" applyFill="1" applyBorder="1"/>
    <xf numFmtId="4" fontId="0" fillId="3" borderId="63" xfId="0" applyNumberFormat="1" applyFill="1" applyBorder="1"/>
    <xf numFmtId="4" fontId="0" fillId="2" borderId="29" xfId="0" applyNumberFormat="1" applyFill="1" applyBorder="1"/>
    <xf numFmtId="4" fontId="0" fillId="2" borderId="37" xfId="0" applyNumberFormat="1" applyFill="1" applyBorder="1"/>
    <xf numFmtId="0" fontId="0" fillId="0" borderId="44" xfId="0" applyBorder="1"/>
    <xf numFmtId="4" fontId="0" fillId="0" borderId="66" xfId="0" applyNumberFormat="1" applyBorder="1"/>
    <xf numFmtId="0" fontId="0" fillId="0" borderId="66" xfId="0" applyBorder="1"/>
    <xf numFmtId="4" fontId="0" fillId="2" borderId="3" xfId="0" applyNumberFormat="1" applyFill="1" applyBorder="1"/>
    <xf numFmtId="0" fontId="0" fillId="0" borderId="67" xfId="0" applyBorder="1"/>
    <xf numFmtId="0" fontId="0" fillId="0" borderId="68" xfId="0" applyBorder="1"/>
    <xf numFmtId="0" fontId="0" fillId="4" borderId="64" xfId="0" applyFill="1" applyBorder="1"/>
    <xf numFmtId="4" fontId="0" fillId="3" borderId="65" xfId="0" applyNumberFormat="1" applyFill="1" applyBorder="1"/>
    <xf numFmtId="4" fontId="0" fillId="3" borderId="64" xfId="0" applyNumberFormat="1" applyFill="1" applyBorder="1"/>
    <xf numFmtId="4" fontId="0" fillId="2" borderId="33" xfId="0" applyNumberFormat="1" applyFill="1" applyBorder="1"/>
    <xf numFmtId="4" fontId="0" fillId="6" borderId="42" xfId="0" applyNumberFormat="1" applyFill="1" applyBorder="1" applyAlignment="1">
      <alignment wrapText="1"/>
    </xf>
    <xf numFmtId="4" fontId="0" fillId="6" borderId="69" xfId="0" applyNumberFormat="1" applyFill="1" applyBorder="1" applyAlignment="1">
      <alignment wrapText="1"/>
    </xf>
    <xf numFmtId="4" fontId="0" fillId="6" borderId="43" xfId="0" applyNumberFormat="1" applyFill="1" applyBorder="1" applyAlignment="1">
      <alignment wrapText="1"/>
    </xf>
    <xf numFmtId="0" fontId="0" fillId="6" borderId="42" xfId="0" applyFill="1" applyBorder="1" applyAlignment="1">
      <alignment wrapText="1"/>
    </xf>
    <xf numFmtId="4" fontId="0" fillId="2" borderId="31" xfId="0" applyNumberFormat="1" applyFill="1" applyBorder="1"/>
    <xf numFmtId="4" fontId="0" fillId="2" borderId="30" xfId="0" applyNumberFormat="1" applyFill="1" applyBorder="1"/>
    <xf numFmtId="4" fontId="0" fillId="6" borderId="70" xfId="0" applyNumberFormat="1" applyFill="1" applyBorder="1" applyAlignment="1">
      <alignment wrapText="1"/>
    </xf>
    <xf numFmtId="4" fontId="0" fillId="2" borderId="17" xfId="0" applyNumberFormat="1" applyFill="1" applyBorder="1"/>
    <xf numFmtId="4" fontId="0" fillId="2" borderId="1" xfId="0" applyNumberFormat="1" applyFill="1" applyBorder="1"/>
    <xf numFmtId="4" fontId="0" fillId="2" borderId="7" xfId="0" applyNumberFormat="1" applyFill="1" applyBorder="1"/>
    <xf numFmtId="4" fontId="0" fillId="2" borderId="36" xfId="0" applyNumberFormat="1" applyFill="1" applyBorder="1"/>
    <xf numFmtId="4" fontId="0" fillId="6" borderId="71" xfId="0" applyNumberFormat="1" applyFill="1" applyBorder="1" applyAlignment="1">
      <alignment wrapText="1"/>
    </xf>
    <xf numFmtId="4" fontId="0" fillId="3" borderId="72" xfId="0" applyNumberFormat="1" applyFill="1" applyBorder="1"/>
    <xf numFmtId="4" fontId="0" fillId="3" borderId="73" xfId="0" applyNumberFormat="1" applyFill="1" applyBorder="1"/>
    <xf numFmtId="4" fontId="0" fillId="3" borderId="74" xfId="0" applyNumberFormat="1" applyFill="1" applyBorder="1"/>
    <xf numFmtId="4" fontId="0" fillId="3" borderId="75" xfId="0" applyNumberFormat="1" applyFill="1" applyBorder="1"/>
    <xf numFmtId="4" fontId="0" fillId="3" borderId="76" xfId="0" applyNumberFormat="1" applyFill="1" applyBorder="1"/>
    <xf numFmtId="4" fontId="0" fillId="6" borderId="77" xfId="0" applyNumberFormat="1" applyFill="1" applyBorder="1" applyAlignment="1">
      <alignment wrapText="1"/>
    </xf>
    <xf numFmtId="4" fontId="0" fillId="3" borderId="78" xfId="0" applyNumberFormat="1" applyFill="1" applyBorder="1"/>
    <xf numFmtId="0" fontId="1" fillId="0" borderId="0" xfId="0" applyFont="1"/>
    <xf numFmtId="4" fontId="0" fillId="6" borderId="79" xfId="0" applyNumberFormat="1" applyFill="1" applyBorder="1" applyAlignment="1">
      <alignment wrapText="1"/>
    </xf>
    <xf numFmtId="164" fontId="0" fillId="3" borderId="64" xfId="0" applyNumberFormat="1" applyFill="1" applyBorder="1"/>
    <xf numFmtId="164" fontId="0" fillId="3" borderId="3" xfId="0" applyNumberFormat="1" applyFill="1" applyBorder="1"/>
    <xf numFmtId="164" fontId="0" fillId="3" borderId="5" xfId="0" applyNumberFormat="1" applyFill="1" applyBorder="1"/>
    <xf numFmtId="2" fontId="0" fillId="0" borderId="0" xfId="0" applyNumberFormat="1"/>
    <xf numFmtId="167" fontId="0" fillId="0" borderId="0" xfId="0" applyNumberFormat="1"/>
    <xf numFmtId="166" fontId="0" fillId="0" borderId="2" xfId="0" applyNumberFormat="1" applyBorder="1"/>
    <xf numFmtId="165" fontId="0" fillId="2" borderId="32" xfId="0" applyNumberFormat="1" applyFill="1" applyBorder="1"/>
    <xf numFmtId="165" fontId="0" fillId="2" borderId="3" xfId="0" applyNumberFormat="1" applyFill="1" applyBorder="1"/>
    <xf numFmtId="165" fontId="0" fillId="2" borderId="30" xfId="0" applyNumberFormat="1" applyFill="1" applyBorder="1"/>
    <xf numFmtId="165" fontId="0" fillId="2" borderId="5" xfId="0" applyNumberFormat="1" applyFill="1" applyBorder="1"/>
    <xf numFmtId="3" fontId="0" fillId="0" borderId="2" xfId="0" applyNumberFormat="1" applyBorder="1"/>
    <xf numFmtId="4" fontId="0" fillId="0" borderId="19" xfId="0" applyNumberFormat="1" applyFill="1" applyBorder="1"/>
    <xf numFmtId="4" fontId="0" fillId="0" borderId="1" xfId="0" applyNumberFormat="1" applyFill="1" applyBorder="1"/>
    <xf numFmtId="4" fontId="0" fillId="0" borderId="7" xfId="0" applyNumberFormat="1" applyFill="1" applyBorder="1"/>
    <xf numFmtId="4" fontId="0" fillId="0" borderId="13" xfId="0" applyNumberFormat="1" applyFill="1" applyBorder="1"/>
    <xf numFmtId="4" fontId="0" fillId="0" borderId="54" xfId="0" applyNumberFormat="1" applyFill="1" applyBorder="1"/>
    <xf numFmtId="4" fontId="0" fillId="0" borderId="49" xfId="0" applyNumberFormat="1" applyFill="1" applyBorder="1"/>
    <xf numFmtId="4" fontId="0" fillId="0" borderId="55" xfId="0" applyNumberFormat="1" applyFill="1" applyBorder="1"/>
    <xf numFmtId="2" fontId="0" fillId="2" borderId="18" xfId="0" applyNumberFormat="1" applyFill="1" applyBorder="1"/>
    <xf numFmtId="0" fontId="0" fillId="0" borderId="80" xfId="0" applyBorder="1"/>
    <xf numFmtId="0" fontId="0" fillId="0" borderId="81" xfId="0" applyBorder="1"/>
    <xf numFmtId="1" fontId="0" fillId="0" borderId="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145" zoomScaleNormal="145" workbookViewId="0">
      <selection activeCell="D6" sqref="D6"/>
    </sheetView>
  </sheetViews>
  <sheetFormatPr baseColWidth="10" defaultRowHeight="13.5" x14ac:dyDescent="0.25"/>
  <cols>
    <col min="1" max="1" width="6.83203125" style="76" customWidth="1"/>
    <col min="2" max="2" width="6.83203125" style="8" customWidth="1"/>
    <col min="3" max="3" width="6.5" style="8" customWidth="1"/>
    <col min="4" max="15" width="6.83203125" style="8" customWidth="1"/>
    <col min="16" max="16384" width="12" style="8"/>
  </cols>
  <sheetData>
    <row r="1" spans="1:15" s="44" customFormat="1" x14ac:dyDescent="0.25">
      <c r="A1" s="104" t="s">
        <v>37</v>
      </c>
      <c r="B1" s="104" t="s">
        <v>93</v>
      </c>
      <c r="C1" s="104" t="s">
        <v>94</v>
      </c>
      <c r="D1" s="104" t="s">
        <v>95</v>
      </c>
      <c r="E1" s="104" t="s">
        <v>96</v>
      </c>
      <c r="F1" s="104" t="s">
        <v>97</v>
      </c>
      <c r="G1" s="104" t="s">
        <v>98</v>
      </c>
      <c r="H1" s="104" t="s">
        <v>99</v>
      </c>
      <c r="I1" s="104" t="s">
        <v>100</v>
      </c>
      <c r="J1" s="104" t="s">
        <v>101</v>
      </c>
      <c r="K1" s="104" t="s">
        <v>102</v>
      </c>
      <c r="L1" s="105" t="s">
        <v>38</v>
      </c>
      <c r="M1" s="105" t="s">
        <v>39</v>
      </c>
      <c r="N1" s="105" t="s">
        <v>40</v>
      </c>
      <c r="O1" s="105" t="s">
        <v>41</v>
      </c>
    </row>
    <row r="2" spans="1:15" x14ac:dyDescent="0.25">
      <c r="A2" s="85">
        <v>718.75490000000002</v>
      </c>
      <c r="B2" s="85">
        <v>653.98289999999997</v>
      </c>
      <c r="C2" s="85">
        <v>606.61810000000003</v>
      </c>
      <c r="D2" s="85">
        <v>570.49530000000004</v>
      </c>
      <c r="E2" s="85">
        <v>538.36609999999996</v>
      </c>
      <c r="F2" s="85">
        <v>508.14319999999998</v>
      </c>
      <c r="G2" s="85">
        <v>523.2808</v>
      </c>
      <c r="H2" s="85">
        <v>531.60900000000004</v>
      </c>
      <c r="I2" s="85">
        <v>559.13139999999999</v>
      </c>
      <c r="J2" s="85">
        <v>575.6576</v>
      </c>
      <c r="K2" s="86">
        <v>581.3768</v>
      </c>
      <c r="L2" s="86">
        <v>389.284729911753</v>
      </c>
      <c r="M2" s="86">
        <v>228.00529370381662</v>
      </c>
      <c r="N2" s="86">
        <v>96.911436384430317</v>
      </c>
      <c r="O2" s="86">
        <v>-128.17679999999999</v>
      </c>
    </row>
    <row r="3" spans="1:15" x14ac:dyDescent="0.25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5" x14ac:dyDescent="0.25">
      <c r="A4" s="75">
        <v>2020</v>
      </c>
      <c r="B4" s="87">
        <f>C4</f>
        <v>718.75490000000002</v>
      </c>
      <c r="C4" s="88">
        <f>A2</f>
        <v>718.75490000000002</v>
      </c>
    </row>
    <row r="5" spans="1:15" x14ac:dyDescent="0.25">
      <c r="A5" s="75">
        <v>2021</v>
      </c>
      <c r="B5" s="87">
        <f t="shared" ref="B5" si="0">C5</f>
        <v>653.98289999999997</v>
      </c>
      <c r="C5" s="88">
        <f>B2</f>
        <v>653.98289999999997</v>
      </c>
    </row>
    <row r="6" spans="1:15" x14ac:dyDescent="0.25">
      <c r="A6" s="75">
        <v>2022</v>
      </c>
      <c r="B6" s="87">
        <f>C6*D6</f>
        <v>606.61810000000003</v>
      </c>
      <c r="C6" s="88">
        <f>C2</f>
        <v>606.61810000000003</v>
      </c>
      <c r="D6" s="8">
        <v>1</v>
      </c>
    </row>
    <row r="7" spans="1:15" x14ac:dyDescent="0.25">
      <c r="A7" s="75">
        <v>2023</v>
      </c>
      <c r="B7" s="87">
        <f t="shared" ref="B7:B17" si="1">C7*D7</f>
        <v>570.49530000000004</v>
      </c>
      <c r="C7" s="88">
        <f>D2</f>
        <v>570.49530000000004</v>
      </c>
      <c r="D7" s="8">
        <f>D6</f>
        <v>1</v>
      </c>
    </row>
    <row r="8" spans="1:15" x14ac:dyDescent="0.25">
      <c r="A8" s="75">
        <v>2024</v>
      </c>
      <c r="B8" s="87">
        <f t="shared" si="1"/>
        <v>538.36609999999996</v>
      </c>
      <c r="C8" s="88">
        <f>E2</f>
        <v>538.36609999999996</v>
      </c>
      <c r="D8" s="8">
        <f t="shared" ref="D8:D17" si="2">D7</f>
        <v>1</v>
      </c>
    </row>
    <row r="9" spans="1:15" x14ac:dyDescent="0.25">
      <c r="A9" s="75">
        <v>2025</v>
      </c>
      <c r="B9" s="87">
        <f t="shared" si="1"/>
        <v>508.14319999999998</v>
      </c>
      <c r="C9" s="88">
        <f>F2</f>
        <v>508.14319999999998</v>
      </c>
      <c r="D9" s="8">
        <f t="shared" si="2"/>
        <v>1</v>
      </c>
    </row>
    <row r="10" spans="1:15" x14ac:dyDescent="0.25">
      <c r="A10" s="75">
        <v>2026</v>
      </c>
      <c r="B10" s="87">
        <f t="shared" si="1"/>
        <v>523.2808</v>
      </c>
      <c r="C10" s="88">
        <f>G2</f>
        <v>523.2808</v>
      </c>
      <c r="D10" s="8">
        <f t="shared" si="2"/>
        <v>1</v>
      </c>
    </row>
    <row r="11" spans="1:15" x14ac:dyDescent="0.25">
      <c r="A11" s="75">
        <v>2027</v>
      </c>
      <c r="B11" s="87">
        <f t="shared" si="1"/>
        <v>531.60900000000004</v>
      </c>
      <c r="C11" s="88">
        <f>H2</f>
        <v>531.60900000000004</v>
      </c>
      <c r="D11" s="8">
        <f t="shared" si="2"/>
        <v>1</v>
      </c>
    </row>
    <row r="12" spans="1:15" x14ac:dyDescent="0.25">
      <c r="A12" s="75">
        <v>2028</v>
      </c>
      <c r="B12" s="87">
        <f t="shared" si="1"/>
        <v>559.13139999999999</v>
      </c>
      <c r="C12" s="88">
        <f>I2</f>
        <v>559.13139999999999</v>
      </c>
      <c r="D12" s="8">
        <f t="shared" si="2"/>
        <v>1</v>
      </c>
    </row>
    <row r="13" spans="1:15" x14ac:dyDescent="0.25">
      <c r="A13" s="75">
        <v>2029</v>
      </c>
      <c r="B13" s="87">
        <f t="shared" si="1"/>
        <v>575.6576</v>
      </c>
      <c r="C13" s="88">
        <f>J2</f>
        <v>575.6576</v>
      </c>
      <c r="D13" s="8">
        <f t="shared" si="2"/>
        <v>1</v>
      </c>
    </row>
    <row r="14" spans="1:15" x14ac:dyDescent="0.25">
      <c r="A14" s="75">
        <v>2030</v>
      </c>
      <c r="B14" s="87">
        <f t="shared" si="1"/>
        <v>581.3768</v>
      </c>
      <c r="C14" s="88">
        <f>K2</f>
        <v>581.3768</v>
      </c>
      <c r="D14" s="8">
        <f t="shared" si="2"/>
        <v>1</v>
      </c>
    </row>
    <row r="15" spans="1:15" x14ac:dyDescent="0.25">
      <c r="A15" s="75">
        <f t="shared" ref="A15:A18" si="3">A14+5</f>
        <v>2035</v>
      </c>
      <c r="B15" s="87">
        <f t="shared" si="1"/>
        <v>389.284729911753</v>
      </c>
      <c r="C15" s="88">
        <f>L2</f>
        <v>389.284729911753</v>
      </c>
      <c r="D15" s="8">
        <f t="shared" si="2"/>
        <v>1</v>
      </c>
    </row>
    <row r="16" spans="1:15" x14ac:dyDescent="0.25">
      <c r="A16" s="75">
        <f t="shared" si="3"/>
        <v>2040</v>
      </c>
      <c r="B16" s="87">
        <f t="shared" si="1"/>
        <v>228.00529370381662</v>
      </c>
      <c r="C16" s="88">
        <f>M2</f>
        <v>228.00529370381662</v>
      </c>
      <c r="D16" s="8">
        <f t="shared" si="2"/>
        <v>1</v>
      </c>
    </row>
    <row r="17" spans="1:4" x14ac:dyDescent="0.25">
      <c r="A17" s="75">
        <f t="shared" si="3"/>
        <v>2045</v>
      </c>
      <c r="B17" s="87">
        <f t="shared" si="1"/>
        <v>96.911436384430317</v>
      </c>
      <c r="C17" s="88">
        <f>N2</f>
        <v>96.911436384430317</v>
      </c>
      <c r="D17" s="8">
        <f t="shared" si="2"/>
        <v>1</v>
      </c>
    </row>
    <row r="18" spans="1:4" x14ac:dyDescent="0.25">
      <c r="A18" s="75">
        <f t="shared" si="3"/>
        <v>2050</v>
      </c>
      <c r="B18" s="87">
        <f t="shared" ref="B18" si="4">C18</f>
        <v>-128.17679999999999</v>
      </c>
      <c r="C18" s="88">
        <f>O2</f>
        <v>-128.17679999999999</v>
      </c>
    </row>
    <row r="23" spans="1:4" x14ac:dyDescent="0.25">
      <c r="C23" s="170"/>
    </row>
    <row r="24" spans="1:4" x14ac:dyDescent="0.25">
      <c r="C24" s="170"/>
    </row>
    <row r="25" spans="1:4" x14ac:dyDescent="0.25">
      <c r="C25" s="170"/>
    </row>
    <row r="26" spans="1:4" x14ac:dyDescent="0.25">
      <c r="C26" s="170"/>
    </row>
    <row r="27" spans="1:4" x14ac:dyDescent="0.25">
      <c r="C27" s="170"/>
    </row>
    <row r="28" spans="1:4" x14ac:dyDescent="0.25">
      <c r="C28" s="170"/>
    </row>
    <row r="29" spans="1:4" x14ac:dyDescent="0.25">
      <c r="C29" s="170"/>
    </row>
    <row r="30" spans="1:4" x14ac:dyDescent="0.25">
      <c r="C30" s="170"/>
    </row>
    <row r="31" spans="1:4" x14ac:dyDescent="0.25">
      <c r="C31" s="170"/>
    </row>
    <row r="32" spans="1:4" x14ac:dyDescent="0.25">
      <c r="C32" s="170"/>
    </row>
    <row r="34" spans="3:3" x14ac:dyDescent="0.25">
      <c r="C34" s="170"/>
    </row>
    <row r="35" spans="3:3" x14ac:dyDescent="0.25">
      <c r="C35" s="170"/>
    </row>
    <row r="36" spans="3:3" x14ac:dyDescent="0.25">
      <c r="C36" s="170"/>
    </row>
    <row r="37" spans="3:3" x14ac:dyDescent="0.25">
      <c r="C37" s="170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45" zoomScaleNormal="145" workbookViewId="0">
      <selection activeCell="B2" sqref="B2:B16"/>
    </sheetView>
  </sheetViews>
  <sheetFormatPr baseColWidth="10" defaultRowHeight="13.5" x14ac:dyDescent="0.25"/>
  <cols>
    <col min="3" max="5" width="12" customWidth="1"/>
  </cols>
  <sheetData>
    <row r="1" spans="1:4" x14ac:dyDescent="0.25">
      <c r="A1" s="74" t="s">
        <v>36</v>
      </c>
      <c r="B1" s="30" t="s">
        <v>43</v>
      </c>
    </row>
    <row r="2" spans="1:4" x14ac:dyDescent="0.25">
      <c r="A2" s="75">
        <f>EUETS_period!C2</f>
        <v>2020</v>
      </c>
      <c r="B2" s="2">
        <f>EUETS_period!U2</f>
        <v>633.64486084220198</v>
      </c>
      <c r="D2" s="164"/>
    </row>
    <row r="3" spans="1:4" x14ac:dyDescent="0.25">
      <c r="A3" s="75">
        <f>EUETS_period!C3</f>
        <v>2021</v>
      </c>
      <c r="B3" s="2">
        <f>EUETS_period!U3</f>
        <v>636.25556802857386</v>
      </c>
      <c r="D3" s="164"/>
    </row>
    <row r="4" spans="1:4" x14ac:dyDescent="0.25">
      <c r="A4" s="75">
        <f>EUETS_period!C4</f>
        <v>2022</v>
      </c>
      <c r="B4" s="2">
        <f>EUETS_period!U4</f>
        <v>638.89520103710288</v>
      </c>
      <c r="D4" s="164"/>
    </row>
    <row r="5" spans="1:4" x14ac:dyDescent="0.25">
      <c r="A5" s="75">
        <f>EUETS_period!C5</f>
        <v>2023</v>
      </c>
      <c r="B5" s="2">
        <f>EUETS_period!U5</f>
        <v>681.13882802130547</v>
      </c>
      <c r="D5" s="164"/>
    </row>
    <row r="6" spans="1:4" x14ac:dyDescent="0.25">
      <c r="A6" s="75">
        <f>EUETS_period!C6</f>
        <v>2024</v>
      </c>
      <c r="B6" s="2">
        <f>EUETS_period!U6</f>
        <v>679.40422322437075</v>
      </c>
      <c r="D6" s="164"/>
    </row>
    <row r="7" spans="1:4" x14ac:dyDescent="0.25">
      <c r="A7" s="75">
        <f>EUETS_period!C7</f>
        <v>2025</v>
      </c>
      <c r="B7" s="2">
        <f>EUETS_period!U7</f>
        <v>715.98328245397579</v>
      </c>
      <c r="D7" s="164"/>
    </row>
    <row r="8" spans="1:4" x14ac:dyDescent="0.25">
      <c r="A8" s="75">
        <f>EUETS_period!C8</f>
        <v>2026</v>
      </c>
      <c r="B8" s="2">
        <f>EUETS_period!U8</f>
        <v>738.35712226081262</v>
      </c>
      <c r="D8" s="164"/>
    </row>
    <row r="9" spans="1:4" x14ac:dyDescent="0.25">
      <c r="A9" s="75">
        <f>EUETS_period!C9</f>
        <v>2027</v>
      </c>
      <c r="B9" s="2">
        <f>EUETS_period!U9</f>
        <v>763.07396339253114</v>
      </c>
      <c r="D9" s="164"/>
    </row>
    <row r="10" spans="1:4" x14ac:dyDescent="0.25">
      <c r="A10" s="75">
        <f>EUETS_period!C10</f>
        <v>2028</v>
      </c>
      <c r="B10" s="2">
        <f>EUETS_period!U10</f>
        <v>719.39422707677124</v>
      </c>
      <c r="D10" s="164"/>
    </row>
    <row r="11" spans="1:4" x14ac:dyDescent="0.25">
      <c r="A11" s="75">
        <f>EUETS_period!C11</f>
        <v>2029</v>
      </c>
      <c r="B11" s="2">
        <f>EUETS_period!U11</f>
        <v>675.27787965185621</v>
      </c>
      <c r="D11" s="164"/>
    </row>
    <row r="12" spans="1:4" x14ac:dyDescent="0.25">
      <c r="A12" s="75">
        <f>EUETS_period!C12</f>
        <v>2030</v>
      </c>
      <c r="B12" s="2">
        <f>EUETS_period!U12</f>
        <v>631.16153222694038</v>
      </c>
      <c r="D12" s="164"/>
    </row>
    <row r="13" spans="1:4" x14ac:dyDescent="0.25">
      <c r="A13" s="75">
        <f>EUETS_period!C13</f>
        <v>2035</v>
      </c>
      <c r="B13" s="2">
        <f>EUETS_period!U13</f>
        <v>507.57438942193659</v>
      </c>
      <c r="D13" s="164"/>
    </row>
    <row r="14" spans="1:4" x14ac:dyDescent="0.25">
      <c r="A14" s="75">
        <f>EUETS_period!C14</f>
        <v>2040</v>
      </c>
      <c r="B14" s="2">
        <f>EUETS_period!U14</f>
        <v>272.19860832196889</v>
      </c>
      <c r="D14" s="164"/>
    </row>
    <row r="15" spans="1:4" x14ac:dyDescent="0.25">
      <c r="A15" s="75">
        <f>EUETS_period!C15</f>
        <v>2045</v>
      </c>
      <c r="B15" s="2">
        <f>EUETS_period!U15</f>
        <v>186.08121746963755</v>
      </c>
      <c r="D15" s="164"/>
    </row>
    <row r="16" spans="1:4" x14ac:dyDescent="0.25">
      <c r="A16" s="75">
        <f>EUETS_period!C16</f>
        <v>2050</v>
      </c>
      <c r="B16" s="2">
        <f>EUETS_period!U16</f>
        <v>128.17676999999998</v>
      </c>
      <c r="D16" s="16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45" zoomScaleNormal="145" workbookViewId="0">
      <selection activeCell="B16" sqref="B16"/>
    </sheetView>
  </sheetViews>
  <sheetFormatPr baseColWidth="10" defaultRowHeight="13.5" x14ac:dyDescent="0.25"/>
  <cols>
    <col min="3" max="5" width="12" customWidth="1"/>
  </cols>
  <sheetData>
    <row r="1" spans="1:4" x14ac:dyDescent="0.25">
      <c r="A1" s="74" t="s">
        <v>36</v>
      </c>
      <c r="B1" s="30" t="s">
        <v>43</v>
      </c>
    </row>
    <row r="2" spans="1:4" x14ac:dyDescent="0.25">
      <c r="A2" s="75">
        <f>EUETS_period!C2</f>
        <v>2020</v>
      </c>
      <c r="B2" s="2">
        <f>EUETS_period!V2*EUETS_period!X2</f>
        <v>633.64486084220198</v>
      </c>
      <c r="D2" s="164"/>
    </row>
    <row r="3" spans="1:4" x14ac:dyDescent="0.25">
      <c r="A3" s="75">
        <f>EUETS_period!C3</f>
        <v>2021</v>
      </c>
      <c r="B3" s="2">
        <f>EUETS_period!V3*EUETS_period!X3</f>
        <v>636.25556802857386</v>
      </c>
      <c r="D3" s="164"/>
    </row>
    <row r="4" spans="1:4" x14ac:dyDescent="0.25">
      <c r="A4" s="75">
        <f>EUETS_period!C4</f>
        <v>2022</v>
      </c>
      <c r="B4" s="2">
        <f>EUETS_period!V4*EUETS_period!X4</f>
        <v>638.89520103710288</v>
      </c>
      <c r="D4" s="164"/>
    </row>
    <row r="5" spans="1:4" x14ac:dyDescent="0.25">
      <c r="A5" s="75">
        <f>EUETS_period!C5</f>
        <v>2023</v>
      </c>
      <c r="B5" s="2">
        <f>EUETS_period!V5*EUETS_period!X5</f>
        <v>681.13882802130547</v>
      </c>
      <c r="D5" s="164"/>
    </row>
    <row r="6" spans="1:4" x14ac:dyDescent="0.25">
      <c r="A6" s="75">
        <f>EUETS_period!C6</f>
        <v>2024</v>
      </c>
      <c r="B6" s="2">
        <f>EUETS_period!V6*EUETS_period!X6</f>
        <v>679.40422322437075</v>
      </c>
      <c r="D6" s="164"/>
    </row>
    <row r="7" spans="1:4" x14ac:dyDescent="0.25">
      <c r="A7" s="75">
        <f>EUETS_period!C7</f>
        <v>2025</v>
      </c>
      <c r="B7" s="2">
        <f>EUETS_period!V7*EUETS_period!X7</f>
        <v>715.98328245397579</v>
      </c>
      <c r="D7" s="164"/>
    </row>
    <row r="8" spans="1:4" x14ac:dyDescent="0.25">
      <c r="A8" s="75">
        <f>EUETS_period!C8</f>
        <v>2026</v>
      </c>
      <c r="B8" s="2">
        <f>EUETS_period!V8*EUETS_period!X8</f>
        <v>738.35712226081262</v>
      </c>
      <c r="D8" s="164"/>
    </row>
    <row r="9" spans="1:4" x14ac:dyDescent="0.25">
      <c r="A9" s="75">
        <f>EUETS_period!C9</f>
        <v>2027</v>
      </c>
      <c r="B9" s="2">
        <f>EUETS_period!V9*EUETS_period!X9</f>
        <v>763.07396339253114</v>
      </c>
      <c r="D9" s="164"/>
    </row>
    <row r="10" spans="1:4" x14ac:dyDescent="0.25">
      <c r="A10" s="75">
        <f>EUETS_period!C10</f>
        <v>2028</v>
      </c>
      <c r="B10" s="2">
        <f>EUETS_period!V10*EUETS_period!X10</f>
        <v>719.39422707677124</v>
      </c>
      <c r="D10" s="164"/>
    </row>
    <row r="11" spans="1:4" x14ac:dyDescent="0.25">
      <c r="A11" s="75">
        <f>EUETS_period!C11</f>
        <v>2029</v>
      </c>
      <c r="B11" s="2">
        <f>EUETS_period!V11*EUETS_period!X11</f>
        <v>675.27787965185621</v>
      </c>
      <c r="D11" s="164"/>
    </row>
    <row r="12" spans="1:4" x14ac:dyDescent="0.25">
      <c r="A12" s="75">
        <f>EUETS_period!C12</f>
        <v>2030</v>
      </c>
      <c r="B12" s="2">
        <f>EUETS_period!V12*EUETS_period!X12</f>
        <v>631.16153222694038</v>
      </c>
      <c r="D12" s="164"/>
    </row>
    <row r="13" spans="1:4" x14ac:dyDescent="0.25">
      <c r="A13" s="75">
        <f>EUETS_period!C13</f>
        <v>2035</v>
      </c>
      <c r="B13" s="2">
        <f>EUETS_period!V13*EUETS_period!X13</f>
        <v>507.57438942193659</v>
      </c>
      <c r="D13" s="164"/>
    </row>
    <row r="14" spans="1:4" x14ac:dyDescent="0.25">
      <c r="A14" s="75">
        <f>EUETS_period!C14</f>
        <v>2040</v>
      </c>
      <c r="B14" s="2">
        <f>EUETS_period!V14*EUETS_period!X14</f>
        <v>272.19860832196889</v>
      </c>
      <c r="D14" s="164"/>
    </row>
    <row r="15" spans="1:4" x14ac:dyDescent="0.25">
      <c r="A15" s="75">
        <f>EUETS_period!C15</f>
        <v>2045</v>
      </c>
      <c r="B15" s="2">
        <f>EUETS_period!V15*EUETS_period!X15</f>
        <v>186.08121746963755</v>
      </c>
      <c r="D15" s="164"/>
    </row>
    <row r="16" spans="1:4" x14ac:dyDescent="0.25">
      <c r="A16" s="75">
        <f>EUETS_period!C16</f>
        <v>2050</v>
      </c>
      <c r="B16" s="2">
        <f>EUETS_period!V16*EUETS_period!X16</f>
        <v>128.17676999999998</v>
      </c>
      <c r="D16" s="16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43</v>
      </c>
    </row>
    <row r="2" spans="1:2" x14ac:dyDescent="0.25">
      <c r="A2" s="75">
        <f>EUETS_period!C2</f>
        <v>2020</v>
      </c>
      <c r="B2" s="2">
        <f>EUETS_period!W2</f>
        <v>0</v>
      </c>
    </row>
    <row r="3" spans="1:2" x14ac:dyDescent="0.25">
      <c r="A3" s="75">
        <f>EUETS_period!C3</f>
        <v>2021</v>
      </c>
      <c r="B3" s="2">
        <f>EUETS_period!W3</f>
        <v>0</v>
      </c>
    </row>
    <row r="4" spans="1:2" x14ac:dyDescent="0.25">
      <c r="A4" s="75">
        <f>EUETS_period!C4</f>
        <v>2022</v>
      </c>
      <c r="B4" s="2">
        <f>EUETS_period!W4</f>
        <v>19.166856031113085</v>
      </c>
    </row>
    <row r="5" spans="1:2" x14ac:dyDescent="0.25">
      <c r="A5" s="75">
        <f>EUETS_period!C5</f>
        <v>2023</v>
      </c>
      <c r="B5" s="2">
        <f>EUETS_period!W5</f>
        <v>20.434164840639163</v>
      </c>
    </row>
    <row r="6" spans="1:2" x14ac:dyDescent="0.25">
      <c r="A6" s="75">
        <f>EUETS_period!C6</f>
        <v>2024</v>
      </c>
      <c r="B6" s="2">
        <f>EUETS_period!W6</f>
        <v>20.38212669673112</v>
      </c>
    </row>
    <row r="7" spans="1:2" x14ac:dyDescent="0.25">
      <c r="A7" s="75">
        <f>EUETS_period!C7</f>
        <v>2025</v>
      </c>
      <c r="B7" s="2">
        <f>EUETS_period!W7</f>
        <v>21.479498473619273</v>
      </c>
    </row>
    <row r="8" spans="1:2" x14ac:dyDescent="0.25">
      <c r="A8" s="75">
        <f>EUETS_period!C8</f>
        <v>2026</v>
      </c>
      <c r="B8" s="2">
        <f>EUETS_period!W8</f>
        <v>22.150713667824377</v>
      </c>
    </row>
    <row r="9" spans="1:2" x14ac:dyDescent="0.25">
      <c r="A9" s="75">
        <f>EUETS_period!C9</f>
        <v>2027</v>
      </c>
      <c r="B9" s="2">
        <f>EUETS_period!W9</f>
        <v>22.892218901775934</v>
      </c>
    </row>
    <row r="10" spans="1:2" x14ac:dyDescent="0.25">
      <c r="A10" s="75">
        <f>EUETS_period!C10</f>
        <v>2028</v>
      </c>
      <c r="B10" s="2">
        <f>EUETS_period!W10</f>
        <v>21.581826812303138</v>
      </c>
    </row>
    <row r="11" spans="1:2" x14ac:dyDescent="0.25">
      <c r="A11" s="75">
        <f>EUETS_period!C11</f>
        <v>2029</v>
      </c>
      <c r="B11" s="2">
        <f>EUETS_period!W11</f>
        <v>20.258336389555687</v>
      </c>
    </row>
    <row r="12" spans="1:2" x14ac:dyDescent="0.25">
      <c r="A12" s="75">
        <f>EUETS_period!C12</f>
        <v>2030</v>
      </c>
      <c r="B12" s="2">
        <f>EUETS_period!W12</f>
        <v>18.934845966808211</v>
      </c>
    </row>
    <row r="13" spans="1:2" x14ac:dyDescent="0.25">
      <c r="A13" s="75">
        <f>EUETS_period!C13</f>
        <v>2035</v>
      </c>
      <c r="B13" s="2">
        <f>EUETS_period!W13</f>
        <v>15.227231682658095</v>
      </c>
    </row>
    <row r="14" spans="1:2" x14ac:dyDescent="0.25">
      <c r="A14" s="75">
        <f>EUETS_period!C14</f>
        <v>2040</v>
      </c>
      <c r="B14" s="2">
        <f>EUETS_period!W14</f>
        <v>8.1659582496590666</v>
      </c>
    </row>
    <row r="15" spans="1:2" x14ac:dyDescent="0.25">
      <c r="A15" s="75">
        <f>EUETS_period!C15</f>
        <v>2045</v>
      </c>
      <c r="B15" s="2">
        <f>EUETS_period!W15</f>
        <v>5.5824365240891263</v>
      </c>
    </row>
    <row r="16" spans="1:2" x14ac:dyDescent="0.25">
      <c r="A16" s="75">
        <f>EUETS_period!C16</f>
        <v>2050</v>
      </c>
      <c r="B16" s="2">
        <f>EUETS_period!W16</f>
        <v>3.8453030999999998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" sqref="C1:C1048576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75</v>
      </c>
    </row>
    <row r="2" spans="1:2" x14ac:dyDescent="0.25">
      <c r="A2" s="75">
        <f>EUETS_period!C2</f>
        <v>2020</v>
      </c>
      <c r="B2" s="2">
        <f>EUETS_period!X2</f>
        <v>1</v>
      </c>
    </row>
    <row r="3" spans="1:2" x14ac:dyDescent="0.25">
      <c r="A3" s="75">
        <f>EUETS_period!C3</f>
        <v>2021</v>
      </c>
      <c r="B3" s="2">
        <f>EUETS_period!X3</f>
        <v>1</v>
      </c>
    </row>
    <row r="4" spans="1:2" x14ac:dyDescent="0.25">
      <c r="A4" s="75">
        <f>EUETS_period!C4</f>
        <v>2022</v>
      </c>
      <c r="B4" s="2">
        <f>EUETS_period!X4</f>
        <v>1</v>
      </c>
    </row>
    <row r="5" spans="1:2" x14ac:dyDescent="0.25">
      <c r="A5" s="75">
        <f>EUETS_period!C5</f>
        <v>2023</v>
      </c>
      <c r="B5" s="2">
        <f>EUETS_period!X5</f>
        <v>1</v>
      </c>
    </row>
    <row r="6" spans="1:2" x14ac:dyDescent="0.25">
      <c r="A6" s="75">
        <f>EUETS_period!C6</f>
        <v>2024</v>
      </c>
      <c r="B6" s="2">
        <f>EUETS_period!X6</f>
        <v>1</v>
      </c>
    </row>
    <row r="7" spans="1:2" x14ac:dyDescent="0.25">
      <c r="A7" s="75">
        <f>EUETS_period!C7</f>
        <v>2025</v>
      </c>
      <c r="B7" s="2">
        <f>EUETS_period!X7</f>
        <v>1</v>
      </c>
    </row>
    <row r="8" spans="1:2" x14ac:dyDescent="0.25">
      <c r="A8" s="75">
        <f>EUETS_period!C8</f>
        <v>2026</v>
      </c>
      <c r="B8" s="2">
        <f>EUETS_period!X8</f>
        <v>1</v>
      </c>
    </row>
    <row r="9" spans="1:2" x14ac:dyDescent="0.25">
      <c r="A9" s="75">
        <f>EUETS_period!C9</f>
        <v>2027</v>
      </c>
      <c r="B9" s="2">
        <f>EUETS_period!X9</f>
        <v>1</v>
      </c>
    </row>
    <row r="10" spans="1:2" x14ac:dyDescent="0.25">
      <c r="A10" s="75">
        <f>EUETS_period!C10</f>
        <v>2028</v>
      </c>
      <c r="B10" s="2">
        <f>EUETS_period!X10</f>
        <v>1</v>
      </c>
    </row>
    <row r="11" spans="1:2" x14ac:dyDescent="0.25">
      <c r="A11" s="75">
        <f>EUETS_period!C11</f>
        <v>2029</v>
      </c>
      <c r="B11" s="2">
        <f>EUETS_period!X11</f>
        <v>1</v>
      </c>
    </row>
    <row r="12" spans="1:2" x14ac:dyDescent="0.25">
      <c r="A12" s="75">
        <f>EUETS_period!C12</f>
        <v>2030</v>
      </c>
      <c r="B12" s="2">
        <f>EUETS_period!X12</f>
        <v>1</v>
      </c>
    </row>
    <row r="13" spans="1:2" x14ac:dyDescent="0.25">
      <c r="A13" s="75">
        <f>EUETS_period!C13</f>
        <v>2035</v>
      </c>
      <c r="B13" s="2">
        <f>EUETS_period!X13</f>
        <v>1</v>
      </c>
    </row>
    <row r="14" spans="1:2" x14ac:dyDescent="0.25">
      <c r="A14" s="75">
        <f>EUETS_period!C14</f>
        <v>2040</v>
      </c>
      <c r="B14" s="2">
        <f>EUETS_period!X14</f>
        <v>1</v>
      </c>
    </row>
    <row r="15" spans="1:2" x14ac:dyDescent="0.25">
      <c r="A15" s="75">
        <f>EUETS_period!C15</f>
        <v>2045</v>
      </c>
      <c r="B15" s="2">
        <f>EUETS_period!X15</f>
        <v>1</v>
      </c>
    </row>
    <row r="16" spans="1:2" x14ac:dyDescent="0.25">
      <c r="A16" s="75">
        <f>EUETS_period!C16</f>
        <v>2050</v>
      </c>
      <c r="B16" s="2">
        <f>EUETS_period!X16</f>
        <v>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23" sqref="E23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74</v>
      </c>
    </row>
    <row r="2" spans="1:2" x14ac:dyDescent="0.25">
      <c r="A2" s="75">
        <f>EUETS_period!C2</f>
        <v>2020</v>
      </c>
      <c r="B2" s="2">
        <f>EUETS_period!Y2</f>
        <v>0.88158678680988045</v>
      </c>
    </row>
    <row r="3" spans="1:2" x14ac:dyDescent="0.25">
      <c r="A3" s="75">
        <f>EUETS_period!C3</f>
        <v>2021</v>
      </c>
      <c r="B3" s="2">
        <f>EUETS_period!Y3</f>
        <v>0.97289323447077214</v>
      </c>
    </row>
    <row r="4" spans="1:2" x14ac:dyDescent="0.25">
      <c r="A4" s="75">
        <f>EUETS_period!C4</f>
        <v>2022</v>
      </c>
      <c r="B4" s="2">
        <f>EUETS_period!Y4</f>
        <v>0.97300883381518743</v>
      </c>
    </row>
    <row r="5" spans="1:2" x14ac:dyDescent="0.25">
      <c r="A5" s="75">
        <f>EUETS_period!C5</f>
        <v>2023</v>
      </c>
      <c r="B5" s="2">
        <f>EUETS_period!Y5</f>
        <v>1.0977341148967024</v>
      </c>
    </row>
    <row r="6" spans="1:2" x14ac:dyDescent="0.25">
      <c r="A6" s="75">
        <f>EUETS_period!C6</f>
        <v>2024</v>
      </c>
      <c r="B6" s="2">
        <f>EUETS_period!Y6</f>
        <v>1.1547304504162201</v>
      </c>
    </row>
    <row r="7" spans="1:2" x14ac:dyDescent="0.25">
      <c r="A7" s="75">
        <f>EUETS_period!C7</f>
        <v>2025</v>
      </c>
      <c r="B7" s="2">
        <f>EUETS_period!Y7</f>
        <v>1.28279491777615</v>
      </c>
    </row>
    <row r="8" spans="1:2" x14ac:dyDescent="0.25">
      <c r="A8" s="75">
        <f>EUETS_period!C8</f>
        <v>2026</v>
      </c>
      <c r="B8" s="2">
        <f>EUETS_period!Y8</f>
        <v>1.287950268673882</v>
      </c>
    </row>
    <row r="9" spans="1:2" x14ac:dyDescent="0.25">
      <c r="A9" s="75">
        <f>EUETS_period!C9</f>
        <v>2027</v>
      </c>
      <c r="B9" s="2">
        <f>EUETS_period!Y9</f>
        <v>1.312005150545831</v>
      </c>
    </row>
    <row r="10" spans="1:2" x14ac:dyDescent="0.25">
      <c r="A10" s="75">
        <f>EUETS_period!C10</f>
        <v>2028</v>
      </c>
      <c r="B10" s="2">
        <f>EUETS_period!Y10</f>
        <v>1.1810165453071038</v>
      </c>
    </row>
    <row r="11" spans="1:2" x14ac:dyDescent="0.25">
      <c r="A11" s="75">
        <f>EUETS_period!C11</f>
        <v>2029</v>
      </c>
      <c r="B11" s="2">
        <f>EUETS_period!Y11</f>
        <v>1.0793089300768328</v>
      </c>
    </row>
    <row r="12" spans="1:2" x14ac:dyDescent="0.25">
      <c r="A12" s="75">
        <f>EUETS_period!C12</f>
        <v>2030</v>
      </c>
      <c r="B12" s="2">
        <f>EUETS_period!Y12</f>
        <v>0.99965904682769391</v>
      </c>
    </row>
    <row r="13" spans="1:2" x14ac:dyDescent="0.25">
      <c r="A13" s="75">
        <f>EUETS_period!C13</f>
        <v>2035</v>
      </c>
      <c r="B13" s="2">
        <f>EUETS_period!Y13</f>
        <v>1.284400165450243</v>
      </c>
    </row>
    <row r="14" spans="1:2" x14ac:dyDescent="0.25">
      <c r="A14" s="75">
        <f>EUETS_period!C14</f>
        <v>2040</v>
      </c>
      <c r="B14" s="2">
        <f>EUETS_period!Y14</f>
        <v>1.329819901864387</v>
      </c>
    </row>
    <row r="15" spans="1:2" x14ac:dyDescent="0.25">
      <c r="A15" s="75">
        <f>EUETS_period!C15</f>
        <v>2045</v>
      </c>
      <c r="B15" s="2">
        <f>EUETS_period!Y15</f>
        <v>1.8398213904177814</v>
      </c>
    </row>
    <row r="16" spans="1:2" x14ac:dyDescent="0.25">
      <c r="A16" s="75">
        <f>EUETS_period!C16</f>
        <v>2050</v>
      </c>
      <c r="B16" s="2">
        <f>EUETS_period!Y16</f>
        <v>-0.99999976594828388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45" zoomScaleNormal="145" workbookViewId="0">
      <selection activeCell="A3" sqref="A3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59</v>
      </c>
    </row>
    <row r="2" spans="1:2" x14ac:dyDescent="0.25">
      <c r="A2" s="75">
        <f>EUETS_period!C2</f>
        <v>2020</v>
      </c>
      <c r="B2" s="2">
        <f>EUETS_period!L2</f>
        <v>-193.27626000000373</v>
      </c>
    </row>
    <row r="3" spans="1:2" x14ac:dyDescent="0.25">
      <c r="A3" s="75">
        <f>EUETS_period!C3</f>
        <v>2021</v>
      </c>
      <c r="B3" s="2">
        <f>EUETS_period!L3</f>
        <v>129.55824399999801</v>
      </c>
    </row>
    <row r="4" spans="1:2" x14ac:dyDescent="0.25">
      <c r="A4" s="75">
        <f>EUETS_period!C4</f>
        <v>2022</v>
      </c>
      <c r="B4" s="2">
        <f>EUETS_period!L4</f>
        <v>64.745212717106824</v>
      </c>
    </row>
    <row r="5" spans="1:2" x14ac:dyDescent="0.25">
      <c r="A5" s="75">
        <f>EUETS_period!C5</f>
        <v>2023</v>
      </c>
      <c r="B5" s="2">
        <f>EUETS_period!L5</f>
        <v>98.33070364919331</v>
      </c>
    </row>
    <row r="6" spans="1:2" x14ac:dyDescent="0.25">
      <c r="A6" s="75">
        <f>EUETS_period!C6</f>
        <v>2024</v>
      </c>
      <c r="B6" s="2">
        <f>EUETS_period!L6</f>
        <v>-70.465546899579522</v>
      </c>
    </row>
    <row r="7" spans="1:2" x14ac:dyDescent="0.25">
      <c r="A7" s="75">
        <f>EUETS_period!C7</f>
        <v>2025</v>
      </c>
      <c r="B7" s="2">
        <f>EUETS_period!L7</f>
        <v>-12.650007042029983</v>
      </c>
    </row>
    <row r="8" spans="1:2" x14ac:dyDescent="0.25">
      <c r="A8" s="75">
        <f>EUETS_period!C8</f>
        <v>2026</v>
      </c>
      <c r="B8" s="2">
        <f>EUETS_period!L8</f>
        <v>96.35788095985049</v>
      </c>
    </row>
    <row r="9" spans="1:2" x14ac:dyDescent="0.25">
      <c r="A9" s="75">
        <f>EUETS_period!C9</f>
        <v>2027</v>
      </c>
      <c r="B9" s="2">
        <f>EUETS_period!L9</f>
        <v>187.81842372638289</v>
      </c>
    </row>
    <row r="10" spans="1:2" x14ac:dyDescent="0.25">
      <c r="A10" s="75">
        <f>EUETS_period!C10</f>
        <v>2028</v>
      </c>
      <c r="B10" s="2">
        <f>EUETS_period!L10</f>
        <v>219.10132391346042</v>
      </c>
    </row>
    <row r="11" spans="1:2" x14ac:dyDescent="0.25">
      <c r="A11" s="75">
        <f>EUETS_period!C11</f>
        <v>2029</v>
      </c>
      <c r="B11" s="2">
        <f>EUETS_period!L11</f>
        <v>235.19746496892708</v>
      </c>
    </row>
    <row r="12" spans="1:2" x14ac:dyDescent="0.25">
      <c r="A12" s="75">
        <f>EUETS_period!C12</f>
        <v>2030</v>
      </c>
      <c r="B12" s="2">
        <f>EUETS_period!L12</f>
        <v>162.86162197694648</v>
      </c>
    </row>
    <row r="13" spans="1:2" x14ac:dyDescent="0.25">
      <c r="A13" s="75">
        <f>EUETS_period!C13</f>
        <v>2035</v>
      </c>
      <c r="B13" s="2">
        <f>EUETS_period!L13</f>
        <v>17.117751133690764</v>
      </c>
    </row>
    <row r="14" spans="1:2" x14ac:dyDescent="0.25">
      <c r="A14" s="75">
        <f>EUETS_period!C14</f>
        <v>2040</v>
      </c>
      <c r="B14" s="2">
        <f>EUETS_period!L14</f>
        <v>-9.6452294242146301</v>
      </c>
    </row>
    <row r="15" spans="1:2" x14ac:dyDescent="0.25">
      <c r="A15" s="75">
        <f>EUETS_period!C15</f>
        <v>2045</v>
      </c>
      <c r="B15" s="2">
        <f>EUETS_period!L15</f>
        <v>86.110936495540088</v>
      </c>
    </row>
    <row r="16" spans="1:2" x14ac:dyDescent="0.25">
      <c r="A16" s="75">
        <f>EUETS_period!C16</f>
        <v>2050</v>
      </c>
      <c r="B16" s="2">
        <f>EUETS_period!L16</f>
        <v>-3.0000002880115062E-5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45" zoomScaleNormal="145" workbookViewId="0">
      <selection activeCell="B3" sqref="B3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60</v>
      </c>
    </row>
    <row r="2" spans="1:2" x14ac:dyDescent="0.25">
      <c r="A2" s="75">
        <f>EUETS_period!C2</f>
        <v>2020</v>
      </c>
      <c r="B2" s="2">
        <f>EUETS_period!K2</f>
        <v>1578.7724260000032</v>
      </c>
    </row>
    <row r="3" spans="1:2" x14ac:dyDescent="0.25">
      <c r="A3" s="75">
        <f>EUETS_period!C3</f>
        <v>2021</v>
      </c>
      <c r="B3" s="2">
        <f>EUETS_period!K3</f>
        <v>1449.2141820000052</v>
      </c>
    </row>
    <row r="4" spans="1:2" x14ac:dyDescent="0.25">
      <c r="A4" s="75">
        <f>EUETS_period!C4</f>
        <v>2022</v>
      </c>
      <c r="B4" s="2">
        <f>EUETS_period!K4</f>
        <v>1384.4689692828983</v>
      </c>
    </row>
    <row r="5" spans="1:2" x14ac:dyDescent="0.25">
      <c r="A5" s="75">
        <f>EUETS_period!C5</f>
        <v>2023</v>
      </c>
      <c r="B5" s="2">
        <f>EUETS_period!K5</f>
        <v>1286.138265633705</v>
      </c>
    </row>
    <row r="6" spans="1:2" x14ac:dyDescent="0.25">
      <c r="A6" s="75">
        <f>EUETS_period!C6</f>
        <v>2024</v>
      </c>
      <c r="B6" s="2">
        <f>EUETS_period!K6</f>
        <v>1356.6038125332846</v>
      </c>
    </row>
    <row r="7" spans="1:2" x14ac:dyDescent="0.25">
      <c r="A7" s="75">
        <f>EUETS_period!C7</f>
        <v>2025</v>
      </c>
      <c r="B7" s="2">
        <f>EUETS_period!K7</f>
        <v>1369.2538195753145</v>
      </c>
    </row>
    <row r="8" spans="1:2" x14ac:dyDescent="0.25">
      <c r="A8" s="75">
        <f>EUETS_period!C8</f>
        <v>2026</v>
      </c>
      <c r="B8" s="2">
        <f>EUETS_period!K8</f>
        <v>1272.895938615464</v>
      </c>
    </row>
    <row r="9" spans="1:2" x14ac:dyDescent="0.25">
      <c r="A9" s="75">
        <f>EUETS_period!C9</f>
        <v>2027</v>
      </c>
      <c r="B9" s="2">
        <f>EUETS_period!K9</f>
        <v>1085.0775148890812</v>
      </c>
    </row>
    <row r="10" spans="1:2" x14ac:dyDescent="0.25">
      <c r="A10" s="75">
        <f>EUETS_period!C10</f>
        <v>2028</v>
      </c>
      <c r="B10" s="2">
        <f>EUETS_period!K10</f>
        <v>865.97619097562074</v>
      </c>
    </row>
    <row r="11" spans="1:2" x14ac:dyDescent="0.25">
      <c r="A11" s="75">
        <f>EUETS_period!C11</f>
        <v>2029</v>
      </c>
      <c r="B11" s="2">
        <f>EUETS_period!K11</f>
        <v>630.77872600669366</v>
      </c>
    </row>
    <row r="12" spans="1:2" x14ac:dyDescent="0.25">
      <c r="A12" s="75">
        <f>EUETS_period!C12</f>
        <v>2030</v>
      </c>
      <c r="B12" s="2">
        <f>EUETS_period!K12</f>
        <v>467.91710402974718</v>
      </c>
    </row>
    <row r="13" spans="1:2" x14ac:dyDescent="0.25">
      <c r="A13" s="75">
        <f>EUETS_period!C13</f>
        <v>2035</v>
      </c>
      <c r="B13" s="2">
        <f>EUETS_period!K13</f>
        <v>382.32834836129337</v>
      </c>
    </row>
    <row r="14" spans="1:2" x14ac:dyDescent="0.25">
      <c r="A14" s="75">
        <f>EUETS_period!C14</f>
        <v>2040</v>
      </c>
      <c r="B14" s="2">
        <f>EUETS_period!K14</f>
        <v>430.55449548236652</v>
      </c>
    </row>
    <row r="15" spans="1:2" x14ac:dyDescent="0.25">
      <c r="A15" s="75">
        <f>EUETS_period!C15</f>
        <v>2045</v>
      </c>
      <c r="B15" s="2">
        <f>EUETS_period!K15</f>
        <v>-1.8699533393373713E-4</v>
      </c>
    </row>
    <row r="16" spans="1:2" x14ac:dyDescent="0.25">
      <c r="A16" s="75">
        <f>EUETS_period!C16</f>
        <v>2050</v>
      </c>
      <c r="B16" s="2">
        <f>EUETS_period!K16</f>
        <v>-3.6995319533161819E-5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3" sqref="A3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70</v>
      </c>
    </row>
    <row r="2" spans="1:2" x14ac:dyDescent="0.25">
      <c r="A2" s="75">
        <f>EUETS_period!C2</f>
        <v>2020</v>
      </c>
      <c r="B2" s="2">
        <f>EUETS_period!F2</f>
        <v>28.623086000000001</v>
      </c>
    </row>
    <row r="3" spans="1:2" x14ac:dyDescent="0.25">
      <c r="A3" s="75">
        <f>EUETS_period!C3</f>
        <v>2021</v>
      </c>
      <c r="B3" s="2">
        <f>EUETS_period!F3</f>
        <v>25.616902000000014</v>
      </c>
    </row>
    <row r="4" spans="1:2" x14ac:dyDescent="0.25">
      <c r="A4" s="75">
        <f>EUETS_period!C4</f>
        <v>2022</v>
      </c>
      <c r="B4" s="2">
        <f>EUETS_period!F4</f>
        <v>0</v>
      </c>
    </row>
    <row r="5" spans="1:2" x14ac:dyDescent="0.25">
      <c r="A5" s="75">
        <f>EUETS_period!C5</f>
        <v>2023</v>
      </c>
      <c r="B5" s="2">
        <f>EUETS_period!F5</f>
        <v>0</v>
      </c>
    </row>
    <row r="6" spans="1:2" x14ac:dyDescent="0.25">
      <c r="A6" s="75">
        <f>EUETS_period!C6</f>
        <v>2024</v>
      </c>
      <c r="B6" s="2">
        <f>EUETS_period!F6</f>
        <v>0</v>
      </c>
    </row>
    <row r="7" spans="1:2" x14ac:dyDescent="0.25">
      <c r="A7" s="75">
        <f>EUETS_period!C7</f>
        <v>2025</v>
      </c>
      <c r="B7" s="2">
        <f>EUETS_period!F7</f>
        <v>0</v>
      </c>
    </row>
    <row r="8" spans="1:2" x14ac:dyDescent="0.25">
      <c r="A8" s="75">
        <f>EUETS_period!C8</f>
        <v>2026</v>
      </c>
      <c r="B8" s="2">
        <f>EUETS_period!F8</f>
        <v>0</v>
      </c>
    </row>
    <row r="9" spans="1:2" x14ac:dyDescent="0.25">
      <c r="A9" s="75">
        <f>EUETS_period!C9</f>
        <v>2027</v>
      </c>
      <c r="B9" s="2">
        <f>EUETS_period!F9</f>
        <v>0</v>
      </c>
    </row>
    <row r="10" spans="1:2" x14ac:dyDescent="0.25">
      <c r="A10" s="75">
        <f>EUETS_period!C10</f>
        <v>2028</v>
      </c>
      <c r="B10" s="2">
        <f>EUETS_period!F10</f>
        <v>0</v>
      </c>
    </row>
    <row r="11" spans="1:2" x14ac:dyDescent="0.25">
      <c r="A11" s="75">
        <f>EUETS_period!C11</f>
        <v>2029</v>
      </c>
      <c r="B11" s="2">
        <f>EUETS_period!F11</f>
        <v>0</v>
      </c>
    </row>
    <row r="12" spans="1:2" x14ac:dyDescent="0.25">
      <c r="A12" s="75">
        <f>EUETS_period!C12</f>
        <v>2030</v>
      </c>
      <c r="B12" s="2">
        <f>EUETS_period!F12</f>
        <v>0</v>
      </c>
    </row>
    <row r="13" spans="1:2" x14ac:dyDescent="0.25">
      <c r="A13" s="75">
        <f>EUETS_period!C13</f>
        <v>2035</v>
      </c>
      <c r="B13" s="2">
        <f>EUETS_period!F13</f>
        <v>0</v>
      </c>
    </row>
    <row r="14" spans="1:2" x14ac:dyDescent="0.25">
      <c r="A14" s="75">
        <f>EUETS_period!C14</f>
        <v>2040</v>
      </c>
      <c r="B14" s="2">
        <f>EUETS_period!F14</f>
        <v>0</v>
      </c>
    </row>
    <row r="15" spans="1:2" x14ac:dyDescent="0.25">
      <c r="A15" s="75">
        <f>EUETS_period!C15</f>
        <v>2045</v>
      </c>
      <c r="B15" s="2">
        <f>EUETS_period!F15</f>
        <v>0</v>
      </c>
    </row>
    <row r="16" spans="1:2" x14ac:dyDescent="0.25">
      <c r="A16" s="75">
        <f>EUETS_period!C16</f>
        <v>2050</v>
      </c>
      <c r="B16" s="2">
        <f>EUETS_period!F16</f>
        <v>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45" zoomScaleNormal="145" workbookViewId="0">
      <selection activeCell="A3" sqref="A3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71</v>
      </c>
    </row>
    <row r="2" spans="1:2" x14ac:dyDescent="0.25">
      <c r="A2" s="75">
        <f>EUETS_period!C2</f>
        <v>2020</v>
      </c>
      <c r="B2" s="2">
        <f>EUETS_period!E2</f>
        <v>990.44226700000308</v>
      </c>
    </row>
    <row r="3" spans="1:2" x14ac:dyDescent="0.25">
      <c r="A3" s="75">
        <f>EUETS_period!C3</f>
        <v>2021</v>
      </c>
      <c r="B3" s="2">
        <f>EUETS_period!E3</f>
        <v>937.29631900000254</v>
      </c>
    </row>
    <row r="4" spans="1:2" x14ac:dyDescent="0.25">
      <c r="A4" s="75">
        <f>EUETS_period!C4</f>
        <v>2022</v>
      </c>
      <c r="B4" s="2">
        <f>EUETS_period!E4</f>
        <v>575.00568093339257</v>
      </c>
    </row>
    <row r="5" spans="1:2" x14ac:dyDescent="0.25">
      <c r="A5" s="75">
        <f>EUETS_period!C5</f>
        <v>2023</v>
      </c>
      <c r="B5" s="2">
        <f>EUETS_period!E5</f>
        <v>585.77939209832266</v>
      </c>
    </row>
    <row r="6" spans="1:2" x14ac:dyDescent="0.25">
      <c r="A6" s="75">
        <f>EUETS_period!C6</f>
        <v>2024</v>
      </c>
      <c r="B6" s="2">
        <f>EUETS_period!E6</f>
        <v>557.11146304398403</v>
      </c>
    </row>
    <row r="7" spans="1:2" x14ac:dyDescent="0.25">
      <c r="A7" s="75">
        <f>EUETS_period!C7</f>
        <v>2025</v>
      </c>
      <c r="B7" s="2">
        <f>EUETS_period!E7</f>
        <v>558.46696031410102</v>
      </c>
    </row>
    <row r="8" spans="1:2" x14ac:dyDescent="0.25">
      <c r="A8" s="75">
        <f>EUETS_period!C8</f>
        <v>2026</v>
      </c>
      <c r="B8" s="2">
        <f>EUETS_period!E8</f>
        <v>546.38427047300127</v>
      </c>
    </row>
    <row r="9" spans="1:2" x14ac:dyDescent="0.25">
      <c r="A9" s="75">
        <f>EUETS_period!C9</f>
        <v>2027</v>
      </c>
      <c r="B9" s="2">
        <f>EUETS_period!E9</f>
        <v>534.15177437477166</v>
      </c>
    </row>
    <row r="10" spans="1:2" x14ac:dyDescent="0.25">
      <c r="A10" s="75">
        <f>EUETS_period!C10</f>
        <v>2028</v>
      </c>
      <c r="B10" s="2">
        <f>EUETS_period!E10</f>
        <v>474.80018987066887</v>
      </c>
    </row>
    <row r="11" spans="1:2" x14ac:dyDescent="0.25">
      <c r="A11" s="75">
        <f>EUETS_period!C11</f>
        <v>2029</v>
      </c>
      <c r="B11" s="2">
        <f>EUETS_period!E11</f>
        <v>418.67228538415071</v>
      </c>
    </row>
    <row r="12" spans="1:2" x14ac:dyDescent="0.25">
      <c r="A12" s="75">
        <f>EUETS_period!C12</f>
        <v>2030</v>
      </c>
      <c r="B12" s="2">
        <f>EUETS_period!E12</f>
        <v>366.07368869162525</v>
      </c>
    </row>
    <row r="13" spans="1:2" x14ac:dyDescent="0.25">
      <c r="A13" s="75">
        <f>EUETS_period!C13</f>
        <v>2035</v>
      </c>
      <c r="B13" s="2">
        <f>EUETS_period!E13</f>
        <v>237.03976516077614</v>
      </c>
    </row>
    <row r="14" spans="1:2" x14ac:dyDescent="0.25">
      <c r="A14" s="75">
        <f>EUETS_period!C14</f>
        <v>2040</v>
      </c>
      <c r="B14" s="2">
        <f>EUETS_period!E14</f>
        <v>73.184794830571747</v>
      </c>
    </row>
    <row r="15" spans="1:2" x14ac:dyDescent="0.25">
      <c r="A15" s="75">
        <f>EUETS_period!C15</f>
        <v>2045</v>
      </c>
      <c r="B15" s="2">
        <f>EUETS_period!E15</f>
        <v>13.565428429405472</v>
      </c>
    </row>
    <row r="16" spans="1:2" x14ac:dyDescent="0.25">
      <c r="A16" s="75">
        <f>EUETS_period!C16</f>
        <v>2050</v>
      </c>
      <c r="B16" s="2">
        <f>EUETS_period!E16</f>
        <v>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45" zoomScaleNormal="145" workbookViewId="0">
      <selection activeCell="C2" sqref="C2:C16"/>
    </sheetView>
  </sheetViews>
  <sheetFormatPr baseColWidth="10" defaultRowHeight="13.5" x14ac:dyDescent="0.25"/>
  <sheetData>
    <row r="1" spans="1:3" x14ac:dyDescent="0.25">
      <c r="A1" s="74" t="s">
        <v>36</v>
      </c>
      <c r="B1" s="30" t="s">
        <v>72</v>
      </c>
    </row>
    <row r="2" spans="1:3" x14ac:dyDescent="0.25">
      <c r="A2" s="75">
        <f>EUETS_period!C2</f>
        <v>2020</v>
      </c>
      <c r="B2" s="2">
        <f>EUETS_period!G2</f>
        <v>1154.1302700000001</v>
      </c>
      <c r="C2" s="82"/>
    </row>
    <row r="3" spans="1:3" x14ac:dyDescent="0.25">
      <c r="A3" s="75">
        <f>EUETS_period!C3</f>
        <v>2021</v>
      </c>
      <c r="B3" s="2">
        <f>EUETS_period!G3</f>
        <v>906.07811500000025</v>
      </c>
      <c r="C3" s="82"/>
    </row>
    <row r="4" spans="1:3" x14ac:dyDescent="0.25">
      <c r="A4" s="75">
        <f>EUETS_period!C4</f>
        <v>2022</v>
      </c>
      <c r="B4" s="2">
        <f>EUETS_period!G4</f>
        <v>953.57381106660728</v>
      </c>
      <c r="C4" s="82"/>
    </row>
    <row r="5" spans="1:3" x14ac:dyDescent="0.25">
      <c r="A5" s="75">
        <f>EUETS_period!C5</f>
        <v>2023</v>
      </c>
      <c r="B5" s="2">
        <f>EUETS_period!G5</f>
        <v>899.79658490167708</v>
      </c>
      <c r="C5" s="82"/>
    </row>
    <row r="6" spans="1:3" x14ac:dyDescent="0.25">
      <c r="A6" s="75">
        <f>EUETS_period!C6</f>
        <v>2024</v>
      </c>
      <c r="B6" s="2">
        <f>EUETS_period!G6</f>
        <v>885.4609989560156</v>
      </c>
      <c r="C6" s="82"/>
    </row>
    <row r="7" spans="1:3" x14ac:dyDescent="0.25">
      <c r="A7" s="75">
        <f>EUETS_period!C7</f>
        <v>2025</v>
      </c>
      <c r="B7" s="2">
        <f>EUETS_period!G7</f>
        <v>841.10198668589851</v>
      </c>
      <c r="C7" s="82"/>
    </row>
    <row r="8" spans="1:3" x14ac:dyDescent="0.25">
      <c r="A8" s="75">
        <f>EUETS_period!C8</f>
        <v>2026</v>
      </c>
      <c r="B8" s="2">
        <f>EUETS_period!G8</f>
        <v>783.20622917699836</v>
      </c>
      <c r="C8" s="82"/>
    </row>
    <row r="9" spans="1:3" x14ac:dyDescent="0.25">
      <c r="A9" s="75">
        <f>EUETS_period!C9</f>
        <v>2027</v>
      </c>
      <c r="B9" s="2">
        <f>EUETS_period!G9</f>
        <v>725.46027792522807</v>
      </c>
      <c r="C9" s="82"/>
    </row>
    <row r="10" spans="1:3" x14ac:dyDescent="0.25">
      <c r="A10" s="75">
        <f>EUETS_period!C10</f>
        <v>2028</v>
      </c>
      <c r="B10" s="2">
        <f>EUETS_period!G10</f>
        <v>714.83341507933096</v>
      </c>
      <c r="C10" s="82"/>
    </row>
    <row r="11" spans="1:3" x14ac:dyDescent="0.25">
      <c r="A11" s="75">
        <f>EUETS_period!C11</f>
        <v>2029</v>
      </c>
      <c r="B11" s="2">
        <f>EUETS_period!G11</f>
        <v>700.98287221584928</v>
      </c>
      <c r="C11" s="82"/>
    </row>
    <row r="12" spans="1:3" x14ac:dyDescent="0.25">
      <c r="A12" s="75">
        <f>EUETS_period!C12</f>
        <v>2030</v>
      </c>
      <c r="B12" s="2">
        <f>EUETS_period!G12</f>
        <v>683.60302155837485</v>
      </c>
      <c r="C12" s="82"/>
    </row>
    <row r="13" spans="1:3" x14ac:dyDescent="0.25">
      <c r="A13" s="75">
        <f>EUETS_period!C13</f>
        <v>2035</v>
      </c>
      <c r="B13" s="2">
        <f>EUETS_period!G13</f>
        <v>602.70160303922387</v>
      </c>
      <c r="C13" s="82"/>
    </row>
    <row r="14" spans="1:3" x14ac:dyDescent="0.25">
      <c r="A14" s="75">
        <f>EUETS_period!C14</f>
        <v>2040</v>
      </c>
      <c r="B14" s="2">
        <f>EUETS_period!G14</f>
        <v>416.66433661942818</v>
      </c>
      <c r="C14" s="82"/>
    </row>
    <row r="15" spans="1:3" x14ac:dyDescent="0.25">
      <c r="A15" s="75">
        <f>EUETS_period!C15</f>
        <v>2045</v>
      </c>
      <c r="B15" s="2">
        <f>EUETS_period!G15</f>
        <v>126.39146627059449</v>
      </c>
      <c r="C15" s="82"/>
    </row>
    <row r="16" spans="1:3" x14ac:dyDescent="0.25">
      <c r="A16" s="75">
        <f>EUETS_period!C16</f>
        <v>2050</v>
      </c>
      <c r="B16" s="2">
        <f>EUETS_period!G16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145" zoomScaleNormal="145" workbookViewId="0">
      <selection activeCell="R33" sqref="R33"/>
    </sheetView>
  </sheetViews>
  <sheetFormatPr baseColWidth="10" defaultRowHeight="13.5" x14ac:dyDescent="0.25"/>
  <cols>
    <col min="1" max="1" width="6.83203125" style="76" customWidth="1"/>
    <col min="2" max="2" width="8.1640625" style="8" bestFit="1" customWidth="1"/>
    <col min="3" max="3" width="6.5" style="8" customWidth="1"/>
    <col min="4" max="15" width="6.83203125" style="8" customWidth="1"/>
    <col min="16" max="16384" width="12" style="8"/>
  </cols>
  <sheetData>
    <row r="1" spans="1:15" s="44" customFormat="1" x14ac:dyDescent="0.25">
      <c r="A1" s="104" t="s">
        <v>37</v>
      </c>
      <c r="B1" s="104" t="s">
        <v>93</v>
      </c>
      <c r="C1" s="104" t="s">
        <v>94</v>
      </c>
      <c r="D1" s="104" t="s">
        <v>95</v>
      </c>
      <c r="E1" s="104" t="s">
        <v>96</v>
      </c>
      <c r="F1" s="104" t="s">
        <v>97</v>
      </c>
      <c r="G1" s="104" t="s">
        <v>98</v>
      </c>
      <c r="H1" s="104" t="s">
        <v>99</v>
      </c>
      <c r="I1" s="104" t="s">
        <v>100</v>
      </c>
      <c r="J1" s="104" t="s">
        <v>101</v>
      </c>
      <c r="K1" s="104" t="s">
        <v>102</v>
      </c>
      <c r="L1" s="105" t="s">
        <v>38</v>
      </c>
      <c r="M1" s="105" t="s">
        <v>39</v>
      </c>
      <c r="N1" s="105" t="s">
        <v>40</v>
      </c>
      <c r="O1" s="105" t="s">
        <v>41</v>
      </c>
    </row>
    <row r="2" spans="1:15" x14ac:dyDescent="0.25">
      <c r="A2" s="85">
        <v>633.64490000000001</v>
      </c>
      <c r="B2" s="85">
        <v>636.25559999999996</v>
      </c>
      <c r="C2" s="85">
        <v>638.89520000000005</v>
      </c>
      <c r="D2" s="85">
        <v>681.13879999999995</v>
      </c>
      <c r="E2" s="85">
        <v>679.40419999999995</v>
      </c>
      <c r="F2" s="85">
        <v>715.98329999999999</v>
      </c>
      <c r="G2" s="85">
        <v>738.35709999999995</v>
      </c>
      <c r="H2" s="85">
        <v>763.07399999999996</v>
      </c>
      <c r="I2" s="85">
        <v>719.39419999999996</v>
      </c>
      <c r="J2" s="85">
        <v>675.27790000000005</v>
      </c>
      <c r="K2" s="86">
        <v>631.16150000000005</v>
      </c>
      <c r="L2" s="86">
        <v>507.57440000000003</v>
      </c>
      <c r="M2" s="86">
        <v>272.1986</v>
      </c>
      <c r="N2" s="86">
        <v>186.0812</v>
      </c>
      <c r="O2" s="86">
        <v>128.17679999999999</v>
      </c>
    </row>
    <row r="3" spans="1:15" x14ac:dyDescent="0.25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5" x14ac:dyDescent="0.25">
      <c r="A4" s="75">
        <v>2020</v>
      </c>
      <c r="B4" s="87">
        <f>C4</f>
        <v>633.64490000000001</v>
      </c>
      <c r="C4" s="88">
        <f>A2</f>
        <v>633.64490000000001</v>
      </c>
      <c r="F4" s="181"/>
      <c r="G4" s="170"/>
    </row>
    <row r="5" spans="1:15" x14ac:dyDescent="0.25">
      <c r="A5" s="75">
        <v>2021</v>
      </c>
      <c r="B5" s="87">
        <f t="shared" ref="B5" si="0">C5</f>
        <v>636.25559999999996</v>
      </c>
      <c r="C5" s="88">
        <f>B2</f>
        <v>636.25559999999996</v>
      </c>
      <c r="F5" s="181"/>
      <c r="G5" s="170"/>
    </row>
    <row r="6" spans="1:15" x14ac:dyDescent="0.25">
      <c r="A6" s="75">
        <v>2022</v>
      </c>
      <c r="B6" s="87">
        <f>C6*D6</f>
        <v>638.89520000000005</v>
      </c>
      <c r="C6" s="88">
        <f>C2</f>
        <v>638.89520000000005</v>
      </c>
      <c r="D6" s="8">
        <v>1</v>
      </c>
      <c r="F6" s="181"/>
      <c r="G6" s="170"/>
    </row>
    <row r="7" spans="1:15" x14ac:dyDescent="0.25">
      <c r="A7" s="75">
        <v>2023</v>
      </c>
      <c r="B7" s="87">
        <f t="shared" ref="B7:B17" si="1">C7*D7</f>
        <v>681.13879999999995</v>
      </c>
      <c r="C7" s="88">
        <f>D2</f>
        <v>681.13879999999995</v>
      </c>
      <c r="D7" s="8">
        <f>D6</f>
        <v>1</v>
      </c>
      <c r="F7" s="181"/>
      <c r="G7" s="170"/>
    </row>
    <row r="8" spans="1:15" x14ac:dyDescent="0.25">
      <c r="A8" s="75">
        <v>2024</v>
      </c>
      <c r="B8" s="87">
        <f t="shared" si="1"/>
        <v>679.40419999999995</v>
      </c>
      <c r="C8" s="88">
        <f>E2</f>
        <v>679.40419999999995</v>
      </c>
      <c r="D8" s="8">
        <f t="shared" ref="D8:D17" si="2">D7</f>
        <v>1</v>
      </c>
      <c r="F8" s="181"/>
      <c r="G8" s="170"/>
    </row>
    <row r="9" spans="1:15" x14ac:dyDescent="0.25">
      <c r="A9" s="75">
        <v>2025</v>
      </c>
      <c r="B9" s="87">
        <f t="shared" si="1"/>
        <v>715.98329999999999</v>
      </c>
      <c r="C9" s="88">
        <f>F2</f>
        <v>715.98329999999999</v>
      </c>
      <c r="D9" s="8">
        <f t="shared" si="2"/>
        <v>1</v>
      </c>
      <c r="F9" s="181"/>
      <c r="G9" s="170"/>
    </row>
    <row r="10" spans="1:15" x14ac:dyDescent="0.25">
      <c r="A10" s="75">
        <v>2026</v>
      </c>
      <c r="B10" s="87">
        <f t="shared" si="1"/>
        <v>738.35709999999995</v>
      </c>
      <c r="C10" s="88">
        <f>G2</f>
        <v>738.35709999999995</v>
      </c>
      <c r="D10" s="8">
        <f t="shared" si="2"/>
        <v>1</v>
      </c>
      <c r="F10" s="181"/>
      <c r="G10" s="170"/>
    </row>
    <row r="11" spans="1:15" x14ac:dyDescent="0.25">
      <c r="A11" s="75">
        <v>2027</v>
      </c>
      <c r="B11" s="87">
        <f t="shared" si="1"/>
        <v>763.07399999999996</v>
      </c>
      <c r="C11" s="88">
        <f>H2</f>
        <v>763.07399999999996</v>
      </c>
      <c r="D11" s="8">
        <f t="shared" si="2"/>
        <v>1</v>
      </c>
      <c r="F11" s="181"/>
      <c r="G11" s="170"/>
    </row>
    <row r="12" spans="1:15" x14ac:dyDescent="0.25">
      <c r="A12" s="75">
        <v>2028</v>
      </c>
      <c r="B12" s="87">
        <f t="shared" si="1"/>
        <v>719.39419999999996</v>
      </c>
      <c r="C12" s="88">
        <f>I2</f>
        <v>719.39419999999996</v>
      </c>
      <c r="D12" s="8">
        <f t="shared" si="2"/>
        <v>1</v>
      </c>
      <c r="F12" s="181"/>
      <c r="G12" s="170"/>
    </row>
    <row r="13" spans="1:15" x14ac:dyDescent="0.25">
      <c r="A13" s="75">
        <v>2029</v>
      </c>
      <c r="B13" s="87">
        <f t="shared" si="1"/>
        <v>675.27790000000005</v>
      </c>
      <c r="C13" s="88">
        <f>J2</f>
        <v>675.27790000000005</v>
      </c>
      <c r="D13" s="8">
        <f t="shared" si="2"/>
        <v>1</v>
      </c>
      <c r="F13" s="181"/>
      <c r="G13" s="170"/>
    </row>
    <row r="14" spans="1:15" x14ac:dyDescent="0.25">
      <c r="A14" s="75">
        <v>2030</v>
      </c>
      <c r="B14" s="87">
        <f t="shared" si="1"/>
        <v>631.16150000000005</v>
      </c>
      <c r="C14" s="88">
        <f>K2</f>
        <v>631.16150000000005</v>
      </c>
      <c r="D14" s="8">
        <f t="shared" si="2"/>
        <v>1</v>
      </c>
      <c r="F14" s="181"/>
      <c r="G14" s="170"/>
    </row>
    <row r="15" spans="1:15" x14ac:dyDescent="0.25">
      <c r="A15" s="75">
        <f t="shared" ref="A15:A18" si="3">A14+5</f>
        <v>2035</v>
      </c>
      <c r="B15" s="87">
        <f t="shared" si="1"/>
        <v>507.57440000000003</v>
      </c>
      <c r="C15" s="88">
        <f>L2</f>
        <v>507.57440000000003</v>
      </c>
      <c r="D15" s="8">
        <f t="shared" si="2"/>
        <v>1</v>
      </c>
      <c r="F15" s="181"/>
      <c r="G15" s="170"/>
    </row>
    <row r="16" spans="1:15" x14ac:dyDescent="0.25">
      <c r="A16" s="75">
        <f t="shared" si="3"/>
        <v>2040</v>
      </c>
      <c r="B16" s="87">
        <f t="shared" si="1"/>
        <v>272.1986</v>
      </c>
      <c r="C16" s="88">
        <f>M2</f>
        <v>272.1986</v>
      </c>
      <c r="D16" s="8">
        <f t="shared" si="2"/>
        <v>1</v>
      </c>
      <c r="F16" s="181"/>
      <c r="G16" s="170"/>
    </row>
    <row r="17" spans="1:7" x14ac:dyDescent="0.25">
      <c r="A17" s="75">
        <f t="shared" si="3"/>
        <v>2045</v>
      </c>
      <c r="B17" s="87">
        <f t="shared" si="1"/>
        <v>186.0812</v>
      </c>
      <c r="C17" s="88">
        <f>N2</f>
        <v>186.0812</v>
      </c>
      <c r="D17" s="8">
        <f t="shared" si="2"/>
        <v>1</v>
      </c>
      <c r="F17" s="181"/>
      <c r="G17" s="170"/>
    </row>
    <row r="18" spans="1:7" x14ac:dyDescent="0.25">
      <c r="A18" s="75">
        <f t="shared" si="3"/>
        <v>2050</v>
      </c>
      <c r="B18" s="87">
        <f t="shared" ref="B18" si="4">C18</f>
        <v>128.17679999999999</v>
      </c>
      <c r="C18" s="88">
        <f>O2</f>
        <v>128.17679999999999</v>
      </c>
      <c r="F18" s="181"/>
      <c r="G18" s="170"/>
    </row>
    <row r="23" spans="1:7" x14ac:dyDescent="0.25">
      <c r="C23" s="170"/>
    </row>
    <row r="24" spans="1:7" x14ac:dyDescent="0.25">
      <c r="C24" s="170"/>
    </row>
    <row r="25" spans="1:7" x14ac:dyDescent="0.25">
      <c r="C25" s="170"/>
    </row>
    <row r="26" spans="1:7" x14ac:dyDescent="0.25">
      <c r="C26" s="170"/>
    </row>
    <row r="27" spans="1:7" x14ac:dyDescent="0.25">
      <c r="C27" s="170"/>
    </row>
    <row r="28" spans="1:7" x14ac:dyDescent="0.25">
      <c r="C28" s="170"/>
    </row>
    <row r="29" spans="1:7" x14ac:dyDescent="0.25">
      <c r="C29" s="170"/>
    </row>
    <row r="30" spans="1:7" x14ac:dyDescent="0.25">
      <c r="C30" s="170"/>
    </row>
    <row r="31" spans="1:7" x14ac:dyDescent="0.25">
      <c r="C31" s="170"/>
    </row>
    <row r="32" spans="1:7" x14ac:dyDescent="0.25">
      <c r="C32" s="170"/>
    </row>
    <row r="34" spans="3:3" x14ac:dyDescent="0.25">
      <c r="C34" s="170"/>
    </row>
    <row r="35" spans="3:3" x14ac:dyDescent="0.25">
      <c r="C35" s="170"/>
    </row>
    <row r="36" spans="3:3" x14ac:dyDescent="0.25">
      <c r="C36" s="170"/>
    </row>
    <row r="37" spans="3:3" x14ac:dyDescent="0.25">
      <c r="C37" s="170"/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45" zoomScaleNormal="145" workbookViewId="0">
      <selection activeCell="A3" sqref="A3"/>
    </sheetView>
  </sheetViews>
  <sheetFormatPr baseColWidth="10" defaultRowHeight="13.5" x14ac:dyDescent="0.25"/>
  <sheetData>
    <row r="1" spans="1:3" x14ac:dyDescent="0.25">
      <c r="A1" s="74" t="s">
        <v>36</v>
      </c>
      <c r="B1" s="30" t="s">
        <v>61</v>
      </c>
    </row>
    <row r="2" spans="1:3" x14ac:dyDescent="0.25">
      <c r="A2" s="75">
        <f>EUETS_period!C2</f>
        <v>2020</v>
      </c>
      <c r="B2" s="2">
        <f>EUETS_period!N2</f>
        <v>1924.551469</v>
      </c>
      <c r="C2" s="82"/>
    </row>
    <row r="3" spans="1:3" x14ac:dyDescent="0.25">
      <c r="A3" s="75">
        <f>EUETS_period!C3</f>
        <v>2021</v>
      </c>
      <c r="B3" s="2">
        <f>EUETS_period!N3</f>
        <v>2632.6820619999999</v>
      </c>
      <c r="C3" s="82"/>
    </row>
    <row r="4" spans="1:3" x14ac:dyDescent="0.25">
      <c r="A4" s="75">
        <f>EUETS_period!C4</f>
        <v>2022</v>
      </c>
      <c r="B4" s="2">
        <f>EUETS_period!N4</f>
        <v>2980.493465680001</v>
      </c>
      <c r="C4" s="82"/>
    </row>
    <row r="5" spans="1:3" x14ac:dyDescent="0.25">
      <c r="A5" s="75">
        <f>EUETS_period!C5</f>
        <v>2023</v>
      </c>
      <c r="B5" s="2">
        <f>EUETS_period!N5</f>
        <v>605.7624073866059</v>
      </c>
      <c r="C5" s="82"/>
    </row>
    <row r="6" spans="1:3" x14ac:dyDescent="0.25">
      <c r="A6" s="75">
        <f>EUETS_period!C6</f>
        <v>2024</v>
      </c>
      <c r="B6" s="2">
        <f>EUETS_period!N6</f>
        <v>567.52403227378159</v>
      </c>
      <c r="C6" s="82"/>
    </row>
    <row r="7" spans="1:3" x14ac:dyDescent="0.25">
      <c r="A7" s="75">
        <f>EUETS_period!C7</f>
        <v>2025</v>
      </c>
      <c r="B7" s="2">
        <f>EUETS_period!N7</f>
        <v>730.3164897777757</v>
      </c>
      <c r="C7" s="82"/>
    </row>
    <row r="8" spans="1:3" x14ac:dyDescent="0.25">
      <c r="A8" s="75">
        <f>EUETS_period!C8</f>
        <v>2026</v>
      </c>
      <c r="B8" s="2">
        <f>EUETS_period!N8</f>
        <v>678.30952918190428</v>
      </c>
      <c r="C8" s="82"/>
    </row>
    <row r="9" spans="1:3" x14ac:dyDescent="0.25">
      <c r="A9" s="75">
        <f>EUETS_period!C9</f>
        <v>2027</v>
      </c>
      <c r="B9" s="2">
        <f>EUETS_period!N9</f>
        <v>618.89577082796086</v>
      </c>
      <c r="C9" s="82"/>
    </row>
    <row r="10" spans="1:3" x14ac:dyDescent="0.25">
      <c r="A10" s="75">
        <f>EUETS_period!C10</f>
        <v>2028</v>
      </c>
      <c r="B10" s="2">
        <f>EUETS_period!N10</f>
        <v>572.71276529137231</v>
      </c>
      <c r="C10" s="82"/>
    </row>
    <row r="11" spans="1:3" x14ac:dyDescent="0.25">
      <c r="A11" s="75">
        <f>EUETS_period!C11</f>
        <v>2029</v>
      </c>
      <c r="B11" s="2">
        <f>EUETS_period!N11</f>
        <v>584.62411329264137</v>
      </c>
      <c r="C11" s="82"/>
    </row>
    <row r="12" spans="1:3" x14ac:dyDescent="0.25">
      <c r="A12" s="75">
        <f>EUETS_period!C12</f>
        <v>2030</v>
      </c>
      <c r="B12" s="2">
        <f>EUETS_period!N12</f>
        <v>584.62411329264137</v>
      </c>
      <c r="C12" s="82"/>
    </row>
    <row r="13" spans="1:3" x14ac:dyDescent="0.25">
      <c r="A13" s="75">
        <f>EUETS_period!C13</f>
        <v>2035</v>
      </c>
      <c r="B13" s="2">
        <f>EUETS_period!N13</f>
        <v>384.62411329264137</v>
      </c>
      <c r="C13" s="82"/>
    </row>
    <row r="14" spans="1:3" x14ac:dyDescent="0.25">
      <c r="A14" s="75">
        <f>EUETS_period!C14</f>
        <v>2040</v>
      </c>
      <c r="B14" s="2">
        <f>EUETS_period!N14</f>
        <v>284.62411329264137</v>
      </c>
      <c r="C14" s="82"/>
    </row>
    <row r="15" spans="1:3" x14ac:dyDescent="0.25">
      <c r="A15" s="75">
        <f>EUETS_period!C15</f>
        <v>2045</v>
      </c>
      <c r="B15" s="2">
        <f>EUETS_period!N15</f>
        <v>0</v>
      </c>
      <c r="C15" s="82"/>
    </row>
    <row r="16" spans="1:3" x14ac:dyDescent="0.25">
      <c r="A16" s="75">
        <f>EUETS_period!C16</f>
        <v>2050</v>
      </c>
      <c r="B16" s="2">
        <f>EUETS_period!N16</f>
        <v>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45" zoomScaleNormal="145" workbookViewId="0">
      <selection activeCell="M26" sqref="M26"/>
    </sheetView>
  </sheetViews>
  <sheetFormatPr baseColWidth="10" defaultRowHeight="13.5" x14ac:dyDescent="0.25"/>
  <sheetData>
    <row r="1" spans="1:4" x14ac:dyDescent="0.25">
      <c r="A1" s="74" t="s">
        <v>36</v>
      </c>
      <c r="B1" s="30" t="s">
        <v>58</v>
      </c>
    </row>
    <row r="2" spans="1:4" x14ac:dyDescent="0.25">
      <c r="A2" s="75">
        <f>EUETS_period!C2</f>
        <v>2020</v>
      </c>
      <c r="B2" s="2">
        <f>EUETS_period!O2</f>
        <v>627.42674699999998</v>
      </c>
      <c r="D2" s="82"/>
    </row>
    <row r="3" spans="1:4" x14ac:dyDescent="0.25">
      <c r="A3" s="75">
        <f>EUETS_period!C3</f>
        <v>2021</v>
      </c>
      <c r="B3" s="2">
        <f>EUETS_period!O3</f>
        <v>708.13059299999986</v>
      </c>
      <c r="D3" s="82"/>
    </row>
    <row r="4" spans="1:4" x14ac:dyDescent="0.25">
      <c r="A4" s="75">
        <f>EUETS_period!C4</f>
        <v>2022</v>
      </c>
      <c r="B4" s="2">
        <f>EUETS_period!O4</f>
        <v>347.81140368000115</v>
      </c>
      <c r="D4" s="82"/>
    </row>
    <row r="5" spans="1:4" x14ac:dyDescent="0.25">
      <c r="A5" s="75">
        <f>EUETS_period!C5</f>
        <v>2023</v>
      </c>
      <c r="B5" s="2">
        <f>EUETS_period!O5</f>
        <v>332.27255262789549</v>
      </c>
      <c r="D5" s="82"/>
    </row>
    <row r="6" spans="1:4" x14ac:dyDescent="0.25">
      <c r="A6" s="75">
        <f>EUETS_period!C6</f>
        <v>2024</v>
      </c>
      <c r="B6" s="2">
        <f>EUETS_period!O6</f>
        <v>154.33659187604485</v>
      </c>
      <c r="D6" s="82"/>
    </row>
    <row r="7" spans="1:4" x14ac:dyDescent="0.25">
      <c r="A7" s="75">
        <f>EUETS_period!C7</f>
        <v>2025</v>
      </c>
      <c r="B7" s="2">
        <f>EUETS_period!O7</f>
        <v>162.79245750399411</v>
      </c>
      <c r="D7" s="82"/>
    </row>
    <row r="8" spans="1:4" x14ac:dyDescent="0.25">
      <c r="A8" s="75">
        <f>EUETS_period!C8</f>
        <v>2026</v>
      </c>
      <c r="B8" s="2">
        <f>EUETS_period!O8</f>
        <v>164.31045834903773</v>
      </c>
      <c r="D8" s="82"/>
    </row>
    <row r="9" spans="1:4" x14ac:dyDescent="0.25">
      <c r="A9" s="75">
        <f>EUETS_period!C9</f>
        <v>2027</v>
      </c>
      <c r="B9" s="2">
        <f>EUETS_period!O9</f>
        <v>152.74751263385565</v>
      </c>
      <c r="D9" s="82"/>
    </row>
    <row r="10" spans="1:4" x14ac:dyDescent="0.25">
      <c r="A10" s="75">
        <f>EUETS_period!C10</f>
        <v>2028</v>
      </c>
      <c r="B10" s="2">
        <f>EUETS_period!O10</f>
        <v>130.20930178668959</v>
      </c>
      <c r="D10" s="82"/>
    </row>
    <row r="11" spans="1:4" x14ac:dyDescent="0.25">
      <c r="A11" s="75">
        <f>EUETS_period!C11</f>
        <v>2029</v>
      </c>
      <c r="B11" s="2">
        <f>EUETS_period!O11</f>
        <v>103.91714291707444</v>
      </c>
      <c r="D11" s="82"/>
    </row>
    <row r="12" spans="1:4" x14ac:dyDescent="0.25">
      <c r="A12" s="75">
        <f>EUETS_period!C12</f>
        <v>2030</v>
      </c>
      <c r="B12" s="2">
        <f>EUETS_period!O12</f>
        <v>0</v>
      </c>
      <c r="D12" s="82"/>
    </row>
    <row r="13" spans="1:4" x14ac:dyDescent="0.25">
      <c r="A13" s="75">
        <f>EUETS_period!C13</f>
        <v>2035</v>
      </c>
      <c r="B13" s="2">
        <f>EUETS_period!O13</f>
        <v>-40</v>
      </c>
      <c r="D13" s="82"/>
    </row>
    <row r="14" spans="1:4" x14ac:dyDescent="0.25">
      <c r="A14" s="75">
        <f>EUETS_period!C14</f>
        <v>2040</v>
      </c>
      <c r="B14" s="2">
        <f>EUETS_period!O14</f>
        <v>-20</v>
      </c>
      <c r="D14" s="82"/>
    </row>
    <row r="15" spans="1:4" x14ac:dyDescent="0.25">
      <c r="A15" s="75">
        <f>EUETS_period!C15</f>
        <v>2045</v>
      </c>
      <c r="B15" s="2">
        <f>EUETS_period!O15</f>
        <v>-56.924822658528271</v>
      </c>
      <c r="D15" s="82"/>
    </row>
    <row r="16" spans="1:4" x14ac:dyDescent="0.25">
      <c r="A16" s="75">
        <f>EUETS_period!C16</f>
        <v>2050</v>
      </c>
      <c r="B16" s="2">
        <f>EUETS_period!O16</f>
        <v>0</v>
      </c>
      <c r="D16" s="8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145" zoomScaleNormal="145" workbookViewId="0">
      <selection activeCell="A3" sqref="A3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57</v>
      </c>
    </row>
    <row r="2" spans="1:2" x14ac:dyDescent="0.25">
      <c r="A2" s="75">
        <f>EUETS_period!C2</f>
        <v>2020</v>
      </c>
      <c r="B2" s="2">
        <f>EUETS_period!R2</f>
        <v>0</v>
      </c>
    </row>
    <row r="3" spans="1:2" x14ac:dyDescent="0.25">
      <c r="A3" s="75">
        <f>EUETS_period!C3</f>
        <v>2021</v>
      </c>
      <c r="B3" s="2">
        <f>EUETS_period!R3</f>
        <v>0</v>
      </c>
    </row>
    <row r="4" spans="1:2" x14ac:dyDescent="0.25">
      <c r="A4" s="75">
        <f>EUETS_period!C4</f>
        <v>2022</v>
      </c>
      <c r="B4" s="2">
        <f>EUETS_period!R4</f>
        <v>0</v>
      </c>
    </row>
    <row r="5" spans="1:2" x14ac:dyDescent="0.25">
      <c r="A5" s="75">
        <f>EUETS_period!C5</f>
        <v>2023</v>
      </c>
      <c r="B5" s="2">
        <f>EUETS_period!R5</f>
        <v>2707.0036109212906</v>
      </c>
    </row>
    <row r="6" spans="1:2" x14ac:dyDescent="0.25">
      <c r="A6" s="75">
        <f>EUETS_period!C6</f>
        <v>2024</v>
      </c>
      <c r="B6" s="2">
        <f>EUETS_period!R6</f>
        <v>192.57496698886916</v>
      </c>
    </row>
    <row r="7" spans="1:2" x14ac:dyDescent="0.25">
      <c r="A7" s="75">
        <f>EUETS_period!C7</f>
        <v>2025</v>
      </c>
      <c r="B7" s="2">
        <f>EUETS_period!R7</f>
        <v>0</v>
      </c>
    </row>
    <row r="8" spans="1:2" x14ac:dyDescent="0.25">
      <c r="A8" s="75">
        <f>EUETS_period!C8</f>
        <v>2026</v>
      </c>
      <c r="B8" s="2">
        <f>EUETS_period!R8</f>
        <v>216.31741894490915</v>
      </c>
    </row>
    <row r="9" spans="1:2" x14ac:dyDescent="0.25">
      <c r="A9" s="75">
        <f>EUETS_period!C9</f>
        <v>2027</v>
      </c>
      <c r="B9" s="2">
        <f>EUETS_period!R9</f>
        <v>212.16127098779907</v>
      </c>
    </row>
    <row r="10" spans="1:2" x14ac:dyDescent="0.25">
      <c r="A10" s="75">
        <f>EUETS_period!C10</f>
        <v>2028</v>
      </c>
      <c r="B10" s="2">
        <f>EUETS_period!R10</f>
        <v>176.39230732327815</v>
      </c>
    </row>
    <row r="11" spans="1:2" x14ac:dyDescent="0.25">
      <c r="A11" s="75">
        <f>EUETS_period!C11</f>
        <v>2029</v>
      </c>
      <c r="B11" s="2">
        <f>EUETS_period!R11</f>
        <v>92.005794915805382</v>
      </c>
    </row>
    <row r="12" spans="1:2" x14ac:dyDescent="0.25">
      <c r="A12" s="75">
        <f>EUETS_period!C12</f>
        <v>2030</v>
      </c>
      <c r="B12" s="2">
        <f>EUETS_period!R12</f>
        <v>0</v>
      </c>
    </row>
    <row r="13" spans="1:2" x14ac:dyDescent="0.25">
      <c r="A13" s="75">
        <f>EUETS_period!C13</f>
        <v>2035</v>
      </c>
      <c r="B13" s="2">
        <f>EUETS_period!R13</f>
        <v>0</v>
      </c>
    </row>
    <row r="14" spans="1:2" x14ac:dyDescent="0.25">
      <c r="A14" s="75">
        <f>EUETS_period!C14</f>
        <v>2040</v>
      </c>
      <c r="B14" s="2">
        <f>EUETS_period!R14</f>
        <v>0</v>
      </c>
    </row>
    <row r="15" spans="1:2" x14ac:dyDescent="0.25">
      <c r="A15" s="75">
        <f>EUETS_period!C15</f>
        <v>2045</v>
      </c>
      <c r="B15" s="2">
        <f>EUETS_period!R15</f>
        <v>0</v>
      </c>
    </row>
    <row r="16" spans="1:2" x14ac:dyDescent="0.25">
      <c r="A16" s="75">
        <f>EUETS_period!C16</f>
        <v>2050</v>
      </c>
      <c r="B16" s="2">
        <f>EUETS_period!R16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25" zoomScale="115" zoomScaleNormal="115" workbookViewId="0">
      <selection activeCell="K76" sqref="K76"/>
    </sheetView>
  </sheetViews>
  <sheetFormatPr baseColWidth="10" defaultRowHeight="13.5" x14ac:dyDescent="0.25"/>
  <cols>
    <col min="8" max="9" width="11.5" bestFit="1" customWidth="1"/>
    <col min="10" max="10" width="1.83203125" customWidth="1"/>
    <col min="16" max="16" width="12.83203125" bestFit="1" customWidth="1"/>
    <col min="17" max="18" width="11.5" bestFit="1" customWidth="1"/>
  </cols>
  <sheetData>
    <row r="1" spans="1:22" ht="54" x14ac:dyDescent="0.25">
      <c r="A1" s="142" t="s">
        <v>0</v>
      </c>
      <c r="B1" s="141" t="s">
        <v>77</v>
      </c>
      <c r="C1" s="141" t="s">
        <v>76</v>
      </c>
      <c r="D1" s="141" t="s">
        <v>78</v>
      </c>
      <c r="E1" s="141" t="s">
        <v>87</v>
      </c>
      <c r="F1" s="141" t="s">
        <v>88</v>
      </c>
      <c r="G1" s="141" t="s">
        <v>79</v>
      </c>
      <c r="H1" s="145" t="s">
        <v>44</v>
      </c>
      <c r="I1" s="140" t="s">
        <v>48</v>
      </c>
      <c r="J1" s="129"/>
      <c r="K1" s="139" t="s">
        <v>81</v>
      </c>
      <c r="L1" s="141" t="s">
        <v>80</v>
      </c>
      <c r="M1" s="141" t="s">
        <v>82</v>
      </c>
      <c r="N1" s="156" t="s">
        <v>83</v>
      </c>
      <c r="O1" s="150" t="s">
        <v>84</v>
      </c>
      <c r="P1" s="129"/>
      <c r="Q1" s="139" t="s">
        <v>104</v>
      </c>
      <c r="R1" s="140" t="s">
        <v>108</v>
      </c>
    </row>
    <row r="2" spans="1:22" x14ac:dyDescent="0.25">
      <c r="A2" s="51">
        <v>2013</v>
      </c>
      <c r="B2" s="2">
        <f t="shared" ref="B2:B9" si="0">H2</f>
        <v>1190.9000000000001</v>
      </c>
      <c r="C2" s="2">
        <f t="shared" ref="C2:C9" si="1">H2</f>
        <v>1190.9000000000001</v>
      </c>
      <c r="D2" s="2">
        <f t="shared" ref="D2:D9" si="2">H2</f>
        <v>1190.9000000000001</v>
      </c>
      <c r="E2" s="2">
        <f t="shared" ref="E2:E8" si="3">I2</f>
        <v>717.28</v>
      </c>
      <c r="F2" s="2">
        <f>E2</f>
        <v>717.28</v>
      </c>
      <c r="G2" s="2">
        <f>F2</f>
        <v>717.28</v>
      </c>
      <c r="H2" s="147">
        <v>1190.9000000000001</v>
      </c>
      <c r="I2" s="127">
        <v>717.28</v>
      </c>
      <c r="J2" s="130"/>
      <c r="K2" s="166">
        <v>1</v>
      </c>
      <c r="L2" s="31">
        <f>K2*I2</f>
        <v>717.28</v>
      </c>
      <c r="M2" s="31">
        <f>I2/D2</f>
        <v>0.60230078092199169</v>
      </c>
      <c r="N2" s="118">
        <f>D2*M2*(1-K2)</f>
        <v>0</v>
      </c>
      <c r="O2" s="126">
        <f>L2+N2</f>
        <v>717.28</v>
      </c>
      <c r="P2" s="131" t="s">
        <v>107</v>
      </c>
      <c r="Q2" s="132">
        <f t="shared" ref="Q2:Q39" si="4">H2*12.2%</f>
        <v>145.28980000000001</v>
      </c>
      <c r="R2" s="127">
        <f t="shared" ref="R2:R39" si="5">I2*3%</f>
        <v>21.5184</v>
      </c>
    </row>
    <row r="3" spans="1:22" x14ac:dyDescent="0.25">
      <c r="A3" s="47">
        <f>A2+1</f>
        <v>2014</v>
      </c>
      <c r="B3" s="2">
        <f t="shared" si="0"/>
        <v>1099.8</v>
      </c>
      <c r="C3" s="2">
        <f t="shared" si="1"/>
        <v>1099.8</v>
      </c>
      <c r="D3" s="2">
        <f t="shared" si="2"/>
        <v>1099.8</v>
      </c>
      <c r="E3" s="2">
        <f t="shared" si="3"/>
        <v>714.03</v>
      </c>
      <c r="F3" s="2">
        <f>E3</f>
        <v>714.03</v>
      </c>
      <c r="G3" s="2">
        <f t="shared" ref="G3:G39" si="6">F3</f>
        <v>714.03</v>
      </c>
      <c r="H3" s="147">
        <v>1099.8</v>
      </c>
      <c r="I3" s="127">
        <v>714.03</v>
      </c>
      <c r="J3" s="130"/>
      <c r="K3" s="167">
        <v>1</v>
      </c>
      <c r="L3" s="2">
        <f t="shared" ref="L3:L38" si="7">K3*I3</f>
        <v>714.03</v>
      </c>
      <c r="M3" s="2">
        <f t="shared" ref="M3:M39" si="8">I3/H3</f>
        <v>0.64923622476813969</v>
      </c>
      <c r="N3" s="17">
        <f t="shared" ref="N3:N39" si="9">D3*M3*(1-K3)</f>
        <v>0</v>
      </c>
      <c r="O3" s="151">
        <f>L3+N3</f>
        <v>714.03</v>
      </c>
      <c r="P3" s="131" t="s">
        <v>107</v>
      </c>
      <c r="Q3" s="132">
        <f t="shared" si="4"/>
        <v>134.1756</v>
      </c>
      <c r="R3" s="127">
        <f t="shared" si="5"/>
        <v>21.4209</v>
      </c>
    </row>
    <row r="4" spans="1:22" x14ac:dyDescent="0.25">
      <c r="A4" s="47">
        <f t="shared" ref="A4:A39" si="10">A3+1</f>
        <v>2015</v>
      </c>
      <c r="B4" s="2">
        <f t="shared" si="0"/>
        <v>1090.3</v>
      </c>
      <c r="C4" s="2">
        <f t="shared" si="1"/>
        <v>1090.3</v>
      </c>
      <c r="D4" s="2">
        <f t="shared" si="2"/>
        <v>1090.3</v>
      </c>
      <c r="E4" s="2">
        <f t="shared" si="3"/>
        <v>712.63</v>
      </c>
      <c r="F4" s="2">
        <f t="shared" ref="F4" si="11">E4</f>
        <v>712.63</v>
      </c>
      <c r="G4" s="2">
        <f t="shared" si="6"/>
        <v>712.63</v>
      </c>
      <c r="H4" s="147">
        <v>1090.3</v>
      </c>
      <c r="I4" s="127">
        <v>712.63</v>
      </c>
      <c r="J4" s="130"/>
      <c r="K4" s="167">
        <v>1</v>
      </c>
      <c r="L4" s="2">
        <f t="shared" si="7"/>
        <v>712.63</v>
      </c>
      <c r="M4" s="2">
        <f t="shared" si="8"/>
        <v>0.65360909841328074</v>
      </c>
      <c r="N4" s="17">
        <f t="shared" si="9"/>
        <v>0</v>
      </c>
      <c r="O4" s="151">
        <f>L4+N4</f>
        <v>712.63</v>
      </c>
      <c r="P4" s="131" t="s">
        <v>107</v>
      </c>
      <c r="Q4" s="132">
        <f t="shared" si="4"/>
        <v>133.01659999999998</v>
      </c>
      <c r="R4" s="127">
        <f t="shared" si="5"/>
        <v>21.378899999999998</v>
      </c>
    </row>
    <row r="5" spans="1:22" x14ac:dyDescent="0.25">
      <c r="A5" s="47">
        <f t="shared" si="10"/>
        <v>2016</v>
      </c>
      <c r="B5" s="2">
        <f t="shared" si="0"/>
        <v>1045.2</v>
      </c>
      <c r="C5" s="2">
        <f t="shared" si="1"/>
        <v>1045.2</v>
      </c>
      <c r="D5" s="2">
        <f t="shared" si="2"/>
        <v>1045.2</v>
      </c>
      <c r="E5" s="2">
        <f t="shared" si="3"/>
        <v>705.28</v>
      </c>
      <c r="F5" s="2">
        <f>E5</f>
        <v>705.28</v>
      </c>
      <c r="G5" s="2">
        <f t="shared" si="6"/>
        <v>705.28</v>
      </c>
      <c r="H5" s="147">
        <v>1045.2</v>
      </c>
      <c r="I5" s="127">
        <v>705.28</v>
      </c>
      <c r="J5" s="130"/>
      <c r="K5" s="167">
        <v>1</v>
      </c>
      <c r="L5" s="2">
        <f t="shared" si="7"/>
        <v>705.28</v>
      </c>
      <c r="M5" s="2">
        <f t="shared" si="8"/>
        <v>0.67477994642173744</v>
      </c>
      <c r="N5" s="17">
        <f t="shared" si="9"/>
        <v>0</v>
      </c>
      <c r="O5" s="151">
        <f t="shared" ref="O5:O38" si="12">L5+N5</f>
        <v>705.28</v>
      </c>
      <c r="P5" s="131" t="s">
        <v>107</v>
      </c>
      <c r="Q5" s="132">
        <f t="shared" si="4"/>
        <v>127.51440000000001</v>
      </c>
      <c r="R5" s="127">
        <f t="shared" si="5"/>
        <v>21.158399999999997</v>
      </c>
    </row>
    <row r="6" spans="1:22" x14ac:dyDescent="0.25">
      <c r="A6" s="47">
        <f t="shared" si="10"/>
        <v>2017</v>
      </c>
      <c r="B6" s="2">
        <f t="shared" si="0"/>
        <v>1039.7</v>
      </c>
      <c r="C6" s="2">
        <f t="shared" si="1"/>
        <v>1039.7</v>
      </c>
      <c r="D6" s="2">
        <f t="shared" si="2"/>
        <v>1039.7</v>
      </c>
      <c r="E6" s="2">
        <f t="shared" si="3"/>
        <v>763.22201200000086</v>
      </c>
      <c r="F6" s="2">
        <f>E6</f>
        <v>763.22201200000086</v>
      </c>
      <c r="G6" s="2">
        <f t="shared" si="6"/>
        <v>763.22201200000086</v>
      </c>
      <c r="H6" s="147">
        <v>1039.7</v>
      </c>
      <c r="I6" s="127">
        <v>763.22201200000086</v>
      </c>
      <c r="J6" s="130"/>
      <c r="K6" s="167">
        <v>1</v>
      </c>
      <c r="L6" s="2">
        <f t="shared" si="7"/>
        <v>763.22201200000086</v>
      </c>
      <c r="M6" s="2">
        <f t="shared" si="8"/>
        <v>0.73407907280946505</v>
      </c>
      <c r="N6" s="17">
        <f t="shared" si="9"/>
        <v>0</v>
      </c>
      <c r="O6" s="151">
        <f t="shared" si="12"/>
        <v>763.22201200000086</v>
      </c>
      <c r="P6" s="131" t="s">
        <v>107</v>
      </c>
      <c r="Q6" s="132">
        <f t="shared" si="4"/>
        <v>126.8434</v>
      </c>
      <c r="R6" s="127">
        <f t="shared" si="5"/>
        <v>22.896660360000023</v>
      </c>
    </row>
    <row r="7" spans="1:22" x14ac:dyDescent="0.25">
      <c r="A7" s="47">
        <f t="shared" si="10"/>
        <v>2018</v>
      </c>
      <c r="B7" s="2">
        <f t="shared" si="0"/>
        <v>973.67</v>
      </c>
      <c r="C7" s="2">
        <f t="shared" si="1"/>
        <v>973.67</v>
      </c>
      <c r="D7" s="2">
        <f t="shared" si="2"/>
        <v>973.67</v>
      </c>
      <c r="E7" s="2">
        <f t="shared" si="3"/>
        <v>715.68782599999952</v>
      </c>
      <c r="F7" s="2">
        <f t="shared" ref="F7" si="13">E7</f>
        <v>715.68782599999952</v>
      </c>
      <c r="G7" s="2">
        <f t="shared" si="6"/>
        <v>715.68782599999952</v>
      </c>
      <c r="H7" s="147">
        <v>973.67</v>
      </c>
      <c r="I7" s="127">
        <v>715.68782599999952</v>
      </c>
      <c r="J7" s="130"/>
      <c r="K7" s="167">
        <v>1</v>
      </c>
      <c r="L7" s="2">
        <f t="shared" si="7"/>
        <v>715.68782599999952</v>
      </c>
      <c r="M7" s="2">
        <f t="shared" si="8"/>
        <v>0.73504146784844926</v>
      </c>
      <c r="N7" s="17">
        <f t="shared" si="9"/>
        <v>0</v>
      </c>
      <c r="O7" s="151">
        <f t="shared" si="12"/>
        <v>715.68782599999952</v>
      </c>
      <c r="P7" s="131" t="s">
        <v>107</v>
      </c>
      <c r="Q7" s="132">
        <f t="shared" si="4"/>
        <v>118.78774</v>
      </c>
      <c r="R7" s="127">
        <f t="shared" si="5"/>
        <v>21.470634779999983</v>
      </c>
    </row>
    <row r="8" spans="1:22" x14ac:dyDescent="0.25">
      <c r="A8" s="47">
        <f t="shared" si="10"/>
        <v>2019</v>
      </c>
      <c r="B8" s="2">
        <f t="shared" si="0"/>
        <v>844</v>
      </c>
      <c r="C8" s="2">
        <f t="shared" si="1"/>
        <v>844</v>
      </c>
      <c r="D8" s="2">
        <f t="shared" si="2"/>
        <v>844</v>
      </c>
      <c r="E8" s="2">
        <f t="shared" si="3"/>
        <v>718.33216999999968</v>
      </c>
      <c r="F8" s="2">
        <f>E8</f>
        <v>718.33216999999968</v>
      </c>
      <c r="G8" s="2">
        <f t="shared" si="6"/>
        <v>718.33216999999968</v>
      </c>
      <c r="H8" s="147">
        <v>844</v>
      </c>
      <c r="I8" s="127">
        <v>718.33216999999968</v>
      </c>
      <c r="J8" s="130"/>
      <c r="K8" s="167">
        <v>1</v>
      </c>
      <c r="L8" s="2">
        <f t="shared" si="7"/>
        <v>718.33216999999968</v>
      </c>
      <c r="M8" s="2">
        <f t="shared" si="8"/>
        <v>0.85110446682464413</v>
      </c>
      <c r="N8" s="17">
        <f t="shared" si="9"/>
        <v>0</v>
      </c>
      <c r="O8" s="151">
        <f t="shared" si="12"/>
        <v>718.33216999999968</v>
      </c>
      <c r="P8" s="131" t="s">
        <v>107</v>
      </c>
      <c r="Q8" s="132">
        <f t="shared" si="4"/>
        <v>102.968</v>
      </c>
      <c r="R8" s="127">
        <f t="shared" si="5"/>
        <v>21.549965099999991</v>
      </c>
    </row>
    <row r="9" spans="1:22" x14ac:dyDescent="0.25">
      <c r="A9" s="47">
        <f t="shared" si="10"/>
        <v>2020</v>
      </c>
      <c r="B9" s="2">
        <f t="shared" si="0"/>
        <v>718.75494315779861</v>
      </c>
      <c r="C9" s="2">
        <f t="shared" si="1"/>
        <v>718.75494315779861</v>
      </c>
      <c r="D9" s="2">
        <f t="shared" si="2"/>
        <v>718.75494315779861</v>
      </c>
      <c r="E9" s="2">
        <f>E41</f>
        <v>633.64486084220198</v>
      </c>
      <c r="F9" s="2">
        <f>E9</f>
        <v>633.64486084220198</v>
      </c>
      <c r="G9" s="2">
        <f t="shared" si="6"/>
        <v>633.64486084220198</v>
      </c>
      <c r="H9" s="147">
        <v>718.75494315779861</v>
      </c>
      <c r="I9" s="127">
        <v>633.64486084220198</v>
      </c>
      <c r="J9" s="130"/>
      <c r="K9" s="167">
        <v>1</v>
      </c>
      <c r="L9" s="2">
        <f t="shared" si="7"/>
        <v>633.64486084220198</v>
      </c>
      <c r="M9" s="2">
        <f>I9/H9</f>
        <v>0.88158678680988045</v>
      </c>
      <c r="N9" s="17">
        <f>D9*M9*(1-K9)</f>
        <v>0</v>
      </c>
      <c r="O9" s="151">
        <f>L9+N9</f>
        <v>633.64486084220198</v>
      </c>
      <c r="P9" s="131" t="s">
        <v>107</v>
      </c>
      <c r="Q9" s="132">
        <f t="shared" si="4"/>
        <v>87.688103065251426</v>
      </c>
      <c r="R9" s="127">
        <f t="shared" si="5"/>
        <v>19.00934582526606</v>
      </c>
    </row>
    <row r="10" spans="1:22" x14ac:dyDescent="0.25">
      <c r="A10" s="49">
        <f t="shared" si="10"/>
        <v>2021</v>
      </c>
      <c r="B10" s="36">
        <f>H10</f>
        <v>653.98292997142676</v>
      </c>
      <c r="C10" s="36">
        <f>H10</f>
        <v>653.98292997142676</v>
      </c>
      <c r="D10" s="36">
        <f>H10</f>
        <v>653.98292997142676</v>
      </c>
      <c r="E10" s="36">
        <f t="shared" ref="E10:E19" si="14">E42</f>
        <v>636.25556802857386</v>
      </c>
      <c r="F10" s="36">
        <f t="shared" ref="F10:F18" si="15">E10</f>
        <v>636.25556802857386</v>
      </c>
      <c r="G10" s="36">
        <f>F10</f>
        <v>636.25556802857386</v>
      </c>
      <c r="H10" s="148">
        <v>653.98292997142676</v>
      </c>
      <c r="I10" s="143">
        <v>636.25556802857386</v>
      </c>
      <c r="J10" s="130"/>
      <c r="K10" s="168">
        <v>1</v>
      </c>
      <c r="L10" s="36">
        <f t="shared" si="7"/>
        <v>636.25556802857386</v>
      </c>
      <c r="M10" s="36">
        <f t="shared" si="8"/>
        <v>0.97289323447077214</v>
      </c>
      <c r="N10" s="40">
        <f t="shared" si="9"/>
        <v>0</v>
      </c>
      <c r="O10" s="152">
        <f t="shared" si="12"/>
        <v>636.25556802857386</v>
      </c>
      <c r="P10" s="131"/>
      <c r="Q10" s="144">
        <f t="shared" si="4"/>
        <v>79.785917456514056</v>
      </c>
      <c r="R10" s="143">
        <f t="shared" si="5"/>
        <v>19.087667040857216</v>
      </c>
      <c r="U10" s="82"/>
      <c r="V10" s="82"/>
    </row>
    <row r="11" spans="1:22" x14ac:dyDescent="0.25">
      <c r="A11" s="51">
        <f t="shared" si="10"/>
        <v>2022</v>
      </c>
      <c r="B11" s="31">
        <f t="shared" ref="B11:B19" si="16">B43</f>
        <v>606.61810000000003</v>
      </c>
      <c r="C11" s="31">
        <f>B11</f>
        <v>606.61810000000003</v>
      </c>
      <c r="D11" s="31">
        <f>C11</f>
        <v>606.61810000000003</v>
      </c>
      <c r="E11" s="31">
        <f>E43</f>
        <v>638.89520103710288</v>
      </c>
      <c r="F11" s="31">
        <f t="shared" si="15"/>
        <v>638.89520103710288</v>
      </c>
      <c r="G11" s="2">
        <f>F11</f>
        <v>638.89520103710288</v>
      </c>
      <c r="H11" s="146">
        <v>656.61808899717983</v>
      </c>
      <c r="I11" s="138">
        <v>638.89520103710288</v>
      </c>
      <c r="J11" s="130"/>
      <c r="K11" s="167">
        <v>1</v>
      </c>
      <c r="L11" s="31">
        <f>K11*I11</f>
        <v>638.89520103710288</v>
      </c>
      <c r="M11" s="31">
        <f>I11/H11</f>
        <v>0.97300883381518743</v>
      </c>
      <c r="N11" s="118">
        <f>D11*M11*(1-K11)</f>
        <v>0</v>
      </c>
      <c r="O11" s="126">
        <f>L11+N11</f>
        <v>638.89520103710288</v>
      </c>
      <c r="P11" s="131"/>
      <c r="Q11" s="101">
        <f t="shared" si="4"/>
        <v>80.107406857655931</v>
      </c>
      <c r="R11" s="78">
        <f t="shared" si="5"/>
        <v>19.166856031113085</v>
      </c>
    </row>
    <row r="12" spans="1:22" x14ac:dyDescent="0.25">
      <c r="A12" s="47">
        <f t="shared" si="10"/>
        <v>2023</v>
      </c>
      <c r="B12" s="2">
        <f t="shared" si="16"/>
        <v>570.49530000000004</v>
      </c>
      <c r="C12" s="2">
        <f t="shared" ref="C12:C19" si="17">B12</f>
        <v>570.49530000000004</v>
      </c>
      <c r="D12" s="31">
        <f t="shared" ref="D12:D39" si="18">C12</f>
        <v>570.49530000000004</v>
      </c>
      <c r="E12" s="2">
        <f>E44</f>
        <v>681.13882802130547</v>
      </c>
      <c r="F12" s="2">
        <f>E12</f>
        <v>681.13882802130547</v>
      </c>
      <c r="G12" s="2">
        <f>F12</f>
        <v>681.13882802130547</v>
      </c>
      <c r="H12" s="147">
        <v>620.495271831286</v>
      </c>
      <c r="I12" s="138">
        <v>681.13882802130547</v>
      </c>
      <c r="J12" s="130"/>
      <c r="K12" s="167">
        <v>1</v>
      </c>
      <c r="L12" s="2">
        <f>K12*I12</f>
        <v>681.13882802130547</v>
      </c>
      <c r="M12" s="31">
        <f t="shared" ref="M12:M34" si="19">I12/H12</f>
        <v>1.0977341148967024</v>
      </c>
      <c r="N12" s="17">
        <f t="shared" si="9"/>
        <v>0</v>
      </c>
      <c r="O12" s="151">
        <f t="shared" si="12"/>
        <v>681.13882802130547</v>
      </c>
      <c r="P12" s="131"/>
      <c r="Q12" s="99">
        <f t="shared" si="4"/>
        <v>75.700423163416886</v>
      </c>
      <c r="R12" s="78">
        <f t="shared" si="5"/>
        <v>20.434164840639163</v>
      </c>
    </row>
    <row r="13" spans="1:22" x14ac:dyDescent="0.25">
      <c r="A13" s="47">
        <f t="shared" si="10"/>
        <v>2024</v>
      </c>
      <c r="B13" s="2">
        <f t="shared" si="16"/>
        <v>538.36609999999996</v>
      </c>
      <c r="C13" s="2">
        <f t="shared" si="17"/>
        <v>538.36609999999996</v>
      </c>
      <c r="D13" s="31">
        <f t="shared" si="18"/>
        <v>538.36609999999996</v>
      </c>
      <c r="E13" s="2">
        <f>E45</f>
        <v>679.40422322437075</v>
      </c>
      <c r="F13" s="2">
        <f>E13</f>
        <v>679.40422322437075</v>
      </c>
      <c r="G13" s="2">
        <f t="shared" si="6"/>
        <v>679.40422322437075</v>
      </c>
      <c r="H13" s="147">
        <v>588.36607537237887</v>
      </c>
      <c r="I13" s="138">
        <v>679.40422322437075</v>
      </c>
      <c r="J13" s="130"/>
      <c r="K13" s="167">
        <v>1</v>
      </c>
      <c r="L13" s="2">
        <f t="shared" si="7"/>
        <v>679.40422322437075</v>
      </c>
      <c r="M13" s="31">
        <f t="shared" si="19"/>
        <v>1.1547304504162201</v>
      </c>
      <c r="N13" s="17">
        <f t="shared" ref="N13:N18" si="20">D13*M13*(1-K13)</f>
        <v>0</v>
      </c>
      <c r="O13" s="151">
        <f t="shared" si="12"/>
        <v>679.40422322437075</v>
      </c>
      <c r="P13" s="131"/>
      <c r="Q13" s="99">
        <f t="shared" si="4"/>
        <v>71.780661195430227</v>
      </c>
      <c r="R13" s="78">
        <f t="shared" si="5"/>
        <v>20.38212669673112</v>
      </c>
    </row>
    <row r="14" spans="1:22" x14ac:dyDescent="0.25">
      <c r="A14" s="47">
        <f t="shared" si="10"/>
        <v>2025</v>
      </c>
      <c r="B14" s="2">
        <f t="shared" si="16"/>
        <v>508.14319999999998</v>
      </c>
      <c r="C14" s="2">
        <f t="shared" si="17"/>
        <v>508.14319999999998</v>
      </c>
      <c r="D14" s="31">
        <f t="shared" si="18"/>
        <v>508.14319999999998</v>
      </c>
      <c r="E14" s="2">
        <f t="shared" si="14"/>
        <v>715.98328245397579</v>
      </c>
      <c r="F14" s="2">
        <f>E14</f>
        <v>715.98328245397579</v>
      </c>
      <c r="G14" s="2">
        <f t="shared" si="6"/>
        <v>715.98328245397579</v>
      </c>
      <c r="H14" s="147">
        <v>558.14321723007959</v>
      </c>
      <c r="I14" s="138">
        <v>715.98328245397579</v>
      </c>
      <c r="J14" s="130"/>
      <c r="K14" s="167">
        <v>1</v>
      </c>
      <c r="L14" s="2">
        <f>K14*I14</f>
        <v>715.98328245397579</v>
      </c>
      <c r="M14" s="31">
        <f t="shared" si="19"/>
        <v>1.28279491777615</v>
      </c>
      <c r="N14" s="17">
        <f t="shared" si="20"/>
        <v>0</v>
      </c>
      <c r="O14" s="151">
        <f>L14+N14</f>
        <v>715.98328245397579</v>
      </c>
      <c r="P14" s="131"/>
      <c r="Q14" s="99">
        <f t="shared" si="4"/>
        <v>68.093472502069702</v>
      </c>
      <c r="R14" s="78">
        <f t="shared" si="5"/>
        <v>21.479498473619273</v>
      </c>
    </row>
    <row r="15" spans="1:22" x14ac:dyDescent="0.25">
      <c r="A15" s="47">
        <f t="shared" si="10"/>
        <v>2026</v>
      </c>
      <c r="B15" s="2">
        <f t="shared" si="16"/>
        <v>523.2808</v>
      </c>
      <c r="C15" s="2">
        <f t="shared" si="17"/>
        <v>523.2808</v>
      </c>
      <c r="D15" s="31">
        <f t="shared" si="18"/>
        <v>523.2808</v>
      </c>
      <c r="E15" s="2">
        <f>E47</f>
        <v>738.35712226081262</v>
      </c>
      <c r="F15" s="2">
        <f t="shared" si="15"/>
        <v>738.35712226081262</v>
      </c>
      <c r="G15" s="2">
        <f t="shared" si="6"/>
        <v>738.35712226081262</v>
      </c>
      <c r="H15" s="147">
        <v>573.28077039888399</v>
      </c>
      <c r="I15" s="138">
        <v>738.35712226081262</v>
      </c>
      <c r="J15" s="130"/>
      <c r="K15" s="167">
        <v>1</v>
      </c>
      <c r="L15" s="2">
        <f t="shared" si="7"/>
        <v>738.35712226081262</v>
      </c>
      <c r="M15" s="31">
        <f t="shared" si="19"/>
        <v>1.287950268673882</v>
      </c>
      <c r="N15" s="17">
        <f t="shared" si="20"/>
        <v>0</v>
      </c>
      <c r="O15" s="151">
        <f t="shared" si="12"/>
        <v>738.35712226081262</v>
      </c>
      <c r="P15" s="131"/>
      <c r="Q15" s="99">
        <f t="shared" si="4"/>
        <v>69.940253988663841</v>
      </c>
      <c r="R15" s="78">
        <f t="shared" si="5"/>
        <v>22.150713667824377</v>
      </c>
    </row>
    <row r="16" spans="1:22" x14ac:dyDescent="0.25">
      <c r="A16" s="47">
        <f t="shared" si="10"/>
        <v>2027</v>
      </c>
      <c r="B16" s="2">
        <f t="shared" si="16"/>
        <v>531.60900000000004</v>
      </c>
      <c r="C16" s="2">
        <f t="shared" si="17"/>
        <v>531.60900000000004</v>
      </c>
      <c r="D16" s="31">
        <f t="shared" si="18"/>
        <v>531.60900000000004</v>
      </c>
      <c r="E16" s="2">
        <f>E48</f>
        <v>763.07396339253114</v>
      </c>
      <c r="F16" s="2">
        <f t="shared" si="15"/>
        <v>763.07396339253114</v>
      </c>
      <c r="G16" s="2">
        <f t="shared" si="6"/>
        <v>763.07396339253114</v>
      </c>
      <c r="H16" s="147">
        <v>581.6089693512796</v>
      </c>
      <c r="I16" s="138">
        <v>763.07396339253114</v>
      </c>
      <c r="J16" s="130"/>
      <c r="K16" s="167">
        <v>1</v>
      </c>
      <c r="L16" s="2">
        <f>K16*I16</f>
        <v>763.07396339253114</v>
      </c>
      <c r="M16" s="31">
        <f t="shared" si="19"/>
        <v>1.312005150545831</v>
      </c>
      <c r="N16" s="17">
        <f>D16*M16*(1-K16)</f>
        <v>0</v>
      </c>
      <c r="O16" s="151">
        <f>L16+N16</f>
        <v>763.07396339253114</v>
      </c>
      <c r="P16" s="131"/>
      <c r="Q16" s="99">
        <f t="shared" si="4"/>
        <v>70.956294260856112</v>
      </c>
      <c r="R16" s="78">
        <f t="shared" si="5"/>
        <v>22.892218901775934</v>
      </c>
    </row>
    <row r="17" spans="1:18" x14ac:dyDescent="0.25">
      <c r="A17" s="47">
        <f t="shared" si="10"/>
        <v>2028</v>
      </c>
      <c r="B17" s="2">
        <f t="shared" si="16"/>
        <v>559.13139999999999</v>
      </c>
      <c r="C17" s="2">
        <f t="shared" si="17"/>
        <v>559.13139999999999</v>
      </c>
      <c r="D17" s="31">
        <f t="shared" si="18"/>
        <v>559.13139999999999</v>
      </c>
      <c r="E17" s="2">
        <f>E49</f>
        <v>719.39422707677124</v>
      </c>
      <c r="F17" s="2">
        <f t="shared" si="15"/>
        <v>719.39422707677124</v>
      </c>
      <c r="G17" s="2">
        <f t="shared" si="6"/>
        <v>719.39422707677124</v>
      </c>
      <c r="H17" s="147">
        <v>609.13137071225765</v>
      </c>
      <c r="I17" s="138">
        <v>719.39422707677124</v>
      </c>
      <c r="J17" s="130"/>
      <c r="K17" s="167">
        <v>1</v>
      </c>
      <c r="L17" s="2">
        <f t="shared" si="7"/>
        <v>719.39422707677124</v>
      </c>
      <c r="M17" s="31">
        <f t="shared" si="19"/>
        <v>1.1810165453071038</v>
      </c>
      <c r="N17" s="17">
        <f t="shared" si="20"/>
        <v>0</v>
      </c>
      <c r="O17" s="151">
        <f t="shared" si="12"/>
        <v>719.39422707677124</v>
      </c>
      <c r="P17" s="131"/>
      <c r="Q17" s="99">
        <f t="shared" si="4"/>
        <v>74.314027226895433</v>
      </c>
      <c r="R17" s="78">
        <f t="shared" si="5"/>
        <v>21.581826812303138</v>
      </c>
    </row>
    <row r="18" spans="1:18" x14ac:dyDescent="0.25">
      <c r="A18" s="47">
        <f t="shared" si="10"/>
        <v>2029</v>
      </c>
      <c r="B18" s="2">
        <f t="shared" si="16"/>
        <v>575.6576</v>
      </c>
      <c r="C18" s="2">
        <f t="shared" si="17"/>
        <v>575.6576</v>
      </c>
      <c r="D18" s="31">
        <f t="shared" si="18"/>
        <v>575.6576</v>
      </c>
      <c r="E18" s="2">
        <f t="shared" si="14"/>
        <v>675.27787965185621</v>
      </c>
      <c r="F18" s="2">
        <f t="shared" si="15"/>
        <v>675.27787965185621</v>
      </c>
      <c r="G18" s="2">
        <f t="shared" si="6"/>
        <v>675.27787965185621</v>
      </c>
      <c r="H18" s="147">
        <v>625.65764150935468</v>
      </c>
      <c r="I18" s="138">
        <v>675.27787965185621</v>
      </c>
      <c r="J18" s="130"/>
      <c r="K18" s="167">
        <v>1</v>
      </c>
      <c r="L18" s="2">
        <f t="shared" si="7"/>
        <v>675.27787965185621</v>
      </c>
      <c r="M18" s="31">
        <f t="shared" si="19"/>
        <v>1.0793089300768328</v>
      </c>
      <c r="N18" s="17">
        <f t="shared" si="20"/>
        <v>0</v>
      </c>
      <c r="O18" s="151">
        <f t="shared" si="12"/>
        <v>675.27787965185621</v>
      </c>
      <c r="P18" s="131"/>
      <c r="Q18" s="99">
        <f t="shared" si="4"/>
        <v>76.330232264141273</v>
      </c>
      <c r="R18" s="78">
        <f t="shared" si="5"/>
        <v>20.258336389555687</v>
      </c>
    </row>
    <row r="19" spans="1:18" x14ac:dyDescent="0.25">
      <c r="A19" s="47">
        <f t="shared" si="10"/>
        <v>2030</v>
      </c>
      <c r="B19" s="2">
        <f t="shared" si="16"/>
        <v>581.3768</v>
      </c>
      <c r="C19" s="2">
        <f t="shared" si="17"/>
        <v>581.3768</v>
      </c>
      <c r="D19" s="31">
        <f t="shared" si="18"/>
        <v>581.3768</v>
      </c>
      <c r="E19" s="2">
        <f t="shared" si="14"/>
        <v>631.16153222694038</v>
      </c>
      <c r="F19" s="2">
        <f>E19</f>
        <v>631.16153222694038</v>
      </c>
      <c r="G19" s="2">
        <f t="shared" si="6"/>
        <v>631.16153222694038</v>
      </c>
      <c r="H19" s="147">
        <v>631.37680215055411</v>
      </c>
      <c r="I19" s="138">
        <v>631.16153222694038</v>
      </c>
      <c r="J19" s="130"/>
      <c r="K19" s="167">
        <v>1</v>
      </c>
      <c r="L19" s="2">
        <f t="shared" si="7"/>
        <v>631.16153222694038</v>
      </c>
      <c r="M19" s="31">
        <f t="shared" si="19"/>
        <v>0.99965904682769391</v>
      </c>
      <c r="N19" s="17">
        <f t="shared" si="9"/>
        <v>0</v>
      </c>
      <c r="O19" s="151">
        <f t="shared" si="12"/>
        <v>631.16153222694038</v>
      </c>
      <c r="P19" s="131"/>
      <c r="Q19" s="99">
        <f t="shared" si="4"/>
        <v>77.027969862367598</v>
      </c>
      <c r="R19" s="78">
        <f t="shared" si="5"/>
        <v>18.934845966808211</v>
      </c>
    </row>
    <row r="20" spans="1:18" x14ac:dyDescent="0.25">
      <c r="A20" s="47">
        <f t="shared" si="10"/>
        <v>2031</v>
      </c>
      <c r="B20" s="2">
        <f>B19-(B19-B22)*(A20-A19)/(A22-A19)</f>
        <v>517.34610997058439</v>
      </c>
      <c r="C20" s="2">
        <f>B20*B52/(SUM(B20:B24)/5)</f>
        <v>493.19243848269195</v>
      </c>
      <c r="D20" s="31">
        <f t="shared" si="18"/>
        <v>493.19243848269195</v>
      </c>
      <c r="E20" s="2">
        <f>E19-(E19-E22)*(A20-A19)/(A22-A19)</f>
        <v>589.96581795860584</v>
      </c>
      <c r="F20" s="2">
        <f>E20*E52/(SUM(E20:E24)/5)</f>
        <v>594.0948039592256</v>
      </c>
      <c r="G20" s="2">
        <f t="shared" si="6"/>
        <v>594.0948039592256</v>
      </c>
      <c r="H20" s="147">
        <v>520.53389350335715</v>
      </c>
      <c r="I20" s="138">
        <v>594.09480395922549</v>
      </c>
      <c r="J20" s="130"/>
      <c r="K20" s="167">
        <v>1</v>
      </c>
      <c r="L20" s="2">
        <f t="shared" si="7"/>
        <v>594.09480395922549</v>
      </c>
      <c r="M20" s="31">
        <f t="shared" si="19"/>
        <v>1.1413181953643408</v>
      </c>
      <c r="N20" s="17">
        <f t="shared" si="9"/>
        <v>0</v>
      </c>
      <c r="O20" s="151">
        <f t="shared" si="12"/>
        <v>594.09480395922549</v>
      </c>
      <c r="P20" s="131"/>
      <c r="Q20" s="99">
        <f t="shared" si="4"/>
        <v>63.505135007409571</v>
      </c>
      <c r="R20" s="78">
        <f t="shared" si="5"/>
        <v>17.822844118776764</v>
      </c>
    </row>
    <row r="21" spans="1:18" x14ac:dyDescent="0.25">
      <c r="A21" s="47">
        <f t="shared" si="10"/>
        <v>2032</v>
      </c>
      <c r="B21" s="2">
        <f>B19-(B19-B22)*(A21-A19)/(A22-A19)</f>
        <v>453.31541994116867</v>
      </c>
      <c r="C21" s="2">
        <f>B21*B52/(SUM(B20:B24)/5)</f>
        <v>432.15119057395151</v>
      </c>
      <c r="D21" s="31">
        <f t="shared" si="18"/>
        <v>432.15119057395151</v>
      </c>
      <c r="E21" s="2">
        <f>E19-(E19-E22)*(A21-A19)/(A22-A19)</f>
        <v>548.77010369027118</v>
      </c>
      <c r="F21" s="2">
        <f>E21*E52/(SUM(E20:E24)/5)</f>
        <v>552.6107737879662</v>
      </c>
      <c r="G21" s="2">
        <f t="shared" si="6"/>
        <v>552.6107737879662</v>
      </c>
      <c r="H21" s="147">
        <v>446.37768812089661</v>
      </c>
      <c r="I21" s="138">
        <v>552.61077378796608</v>
      </c>
      <c r="J21" s="130"/>
      <c r="K21" s="167">
        <v>1</v>
      </c>
      <c r="L21" s="2">
        <f t="shared" si="7"/>
        <v>552.61077378796608</v>
      </c>
      <c r="M21" s="31">
        <f t="shared" si="19"/>
        <v>1.2379892375765371</v>
      </c>
      <c r="N21" s="17">
        <f t="shared" si="9"/>
        <v>0</v>
      </c>
      <c r="O21" s="151">
        <f t="shared" si="12"/>
        <v>552.61077378796608</v>
      </c>
      <c r="P21" s="131"/>
      <c r="Q21" s="99">
        <f t="shared" si="4"/>
        <v>54.458077950749384</v>
      </c>
      <c r="R21" s="78">
        <f t="shared" si="5"/>
        <v>16.578323213638981</v>
      </c>
    </row>
    <row r="22" spans="1:18" x14ac:dyDescent="0.25">
      <c r="A22" s="47">
        <f t="shared" si="10"/>
        <v>2033</v>
      </c>
      <c r="B22" s="2">
        <f>B52</f>
        <v>389.284729911753</v>
      </c>
      <c r="C22" s="2">
        <f>B22*B52/(SUM(B20:B24)/5)</f>
        <v>371.10994266521118</v>
      </c>
      <c r="D22" s="31">
        <f t="shared" si="18"/>
        <v>371.10994266521118</v>
      </c>
      <c r="E22" s="2">
        <f>E52</f>
        <v>507.57438942193659</v>
      </c>
      <c r="F22" s="2">
        <f>E22*E52/(SUM(E20:E24)/5)</f>
        <v>511.12674361670679</v>
      </c>
      <c r="G22" s="2">
        <f t="shared" si="6"/>
        <v>511.12674361670679</v>
      </c>
      <c r="H22" s="147">
        <v>372.22148273843607</v>
      </c>
      <c r="I22" s="138">
        <v>511.12674361670679</v>
      </c>
      <c r="J22" s="130"/>
      <c r="K22" s="167">
        <v>1</v>
      </c>
      <c r="L22" s="2">
        <f t="shared" si="7"/>
        <v>511.12674361670679</v>
      </c>
      <c r="M22" s="31">
        <f t="shared" si="19"/>
        <v>1.3731790541919928</v>
      </c>
      <c r="N22" s="17">
        <f t="shared" si="9"/>
        <v>0</v>
      </c>
      <c r="O22" s="151">
        <f t="shared" si="12"/>
        <v>511.12674361670679</v>
      </c>
      <c r="P22" s="131"/>
      <c r="Q22" s="99">
        <f t="shared" si="4"/>
        <v>45.411020894089198</v>
      </c>
      <c r="R22" s="78">
        <f t="shared" si="5"/>
        <v>15.333802308501204</v>
      </c>
    </row>
    <row r="23" spans="1:18" x14ac:dyDescent="0.25">
      <c r="A23" s="47">
        <f t="shared" si="10"/>
        <v>2034</v>
      </c>
      <c r="B23" s="2">
        <f>B22-(B22-B27)*(A23-A22)/(A27-A22)</f>
        <v>357.02884267016572</v>
      </c>
      <c r="C23" s="2">
        <f>B23*B52/(SUM(B20:B24)/5)</f>
        <v>340.36000683404058</v>
      </c>
      <c r="D23" s="31">
        <f t="shared" si="18"/>
        <v>340.36000683404058</v>
      </c>
      <c r="E23" s="2">
        <f>E22-(E22-E27)*(A23-A22)/(A27-A22)</f>
        <v>460.49923320194307</v>
      </c>
      <c r="F23" s="2">
        <f>E23*E52/(SUM(E20:E24)/5)</f>
        <v>463.72212312083042</v>
      </c>
      <c r="G23" s="2">
        <f>F23</f>
        <v>463.72212312083042</v>
      </c>
      <c r="H23" s="147">
        <v>336.33613224204584</v>
      </c>
      <c r="I23" s="138">
        <v>463.72212312083042</v>
      </c>
      <c r="J23" s="130"/>
      <c r="K23" s="167">
        <v>1</v>
      </c>
      <c r="L23" s="2">
        <f t="shared" si="7"/>
        <v>463.72212312083042</v>
      </c>
      <c r="M23" s="31">
        <f t="shared" si="19"/>
        <v>1.3787460777098748</v>
      </c>
      <c r="N23" s="17">
        <f t="shared" si="9"/>
        <v>0</v>
      </c>
      <c r="O23" s="151">
        <f t="shared" si="12"/>
        <v>463.72212312083042</v>
      </c>
      <c r="P23" s="131"/>
      <c r="Q23" s="99">
        <f t="shared" si="4"/>
        <v>41.033008133529592</v>
      </c>
      <c r="R23" s="78">
        <f t="shared" si="5"/>
        <v>13.911663693624911</v>
      </c>
    </row>
    <row r="24" spans="1:18" x14ac:dyDescent="0.25">
      <c r="A24" s="47">
        <f t="shared" si="10"/>
        <v>2035</v>
      </c>
      <c r="B24" s="2">
        <f>B22-(B22-B27)*(A24-A22)/(A27-A22)</f>
        <v>324.77295542857848</v>
      </c>
      <c r="C24" s="2">
        <f>B24*B52/(SUM(B20:B24)/5)</f>
        <v>309.61007100287003</v>
      </c>
      <c r="D24" s="31">
        <f t="shared" si="18"/>
        <v>309.61007100287003</v>
      </c>
      <c r="E24" s="2">
        <f>E22-(E22-E27)*(A24-A22)/(A27-A22)</f>
        <v>413.4240769819495</v>
      </c>
      <c r="F24" s="2">
        <f>E24*E52/(SUM(E20:E24)/5)</f>
        <v>416.3175026249541</v>
      </c>
      <c r="G24" s="2">
        <f t="shared" si="6"/>
        <v>416.3175026249541</v>
      </c>
      <c r="H24" s="147">
        <v>300.45078174565555</v>
      </c>
      <c r="I24" s="138">
        <v>416.31750262495405</v>
      </c>
      <c r="J24" s="130"/>
      <c r="K24" s="167">
        <v>1</v>
      </c>
      <c r="L24" s="2">
        <f t="shared" si="7"/>
        <v>416.31750262495405</v>
      </c>
      <c r="M24" s="31">
        <f t="shared" si="19"/>
        <v>1.3856429336149461</v>
      </c>
      <c r="N24" s="17">
        <f t="shared" si="9"/>
        <v>0</v>
      </c>
      <c r="O24" s="151">
        <f t="shared" si="12"/>
        <v>416.31750262495405</v>
      </c>
      <c r="P24" s="131"/>
      <c r="Q24" s="99">
        <f t="shared" si="4"/>
        <v>36.654995372969978</v>
      </c>
      <c r="R24" s="78">
        <f t="shared" si="5"/>
        <v>12.489525078748621</v>
      </c>
    </row>
    <row r="25" spans="1:18" x14ac:dyDescent="0.25">
      <c r="A25" s="47">
        <f t="shared" si="10"/>
        <v>2036</v>
      </c>
      <c r="B25" s="2">
        <f>B22-(B22-B27)*(A25-A22)/(A27-A22)</f>
        <v>292.5170681869912</v>
      </c>
      <c r="C25" s="2">
        <f>B25*B53/(SUM(B25:B29)/5)</f>
        <v>287.94258823280279</v>
      </c>
      <c r="D25" s="31">
        <f t="shared" si="18"/>
        <v>287.94258823280279</v>
      </c>
      <c r="E25" s="2">
        <f>E22-(E22-E27)*(A25-A22)/(A27-A22)</f>
        <v>366.34892076195598</v>
      </c>
      <c r="F25" s="2">
        <f>E25*E53/(SUM(E25:E29)/5)</f>
        <v>343.73099402279632</v>
      </c>
      <c r="G25" s="2">
        <f t="shared" si="6"/>
        <v>343.73099402279632</v>
      </c>
      <c r="H25" s="147">
        <v>267.26311231079268</v>
      </c>
      <c r="I25" s="138">
        <v>343.73099402279632</v>
      </c>
      <c r="J25" s="130"/>
      <c r="K25" s="167">
        <v>1</v>
      </c>
      <c r="L25" s="2">
        <f t="shared" si="7"/>
        <v>343.73099402279632</v>
      </c>
      <c r="M25" s="31">
        <f t="shared" si="19"/>
        <v>1.286114612117071</v>
      </c>
      <c r="N25" s="17">
        <f t="shared" si="9"/>
        <v>0</v>
      </c>
      <c r="O25" s="151">
        <f t="shared" si="12"/>
        <v>343.73099402279632</v>
      </c>
      <c r="P25" s="131"/>
      <c r="Q25" s="99">
        <f t="shared" si="4"/>
        <v>32.606099701916705</v>
      </c>
      <c r="R25" s="78">
        <f t="shared" si="5"/>
        <v>10.31192982068389</v>
      </c>
    </row>
    <row r="26" spans="1:18" x14ac:dyDescent="0.25">
      <c r="A26" s="47">
        <f t="shared" si="10"/>
        <v>2037</v>
      </c>
      <c r="B26" s="2">
        <f>B22-(B22-B27)*(A26-A22)/(A27-A22)</f>
        <v>260.26118094540391</v>
      </c>
      <c r="C26" s="2">
        <f>B26*B53/(SUM(B25:B29)/5)</f>
        <v>256.19112936698764</v>
      </c>
      <c r="D26" s="31">
        <f t="shared" si="18"/>
        <v>256.19112936698764</v>
      </c>
      <c r="E26" s="2">
        <f>E22-(E22-E27)*(A26-A22)/(A27-A22)</f>
        <v>319.27376454196246</v>
      </c>
      <c r="F26" s="2">
        <f>E26*E53/(SUM(E25:E29)/5)</f>
        <v>299.56219940038523</v>
      </c>
      <c r="G26" s="2">
        <f t="shared" si="6"/>
        <v>299.56219940038523</v>
      </c>
      <c r="H26" s="147">
        <v>231.01185146109867</v>
      </c>
      <c r="I26" s="138">
        <v>299.56219940038523</v>
      </c>
      <c r="J26" s="130"/>
      <c r="K26" s="167">
        <v>1</v>
      </c>
      <c r="L26" s="2">
        <f t="shared" si="7"/>
        <v>299.56219940038523</v>
      </c>
      <c r="M26" s="31">
        <f t="shared" si="19"/>
        <v>1.2967395287545675</v>
      </c>
      <c r="N26" s="17">
        <f t="shared" si="9"/>
        <v>0</v>
      </c>
      <c r="O26" s="151">
        <f t="shared" si="12"/>
        <v>299.56219940038523</v>
      </c>
      <c r="P26" s="131"/>
      <c r="Q26" s="99">
        <f t="shared" si="4"/>
        <v>28.183445878254037</v>
      </c>
      <c r="R26" s="78">
        <f t="shared" si="5"/>
        <v>8.9868659820115564</v>
      </c>
    </row>
    <row r="27" spans="1:18" x14ac:dyDescent="0.25">
      <c r="A27" s="47">
        <f t="shared" si="10"/>
        <v>2038</v>
      </c>
      <c r="B27" s="2">
        <f>B53</f>
        <v>228.00529370381662</v>
      </c>
      <c r="C27" s="2">
        <f>B27*B53/(SUM(B25:B29)/5)</f>
        <v>224.43967050117254</v>
      </c>
      <c r="D27" s="31">
        <f t="shared" si="18"/>
        <v>224.43967050117254</v>
      </c>
      <c r="E27" s="2">
        <f>E53</f>
        <v>272.19860832196889</v>
      </c>
      <c r="F27" s="2">
        <f>E27*E53/(SUM(E25:E29)/5)</f>
        <v>255.39340477797404</v>
      </c>
      <c r="G27" s="2">
        <f t="shared" si="6"/>
        <v>255.39340477797404</v>
      </c>
      <c r="H27" s="147">
        <v>194.76059061140469</v>
      </c>
      <c r="I27" s="138">
        <v>255.39340477797404</v>
      </c>
      <c r="J27" s="130"/>
      <c r="K27" s="167">
        <v>1</v>
      </c>
      <c r="L27" s="2">
        <f t="shared" si="7"/>
        <v>255.39340477797404</v>
      </c>
      <c r="M27" s="31">
        <f t="shared" si="19"/>
        <v>1.3113197283712634</v>
      </c>
      <c r="N27" s="17">
        <f t="shared" si="9"/>
        <v>0</v>
      </c>
      <c r="O27" s="151">
        <f t="shared" si="12"/>
        <v>255.39340477797404</v>
      </c>
      <c r="P27" s="131"/>
      <c r="Q27" s="99">
        <f t="shared" si="4"/>
        <v>23.760792054591374</v>
      </c>
      <c r="R27" s="78">
        <f t="shared" si="5"/>
        <v>7.6618021433392212</v>
      </c>
    </row>
    <row r="28" spans="1:18" x14ac:dyDescent="0.25">
      <c r="A28" s="47">
        <f t="shared" si="10"/>
        <v>2039</v>
      </c>
      <c r="B28" s="2">
        <f>B27-(B27-B32)*(A28-A27)/(A32-A27)</f>
        <v>201.78652223993936</v>
      </c>
      <c r="C28" s="2">
        <f>B28*B53/(SUM(B25:B29)/5)</f>
        <v>198.63091697309756</v>
      </c>
      <c r="D28" s="31">
        <f t="shared" si="18"/>
        <v>198.63091697309756</v>
      </c>
      <c r="E28" s="2">
        <f>E27-(E27-E32)*(A28-A27)/(A32-A27)</f>
        <v>254.97513015150261</v>
      </c>
      <c r="F28" s="2">
        <f>E28*E53/(SUM(E25:E29)/5)</f>
        <v>239.23328272888762</v>
      </c>
      <c r="G28" s="2">
        <f>F28</f>
        <v>239.23328272888762</v>
      </c>
      <c r="H28" s="147">
        <v>175.0555538149973</v>
      </c>
      <c r="I28" s="138">
        <v>239.23328272888762</v>
      </c>
      <c r="J28" s="130"/>
      <c r="K28" s="167">
        <v>1</v>
      </c>
      <c r="L28" s="2">
        <f t="shared" si="7"/>
        <v>239.23328272888762</v>
      </c>
      <c r="M28" s="31">
        <f t="shared" si="19"/>
        <v>1.3666134979168658</v>
      </c>
      <c r="N28" s="17">
        <f t="shared" si="9"/>
        <v>0</v>
      </c>
      <c r="O28" s="151">
        <f t="shared" si="12"/>
        <v>239.23328272888762</v>
      </c>
      <c r="P28" s="131"/>
      <c r="Q28" s="99">
        <f t="shared" si="4"/>
        <v>21.35677756542967</v>
      </c>
      <c r="R28" s="78">
        <f t="shared" si="5"/>
        <v>7.1769984818666286</v>
      </c>
    </row>
    <row r="29" spans="1:18" x14ac:dyDescent="0.25">
      <c r="A29" s="47">
        <f t="shared" si="10"/>
        <v>2040</v>
      </c>
      <c r="B29" s="2">
        <f>B27-(B27-B32)*(A29-A27)/(A32-A27)</f>
        <v>175.5677507760621</v>
      </c>
      <c r="C29" s="2">
        <f>B29*B53/(SUM(B25:B29)/5)</f>
        <v>172.82216344502251</v>
      </c>
      <c r="D29" s="31">
        <f t="shared" si="18"/>
        <v>172.82216344502251</v>
      </c>
      <c r="E29" s="2">
        <f>E27-(E27-E32)*(A29-A27)/(A32-A27)</f>
        <v>237.75165198103636</v>
      </c>
      <c r="F29" s="2">
        <f>E29*E53/(SUM(E25:E29)/5)</f>
        <v>223.07316067980119</v>
      </c>
      <c r="G29" s="2">
        <f>F29</f>
        <v>223.07316067980119</v>
      </c>
      <c r="H29" s="147">
        <v>155.35051701858993</v>
      </c>
      <c r="I29" s="138">
        <v>223.07316067980119</v>
      </c>
      <c r="J29" s="130"/>
      <c r="K29" s="167">
        <v>1</v>
      </c>
      <c r="L29" s="2">
        <f t="shared" si="7"/>
        <v>223.07316067980119</v>
      </c>
      <c r="M29" s="31">
        <f t="shared" si="19"/>
        <v>1.4359344594463581</v>
      </c>
      <c r="N29" s="17">
        <f t="shared" si="9"/>
        <v>0</v>
      </c>
      <c r="O29" s="151">
        <f t="shared" si="12"/>
        <v>223.07316067980119</v>
      </c>
      <c r="P29" s="131"/>
      <c r="Q29" s="99">
        <f t="shared" si="4"/>
        <v>18.952763076267971</v>
      </c>
      <c r="R29" s="78">
        <f t="shared" si="5"/>
        <v>6.6921948203940351</v>
      </c>
    </row>
    <row r="30" spans="1:18" x14ac:dyDescent="0.25">
      <c r="A30" s="47">
        <f t="shared" si="10"/>
        <v>2041</v>
      </c>
      <c r="B30" s="2">
        <f>B27-(B27-B32)*(A30-A27)/(A32-A27)</f>
        <v>149.34897931218484</v>
      </c>
      <c r="C30" s="2">
        <f>B30-AVERAGE($B$30:$B$34)+$B$54</f>
        <v>178.63536371074454</v>
      </c>
      <c r="D30" s="31">
        <f t="shared" si="18"/>
        <v>178.63536371074454</v>
      </c>
      <c r="E30" s="2">
        <f>E27-(E27-E32)*(A30-A27)/(A32-A27)</f>
        <v>220.52817381057008</v>
      </c>
      <c r="F30" s="2">
        <f>E30*E54/(SUM(E30:E34)/5)</f>
        <v>222.01574904822192</v>
      </c>
      <c r="G30" s="2">
        <f>F30</f>
        <v>222.01574904822192</v>
      </c>
      <c r="H30" s="147">
        <v>175.99773211518328</v>
      </c>
      <c r="I30" s="127">
        <v>222.01574904822192</v>
      </c>
      <c r="J30" s="130"/>
      <c r="K30" s="167">
        <v>1</v>
      </c>
      <c r="L30" s="2">
        <f t="shared" si="7"/>
        <v>222.01574904822192</v>
      </c>
      <c r="M30" s="31">
        <f t="shared" si="19"/>
        <v>1.261469374519677</v>
      </c>
      <c r="N30" s="17">
        <f t="shared" si="9"/>
        <v>0</v>
      </c>
      <c r="O30" s="151">
        <f t="shared" si="12"/>
        <v>222.01574904822192</v>
      </c>
      <c r="P30" s="131"/>
      <c r="Q30" s="99">
        <f t="shared" si="4"/>
        <v>21.471723318052359</v>
      </c>
      <c r="R30" s="52">
        <f t="shared" si="5"/>
        <v>6.6604724714466572</v>
      </c>
    </row>
    <row r="31" spans="1:18" x14ac:dyDescent="0.25">
      <c r="A31" s="47">
        <f t="shared" si="10"/>
        <v>2042</v>
      </c>
      <c r="B31" s="2">
        <f>B27-(B27-B32)*(A31-A27)/(A32-A27)</f>
        <v>123.13020784830758</v>
      </c>
      <c r="C31" s="2">
        <f t="shared" ref="C31:C34" si="21">B31-AVERAGE($B$30:$B$34)+$B$54</f>
        <v>152.41659224686728</v>
      </c>
      <c r="D31" s="31">
        <f t="shared" si="18"/>
        <v>152.41659224686728</v>
      </c>
      <c r="E31" s="2">
        <f>E27-(E27-E32)*(A31-A27)/(A32-A27)</f>
        <v>203.30469564010383</v>
      </c>
      <c r="F31" s="2">
        <f>E31*E54/(SUM(E30:E34)/5)</f>
        <v>204.67608971509557</v>
      </c>
      <c r="G31" s="2">
        <f t="shared" si="6"/>
        <v>204.67608971509557</v>
      </c>
      <c r="H31" s="147">
        <v>155.2882499549944</v>
      </c>
      <c r="I31" s="127">
        <v>204.67608971509557</v>
      </c>
      <c r="J31" s="130"/>
      <c r="K31" s="167">
        <v>1</v>
      </c>
      <c r="L31" s="2">
        <f>K31*I31</f>
        <v>204.67608971509557</v>
      </c>
      <c r="M31" s="31">
        <f>I31/H31</f>
        <v>1.3180397729668196</v>
      </c>
      <c r="N31" s="17">
        <f>D31*M31*(1-K31)</f>
        <v>0</v>
      </c>
      <c r="O31" s="151">
        <f t="shared" si="12"/>
        <v>204.67608971509557</v>
      </c>
      <c r="P31" s="131"/>
      <c r="Q31" s="99">
        <f t="shared" si="4"/>
        <v>18.945166494509316</v>
      </c>
      <c r="R31" s="52">
        <f t="shared" si="5"/>
        <v>6.1402826914528665</v>
      </c>
    </row>
    <row r="32" spans="1:18" x14ac:dyDescent="0.25">
      <c r="A32" s="47">
        <f t="shared" si="10"/>
        <v>2043</v>
      </c>
      <c r="B32" s="2">
        <f>B54</f>
        <v>96.911436384430317</v>
      </c>
      <c r="C32" s="2">
        <f t="shared" si="21"/>
        <v>126.19782078299002</v>
      </c>
      <c r="D32" s="31">
        <f t="shared" si="18"/>
        <v>126.19782078299002</v>
      </c>
      <c r="E32" s="2">
        <f>E54</f>
        <v>186.08121746963755</v>
      </c>
      <c r="F32" s="2">
        <f>E32*E54/(SUM(E30:E34)/5)</f>
        <v>187.33643038196919</v>
      </c>
      <c r="G32" s="2">
        <f t="shared" si="6"/>
        <v>187.33643038196919</v>
      </c>
      <c r="H32" s="147">
        <v>134.57876779480557</v>
      </c>
      <c r="I32" s="127">
        <v>187.33643038196919</v>
      </c>
      <c r="J32" s="130"/>
      <c r="K32" s="167">
        <v>1</v>
      </c>
      <c r="L32" s="2">
        <f t="shared" si="7"/>
        <v>187.33643038196919</v>
      </c>
      <c r="M32" s="31">
        <f t="shared" si="19"/>
        <v>1.392020698745021</v>
      </c>
      <c r="N32" s="17">
        <f t="shared" si="9"/>
        <v>0</v>
      </c>
      <c r="O32" s="151">
        <f t="shared" si="12"/>
        <v>187.33643038196919</v>
      </c>
      <c r="P32" s="131"/>
      <c r="Q32" s="99">
        <f t="shared" si="4"/>
        <v>16.41860967096628</v>
      </c>
      <c r="R32" s="52">
        <f t="shared" si="5"/>
        <v>5.6200929114590759</v>
      </c>
    </row>
    <row r="33" spans="1:18" x14ac:dyDescent="0.25">
      <c r="A33" s="47">
        <f t="shared" si="10"/>
        <v>2044</v>
      </c>
      <c r="B33" s="2">
        <f>B32-(B32-B35)*(A33-A32)/(A35-A32)</f>
        <v>21.882024256286883</v>
      </c>
      <c r="C33" s="2">
        <f t="shared" si="21"/>
        <v>51.168408654846587</v>
      </c>
      <c r="D33" s="31">
        <f t="shared" si="18"/>
        <v>51.168408654846587</v>
      </c>
      <c r="E33" s="2">
        <f>E32-(E32-E35)*(A33-A32)/(A35-A32)</f>
        <v>166.77973497975836</v>
      </c>
      <c r="F33" s="2">
        <f>E33*E54/(SUM(E30:E34)/5)</f>
        <v>167.9047495282901</v>
      </c>
      <c r="G33" s="2">
        <f t="shared" si="6"/>
        <v>167.9047495282901</v>
      </c>
      <c r="H33" s="147">
        <v>58.139529713994762</v>
      </c>
      <c r="I33" s="127">
        <v>167.9047495282901</v>
      </c>
      <c r="J33" s="130"/>
      <c r="K33" s="167">
        <v>1</v>
      </c>
      <c r="L33" s="2">
        <f t="shared" si="7"/>
        <v>167.9047495282901</v>
      </c>
      <c r="M33" s="31">
        <f t="shared" si="19"/>
        <v>2.8879619486821162</v>
      </c>
      <c r="N33" s="17">
        <f t="shared" si="9"/>
        <v>0</v>
      </c>
      <c r="O33" s="151">
        <f t="shared" si="12"/>
        <v>167.9047495282901</v>
      </c>
      <c r="P33" s="131"/>
      <c r="Q33" s="99">
        <f t="shared" si="4"/>
        <v>7.0930226251073609</v>
      </c>
      <c r="R33" s="52">
        <f t="shared" si="5"/>
        <v>5.0371424858487028</v>
      </c>
    </row>
    <row r="34" spans="1:18" x14ac:dyDescent="0.25">
      <c r="A34" s="47">
        <f t="shared" si="10"/>
        <v>2045</v>
      </c>
      <c r="B34" s="2">
        <f>B32-(B32-B35)*(A34-A32)/(A35-A32)</f>
        <v>-53.147387871856552</v>
      </c>
      <c r="C34" s="2">
        <f t="shared" si="21"/>
        <v>-23.861003473296847</v>
      </c>
      <c r="D34" s="31">
        <f t="shared" si="18"/>
        <v>-23.861003473296847</v>
      </c>
      <c r="E34" s="2">
        <f>E32-(E32-E35)*(A34-A32)/(A35-A32)</f>
        <v>147.47825248987917</v>
      </c>
      <c r="F34" s="2">
        <f>E34*E54/(SUM(E30:E34)/5)</f>
        <v>148.47306867461103</v>
      </c>
      <c r="G34" s="2">
        <f>F34</f>
        <v>148.47306867461103</v>
      </c>
      <c r="H34" s="147">
        <v>-18.299708366816034</v>
      </c>
      <c r="I34" s="127">
        <v>148.47306867461103</v>
      </c>
      <c r="J34" s="130"/>
      <c r="K34" s="167">
        <v>1</v>
      </c>
      <c r="L34" s="2">
        <f t="shared" si="7"/>
        <v>148.47306867461103</v>
      </c>
      <c r="M34" s="31">
        <f t="shared" si="19"/>
        <v>-8.113411738508697</v>
      </c>
      <c r="N34" s="17">
        <f t="shared" si="9"/>
        <v>0</v>
      </c>
      <c r="O34" s="151">
        <f t="shared" si="12"/>
        <v>148.47306867461103</v>
      </c>
      <c r="P34" s="131"/>
      <c r="Q34" s="99">
        <f t="shared" si="4"/>
        <v>-2.2325644207515563</v>
      </c>
      <c r="R34" s="52">
        <f t="shared" si="5"/>
        <v>4.4541920602383307</v>
      </c>
    </row>
    <row r="35" spans="1:18" x14ac:dyDescent="0.25">
      <c r="A35" s="47">
        <f t="shared" si="10"/>
        <v>2046</v>
      </c>
      <c r="B35" s="2">
        <f>B55</f>
        <v>-128.17679999999999</v>
      </c>
      <c r="C35" s="2">
        <f>B35*B55/(SUM(B35:B39)/5)</f>
        <v>-128.17679999999999</v>
      </c>
      <c r="D35" s="31">
        <f t="shared" si="18"/>
        <v>-128.17679999999999</v>
      </c>
      <c r="E35" s="2">
        <f>E55</f>
        <v>128.17676999999998</v>
      </c>
      <c r="F35" s="2">
        <f>E35*E55/(SUM(E35:E39)/5)</f>
        <v>128.17676999999998</v>
      </c>
      <c r="G35" s="2">
        <f t="shared" si="6"/>
        <v>128.17676999999998</v>
      </c>
      <c r="H35" s="147">
        <v>-128.17679999999999</v>
      </c>
      <c r="I35" s="127">
        <v>128.17676999999998</v>
      </c>
      <c r="J35" s="130"/>
      <c r="K35" s="167">
        <v>1</v>
      </c>
      <c r="L35" s="2">
        <f t="shared" si="7"/>
        <v>128.17676999999998</v>
      </c>
      <c r="M35" s="31">
        <f>I35/H35</f>
        <v>-0.99999976594828388</v>
      </c>
      <c r="N35" s="17">
        <f t="shared" si="9"/>
        <v>0</v>
      </c>
      <c r="O35" s="151">
        <f t="shared" si="12"/>
        <v>128.17676999999998</v>
      </c>
      <c r="P35" s="131"/>
      <c r="Q35" s="99">
        <f t="shared" si="4"/>
        <v>-15.637569599999997</v>
      </c>
      <c r="R35" s="52">
        <f t="shared" si="5"/>
        <v>3.8453030999999993</v>
      </c>
    </row>
    <row r="36" spans="1:18" x14ac:dyDescent="0.25">
      <c r="A36" s="47">
        <f t="shared" si="10"/>
        <v>2047</v>
      </c>
      <c r="B36" s="2">
        <f>B35</f>
        <v>-128.17679999999999</v>
      </c>
      <c r="C36" s="2">
        <f>B36*B55/(SUM(B35:B39)/5)</f>
        <v>-128.17679999999999</v>
      </c>
      <c r="D36" s="2">
        <f t="shared" si="18"/>
        <v>-128.17679999999999</v>
      </c>
      <c r="E36" s="2">
        <f>E35</f>
        <v>128.17676999999998</v>
      </c>
      <c r="F36" s="2">
        <f>E36*E55/(SUM(E35:E39)/5)</f>
        <v>128.17676999999998</v>
      </c>
      <c r="G36" s="2">
        <f t="shared" si="6"/>
        <v>128.17676999999998</v>
      </c>
      <c r="H36" s="147">
        <v>-128.17679999999999</v>
      </c>
      <c r="I36" s="127">
        <v>128.17676999999998</v>
      </c>
      <c r="J36" s="130"/>
      <c r="K36" s="167">
        <v>1</v>
      </c>
      <c r="L36" s="2">
        <f>K36*I36</f>
        <v>128.17676999999998</v>
      </c>
      <c r="M36" s="31">
        <f>I36/H36</f>
        <v>-0.99999976594828388</v>
      </c>
      <c r="N36" s="17">
        <f>D36*M36*(1-K36)</f>
        <v>0</v>
      </c>
      <c r="O36" s="151">
        <f t="shared" si="12"/>
        <v>128.17676999999998</v>
      </c>
      <c r="P36" s="131"/>
      <c r="Q36" s="99">
        <f t="shared" si="4"/>
        <v>-15.637569599999997</v>
      </c>
      <c r="R36" s="52">
        <f t="shared" si="5"/>
        <v>3.8453030999999993</v>
      </c>
    </row>
    <row r="37" spans="1:18" x14ac:dyDescent="0.25">
      <c r="A37" s="47">
        <f t="shared" si="10"/>
        <v>2048</v>
      </c>
      <c r="B37" s="2">
        <f t="shared" ref="B37:B39" si="22">B36</f>
        <v>-128.17679999999999</v>
      </c>
      <c r="C37" s="2">
        <f>B37*B55/(SUM(B35:B39)/5)</f>
        <v>-128.17679999999999</v>
      </c>
      <c r="D37" s="2">
        <f t="shared" si="18"/>
        <v>-128.17679999999999</v>
      </c>
      <c r="E37" s="2">
        <f t="shared" ref="E37:E39" si="23">E36</f>
        <v>128.17676999999998</v>
      </c>
      <c r="F37" s="2">
        <f>E37*E55/(SUM(E35:E39)/5)</f>
        <v>128.17676999999998</v>
      </c>
      <c r="G37" s="2">
        <f t="shared" si="6"/>
        <v>128.17676999999998</v>
      </c>
      <c r="H37" s="147">
        <v>-128.17679999999999</v>
      </c>
      <c r="I37" s="127">
        <v>128.17676999999998</v>
      </c>
      <c r="J37" s="130"/>
      <c r="K37" s="167">
        <v>1</v>
      </c>
      <c r="L37" s="2">
        <f t="shared" si="7"/>
        <v>128.17676999999998</v>
      </c>
      <c r="M37" s="2">
        <f t="shared" si="8"/>
        <v>-0.99999976594828388</v>
      </c>
      <c r="N37" s="17">
        <f t="shared" si="9"/>
        <v>0</v>
      </c>
      <c r="O37" s="151">
        <f t="shared" si="12"/>
        <v>128.17676999999998</v>
      </c>
      <c r="P37" s="131"/>
      <c r="Q37" s="99">
        <f t="shared" si="4"/>
        <v>-15.637569599999997</v>
      </c>
      <c r="R37" s="52">
        <f t="shared" si="5"/>
        <v>3.8453030999999993</v>
      </c>
    </row>
    <row r="38" spans="1:18" x14ac:dyDescent="0.25">
      <c r="A38" s="47">
        <f t="shared" si="10"/>
        <v>2049</v>
      </c>
      <c r="B38" s="2">
        <f t="shared" si="22"/>
        <v>-128.17679999999999</v>
      </c>
      <c r="C38" s="2">
        <f>B38*B55/(SUM(B35:B39)/5)</f>
        <v>-128.17679999999999</v>
      </c>
      <c r="D38" s="2">
        <f t="shared" si="18"/>
        <v>-128.17679999999999</v>
      </c>
      <c r="E38" s="2">
        <f t="shared" si="23"/>
        <v>128.17676999999998</v>
      </c>
      <c r="F38" s="2">
        <f>E38*E55/(SUM(E35:E39)/5)</f>
        <v>128.17676999999998</v>
      </c>
      <c r="G38" s="2">
        <f t="shared" si="6"/>
        <v>128.17676999999998</v>
      </c>
      <c r="H38" s="147">
        <v>-128.17679999999999</v>
      </c>
      <c r="I38" s="127">
        <v>128.17676999999998</v>
      </c>
      <c r="J38" s="130"/>
      <c r="K38" s="167">
        <v>1</v>
      </c>
      <c r="L38" s="2">
        <f t="shared" si="7"/>
        <v>128.17676999999998</v>
      </c>
      <c r="M38" s="2">
        <f t="shared" si="8"/>
        <v>-0.99999976594828388</v>
      </c>
      <c r="N38" s="17">
        <f t="shared" si="9"/>
        <v>0</v>
      </c>
      <c r="O38" s="151">
        <f t="shared" si="12"/>
        <v>128.17676999999998</v>
      </c>
      <c r="P38" s="131"/>
      <c r="Q38" s="99">
        <f t="shared" si="4"/>
        <v>-15.637569599999997</v>
      </c>
      <c r="R38" s="52">
        <f t="shared" si="5"/>
        <v>3.8453030999999993</v>
      </c>
    </row>
    <row r="39" spans="1:18" ht="14.25" thickBot="1" x14ac:dyDescent="0.3">
      <c r="A39" s="53">
        <f t="shared" si="10"/>
        <v>2050</v>
      </c>
      <c r="B39" s="4">
        <f t="shared" si="22"/>
        <v>-128.17679999999999</v>
      </c>
      <c r="C39" s="4">
        <f>B39*B55/(SUM(B35:B39)/5)</f>
        <v>-128.17679999999999</v>
      </c>
      <c r="D39" s="4">
        <f t="shared" si="18"/>
        <v>-128.17679999999999</v>
      </c>
      <c r="E39" s="4">
        <f t="shared" si="23"/>
        <v>128.17676999999998</v>
      </c>
      <c r="F39" s="4">
        <f>E39*E55/(SUM(E35:E39)/5)</f>
        <v>128.17676999999998</v>
      </c>
      <c r="G39" s="4">
        <f t="shared" si="6"/>
        <v>128.17676999999998</v>
      </c>
      <c r="H39" s="149">
        <v>-128.17679999999999</v>
      </c>
      <c r="I39" s="128">
        <v>128.17676999999998</v>
      </c>
      <c r="J39" s="130"/>
      <c r="K39" s="169">
        <v>1</v>
      </c>
      <c r="L39" s="4">
        <f>K39*I39</f>
        <v>128.17676999999998</v>
      </c>
      <c r="M39" s="4">
        <f t="shared" si="8"/>
        <v>-0.99999976594828388</v>
      </c>
      <c r="N39" s="58">
        <f t="shared" si="9"/>
        <v>0</v>
      </c>
      <c r="O39" s="153">
        <f>L39+N39</f>
        <v>128.17676999999998</v>
      </c>
      <c r="P39" s="131"/>
      <c r="Q39" s="100">
        <f t="shared" si="4"/>
        <v>-15.637569599999997</v>
      </c>
      <c r="R39" s="60">
        <f t="shared" si="5"/>
        <v>3.8453030999999993</v>
      </c>
    </row>
    <row r="40" spans="1:18" ht="6" customHeight="1" thickBot="1" x14ac:dyDescent="0.3">
      <c r="A40" s="133"/>
      <c r="B40" s="134"/>
      <c r="C40" s="134"/>
      <c r="D40" s="134"/>
      <c r="E40" s="134"/>
      <c r="F40" s="134"/>
      <c r="G40" s="134"/>
      <c r="H40" s="134"/>
      <c r="I40" s="134"/>
      <c r="J40" s="8"/>
      <c r="K40" s="134"/>
      <c r="L40" s="134"/>
      <c r="M40" s="134"/>
      <c r="N40" s="134"/>
      <c r="O40" s="134"/>
      <c r="P40" s="131"/>
      <c r="Q40" s="179"/>
      <c r="R40" s="180"/>
    </row>
    <row r="41" spans="1:18" x14ac:dyDescent="0.25">
      <c r="A41" s="135">
        <v>2020</v>
      </c>
      <c r="B41" s="3">
        <f>co2elec_out!B4</f>
        <v>718.75490000000002</v>
      </c>
      <c r="C41" s="3">
        <f>C9</f>
        <v>718.75494315779861</v>
      </c>
      <c r="D41" s="3">
        <f t="shared" ref="D41:H41" si="24">D9</f>
        <v>718.75494315779861</v>
      </c>
      <c r="E41" s="3">
        <f>O41</f>
        <v>633.64486084220198</v>
      </c>
      <c r="F41" s="3">
        <f>F9</f>
        <v>633.64486084220198</v>
      </c>
      <c r="G41" s="3">
        <f>G9</f>
        <v>633.64486084220198</v>
      </c>
      <c r="H41" s="154">
        <f t="shared" si="24"/>
        <v>718.75494315779861</v>
      </c>
      <c r="I41" s="136">
        <f>I9</f>
        <v>633.64486084220198</v>
      </c>
      <c r="J41" s="131"/>
      <c r="K41" s="160">
        <f>L41/I41</f>
        <v>1</v>
      </c>
      <c r="L41" s="3">
        <f>L9</f>
        <v>633.64486084220198</v>
      </c>
      <c r="M41" s="3">
        <f>I41/H41</f>
        <v>0.88158678680988045</v>
      </c>
      <c r="N41" s="157">
        <f>M41*D41*(1-K41)</f>
        <v>0</v>
      </c>
      <c r="O41" s="155">
        <f>L41+N41</f>
        <v>633.64486084220198</v>
      </c>
      <c r="P41" s="131"/>
      <c r="Q41" s="137">
        <f t="shared" ref="Q41" si="25">Q9</f>
        <v>87.688103065251426</v>
      </c>
      <c r="R41" s="136">
        <f>R9</f>
        <v>19.00934582526606</v>
      </c>
    </row>
    <row r="42" spans="1:18" x14ac:dyDescent="0.25">
      <c r="A42" s="47">
        <v>2021</v>
      </c>
      <c r="B42" s="2">
        <f>co2elec_out!B5</f>
        <v>653.98289999999997</v>
      </c>
      <c r="C42" s="2">
        <f t="shared" ref="C42:D42" si="26">C10</f>
        <v>653.98292997142676</v>
      </c>
      <c r="D42" s="2">
        <f t="shared" si="26"/>
        <v>653.98292997142676</v>
      </c>
      <c r="E42" s="2">
        <f t="shared" ref="E42:E55" si="27">O42</f>
        <v>636.25556802857386</v>
      </c>
      <c r="F42" s="2">
        <f t="shared" ref="F42:I42" si="28">F10</f>
        <v>636.25556802857386</v>
      </c>
      <c r="G42" s="2">
        <f t="shared" si="28"/>
        <v>636.25556802857386</v>
      </c>
      <c r="H42" s="12">
        <f t="shared" si="28"/>
        <v>653.98292997142676</v>
      </c>
      <c r="I42" s="52">
        <f t="shared" si="28"/>
        <v>636.25556802857386</v>
      </c>
      <c r="J42" s="131"/>
      <c r="K42" s="161">
        <f>L42/I42</f>
        <v>1</v>
      </c>
      <c r="L42" s="2">
        <f>L10</f>
        <v>636.25556802857386</v>
      </c>
      <c r="M42" s="2">
        <f t="shared" ref="M42:M43" si="29">I42/H42</f>
        <v>0.97289323447077214</v>
      </c>
      <c r="N42" s="17">
        <f>M42*D42*(1-K42)</f>
        <v>0</v>
      </c>
      <c r="O42" s="151">
        <f t="shared" ref="O42:O50" si="30">L42+N42</f>
        <v>636.25556802857386</v>
      </c>
      <c r="P42" s="131"/>
      <c r="Q42" s="99">
        <f t="shared" ref="Q42:R42" si="31">Q10</f>
        <v>79.785917456514056</v>
      </c>
      <c r="R42" s="52">
        <f t="shared" si="31"/>
        <v>19.087667040857216</v>
      </c>
    </row>
    <row r="43" spans="1:18" x14ac:dyDescent="0.25">
      <c r="A43" s="47">
        <v>2022</v>
      </c>
      <c r="B43" s="2">
        <f>co2elec_out!B6</f>
        <v>606.61810000000003</v>
      </c>
      <c r="C43" s="2">
        <f t="shared" ref="C43:D43" si="32">C11</f>
        <v>606.61810000000003</v>
      </c>
      <c r="D43" s="2">
        <f t="shared" si="32"/>
        <v>606.61810000000003</v>
      </c>
      <c r="E43" s="2">
        <f t="shared" si="27"/>
        <v>638.89520103710288</v>
      </c>
      <c r="F43" s="2">
        <f t="shared" ref="F43:I43" si="33">F11</f>
        <v>638.89520103710288</v>
      </c>
      <c r="G43" s="2">
        <f t="shared" si="33"/>
        <v>638.89520103710288</v>
      </c>
      <c r="H43" s="12">
        <f t="shared" si="33"/>
        <v>656.61808899717983</v>
      </c>
      <c r="I43" s="52">
        <f t="shared" si="33"/>
        <v>638.89520103710288</v>
      </c>
      <c r="J43" s="131"/>
      <c r="K43" s="161">
        <f>L43/I43</f>
        <v>1</v>
      </c>
      <c r="L43" s="2">
        <f>L11</f>
        <v>638.89520103710288</v>
      </c>
      <c r="M43" s="2">
        <f t="shared" si="29"/>
        <v>0.97300883381518743</v>
      </c>
      <c r="N43" s="17">
        <f t="shared" ref="N43:N55" si="34">M43*D43*(1-K43)</f>
        <v>0</v>
      </c>
      <c r="O43" s="151">
        <f>L43+N43</f>
        <v>638.89520103710288</v>
      </c>
      <c r="P43" s="131"/>
      <c r="Q43" s="99">
        <f t="shared" ref="Q43:R43" si="35">Q11</f>
        <v>80.107406857655931</v>
      </c>
      <c r="R43" s="52">
        <f t="shared" si="35"/>
        <v>19.166856031113085</v>
      </c>
    </row>
    <row r="44" spans="1:18" x14ac:dyDescent="0.25">
      <c r="A44" s="47">
        <v>2023</v>
      </c>
      <c r="B44" s="2">
        <f>co2elec_out!B7</f>
        <v>570.49530000000004</v>
      </c>
      <c r="C44" s="2">
        <f t="shared" ref="C44" si="36">C12</f>
        <v>570.49530000000004</v>
      </c>
      <c r="D44" s="2">
        <f>D12</f>
        <v>570.49530000000004</v>
      </c>
      <c r="E44" s="2">
        <f t="shared" si="27"/>
        <v>681.13882802130547</v>
      </c>
      <c r="F44" s="2">
        <f t="shared" ref="F44:I44" si="37">F12</f>
        <v>681.13882802130547</v>
      </c>
      <c r="G44" s="2">
        <f t="shared" si="37"/>
        <v>681.13882802130547</v>
      </c>
      <c r="H44" s="12">
        <f t="shared" si="37"/>
        <v>620.495271831286</v>
      </c>
      <c r="I44" s="52">
        <f t="shared" si="37"/>
        <v>681.13882802130547</v>
      </c>
      <c r="J44" s="131"/>
      <c r="K44" s="161">
        <f t="shared" ref="K44:K51" si="38">L44/I44</f>
        <v>1</v>
      </c>
      <c r="L44" s="2">
        <f t="shared" ref="L44" si="39">L12</f>
        <v>681.13882802130547</v>
      </c>
      <c r="M44" s="2">
        <f t="shared" ref="M44:M55" si="40">I44/H44</f>
        <v>1.0977341148967024</v>
      </c>
      <c r="N44" s="17">
        <f t="shared" si="34"/>
        <v>0</v>
      </c>
      <c r="O44" s="151">
        <f>L44+N44</f>
        <v>681.13882802130547</v>
      </c>
      <c r="P44" s="131"/>
      <c r="Q44" s="99">
        <f t="shared" ref="Q44:R44" si="41">Q12</f>
        <v>75.700423163416886</v>
      </c>
      <c r="R44" s="52">
        <f t="shared" si="41"/>
        <v>20.434164840639163</v>
      </c>
    </row>
    <row r="45" spans="1:18" x14ac:dyDescent="0.25">
      <c r="A45" s="47">
        <v>2024</v>
      </c>
      <c r="B45" s="2">
        <f>co2elec_out!B8</f>
        <v>538.36609999999996</v>
      </c>
      <c r="C45" s="2">
        <f t="shared" ref="C45:D45" si="42">C13</f>
        <v>538.36609999999996</v>
      </c>
      <c r="D45" s="2">
        <f t="shared" si="42"/>
        <v>538.36609999999996</v>
      </c>
      <c r="E45" s="2">
        <f t="shared" si="27"/>
        <v>679.40422322437075</v>
      </c>
      <c r="F45" s="2">
        <f>F13</f>
        <v>679.40422322437075</v>
      </c>
      <c r="G45" s="2">
        <f t="shared" ref="G45:I45" si="43">G13</f>
        <v>679.40422322437075</v>
      </c>
      <c r="H45" s="12">
        <f t="shared" si="43"/>
        <v>588.36607537237887</v>
      </c>
      <c r="I45" s="52">
        <f t="shared" si="43"/>
        <v>679.40422322437075</v>
      </c>
      <c r="J45" s="131"/>
      <c r="K45" s="161">
        <f t="shared" si="38"/>
        <v>1</v>
      </c>
      <c r="L45" s="2">
        <f>L13</f>
        <v>679.40422322437075</v>
      </c>
      <c r="M45" s="2">
        <f t="shared" si="40"/>
        <v>1.1547304504162201</v>
      </c>
      <c r="N45" s="17">
        <f t="shared" si="34"/>
        <v>0</v>
      </c>
      <c r="O45" s="151">
        <f>L45+N45</f>
        <v>679.40422322437075</v>
      </c>
      <c r="P45" s="131"/>
      <c r="Q45" s="99">
        <f t="shared" ref="Q45:R45" si="44">Q13</f>
        <v>71.780661195430227</v>
      </c>
      <c r="R45" s="52">
        <f t="shared" si="44"/>
        <v>20.38212669673112</v>
      </c>
    </row>
    <row r="46" spans="1:18" x14ac:dyDescent="0.25">
      <c r="A46" s="47">
        <v>2025</v>
      </c>
      <c r="B46" s="2">
        <f>co2elec_out!B9</f>
        <v>508.14319999999998</v>
      </c>
      <c r="C46" s="2">
        <f t="shared" ref="C46:D46" si="45">C14</f>
        <v>508.14319999999998</v>
      </c>
      <c r="D46" s="2">
        <f t="shared" si="45"/>
        <v>508.14319999999998</v>
      </c>
      <c r="E46" s="2">
        <f t="shared" si="27"/>
        <v>715.98328245397579</v>
      </c>
      <c r="F46" s="2">
        <f t="shared" ref="F46:I46" si="46">F14</f>
        <v>715.98328245397579</v>
      </c>
      <c r="G46" s="2">
        <f>G14</f>
        <v>715.98328245397579</v>
      </c>
      <c r="H46" s="12">
        <f t="shared" si="46"/>
        <v>558.14321723007959</v>
      </c>
      <c r="I46" s="52">
        <f t="shared" si="46"/>
        <v>715.98328245397579</v>
      </c>
      <c r="J46" s="131"/>
      <c r="K46" s="161">
        <f t="shared" si="38"/>
        <v>1</v>
      </c>
      <c r="L46" s="2">
        <f>L14</f>
        <v>715.98328245397579</v>
      </c>
      <c r="M46" s="2">
        <f t="shared" si="40"/>
        <v>1.28279491777615</v>
      </c>
      <c r="N46" s="17">
        <f t="shared" si="34"/>
        <v>0</v>
      </c>
      <c r="O46" s="151">
        <f t="shared" si="30"/>
        <v>715.98328245397579</v>
      </c>
      <c r="P46" s="131"/>
      <c r="Q46" s="99">
        <f t="shared" ref="Q46:R46" si="47">Q14</f>
        <v>68.093472502069702</v>
      </c>
      <c r="R46" s="52">
        <f t="shared" si="47"/>
        <v>21.479498473619273</v>
      </c>
    </row>
    <row r="47" spans="1:18" x14ac:dyDescent="0.25">
      <c r="A47" s="47">
        <v>2026</v>
      </c>
      <c r="B47" s="2">
        <f>co2elec_out!B10</f>
        <v>523.2808</v>
      </c>
      <c r="C47" s="2">
        <f t="shared" ref="C47:D47" si="48">C15</f>
        <v>523.2808</v>
      </c>
      <c r="D47" s="2">
        <f t="shared" si="48"/>
        <v>523.2808</v>
      </c>
      <c r="E47" s="2">
        <f t="shared" si="27"/>
        <v>738.35712226081262</v>
      </c>
      <c r="F47" s="2">
        <f t="shared" ref="F47:I47" si="49">F15</f>
        <v>738.35712226081262</v>
      </c>
      <c r="G47" s="2">
        <f t="shared" si="49"/>
        <v>738.35712226081262</v>
      </c>
      <c r="H47" s="12">
        <f>H15</f>
        <v>573.28077039888399</v>
      </c>
      <c r="I47" s="52">
        <f t="shared" si="49"/>
        <v>738.35712226081262</v>
      </c>
      <c r="J47" s="131"/>
      <c r="K47" s="161">
        <f t="shared" si="38"/>
        <v>1</v>
      </c>
      <c r="L47" s="2">
        <f>L15</f>
        <v>738.35712226081262</v>
      </c>
      <c r="M47" s="2">
        <f t="shared" si="40"/>
        <v>1.287950268673882</v>
      </c>
      <c r="N47" s="17">
        <f t="shared" si="34"/>
        <v>0</v>
      </c>
      <c r="O47" s="151">
        <f t="shared" si="30"/>
        <v>738.35712226081262</v>
      </c>
      <c r="P47" s="131"/>
      <c r="Q47" s="99">
        <f t="shared" ref="Q47:R47" si="50">Q15</f>
        <v>69.940253988663841</v>
      </c>
      <c r="R47" s="52">
        <f t="shared" si="50"/>
        <v>22.150713667824377</v>
      </c>
    </row>
    <row r="48" spans="1:18" x14ac:dyDescent="0.25">
      <c r="A48" s="47">
        <v>2027</v>
      </c>
      <c r="B48" s="2">
        <f>co2elec_out!B11</f>
        <v>531.60900000000004</v>
      </c>
      <c r="C48" s="2">
        <f t="shared" ref="C48:D48" si="51">C16</f>
        <v>531.60900000000004</v>
      </c>
      <c r="D48" s="2">
        <f t="shared" si="51"/>
        <v>531.60900000000004</v>
      </c>
      <c r="E48" s="2">
        <f t="shared" si="27"/>
        <v>763.07396339253114</v>
      </c>
      <c r="F48" s="2">
        <f>F16</f>
        <v>763.07396339253114</v>
      </c>
      <c r="G48" s="2">
        <f t="shared" ref="G48:H48" si="52">G16</f>
        <v>763.07396339253114</v>
      </c>
      <c r="H48" s="12">
        <f t="shared" si="52"/>
        <v>581.6089693512796</v>
      </c>
      <c r="I48" s="52">
        <f>I16</f>
        <v>763.07396339253114</v>
      </c>
      <c r="J48" s="131"/>
      <c r="K48" s="161">
        <f t="shared" si="38"/>
        <v>1</v>
      </c>
      <c r="L48" s="2">
        <f>L16</f>
        <v>763.07396339253114</v>
      </c>
      <c r="M48" s="2">
        <f t="shared" si="40"/>
        <v>1.312005150545831</v>
      </c>
      <c r="N48" s="17">
        <f t="shared" si="34"/>
        <v>0</v>
      </c>
      <c r="O48" s="151">
        <f t="shared" si="30"/>
        <v>763.07396339253114</v>
      </c>
      <c r="P48" s="131"/>
      <c r="Q48" s="99">
        <f t="shared" ref="Q48:R48" si="53">Q16</f>
        <v>70.956294260856112</v>
      </c>
      <c r="R48" s="52">
        <f t="shared" si="53"/>
        <v>22.892218901775934</v>
      </c>
    </row>
    <row r="49" spans="1:22" x14ac:dyDescent="0.25">
      <c r="A49" s="47">
        <v>2028</v>
      </c>
      <c r="B49" s="2">
        <f>co2elec_out!B12</f>
        <v>559.13139999999999</v>
      </c>
      <c r="C49" s="2">
        <f t="shared" ref="C49:D49" si="54">C17</f>
        <v>559.13139999999999</v>
      </c>
      <c r="D49" s="2">
        <f t="shared" si="54"/>
        <v>559.13139999999999</v>
      </c>
      <c r="E49" s="2">
        <f t="shared" si="27"/>
        <v>719.39422707677124</v>
      </c>
      <c r="F49" s="2">
        <f t="shared" ref="F49:I49" si="55">F17</f>
        <v>719.39422707677124</v>
      </c>
      <c r="G49" s="2">
        <f t="shared" si="55"/>
        <v>719.39422707677124</v>
      </c>
      <c r="H49" s="12">
        <f t="shared" si="55"/>
        <v>609.13137071225765</v>
      </c>
      <c r="I49" s="52">
        <f t="shared" si="55"/>
        <v>719.39422707677124</v>
      </c>
      <c r="J49" s="131"/>
      <c r="K49" s="161">
        <f>L49/I49</f>
        <v>1</v>
      </c>
      <c r="L49" s="2">
        <f t="shared" ref="L49" si="56">L17</f>
        <v>719.39422707677124</v>
      </c>
      <c r="M49" s="2">
        <f t="shared" si="40"/>
        <v>1.1810165453071038</v>
      </c>
      <c r="N49" s="17">
        <f t="shared" si="34"/>
        <v>0</v>
      </c>
      <c r="O49" s="151">
        <f>L49+N49</f>
        <v>719.39422707677124</v>
      </c>
      <c r="P49" s="131"/>
      <c r="Q49" s="99">
        <f t="shared" ref="Q49:R49" si="57">Q17</f>
        <v>74.314027226895433</v>
      </c>
      <c r="R49" s="52">
        <f t="shared" si="57"/>
        <v>21.581826812303138</v>
      </c>
    </row>
    <row r="50" spans="1:22" x14ac:dyDescent="0.25">
      <c r="A50" s="47">
        <v>2029</v>
      </c>
      <c r="B50" s="2">
        <f>co2elec_out!B13</f>
        <v>575.6576</v>
      </c>
      <c r="C50" s="2">
        <f t="shared" ref="C50:D50" si="58">C18</f>
        <v>575.6576</v>
      </c>
      <c r="D50" s="2">
        <f t="shared" si="58"/>
        <v>575.6576</v>
      </c>
      <c r="E50" s="2">
        <f t="shared" si="27"/>
        <v>675.27787965185621</v>
      </c>
      <c r="F50" s="2">
        <f>F18</f>
        <v>675.27787965185621</v>
      </c>
      <c r="G50" s="2">
        <f t="shared" ref="G50:I50" si="59">G18</f>
        <v>675.27787965185621</v>
      </c>
      <c r="H50" s="12">
        <f t="shared" si="59"/>
        <v>625.65764150935468</v>
      </c>
      <c r="I50" s="52">
        <f t="shared" si="59"/>
        <v>675.27787965185621</v>
      </c>
      <c r="J50" s="131"/>
      <c r="K50" s="161">
        <f t="shared" si="38"/>
        <v>1</v>
      </c>
      <c r="L50" s="2">
        <f t="shared" ref="L50" si="60">L18</f>
        <v>675.27787965185621</v>
      </c>
      <c r="M50" s="2">
        <f t="shared" si="40"/>
        <v>1.0793089300768328</v>
      </c>
      <c r="N50" s="17">
        <f t="shared" si="34"/>
        <v>0</v>
      </c>
      <c r="O50" s="151">
        <f t="shared" si="30"/>
        <v>675.27787965185621</v>
      </c>
      <c r="P50" s="131"/>
      <c r="Q50" s="99">
        <f t="shared" ref="Q50:R50" si="61">Q18</f>
        <v>76.330232264141273</v>
      </c>
      <c r="R50" s="52">
        <f t="shared" si="61"/>
        <v>20.258336389555687</v>
      </c>
    </row>
    <row r="51" spans="1:22" x14ac:dyDescent="0.25">
      <c r="A51" s="47">
        <v>2030</v>
      </c>
      <c r="B51" s="2">
        <f>co2elec_out!B14</f>
        <v>581.3768</v>
      </c>
      <c r="C51" s="2">
        <f t="shared" ref="C51:D51" si="62">C19</f>
        <v>581.3768</v>
      </c>
      <c r="D51" s="2">
        <f t="shared" si="62"/>
        <v>581.3768</v>
      </c>
      <c r="E51" s="2">
        <f t="shared" si="27"/>
        <v>631.16153222694038</v>
      </c>
      <c r="F51" s="2">
        <f t="shared" ref="F51:I51" si="63">F19</f>
        <v>631.16153222694038</v>
      </c>
      <c r="G51" s="2">
        <f t="shared" si="63"/>
        <v>631.16153222694038</v>
      </c>
      <c r="H51" s="12">
        <f>H19</f>
        <v>631.37680215055411</v>
      </c>
      <c r="I51" s="52">
        <f t="shared" si="63"/>
        <v>631.16153222694038</v>
      </c>
      <c r="J51" s="131"/>
      <c r="K51" s="161">
        <f t="shared" si="38"/>
        <v>1</v>
      </c>
      <c r="L51" s="2">
        <f t="shared" ref="L51" si="64">L19</f>
        <v>631.16153222694038</v>
      </c>
      <c r="M51" s="2">
        <f t="shared" si="40"/>
        <v>0.99965904682769391</v>
      </c>
      <c r="N51" s="17">
        <f t="shared" si="34"/>
        <v>0</v>
      </c>
      <c r="O51" s="151">
        <f>L51+N51</f>
        <v>631.16153222694038</v>
      </c>
      <c r="P51" s="131"/>
      <c r="Q51" s="99">
        <f t="shared" ref="Q51:R51" si="65">Q19</f>
        <v>77.027969862367598</v>
      </c>
      <c r="R51" s="52">
        <f t="shared" si="65"/>
        <v>18.934845966808211</v>
      </c>
    </row>
    <row r="52" spans="1:22" x14ac:dyDescent="0.25">
      <c r="A52" s="47">
        <f t="shared" ref="A52:A55" si="66">A51+5</f>
        <v>2035</v>
      </c>
      <c r="B52" s="2">
        <f>co2elec_out!B15</f>
        <v>389.284729911753</v>
      </c>
      <c r="C52" s="2">
        <f>AVERAGE(C20:C24)</f>
        <v>389.28472991175306</v>
      </c>
      <c r="D52" s="2">
        <f t="shared" ref="D52" si="67">AVERAGE(D20:D24)</f>
        <v>389.28472991175306</v>
      </c>
      <c r="E52" s="2">
        <f t="shared" si="27"/>
        <v>507.57438942193659</v>
      </c>
      <c r="F52" s="2">
        <f>AVERAGE(F20:F24)</f>
        <v>507.57438942193664</v>
      </c>
      <c r="G52" s="2">
        <f>AVERAGE(G20:G24)</f>
        <v>507.57438942193664</v>
      </c>
      <c r="H52" s="12">
        <f>AVERAGE(H20:H24)</f>
        <v>395.18399567007822</v>
      </c>
      <c r="I52" s="52">
        <f>AVERAGE(I20:I24)</f>
        <v>507.57438942193659</v>
      </c>
      <c r="J52" s="131"/>
      <c r="K52" s="161">
        <f t="shared" ref="K52:K55" si="68">L52/I52</f>
        <v>1</v>
      </c>
      <c r="L52" s="2">
        <f>AVERAGE(L20:L24)</f>
        <v>507.57438942193659</v>
      </c>
      <c r="M52" s="2">
        <f t="shared" si="40"/>
        <v>1.284400165450243</v>
      </c>
      <c r="N52" s="17">
        <f t="shared" si="34"/>
        <v>0</v>
      </c>
      <c r="O52" s="151">
        <f>L52+N52</f>
        <v>507.57438942193659</v>
      </c>
      <c r="P52" s="131"/>
      <c r="Q52" s="99">
        <f t="shared" ref="Q52" si="69">AVERAGE(Q20:Q24)</f>
        <v>48.212447471749542</v>
      </c>
      <c r="R52" s="52">
        <f>AVERAGE(R20:R24)</f>
        <v>15.227231682658095</v>
      </c>
    </row>
    <row r="53" spans="1:22" x14ac:dyDescent="0.25">
      <c r="A53" s="47">
        <f t="shared" si="66"/>
        <v>2040</v>
      </c>
      <c r="B53" s="2">
        <f>co2elec_out!B16</f>
        <v>228.00529370381662</v>
      </c>
      <c r="C53" s="2">
        <f>AVERAGE(C25:C29)</f>
        <v>228.00529370381665</v>
      </c>
      <c r="D53" s="2">
        <f t="shared" ref="D53" si="70">AVERAGE(D25:D29)</f>
        <v>228.00529370381665</v>
      </c>
      <c r="E53" s="2">
        <f t="shared" si="27"/>
        <v>272.19860832196889</v>
      </c>
      <c r="F53" s="2">
        <f>AVERAGE(F25:F29)</f>
        <v>272.19860832196889</v>
      </c>
      <c r="G53" s="2">
        <f>AVERAGE(G25:G29)</f>
        <v>272.19860832196889</v>
      </c>
      <c r="H53" s="12">
        <f>AVERAGE(H25:H29)</f>
        <v>204.68832504337666</v>
      </c>
      <c r="I53" s="52">
        <f>AVERAGE(I25:I29)</f>
        <v>272.19860832196889</v>
      </c>
      <c r="J53" s="131"/>
      <c r="K53" s="161">
        <f t="shared" si="68"/>
        <v>1</v>
      </c>
      <c r="L53" s="2">
        <f>AVERAGE(L25:L29)</f>
        <v>272.19860832196889</v>
      </c>
      <c r="M53" s="2">
        <f t="shared" si="40"/>
        <v>1.329819901864387</v>
      </c>
      <c r="N53" s="17">
        <f t="shared" si="34"/>
        <v>0</v>
      </c>
      <c r="O53" s="151">
        <f t="shared" ref="O53:O55" si="71">L53+N53</f>
        <v>272.19860832196889</v>
      </c>
      <c r="P53" s="131"/>
      <c r="Q53" s="99">
        <f t="shared" ref="Q53" si="72">AVERAGE(Q25:Q29)</f>
        <v>24.971975655291949</v>
      </c>
      <c r="R53" s="52">
        <f>AVERAGE(R25:R29)</f>
        <v>8.1659582496590666</v>
      </c>
    </row>
    <row r="54" spans="1:22" x14ac:dyDescent="0.25">
      <c r="A54" s="47">
        <f t="shared" si="66"/>
        <v>2045</v>
      </c>
      <c r="B54" s="2">
        <f>co2elec_out!B17</f>
        <v>96.911436384430317</v>
      </c>
      <c r="C54" s="2">
        <f>AVERAGE(C30:C34)</f>
        <v>96.911436384430317</v>
      </c>
      <c r="D54" s="2">
        <f>AVERAGE(D30:D34)</f>
        <v>96.911436384430317</v>
      </c>
      <c r="E54" s="2">
        <f t="shared" si="27"/>
        <v>186.08121746963755</v>
      </c>
      <c r="F54" s="2">
        <f>AVERAGE(F30:F34)</f>
        <v>186.08121746963755</v>
      </c>
      <c r="G54" s="2">
        <f>AVERAGE(G30:G34)</f>
        <v>186.08121746963755</v>
      </c>
      <c r="H54" s="12">
        <f>AVERAGE(H30:H34)</f>
        <v>101.14091424243239</v>
      </c>
      <c r="I54" s="52">
        <f>AVERAGE(I30:I34)</f>
        <v>186.08121746963755</v>
      </c>
      <c r="J54" s="131"/>
      <c r="K54" s="161">
        <f t="shared" si="68"/>
        <v>1</v>
      </c>
      <c r="L54" s="2">
        <f>AVERAGE(L30:L34)</f>
        <v>186.08121746963755</v>
      </c>
      <c r="M54" s="2">
        <f t="shared" si="40"/>
        <v>1.8398213904177814</v>
      </c>
      <c r="N54" s="17">
        <f t="shared" si="34"/>
        <v>0</v>
      </c>
      <c r="O54" s="151">
        <f t="shared" si="71"/>
        <v>186.08121746963755</v>
      </c>
      <c r="P54" s="131"/>
      <c r="Q54" s="99">
        <f t="shared" ref="Q54" si="73">AVERAGE(Q30:Q34)</f>
        <v>12.339191537576751</v>
      </c>
      <c r="R54" s="52">
        <f>AVERAGE(R30:R34)</f>
        <v>5.5824365240891263</v>
      </c>
    </row>
    <row r="55" spans="1:22" ht="14.25" thickBot="1" x14ac:dyDescent="0.3">
      <c r="A55" s="53">
        <f t="shared" si="66"/>
        <v>2050</v>
      </c>
      <c r="B55" s="4">
        <f>co2elec_out!B18</f>
        <v>-128.17679999999999</v>
      </c>
      <c r="C55" s="4">
        <f>AVERAGE(C35:C39)</f>
        <v>-128.17679999999999</v>
      </c>
      <c r="D55" s="4">
        <f t="shared" ref="D55:H55" si="74">AVERAGE(D35:D39)</f>
        <v>-128.17679999999999</v>
      </c>
      <c r="E55" s="4">
        <f t="shared" si="27"/>
        <v>128.17676999999998</v>
      </c>
      <c r="F55" s="4">
        <f>AVERAGE(F35:F39)</f>
        <v>128.17676999999998</v>
      </c>
      <c r="G55" s="4">
        <f>AVERAGE(G35:G39)</f>
        <v>128.17676999999998</v>
      </c>
      <c r="H55" s="59">
        <f t="shared" si="74"/>
        <v>-128.17679999999999</v>
      </c>
      <c r="I55" s="60">
        <f>AVERAGE(I35:I39)</f>
        <v>128.17676999999998</v>
      </c>
      <c r="J55" s="131"/>
      <c r="K55" s="162">
        <f t="shared" si="68"/>
        <v>1</v>
      </c>
      <c r="L55" s="4">
        <f>AVERAGE(L35:L39)</f>
        <v>128.17676999999998</v>
      </c>
      <c r="M55" s="4">
        <f t="shared" si="40"/>
        <v>-0.99999976594828388</v>
      </c>
      <c r="N55" s="58">
        <f t="shared" si="34"/>
        <v>0</v>
      </c>
      <c r="O55" s="153">
        <f t="shared" si="71"/>
        <v>128.17676999999998</v>
      </c>
      <c r="P55" s="131"/>
      <c r="Q55" s="100">
        <f t="shared" ref="Q55" si="75">AVERAGE(Q35:Q39)</f>
        <v>-15.637569599999997</v>
      </c>
      <c r="R55" s="60">
        <f>AVERAGE(R35:R39)</f>
        <v>3.8453030999999998</v>
      </c>
    </row>
    <row r="56" spans="1:22" x14ac:dyDescent="0.25">
      <c r="B56" s="158"/>
      <c r="E56" s="158"/>
    </row>
    <row r="57" spans="1:22" x14ac:dyDescent="0.25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</row>
    <row r="60" spans="1:22" x14ac:dyDescent="0.25">
      <c r="C60" s="163"/>
      <c r="D60" s="163"/>
      <c r="E60" s="163"/>
      <c r="F60" s="163"/>
      <c r="G60" s="163"/>
      <c r="H60" s="163"/>
      <c r="I60" s="163"/>
      <c r="J60" s="163"/>
      <c r="K60" s="163"/>
      <c r="L60" s="163"/>
    </row>
    <row r="61" spans="1:22" x14ac:dyDescent="0.25">
      <c r="C61" s="163"/>
    </row>
    <row r="62" spans="1:22" x14ac:dyDescent="0.25">
      <c r="C62" s="163"/>
    </row>
    <row r="63" spans="1:22" x14ac:dyDescent="0.25">
      <c r="C63" s="163"/>
      <c r="D63" s="163"/>
      <c r="E63" s="163"/>
      <c r="F63" s="163"/>
    </row>
    <row r="64" spans="1:22" x14ac:dyDescent="0.25">
      <c r="C64" s="163"/>
      <c r="D64" s="163"/>
      <c r="E64" s="163"/>
      <c r="F64" s="163"/>
    </row>
    <row r="65" spans="3:6" x14ac:dyDescent="0.25">
      <c r="C65" s="163"/>
      <c r="D65" s="163"/>
      <c r="E65" s="163"/>
      <c r="F65" s="163"/>
    </row>
    <row r="66" spans="3:6" x14ac:dyDescent="0.25">
      <c r="C66" s="163"/>
      <c r="D66" s="163"/>
      <c r="E66" s="163"/>
      <c r="F66" s="163"/>
    </row>
    <row r="67" spans="3:6" x14ac:dyDescent="0.25">
      <c r="D67" s="163"/>
      <c r="E67" s="163"/>
      <c r="F67" s="163"/>
    </row>
    <row r="68" spans="3:6" x14ac:dyDescent="0.25">
      <c r="D68" s="163"/>
      <c r="E68" s="163"/>
      <c r="F68" s="163"/>
    </row>
    <row r="69" spans="3:6" x14ac:dyDescent="0.25">
      <c r="D69" s="163"/>
      <c r="E69" s="163"/>
      <c r="F69" s="16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1"/>
  <sheetViews>
    <sheetView zoomScale="130" zoomScaleNormal="130" workbookViewId="0">
      <pane xSplit="2" ySplit="2" topLeftCell="T6" activePane="bottomRight" state="frozen"/>
      <selection pane="topRight" activeCell="C1" sqref="C1"/>
      <selection pane="bottomLeft" activeCell="A3" sqref="A3"/>
      <selection pane="bottomRight" activeCell="AK34" sqref="AK34"/>
    </sheetView>
  </sheetViews>
  <sheetFormatPr baseColWidth="10" defaultRowHeight="13.5" x14ac:dyDescent="0.25"/>
  <cols>
    <col min="1" max="1" width="11.5" style="8" bestFit="1" customWidth="1"/>
    <col min="2" max="2" width="12" style="8" hidden="1" customWidth="1"/>
    <col min="3" max="9" width="12" style="10"/>
    <col min="10" max="10" width="11.1640625" style="10" bestFit="1" customWidth="1"/>
    <col min="11" max="14" width="12" style="10"/>
    <col min="15" max="15" width="11.83203125" style="10" customWidth="1"/>
    <col min="16" max="33" width="12" style="10"/>
    <col min="34" max="35" width="12.83203125" style="10" customWidth="1"/>
    <col min="36" max="42" width="12" style="10"/>
    <col min="43" max="43" width="12" style="10" customWidth="1"/>
    <col min="44" max="45" width="12" style="10"/>
    <col min="46" max="16384" width="12" style="8"/>
  </cols>
  <sheetData>
    <row r="1" spans="1:48" s="6" customFormat="1" ht="94.5" x14ac:dyDescent="0.25">
      <c r="A1" s="67" t="s">
        <v>0</v>
      </c>
      <c r="B1" s="68" t="s">
        <v>1</v>
      </c>
      <c r="C1" s="69" t="s">
        <v>2</v>
      </c>
      <c r="D1" s="70" t="s">
        <v>3</v>
      </c>
      <c r="E1" s="71" t="s">
        <v>15</v>
      </c>
      <c r="F1" s="69" t="s">
        <v>16</v>
      </c>
      <c r="G1" s="69" t="s">
        <v>89</v>
      </c>
      <c r="H1" s="69" t="s">
        <v>18</v>
      </c>
      <c r="I1" s="69" t="s">
        <v>62</v>
      </c>
      <c r="J1" s="69" t="s">
        <v>103</v>
      </c>
      <c r="K1" s="69" t="s">
        <v>17</v>
      </c>
      <c r="L1" s="69" t="s">
        <v>12</v>
      </c>
      <c r="M1" s="71" t="s">
        <v>6</v>
      </c>
      <c r="N1" s="69" t="s">
        <v>49</v>
      </c>
      <c r="O1" s="69" t="s">
        <v>27</v>
      </c>
      <c r="P1" s="69" t="s">
        <v>26</v>
      </c>
      <c r="Q1" s="69" t="s">
        <v>64</v>
      </c>
      <c r="R1" s="69" t="s">
        <v>63</v>
      </c>
      <c r="S1" s="69" t="s">
        <v>65</v>
      </c>
      <c r="T1" s="69" t="s">
        <v>66</v>
      </c>
      <c r="U1" s="69" t="s">
        <v>10</v>
      </c>
      <c r="V1" s="69" t="s">
        <v>11</v>
      </c>
      <c r="W1" s="69" t="s">
        <v>4</v>
      </c>
      <c r="X1" s="70" t="s">
        <v>5</v>
      </c>
      <c r="Y1" s="71" t="s">
        <v>13</v>
      </c>
      <c r="Z1" s="72" t="s">
        <v>104</v>
      </c>
      <c r="AA1" s="69" t="s">
        <v>22</v>
      </c>
      <c r="AB1" s="106" t="s">
        <v>105</v>
      </c>
      <c r="AC1" s="106" t="str">
        <f>co2elec_annual!K1</f>
        <v>CO2 ind fix share relative</v>
      </c>
      <c r="AD1" s="106" t="str">
        <f>co2elec_annual!M1</f>
        <v>CO2 ind elec share relative</v>
      </c>
      <c r="AE1" s="70" t="s">
        <v>14</v>
      </c>
      <c r="AF1" s="72" t="s">
        <v>7</v>
      </c>
      <c r="AG1" s="69" t="s">
        <v>28</v>
      </c>
      <c r="AH1" s="106" t="s">
        <v>29</v>
      </c>
      <c r="AI1" s="106" t="s">
        <v>92</v>
      </c>
      <c r="AJ1" s="112" t="s">
        <v>67</v>
      </c>
      <c r="AK1" s="72" t="s">
        <v>47</v>
      </c>
      <c r="AL1" s="72" t="s">
        <v>46</v>
      </c>
      <c r="AM1" s="69" t="s">
        <v>9</v>
      </c>
      <c r="AN1" s="69" t="s">
        <v>19</v>
      </c>
      <c r="AO1" s="69" t="s">
        <v>8</v>
      </c>
      <c r="AP1" s="69" t="s">
        <v>20</v>
      </c>
      <c r="AQ1" s="73" t="s">
        <v>21</v>
      </c>
      <c r="AR1" s="43"/>
      <c r="AS1" s="5"/>
    </row>
    <row r="2" spans="1:48" x14ac:dyDescent="0.25">
      <c r="A2" s="45">
        <v>2013</v>
      </c>
      <c r="B2" s="20"/>
      <c r="C2" s="21">
        <f>2084301856/10^6</f>
        <v>2084.301856</v>
      </c>
      <c r="D2" s="22"/>
      <c r="E2" s="23">
        <v>2050.027</v>
      </c>
      <c r="F2" s="24">
        <f t="shared" ref="F2:F8" si="0">H2+K2+G2</f>
        <v>2050.027</v>
      </c>
      <c r="G2" s="27"/>
      <c r="H2" s="25">
        <v>1013.427</v>
      </c>
      <c r="I2" s="77">
        <f t="shared" ref="I2:I4" si="1">H2</f>
        <v>1013.427</v>
      </c>
      <c r="J2" s="25">
        <f>H2/co2elec_annual!I2</f>
        <v>1.4128750278831141</v>
      </c>
      <c r="K2" s="25">
        <v>1036.5999999999999</v>
      </c>
      <c r="L2" s="24">
        <f>E2-H2</f>
        <v>1036.5999999999999</v>
      </c>
      <c r="M2" s="27"/>
      <c r="N2" s="28"/>
      <c r="O2" s="28"/>
      <c r="P2" s="28"/>
      <c r="Q2" s="28"/>
      <c r="R2" s="28"/>
      <c r="S2" s="28"/>
      <c r="T2" s="28"/>
      <c r="U2" s="28"/>
      <c r="V2" s="28"/>
      <c r="W2" s="28"/>
      <c r="X2" s="22"/>
      <c r="Y2" s="77">
        <f>co2elec_annual!D2</f>
        <v>1190.9000000000001</v>
      </c>
      <c r="Z2" s="174"/>
      <c r="AA2" s="24">
        <f>co2elec_annual!G2</f>
        <v>717.28</v>
      </c>
      <c r="AB2" s="175"/>
      <c r="AC2" s="124">
        <f>co2elec_annual!K2</f>
        <v>1</v>
      </c>
      <c r="AD2" s="124">
        <f>co2elec_annual!M2</f>
        <v>0.60230078092199169</v>
      </c>
      <c r="AE2" s="26">
        <f>Y2+AA2</f>
        <v>1908.18</v>
      </c>
      <c r="AF2" s="29"/>
      <c r="AG2" s="28"/>
      <c r="AH2" s="107"/>
      <c r="AI2" s="107"/>
      <c r="AJ2" s="113"/>
      <c r="AK2" s="29"/>
      <c r="AL2" s="29"/>
      <c r="AM2" s="28"/>
      <c r="AN2" s="28"/>
      <c r="AO2" s="28"/>
      <c r="AP2" s="28"/>
      <c r="AQ2" s="46"/>
      <c r="AR2" s="15"/>
    </row>
    <row r="3" spans="1:48" x14ac:dyDescent="0.25">
      <c r="A3" s="47">
        <f>A2+1</f>
        <v>2014</v>
      </c>
      <c r="C3" s="2">
        <f>C2-D3</f>
        <v>2046.0376100000001</v>
      </c>
      <c r="D3" s="14">
        <v>38.264246</v>
      </c>
      <c r="E3" s="16">
        <v>1957.318</v>
      </c>
      <c r="F3" s="2">
        <f>H3+K3+G3</f>
        <v>1557.318</v>
      </c>
      <c r="G3" s="19"/>
      <c r="H3" s="1">
        <v>939.46799999999996</v>
      </c>
      <c r="I3" s="18">
        <f t="shared" si="1"/>
        <v>939.46799999999996</v>
      </c>
      <c r="J3" s="1">
        <f>H3/co2elec_annual!I3</f>
        <v>1.3157262299903365</v>
      </c>
      <c r="K3" s="1">
        <v>617.85</v>
      </c>
      <c r="L3" s="2">
        <f>E3-H3</f>
        <v>1017.85</v>
      </c>
      <c r="M3" s="19"/>
      <c r="U3" s="9">
        <v>400</v>
      </c>
      <c r="X3" s="13"/>
      <c r="Y3" s="18">
        <f>co2elec_annual!D3</f>
        <v>1099.8</v>
      </c>
      <c r="Z3" s="172"/>
      <c r="AA3" s="2">
        <f>co2elec_annual!G3</f>
        <v>714.03</v>
      </c>
      <c r="AB3" s="176"/>
      <c r="AC3" s="92">
        <f>co2elec_annual!K3</f>
        <v>1</v>
      </c>
      <c r="AD3" s="92">
        <f>co2elec_annual!M3</f>
        <v>0.64923622476813969</v>
      </c>
      <c r="AE3" s="17">
        <f>Y3+AA3</f>
        <v>1813.83</v>
      </c>
      <c r="AF3" s="15"/>
      <c r="AG3" s="15"/>
      <c r="AH3" s="108"/>
      <c r="AI3" s="130"/>
      <c r="AJ3" s="114"/>
      <c r="AK3" s="15"/>
      <c r="AL3" s="15"/>
      <c r="AQ3" s="48"/>
      <c r="AR3" s="15"/>
    </row>
    <row r="4" spans="1:48" x14ac:dyDescent="0.25">
      <c r="A4" s="47">
        <f t="shared" ref="A4:A39" si="2">A3+1</f>
        <v>2015</v>
      </c>
      <c r="C4" s="2">
        <f t="shared" ref="C4:C39" si="3">C3-D4</f>
        <v>2007.7733640000001</v>
      </c>
      <c r="D4" s="14">
        <v>38.264246</v>
      </c>
      <c r="E4" s="16">
        <v>1811.9939999999999</v>
      </c>
      <c r="F4" s="2">
        <f t="shared" si="0"/>
        <v>1511.9940000000001</v>
      </c>
      <c r="G4" s="19"/>
      <c r="H4" s="1">
        <v>879.26400000000001</v>
      </c>
      <c r="I4" s="18">
        <f t="shared" si="1"/>
        <v>879.26400000000001</v>
      </c>
      <c r="J4" s="1">
        <f>H4/co2elec_annual!I4</f>
        <v>1.2338296170523273</v>
      </c>
      <c r="K4" s="1">
        <v>632.73</v>
      </c>
      <c r="L4" s="2">
        <f>E4-H4</f>
        <v>932.7299999999999</v>
      </c>
      <c r="M4" s="19"/>
      <c r="U4" s="9">
        <v>700</v>
      </c>
      <c r="X4" s="13"/>
      <c r="Y4" s="18">
        <f>co2elec_annual!D4</f>
        <v>1090.3</v>
      </c>
      <c r="Z4" s="172"/>
      <c r="AA4" s="2">
        <f>co2elec_annual!G4</f>
        <v>712.63</v>
      </c>
      <c r="AB4" s="176"/>
      <c r="AC4" s="92">
        <f>co2elec_annual!K4</f>
        <v>1</v>
      </c>
      <c r="AD4" s="92">
        <f>co2elec_annual!M4</f>
        <v>0.65360909841328074</v>
      </c>
      <c r="AE4" s="17">
        <f>Y4+AA4</f>
        <v>1802.9299999999998</v>
      </c>
      <c r="AF4" s="15"/>
      <c r="AG4" s="15"/>
      <c r="AH4" s="108"/>
      <c r="AI4" s="130"/>
      <c r="AJ4" s="114"/>
      <c r="AK4" s="15"/>
      <c r="AL4" s="15"/>
      <c r="AQ4" s="48"/>
      <c r="AR4" s="15"/>
    </row>
    <row r="5" spans="1:48" x14ac:dyDescent="0.25">
      <c r="A5" s="47">
        <f t="shared" si="2"/>
        <v>2016</v>
      </c>
      <c r="C5" s="2">
        <f t="shared" si="3"/>
        <v>1969.5091180000002</v>
      </c>
      <c r="D5" s="14">
        <v>38.264246</v>
      </c>
      <c r="E5" s="16">
        <v>1754.8610000000001</v>
      </c>
      <c r="F5" s="2">
        <f>H5+K5+G5</f>
        <v>1554.8609999999999</v>
      </c>
      <c r="G5" s="19"/>
      <c r="H5" s="1">
        <v>839.57100000000003</v>
      </c>
      <c r="I5" s="18">
        <f>H5</f>
        <v>839.57100000000003</v>
      </c>
      <c r="J5" s="1">
        <f>H5/co2elec_annual!I5</f>
        <v>1.1904080648820328</v>
      </c>
      <c r="K5" s="1">
        <v>715.29</v>
      </c>
      <c r="L5" s="2">
        <f>E5-H5</f>
        <v>915.29000000000008</v>
      </c>
      <c r="M5" s="18">
        <f t="shared" ref="M5:M14" si="4">SUM(N5:X5)</f>
        <v>9733.4157889999988</v>
      </c>
      <c r="N5" s="9">
        <f t="shared" ref="N5:N9" si="5">1749540826/10^6</f>
        <v>1749.5408259999999</v>
      </c>
      <c r="O5" s="9">
        <f>3600800263/10^6</f>
        <v>3600.8002630000001</v>
      </c>
      <c r="P5" s="9">
        <f>2774262500/10^6</f>
        <v>2774.2624999999998</v>
      </c>
      <c r="U5" s="9">
        <v>900</v>
      </c>
      <c r="W5" s="9">
        <f t="shared" ref="W5:W10" si="6">300000000/10^6</f>
        <v>300</v>
      </c>
      <c r="X5" s="14">
        <f>408812200/10^6</f>
        <v>408.81220000000002</v>
      </c>
      <c r="Y5" s="18">
        <f>co2elec_annual!D5</f>
        <v>1045.2</v>
      </c>
      <c r="Z5" s="172"/>
      <c r="AA5" s="2">
        <f>co2elec_annual!G5</f>
        <v>705.28</v>
      </c>
      <c r="AB5" s="176"/>
      <c r="AC5" s="92">
        <f>co2elec_annual!K5</f>
        <v>1</v>
      </c>
      <c r="AD5" s="92">
        <f>co2elec_annual!M5</f>
        <v>0.67477994642173744</v>
      </c>
      <c r="AE5" s="17">
        <f>Y5+AA5</f>
        <v>1750.48</v>
      </c>
      <c r="AF5" s="12">
        <f>SUM(AG5:AH5)</f>
        <v>7139.5108919999993</v>
      </c>
      <c r="AG5" s="9">
        <f>7139317195/10^6</f>
        <v>7139.3171949999996</v>
      </c>
      <c r="AH5" s="109">
        <f>0.193697</f>
        <v>0.19369700000000001</v>
      </c>
      <c r="AI5" s="92">
        <f>AH5</f>
        <v>0.19369700000000001</v>
      </c>
      <c r="AJ5" s="114"/>
      <c r="AK5" s="12">
        <f t="shared" ref="AK5:AK39" si="7">M5-AF5-AO5</f>
        <v>2593.9048969999994</v>
      </c>
      <c r="AL5" s="15"/>
      <c r="AQ5" s="48"/>
      <c r="AR5" s="15"/>
    </row>
    <row r="6" spans="1:48" x14ac:dyDescent="0.25">
      <c r="A6" s="47">
        <f t="shared" si="2"/>
        <v>2017</v>
      </c>
      <c r="C6" s="2">
        <f t="shared" si="3"/>
        <v>1931.2448720000002</v>
      </c>
      <c r="D6" s="14">
        <v>38.264246</v>
      </c>
      <c r="E6" s="18">
        <f>M6-M5</f>
        <v>1763.6765400000022</v>
      </c>
      <c r="F6" s="2">
        <f t="shared" si="0"/>
        <v>1763.6765400000004</v>
      </c>
      <c r="G6" s="11">
        <f t="shared" ref="G6:G39" si="8">X6-X5+T6-T5</f>
        <v>10.526267999999959</v>
      </c>
      <c r="H6" s="11">
        <f>O6-O5</f>
        <v>801.95477200000005</v>
      </c>
      <c r="I6" s="11">
        <f t="shared" ref="I6:I7" si="9">E6-L6-G6</f>
        <v>801.95477200000198</v>
      </c>
      <c r="J6" s="1">
        <f>H6/co2elec_annual!I6</f>
        <v>1.0507490080094797</v>
      </c>
      <c r="K6" s="11">
        <f>P6-P5-R6</f>
        <v>951.19550000000027</v>
      </c>
      <c r="L6" s="2">
        <f t="shared" ref="L6:L8" si="10">K6+R6-R5+V6-V5</f>
        <v>951.19550000000027</v>
      </c>
      <c r="M6" s="18">
        <f t="shared" si="4"/>
        <v>11497.092329000001</v>
      </c>
      <c r="N6" s="9">
        <f t="shared" si="5"/>
        <v>1749.5408259999999</v>
      </c>
      <c r="O6" s="9">
        <f>4402755035/10^6</f>
        <v>4402.7550350000001</v>
      </c>
      <c r="P6" s="9">
        <f>3725458000/10^6</f>
        <v>3725.4580000000001</v>
      </c>
      <c r="U6" s="9">
        <v>900</v>
      </c>
      <c r="W6" s="9">
        <f t="shared" si="6"/>
        <v>300</v>
      </c>
      <c r="X6" s="14">
        <f>419338468/10^6</f>
        <v>419.33846799999998</v>
      </c>
      <c r="Y6" s="18">
        <f>co2elec_annual!D6</f>
        <v>1039.7</v>
      </c>
      <c r="Z6" s="172"/>
      <c r="AA6" s="2">
        <f>co2elec_annual!G6</f>
        <v>763.22201200000086</v>
      </c>
      <c r="AB6" s="176"/>
      <c r="AC6" s="92">
        <f>co2elec_annual!K6</f>
        <v>1</v>
      </c>
      <c r="AD6" s="92">
        <f>co2elec_annual!M6</f>
        <v>0.73407907280946505</v>
      </c>
      <c r="AE6" s="17">
        <f>AG6-AG5</f>
        <v>1802.9220120000009</v>
      </c>
      <c r="AF6" s="12">
        <f t="shared" ref="AF6:AF9" si="11">SUM(AG6:AH6)</f>
        <v>8942.5177309999999</v>
      </c>
      <c r="AG6" s="9">
        <f>8942239207/10^6</f>
        <v>8942.2392070000005</v>
      </c>
      <c r="AH6" s="109">
        <v>0.27852399999999999</v>
      </c>
      <c r="AI6" s="92">
        <f>AH6-AH5</f>
        <v>8.4826999999999986E-2</v>
      </c>
      <c r="AJ6" s="114"/>
      <c r="AK6" s="12">
        <f t="shared" si="7"/>
        <v>2554.5745980000011</v>
      </c>
      <c r="AL6" s="12">
        <f>AK5-AK6</f>
        <v>39.330298999998377</v>
      </c>
      <c r="AQ6" s="48"/>
      <c r="AR6" s="15"/>
    </row>
    <row r="7" spans="1:48" x14ac:dyDescent="0.25">
      <c r="A7" s="47">
        <f t="shared" si="2"/>
        <v>2018</v>
      </c>
      <c r="C7" s="2">
        <f t="shared" si="3"/>
        <v>1892.9806260000003</v>
      </c>
      <c r="D7" s="14">
        <v>38.264246</v>
      </c>
      <c r="E7" s="18">
        <f t="shared" ref="E7" si="12">M7-M6</f>
        <v>1689.729610999997</v>
      </c>
      <c r="F7" s="2">
        <f t="shared" si="0"/>
        <v>1689.7296109999991</v>
      </c>
      <c r="G7" s="11">
        <f t="shared" si="8"/>
        <v>14.711148000000037</v>
      </c>
      <c r="H7" s="11">
        <f>O7-O6</f>
        <v>759.26846299999943</v>
      </c>
      <c r="I7" s="11">
        <f t="shared" si="9"/>
        <v>759.26846299999738</v>
      </c>
      <c r="J7" s="1">
        <f>H7/co2elec_annual!I7</f>
        <v>1.0608933607877242</v>
      </c>
      <c r="K7" s="11">
        <f t="shared" ref="K7:K8" si="13">P7-P6-R7</f>
        <v>915.74999999999955</v>
      </c>
      <c r="L7" s="2">
        <f t="shared" si="10"/>
        <v>915.74999999999955</v>
      </c>
      <c r="M7" s="18">
        <f t="shared" si="4"/>
        <v>13186.821939999998</v>
      </c>
      <c r="N7" s="9">
        <f t="shared" si="5"/>
        <v>1749.5408259999999</v>
      </c>
      <c r="O7" s="9">
        <f>5162023498/10^6</f>
        <v>5162.0234979999996</v>
      </c>
      <c r="P7" s="9">
        <f>4641208000/10^6</f>
        <v>4641.2079999999996</v>
      </c>
      <c r="U7" s="9">
        <v>900</v>
      </c>
      <c r="W7" s="9">
        <f t="shared" si="6"/>
        <v>300</v>
      </c>
      <c r="X7" s="14">
        <f>434049616/10^6</f>
        <v>434.04961600000001</v>
      </c>
      <c r="Y7" s="18">
        <f>co2elec_annual!D7</f>
        <v>973.67</v>
      </c>
      <c r="Z7" s="172"/>
      <c r="AA7" s="2">
        <f>co2elec_annual!G7</f>
        <v>715.68782599999952</v>
      </c>
      <c r="AB7" s="176"/>
      <c r="AC7" s="92">
        <f>co2elec_annual!K7</f>
        <v>1</v>
      </c>
      <c r="AD7" s="92">
        <f>co2elec_annual!M7</f>
        <v>0.73504146784844926</v>
      </c>
      <c r="AE7" s="17">
        <f>AG7-AG6</f>
        <v>1689.3578259999995</v>
      </c>
      <c r="AF7" s="12">
        <f t="shared" si="11"/>
        <v>10631.912116</v>
      </c>
      <c r="AG7" s="9">
        <f>10631597033/10^6</f>
        <v>10631.597033</v>
      </c>
      <c r="AH7" s="109">
        <f>0.315083</f>
        <v>0.315083</v>
      </c>
      <c r="AI7" s="92">
        <f t="shared" ref="AI7:AI39" si="14">AH7-AH6</f>
        <v>3.6559000000000008E-2</v>
      </c>
      <c r="AJ7" s="114"/>
      <c r="AK7" s="12">
        <f t="shared" si="7"/>
        <v>2554.9098239999985</v>
      </c>
      <c r="AL7" s="12">
        <f>AK6-AK7</f>
        <v>-0.33522599999741942</v>
      </c>
      <c r="AM7" s="2">
        <f>V8+U8</f>
        <v>1297.124722</v>
      </c>
      <c r="AN7" s="2">
        <f t="shared" ref="AN7:AN13" si="15">-MIN(-AM7,+AP7)</f>
        <v>1297.124722</v>
      </c>
      <c r="AQ7" s="48"/>
      <c r="AR7" s="15"/>
    </row>
    <row r="8" spans="1:48" x14ac:dyDescent="0.25">
      <c r="A8" s="47">
        <f t="shared" si="2"/>
        <v>2019</v>
      </c>
      <c r="C8" s="2">
        <f t="shared" si="3"/>
        <v>1854.7163800000003</v>
      </c>
      <c r="D8" s="14">
        <v>38.264246</v>
      </c>
      <c r="E8" s="18">
        <f>M8-M7</f>
        <v>1690.0767320000014</v>
      </c>
      <c r="F8" s="2">
        <f t="shared" si="0"/>
        <v>1292.95201</v>
      </c>
      <c r="G8" s="11">
        <f t="shared" si="8"/>
        <v>16.172199999999975</v>
      </c>
      <c r="H8" s="11">
        <f>O8-O7</f>
        <v>688.23981000000003</v>
      </c>
      <c r="I8" s="11">
        <f t="shared" ref="I8:I9" si="16">E8-L8-G8</f>
        <v>688.2398100000014</v>
      </c>
      <c r="J8" s="1">
        <f>H8/co2elec_annual!I8</f>
        <v>0.95810801568305137</v>
      </c>
      <c r="K8" s="11">
        <f t="shared" si="13"/>
        <v>588.54</v>
      </c>
      <c r="L8" s="2">
        <f t="shared" si="10"/>
        <v>985.66472199999998</v>
      </c>
      <c r="M8" s="18">
        <f t="shared" si="4"/>
        <v>14876.898671999999</v>
      </c>
      <c r="N8" s="9">
        <f t="shared" si="5"/>
        <v>1749.5408259999999</v>
      </c>
      <c r="O8" s="9">
        <f>5850263308/10^6</f>
        <v>5850.2633079999996</v>
      </c>
      <c r="P8" s="9">
        <f>5229748000/10^6</f>
        <v>5229.7479999999996</v>
      </c>
      <c r="U8" s="9">
        <v>900</v>
      </c>
      <c r="V8" s="9">
        <f>397124722/10^6</f>
        <v>397.12472200000002</v>
      </c>
      <c r="W8" s="9">
        <f t="shared" si="6"/>
        <v>300</v>
      </c>
      <c r="X8" s="14">
        <f>450221816/10^6</f>
        <v>450.22181599999999</v>
      </c>
      <c r="Y8" s="18">
        <f>co2elec_annual!D8</f>
        <v>844</v>
      </c>
      <c r="Z8" s="172"/>
      <c r="AA8" s="2">
        <f>co2elec_annual!G8</f>
        <v>718.33216999999968</v>
      </c>
      <c r="AB8" s="176"/>
      <c r="AC8" s="92">
        <f>co2elec_annual!K8</f>
        <v>1</v>
      </c>
      <c r="AD8" s="92">
        <f>co2elec_annual!M8</f>
        <v>0.85110446682464413</v>
      </c>
      <c r="AE8" s="17">
        <f>AG8-AG7</f>
        <v>1562.3321699999997</v>
      </c>
      <c r="AF8" s="12">
        <f t="shared" si="11"/>
        <v>12194.277784</v>
      </c>
      <c r="AG8" s="9">
        <f>12193929203/10^6</f>
        <v>12193.929203</v>
      </c>
      <c r="AH8" s="109">
        <f>0.348581</f>
        <v>0.34858099999999997</v>
      </c>
      <c r="AI8" s="92">
        <f t="shared" si="14"/>
        <v>3.3497999999999972E-2</v>
      </c>
      <c r="AJ8" s="114"/>
      <c r="AK8" s="12">
        <f t="shared" si="7"/>
        <v>1385.4961659999994</v>
      </c>
      <c r="AL8" s="12">
        <f>AK7-AK8</f>
        <v>1169.413657999999</v>
      </c>
      <c r="AM8" s="2">
        <f>V9-V8+Q9</f>
        <v>677.42674699999998</v>
      </c>
      <c r="AN8" s="2">
        <f>-MIN(-AM8,+AP8)</f>
        <v>677.42674699999998</v>
      </c>
      <c r="AO8" s="2">
        <f>U8+V8</f>
        <v>1297.124722</v>
      </c>
      <c r="AQ8" s="48"/>
      <c r="AR8" s="15"/>
    </row>
    <row r="9" spans="1:48" x14ac:dyDescent="0.25">
      <c r="A9" s="47">
        <f t="shared" si="2"/>
        <v>2020</v>
      </c>
      <c r="B9" s="35">
        <v>2020</v>
      </c>
      <c r="C9" s="2">
        <f>C8-D9</f>
        <v>1816.4521340000003</v>
      </c>
      <c r="D9" s="14">
        <v>38.264246</v>
      </c>
      <c r="E9" s="18">
        <f>M9-M8</f>
        <v>2173.1956230000033</v>
      </c>
      <c r="F9" s="2">
        <f>H9+K9+G9</f>
        <v>1545.7688760000005</v>
      </c>
      <c r="G9" s="11">
        <f t="shared" si="8"/>
        <v>28.623086000000001</v>
      </c>
      <c r="H9" s="11">
        <f>O9-O8</f>
        <v>738.64079000000038</v>
      </c>
      <c r="I9" s="11">
        <f t="shared" si="16"/>
        <v>990.44226700000308</v>
      </c>
      <c r="J9" s="1">
        <f>H9/co2elec_annual!I9</f>
        <v>1.1657015398471697</v>
      </c>
      <c r="K9" s="11">
        <f>P9-P8</f>
        <v>778.50500000000011</v>
      </c>
      <c r="L9" s="2">
        <f>K9+V9-V8</f>
        <v>1154.1302700000001</v>
      </c>
      <c r="M9" s="18">
        <f t="shared" si="4"/>
        <v>17050.094295000003</v>
      </c>
      <c r="N9" s="9">
        <f t="shared" si="5"/>
        <v>1749.5408259999999</v>
      </c>
      <c r="O9" s="9">
        <f>6588904098/10^6</f>
        <v>6588.904098</v>
      </c>
      <c r="P9" s="9">
        <f>6008253000/10^6</f>
        <v>6008.2529999999997</v>
      </c>
      <c r="Q9" s="9">
        <v>301.80147699999998</v>
      </c>
      <c r="R9" s="9">
        <v>-50</v>
      </c>
      <c r="U9" s="9">
        <v>900</v>
      </c>
      <c r="V9" s="9">
        <f>772749992/10^6</f>
        <v>772.74999200000002</v>
      </c>
      <c r="W9" s="9">
        <f t="shared" si="6"/>
        <v>300</v>
      </c>
      <c r="X9" s="14">
        <f>478844902/10^6</f>
        <v>478.84490199999999</v>
      </c>
      <c r="Y9" s="18">
        <f>co2elec_annual!D9</f>
        <v>718.75494315779861</v>
      </c>
      <c r="Z9" s="172"/>
      <c r="AA9" s="2">
        <f>co2elec_annual!G9</f>
        <v>633.64486084220198</v>
      </c>
      <c r="AB9" s="176"/>
      <c r="AC9" s="92">
        <f>co2elec_annual!K9</f>
        <v>1</v>
      </c>
      <c r="AD9" s="92">
        <f>co2elec_annual!M9</f>
        <v>0.88158678680988045</v>
      </c>
      <c r="AE9" s="17">
        <f>AG9-AG8</f>
        <v>1352.3998040000006</v>
      </c>
      <c r="AF9" s="12">
        <f t="shared" si="11"/>
        <v>13546.770399999999</v>
      </c>
      <c r="AG9" s="9">
        <f>13546329007/10^6</f>
        <v>13546.329007</v>
      </c>
      <c r="AH9" s="109">
        <f>0.441393</f>
        <v>0.44139299999999998</v>
      </c>
      <c r="AI9" s="92">
        <f t="shared" si="14"/>
        <v>9.2812000000000006E-2</v>
      </c>
      <c r="AJ9" s="114"/>
      <c r="AK9" s="12">
        <f t="shared" si="7"/>
        <v>1578.7724260000032</v>
      </c>
      <c r="AL9" s="12">
        <f>AK8-AK9</f>
        <v>-193.27626000000373</v>
      </c>
      <c r="AM9" s="2">
        <f>IF(AK9&gt;833,AK9*0.24,IF(AK9&lt;400,-200,0))</f>
        <v>378.90538224000073</v>
      </c>
      <c r="AN9" s="2">
        <f>-MIN(-AM9,+AP9)</f>
        <v>378.90538224000073</v>
      </c>
      <c r="AO9" s="2">
        <f>U9+V9+Q9+R9+S9</f>
        <v>1924.551469</v>
      </c>
      <c r="AQ9" s="48"/>
      <c r="AR9" s="15"/>
      <c r="AT9" s="103"/>
      <c r="AU9" s="103"/>
      <c r="AV9" s="165"/>
    </row>
    <row r="10" spans="1:48" x14ac:dyDescent="0.25">
      <c r="A10" s="49">
        <f t="shared" si="2"/>
        <v>2021</v>
      </c>
      <c r="B10" s="83">
        <f>B9+5</f>
        <v>2025</v>
      </c>
      <c r="C10" s="41">
        <v>1571.583007</v>
      </c>
      <c r="D10" s="171"/>
      <c r="E10" s="38">
        <f>M10-M9</f>
        <v>1868.9913360000028</v>
      </c>
      <c r="F10" s="36">
        <f>H10+K10+G10</f>
        <v>1160.8607430000004</v>
      </c>
      <c r="G10" s="39">
        <f>X10-X9+T10-T9</f>
        <v>25.616902000000014</v>
      </c>
      <c r="H10" s="39">
        <f>O10-O9</f>
        <v>552.2913410000001</v>
      </c>
      <c r="I10" s="39">
        <f>E10-L10-G10</f>
        <v>937.29631900000254</v>
      </c>
      <c r="J10" s="178">
        <f>H10/co2elec_annual!I10</f>
        <v>0.86803380394966856</v>
      </c>
      <c r="K10" s="39">
        <f>P10-P9</f>
        <v>582.95250000000033</v>
      </c>
      <c r="L10" s="36">
        <f>K10+V10-V9</f>
        <v>906.07811500000025</v>
      </c>
      <c r="M10" s="38">
        <f>SUM(N10:X10)</f>
        <v>18919.085631000005</v>
      </c>
      <c r="N10" s="41">
        <f>1749540826/10^6</f>
        <v>1749.5408259999999</v>
      </c>
      <c r="O10" s="41">
        <f>7141195439/1000000</f>
        <v>7141.1954390000001</v>
      </c>
      <c r="P10" s="41">
        <f>6591.2055</f>
        <v>6591.2055</v>
      </c>
      <c r="Q10" s="41">
        <v>886.80645500000003</v>
      </c>
      <c r="R10" s="41">
        <v>-50</v>
      </c>
      <c r="S10" s="41">
        <v>-200</v>
      </c>
      <c r="T10" s="41">
        <v>7.2137869999999999</v>
      </c>
      <c r="U10" s="41">
        <v>900</v>
      </c>
      <c r="V10" s="41">
        <f>1095875607/10^6</f>
        <v>1095.8756069999999</v>
      </c>
      <c r="W10" s="41">
        <f t="shared" si="6"/>
        <v>300</v>
      </c>
      <c r="X10" s="37">
        <f>497248017/10^6</f>
        <v>497.248017</v>
      </c>
      <c r="Y10" s="38">
        <f>co2elec_annual!D10</f>
        <v>653.98292997142676</v>
      </c>
      <c r="Z10" s="173"/>
      <c r="AA10" s="36">
        <f>co2elec_annual!G10</f>
        <v>636.25556802857386</v>
      </c>
      <c r="AB10" s="177"/>
      <c r="AC10" s="125">
        <f>co2elec_annual!K10</f>
        <v>1</v>
      </c>
      <c r="AD10" s="125">
        <f>co2elec_annual!M10</f>
        <v>0.97289323447077214</v>
      </c>
      <c r="AE10" s="40">
        <f>AG10-AG9</f>
        <v>1290.2384980000006</v>
      </c>
      <c r="AF10" s="42">
        <f>SUM(AG10:AH10)</f>
        <v>14837.189387</v>
      </c>
      <c r="AG10" s="41">
        <f>14836567505/10^6</f>
        <v>14836.567505000001</v>
      </c>
      <c r="AH10" s="110">
        <f>621882/10^6</f>
        <v>0.62188200000000005</v>
      </c>
      <c r="AI10" s="125">
        <f t="shared" si="14"/>
        <v>0.18048900000000007</v>
      </c>
      <c r="AJ10" s="122"/>
      <c r="AK10" s="42">
        <f t="shared" si="7"/>
        <v>1449.2141820000052</v>
      </c>
      <c r="AL10" s="42">
        <f>AK9-AK10</f>
        <v>129.55824399999801</v>
      </c>
      <c r="AM10" s="36">
        <f>IF(AK10&gt;833,AK10*0.24,IF(AK10&lt;400,-200,0))</f>
        <v>347.81140368000121</v>
      </c>
      <c r="AN10" s="36">
        <f>-MIN(-AM10,+AP10)</f>
        <v>347.81140368000121</v>
      </c>
      <c r="AO10" s="36">
        <f>U10+V10+Q10+R10+S10</f>
        <v>2632.6820619999999</v>
      </c>
      <c r="AP10" s="123"/>
      <c r="AQ10" s="50"/>
      <c r="AR10" s="15"/>
      <c r="AT10" s="103"/>
      <c r="AU10" s="103"/>
      <c r="AV10" s="165"/>
    </row>
    <row r="11" spans="1:48" x14ac:dyDescent="0.25">
      <c r="A11" s="51">
        <f t="shared" si="2"/>
        <v>2022</v>
      </c>
      <c r="B11" s="30">
        <f>B10</f>
        <v>2025</v>
      </c>
      <c r="C11" s="31">
        <f>C10-D11</f>
        <v>1528.5794919999998</v>
      </c>
      <c r="D11" s="32">
        <v>43.003515</v>
      </c>
      <c r="E11" s="33">
        <f>C11</f>
        <v>1528.5794919999998</v>
      </c>
      <c r="F11" s="31">
        <f>H11+K11</f>
        <v>1180.7680883199987</v>
      </c>
      <c r="G11" s="31">
        <f t="shared" si="8"/>
        <v>0</v>
      </c>
      <c r="H11" s="31">
        <f>I11</f>
        <v>575.00568093339257</v>
      </c>
      <c r="I11" s="31">
        <f>co2elec_annual!G11*J11</f>
        <v>575.00568093339257</v>
      </c>
      <c r="J11" s="117">
        <v>0.9</v>
      </c>
      <c r="K11" s="31">
        <f>L11-V11+V10</f>
        <v>605.76240738660613</v>
      </c>
      <c r="L11" s="31">
        <f>E11-H11</f>
        <v>953.57381106660728</v>
      </c>
      <c r="M11" s="33">
        <f t="shared" si="4"/>
        <v>20447.665123000002</v>
      </c>
      <c r="N11" s="31">
        <f>N10</f>
        <v>1749.5408259999999</v>
      </c>
      <c r="O11" s="31">
        <f t="shared" ref="O11:O39" si="17">O10+H11</f>
        <v>7716.2011199333929</v>
      </c>
      <c r="P11" s="31">
        <f t="shared" ref="P11:P39" si="18">P10+K11</f>
        <v>7196.9679073866064</v>
      </c>
      <c r="Q11" s="31">
        <f>Q10</f>
        <v>886.80645500000003</v>
      </c>
      <c r="R11" s="31">
        <f>R10</f>
        <v>-50</v>
      </c>
      <c r="S11" s="31">
        <f t="shared" ref="S11:T11" si="19">S10</f>
        <v>-200</v>
      </c>
      <c r="T11" s="31">
        <f t="shared" si="19"/>
        <v>7.2137869999999999</v>
      </c>
      <c r="U11" s="31">
        <f>U10</f>
        <v>900</v>
      </c>
      <c r="V11" s="31">
        <f>V10+AN10</f>
        <v>1443.6870106800011</v>
      </c>
      <c r="W11" s="31">
        <f>W10</f>
        <v>300</v>
      </c>
      <c r="X11" s="31">
        <f>X10</f>
        <v>497.248017</v>
      </c>
      <c r="Y11" s="33">
        <f>co2elec_annual!D11</f>
        <v>606.61810000000003</v>
      </c>
      <c r="Z11" s="119">
        <f>co2elec_annual!Q11</f>
        <v>80.107406857655931</v>
      </c>
      <c r="AA11" s="31">
        <f>co2elec_annual!G11</f>
        <v>638.89520103710288</v>
      </c>
      <c r="AB11" s="91">
        <f>co2elec_annual!R11</f>
        <v>19.166856031113085</v>
      </c>
      <c r="AC11" s="91">
        <f>co2elec_annual!K11</f>
        <v>1</v>
      </c>
      <c r="AD11" s="91">
        <f>co2elec_annual!M11</f>
        <v>0.97300883381518743</v>
      </c>
      <c r="AE11" s="118">
        <f t="shared" ref="AE11:AE39" si="20">Y11+AA11</f>
        <v>1245.5133010371028</v>
      </c>
      <c r="AF11" s="119">
        <f>SUM(AG11:AH11)+AJ11</f>
        <v>16082.702688037103</v>
      </c>
      <c r="AG11" s="31">
        <f>AG10+AE11</f>
        <v>16082.080806037104</v>
      </c>
      <c r="AH11" s="91">
        <f>AH10</f>
        <v>0.62188200000000005</v>
      </c>
      <c r="AI11" s="91">
        <f t="shared" si="14"/>
        <v>0</v>
      </c>
      <c r="AJ11" s="120"/>
      <c r="AK11" s="119">
        <f t="shared" ref="AK11:AK16" si="21">M11-AF11-AO11</f>
        <v>1384.4689692828983</v>
      </c>
      <c r="AL11" s="119">
        <f t="shared" ref="AL11:AL39" si="22">AK10-AK11</f>
        <v>64.745212717106824</v>
      </c>
      <c r="AM11" s="31">
        <f>IF(AK11&gt;833,AK11*0.24,IF(AK11&lt;400,-200,0))</f>
        <v>332.27255262789561</v>
      </c>
      <c r="AN11" s="31">
        <f t="shared" si="15"/>
        <v>332.27255262789561</v>
      </c>
      <c r="AO11" s="31">
        <f>MAX(0,AP11-AQ11)</f>
        <v>2980.493465680001</v>
      </c>
      <c r="AP11" s="31">
        <f>MAX(0,AO10+AM10)</f>
        <v>2980.493465680001</v>
      </c>
      <c r="AQ11" s="121"/>
      <c r="AR11" s="15"/>
      <c r="AT11" s="103"/>
      <c r="AU11" s="103"/>
      <c r="AV11" s="165"/>
    </row>
    <row r="12" spans="1:48" x14ac:dyDescent="0.25">
      <c r="A12" s="47">
        <f t="shared" si="2"/>
        <v>2023</v>
      </c>
      <c r="B12" s="7">
        <f t="shared" ref="B12:B14" si="23">B11</f>
        <v>2025</v>
      </c>
      <c r="C12" s="2">
        <f t="shared" si="3"/>
        <v>1485.5759769999997</v>
      </c>
      <c r="D12" s="32">
        <v>43.003515</v>
      </c>
      <c r="E12" s="18">
        <f t="shared" ref="E12:E39" si="24">C12</f>
        <v>1485.5759769999997</v>
      </c>
      <c r="F12" s="2">
        <f>H12+K12</f>
        <v>1153.3034243721042</v>
      </c>
      <c r="G12" s="2">
        <f t="shared" si="8"/>
        <v>0</v>
      </c>
      <c r="H12" s="31">
        <f t="shared" ref="H12:H34" si="25">I12</f>
        <v>585.77939209832266</v>
      </c>
      <c r="I12" s="31">
        <f>co2elec_annual!G12*J12</f>
        <v>585.77939209832266</v>
      </c>
      <c r="J12" s="117">
        <f>MAX(0,J11-0.04)</f>
        <v>0.86</v>
      </c>
      <c r="K12" s="31">
        <f>L12-V12+V11</f>
        <v>567.52403227378159</v>
      </c>
      <c r="L12" s="2">
        <f>E12-H12</f>
        <v>899.79658490167708</v>
      </c>
      <c r="M12" s="18">
        <f t="shared" si="4"/>
        <v>21933.241100000007</v>
      </c>
      <c r="N12" s="2">
        <f t="shared" ref="N12:N39" si="26">N11</f>
        <v>1749.5408259999999</v>
      </c>
      <c r="O12" s="2">
        <f t="shared" si="17"/>
        <v>8301.980512031716</v>
      </c>
      <c r="P12" s="2">
        <f t="shared" si="18"/>
        <v>7764.4919396603882</v>
      </c>
      <c r="Q12" s="31">
        <f t="shared" ref="Q12:Q39" si="27">Q11</f>
        <v>886.80645500000003</v>
      </c>
      <c r="R12" s="2">
        <f t="shared" ref="R12:R39" si="28">R11</f>
        <v>-50</v>
      </c>
      <c r="S12" s="2">
        <f t="shared" ref="S12:S39" si="29">S11</f>
        <v>-200</v>
      </c>
      <c r="T12" s="2">
        <f t="shared" ref="T12:T39" si="30">T11</f>
        <v>7.2137869999999999</v>
      </c>
      <c r="U12" s="2">
        <f t="shared" ref="U12:U39" si="31">U11</f>
        <v>900</v>
      </c>
      <c r="V12" s="2">
        <f t="shared" ref="V12:V39" si="32">V11+AN11</f>
        <v>1775.9595633078966</v>
      </c>
      <c r="W12" s="2">
        <f t="shared" ref="W12:W39" si="33">W11</f>
        <v>300</v>
      </c>
      <c r="X12" s="2">
        <f t="shared" ref="X12:X39" si="34">X11</f>
        <v>497.248017</v>
      </c>
      <c r="Y12" s="33">
        <f>co2elec_annual!D12</f>
        <v>570.49530000000004</v>
      </c>
      <c r="Z12" s="119">
        <f>co2elec_annual!Q12</f>
        <v>75.700423163416886</v>
      </c>
      <c r="AA12" s="2">
        <f>co2elec_annual!G12</f>
        <v>681.13882802130547</v>
      </c>
      <c r="AB12" s="91">
        <f>co2elec_annual!R12</f>
        <v>20.434164840639163</v>
      </c>
      <c r="AC12" s="92">
        <f>co2elec_annual!K12</f>
        <v>1</v>
      </c>
      <c r="AD12" s="92">
        <f>co2elec_annual!M12</f>
        <v>1.0977341148967024</v>
      </c>
      <c r="AE12" s="17">
        <f t="shared" si="20"/>
        <v>1251.6341280213055</v>
      </c>
      <c r="AF12" s="119">
        <f t="shared" ref="AF12:AF39" si="35">SUM(AG12:AH12)+AJ12</f>
        <v>20041.340426979696</v>
      </c>
      <c r="AG12" s="2">
        <f t="shared" ref="AG12:AG39" si="36">AG11+AE12</f>
        <v>17333.714934058407</v>
      </c>
      <c r="AH12" s="92">
        <f t="shared" ref="AH12:AH39" si="37">AH11</f>
        <v>0.62188200000000005</v>
      </c>
      <c r="AI12" s="92">
        <f t="shared" si="14"/>
        <v>0</v>
      </c>
      <c r="AJ12" s="115">
        <f t="shared" ref="AJ12:AJ18" si="38">AJ11+AQ12</f>
        <v>2707.0036109212906</v>
      </c>
      <c r="AK12" s="12">
        <f t="shared" si="21"/>
        <v>1286.138265633705</v>
      </c>
      <c r="AL12" s="12">
        <f>AK11-AK12</f>
        <v>98.33070364919331</v>
      </c>
      <c r="AM12" s="2">
        <f>IF(AK12&gt;833,AK12*0.12,IF(AK12&lt;400,-100,0))</f>
        <v>154.33659187604459</v>
      </c>
      <c r="AN12" s="2">
        <f t="shared" si="15"/>
        <v>154.33659187604459</v>
      </c>
      <c r="AO12" s="2">
        <f>MAX(0,AP12-AQ12)</f>
        <v>605.7624073866059</v>
      </c>
      <c r="AP12" s="2">
        <f>MAX(0,AO11+AM11)</f>
        <v>3312.7660183078965</v>
      </c>
      <c r="AQ12" s="52">
        <f t="shared" ref="AQ12:AQ39" si="39">MAX(0,AP12-K11)</f>
        <v>2707.0036109212906</v>
      </c>
      <c r="AR12" s="15"/>
      <c r="AT12" s="103"/>
      <c r="AU12" s="103"/>
      <c r="AV12" s="165"/>
    </row>
    <row r="13" spans="1:48" x14ac:dyDescent="0.25">
      <c r="A13" s="47">
        <f t="shared" si="2"/>
        <v>2024</v>
      </c>
      <c r="B13" s="7">
        <f t="shared" si="23"/>
        <v>2025</v>
      </c>
      <c r="C13" s="2">
        <f t="shared" si="3"/>
        <v>1442.5724619999996</v>
      </c>
      <c r="D13" s="32">
        <v>43.003515</v>
      </c>
      <c r="E13" s="18">
        <f t="shared" si="24"/>
        <v>1442.5724619999996</v>
      </c>
      <c r="F13" s="2">
        <f t="shared" ref="F13:F39" si="40">H13+K13</f>
        <v>1288.235870123955</v>
      </c>
      <c r="G13" s="2">
        <f t="shared" si="8"/>
        <v>0</v>
      </c>
      <c r="H13" s="31">
        <f t="shared" si="25"/>
        <v>557.11146304398403</v>
      </c>
      <c r="I13" s="31">
        <f>co2elec_annual!G13*J13</f>
        <v>557.11146304398403</v>
      </c>
      <c r="J13" s="117">
        <f t="shared" ref="J13:J32" si="41">MAX(0,J12-0.04)</f>
        <v>0.82</v>
      </c>
      <c r="K13" s="31">
        <f t="shared" ref="K13:K39" si="42">L13-V13+V12</f>
        <v>731.12440707997098</v>
      </c>
      <c r="L13" s="2">
        <f t="shared" ref="L13:L39" si="43">E13-H13</f>
        <v>885.4609989560156</v>
      </c>
      <c r="M13" s="18">
        <f t="shared" si="4"/>
        <v>23375.813562000003</v>
      </c>
      <c r="N13" s="2">
        <f t="shared" si="26"/>
        <v>1749.5408259999999</v>
      </c>
      <c r="O13" s="2">
        <f t="shared" si="17"/>
        <v>8859.0919750757002</v>
      </c>
      <c r="P13" s="2">
        <f t="shared" si="18"/>
        <v>8495.6163467403585</v>
      </c>
      <c r="Q13" s="31">
        <f t="shared" si="27"/>
        <v>886.80645500000003</v>
      </c>
      <c r="R13" s="2">
        <f t="shared" si="28"/>
        <v>-50</v>
      </c>
      <c r="S13" s="2">
        <f t="shared" si="29"/>
        <v>-200</v>
      </c>
      <c r="T13" s="2">
        <f t="shared" si="30"/>
        <v>7.2137869999999999</v>
      </c>
      <c r="U13" s="2">
        <f t="shared" si="31"/>
        <v>900</v>
      </c>
      <c r="V13" s="2">
        <f t="shared" si="32"/>
        <v>1930.2961551839412</v>
      </c>
      <c r="W13" s="2">
        <f t="shared" si="33"/>
        <v>300</v>
      </c>
      <c r="X13" s="2">
        <f t="shared" si="34"/>
        <v>497.248017</v>
      </c>
      <c r="Y13" s="33">
        <f>co2elec_annual!D13</f>
        <v>538.36609999999996</v>
      </c>
      <c r="Z13" s="119">
        <f>co2elec_annual!Q13</f>
        <v>71.780661195430227</v>
      </c>
      <c r="AA13" s="2">
        <f>co2elec_annual!G13</f>
        <v>679.40422322437075</v>
      </c>
      <c r="AB13" s="91">
        <f>co2elec_annual!R13</f>
        <v>20.38212669673112</v>
      </c>
      <c r="AC13" s="92">
        <f>co2elec_annual!K13</f>
        <v>1</v>
      </c>
      <c r="AD13" s="92">
        <f>co2elec_annual!M13</f>
        <v>1.1547304504162201</v>
      </c>
      <c r="AE13" s="17">
        <f t="shared" si="20"/>
        <v>1217.7703232243707</v>
      </c>
      <c r="AF13" s="119">
        <f t="shared" si="35"/>
        <v>21451.685717192937</v>
      </c>
      <c r="AG13" s="2">
        <f t="shared" si="36"/>
        <v>18551.485257282777</v>
      </c>
      <c r="AH13" s="92">
        <f t="shared" si="37"/>
        <v>0.62188200000000005</v>
      </c>
      <c r="AI13" s="92">
        <f t="shared" si="14"/>
        <v>0</v>
      </c>
      <c r="AJ13" s="115">
        <f t="shared" si="38"/>
        <v>2899.5785779101598</v>
      </c>
      <c r="AK13" s="12">
        <f t="shared" si="21"/>
        <v>1356.6038125332846</v>
      </c>
      <c r="AL13" s="12">
        <f t="shared" si="22"/>
        <v>-70.465546899579522</v>
      </c>
      <c r="AM13" s="2">
        <f>IF(AK13&gt;833,AK13*0.12,IF(AK13&lt;400,-100,0))</f>
        <v>162.79245750399414</v>
      </c>
      <c r="AN13" s="2">
        <f t="shared" si="15"/>
        <v>162.79245750399414</v>
      </c>
      <c r="AO13" s="2">
        <f t="shared" ref="AO13:AO39" si="44">MAX(0,AP13-AQ13)</f>
        <v>567.52403227378159</v>
      </c>
      <c r="AP13" s="2">
        <f>MAX(0,AO12+AM12)</f>
        <v>760.09899926265052</v>
      </c>
      <c r="AQ13" s="52">
        <f t="shared" si="39"/>
        <v>192.57496698886894</v>
      </c>
      <c r="AR13" s="15"/>
      <c r="AT13" s="103"/>
      <c r="AU13" s="103"/>
      <c r="AV13" s="165"/>
    </row>
    <row r="14" spans="1:48" x14ac:dyDescent="0.25">
      <c r="A14" s="47">
        <f t="shared" si="2"/>
        <v>2025</v>
      </c>
      <c r="B14" s="7">
        <f t="shared" si="23"/>
        <v>2025</v>
      </c>
      <c r="C14" s="2">
        <f t="shared" si="3"/>
        <v>1399.5689469999995</v>
      </c>
      <c r="D14" s="32">
        <v>43.003515</v>
      </c>
      <c r="E14" s="18">
        <f t="shared" si="24"/>
        <v>1399.5689469999995</v>
      </c>
      <c r="F14" s="2">
        <f t="shared" si="40"/>
        <v>1236.7764894960053</v>
      </c>
      <c r="G14" s="2">
        <f t="shared" si="8"/>
        <v>0</v>
      </c>
      <c r="H14" s="31">
        <f t="shared" si="25"/>
        <v>558.46696031410102</v>
      </c>
      <c r="I14" s="31">
        <f>co2elec_annual!G14*J14</f>
        <v>558.46696031410102</v>
      </c>
      <c r="J14" s="117">
        <f t="shared" si="41"/>
        <v>0.77999999999999992</v>
      </c>
      <c r="K14" s="31">
        <f t="shared" si="42"/>
        <v>678.30952918190428</v>
      </c>
      <c r="L14" s="2">
        <f t="shared" si="43"/>
        <v>841.10198668589851</v>
      </c>
      <c r="M14" s="18">
        <f t="shared" si="4"/>
        <v>24775.382509000003</v>
      </c>
      <c r="N14" s="2">
        <f t="shared" si="26"/>
        <v>1749.5408259999999</v>
      </c>
      <c r="O14" s="2">
        <f t="shared" si="17"/>
        <v>9417.5589353898013</v>
      </c>
      <c r="P14" s="2">
        <f t="shared" si="18"/>
        <v>9173.925875922263</v>
      </c>
      <c r="Q14" s="31">
        <f t="shared" si="27"/>
        <v>886.80645500000003</v>
      </c>
      <c r="R14" s="2">
        <f t="shared" si="28"/>
        <v>-50</v>
      </c>
      <c r="S14" s="2">
        <f t="shared" si="29"/>
        <v>-200</v>
      </c>
      <c r="T14" s="2">
        <f t="shared" si="30"/>
        <v>7.2137869999999999</v>
      </c>
      <c r="U14" s="2">
        <f t="shared" si="31"/>
        <v>900</v>
      </c>
      <c r="V14" s="2">
        <f t="shared" si="32"/>
        <v>2093.0886126879354</v>
      </c>
      <c r="W14" s="2">
        <f t="shared" si="33"/>
        <v>300</v>
      </c>
      <c r="X14" s="2">
        <f t="shared" si="34"/>
        <v>497.248017</v>
      </c>
      <c r="Y14" s="33">
        <f>co2elec_annual!D14</f>
        <v>508.14319999999998</v>
      </c>
      <c r="Z14" s="119">
        <f>co2elec_annual!Q14</f>
        <v>68.093472502069702</v>
      </c>
      <c r="AA14" s="2">
        <f>co2elec_annual!G14</f>
        <v>715.98328245397579</v>
      </c>
      <c r="AB14" s="91">
        <f>co2elec_annual!R14</f>
        <v>21.479498473619273</v>
      </c>
      <c r="AC14" s="92">
        <f>co2elec_annual!K14</f>
        <v>1</v>
      </c>
      <c r="AD14" s="92">
        <f>co2elec_annual!M14</f>
        <v>1.28279491777615</v>
      </c>
      <c r="AE14" s="17">
        <f t="shared" si="20"/>
        <v>1224.1264824539758</v>
      </c>
      <c r="AF14" s="119">
        <f t="shared" si="35"/>
        <v>22675.812199646913</v>
      </c>
      <c r="AG14" s="2">
        <f t="shared" si="36"/>
        <v>19775.611739736752</v>
      </c>
      <c r="AH14" s="92">
        <f t="shared" si="37"/>
        <v>0.62188200000000005</v>
      </c>
      <c r="AI14" s="92">
        <f t="shared" si="14"/>
        <v>0</v>
      </c>
      <c r="AJ14" s="115">
        <f t="shared" si="38"/>
        <v>2899.5785779101598</v>
      </c>
      <c r="AK14" s="12">
        <f t="shared" si="21"/>
        <v>1369.2538195753145</v>
      </c>
      <c r="AL14" s="12">
        <f t="shared" si="22"/>
        <v>-12.650007042029983</v>
      </c>
      <c r="AM14" s="2">
        <f t="shared" ref="AM14:AM39" si="45">IF(AK14&gt;833,AK14*0.12,IF(AK14&lt;400,-100,0))</f>
        <v>164.31045834903773</v>
      </c>
      <c r="AN14" s="2">
        <f t="shared" ref="AN14:AN39" si="46">-MIN(-AM14,+AP14)</f>
        <v>164.31045834903773</v>
      </c>
      <c r="AO14" s="2">
        <f t="shared" si="44"/>
        <v>730.3164897777757</v>
      </c>
      <c r="AP14" s="2">
        <f>MAX(0,AO13+AM13)</f>
        <v>730.3164897777757</v>
      </c>
      <c r="AQ14" s="52">
        <f t="shared" si="39"/>
        <v>0</v>
      </c>
      <c r="AR14" s="15"/>
      <c r="AT14" s="103"/>
      <c r="AU14" s="103"/>
      <c r="AV14" s="165"/>
    </row>
    <row r="15" spans="1:48" x14ac:dyDescent="0.25">
      <c r="A15" s="47">
        <f t="shared" si="2"/>
        <v>2026</v>
      </c>
      <c r="B15" s="7">
        <f>B14+5</f>
        <v>2030</v>
      </c>
      <c r="C15" s="2">
        <f>C14-D15</f>
        <v>1329.5904996499996</v>
      </c>
      <c r="D15" s="14">
        <f>C14/20</f>
        <v>69.978447349999982</v>
      </c>
      <c r="E15" s="18">
        <f t="shared" si="24"/>
        <v>1329.5904996499996</v>
      </c>
      <c r="F15" s="2">
        <f t="shared" si="40"/>
        <v>1165.2800413009622</v>
      </c>
      <c r="G15" s="2">
        <f t="shared" si="8"/>
        <v>0</v>
      </c>
      <c r="H15" s="31">
        <f t="shared" si="25"/>
        <v>546.38427047300127</v>
      </c>
      <c r="I15" s="31">
        <f>co2elec_annual!G15*J15</f>
        <v>546.38427047300127</v>
      </c>
      <c r="J15" s="117">
        <f t="shared" si="41"/>
        <v>0.73999999999999988</v>
      </c>
      <c r="K15" s="31">
        <f t="shared" si="42"/>
        <v>618.89577082796086</v>
      </c>
      <c r="L15" s="2">
        <f t="shared" si="43"/>
        <v>783.20622917699836</v>
      </c>
      <c r="M15" s="18">
        <f t="shared" ref="M15:M39" si="47">SUM(N15:X15)</f>
        <v>26104.973008650002</v>
      </c>
      <c r="N15" s="2">
        <f t="shared" si="26"/>
        <v>1749.5408259999999</v>
      </c>
      <c r="O15" s="2">
        <f t="shared" si="17"/>
        <v>9963.9432058628026</v>
      </c>
      <c r="P15" s="2">
        <f>P14+K15</f>
        <v>9792.8216467502243</v>
      </c>
      <c r="Q15" s="31">
        <f t="shared" si="27"/>
        <v>886.80645500000003</v>
      </c>
      <c r="R15" s="2">
        <f t="shared" si="28"/>
        <v>-50</v>
      </c>
      <c r="S15" s="2">
        <f t="shared" si="29"/>
        <v>-200</v>
      </c>
      <c r="T15" s="2">
        <f t="shared" si="30"/>
        <v>7.2137869999999999</v>
      </c>
      <c r="U15" s="2">
        <f t="shared" si="31"/>
        <v>900</v>
      </c>
      <c r="V15" s="2">
        <f t="shared" si="32"/>
        <v>2257.3990710369731</v>
      </c>
      <c r="W15" s="2">
        <f t="shared" si="33"/>
        <v>300</v>
      </c>
      <c r="X15" s="2">
        <f t="shared" si="34"/>
        <v>497.248017</v>
      </c>
      <c r="Y15" s="33">
        <f>co2elec_annual!D15</f>
        <v>523.2808</v>
      </c>
      <c r="Z15" s="119">
        <f>co2elec_annual!Q15</f>
        <v>69.940253988663841</v>
      </c>
      <c r="AA15" s="2">
        <f>co2elec_annual!G15</f>
        <v>738.35712226081262</v>
      </c>
      <c r="AB15" s="91">
        <f>co2elec_annual!R15</f>
        <v>22.150713667824377</v>
      </c>
      <c r="AC15" s="92">
        <f>co2elec_annual!K15</f>
        <v>1</v>
      </c>
      <c r="AD15" s="92">
        <f>co2elec_annual!M15</f>
        <v>1.287950268673882</v>
      </c>
      <c r="AE15" s="17">
        <f t="shared" si="20"/>
        <v>1261.6379222608125</v>
      </c>
      <c r="AF15" s="119">
        <f t="shared" si="35"/>
        <v>24153.767540852634</v>
      </c>
      <c r="AG15" s="2">
        <f t="shared" si="36"/>
        <v>21037.249661997565</v>
      </c>
      <c r="AH15" s="92">
        <f t="shared" si="37"/>
        <v>0.62188200000000005</v>
      </c>
      <c r="AI15" s="92">
        <f t="shared" si="14"/>
        <v>0</v>
      </c>
      <c r="AJ15" s="115">
        <f t="shared" si="38"/>
        <v>3115.8959968550689</v>
      </c>
      <c r="AK15" s="12">
        <f t="shared" si="21"/>
        <v>1272.895938615464</v>
      </c>
      <c r="AL15" s="12">
        <f t="shared" si="22"/>
        <v>96.35788095985049</v>
      </c>
      <c r="AM15" s="2">
        <f t="shared" si="45"/>
        <v>152.74751263385568</v>
      </c>
      <c r="AN15" s="2">
        <f t="shared" si="46"/>
        <v>152.74751263385568</v>
      </c>
      <c r="AO15" s="2">
        <f t="shared" si="44"/>
        <v>678.30952918190428</v>
      </c>
      <c r="AP15" s="2">
        <f t="shared" ref="AP15:AP39" si="48">MAX(0,AO14+AM14)</f>
        <v>894.62694812681343</v>
      </c>
      <c r="AQ15" s="52">
        <f t="shared" si="39"/>
        <v>216.31741894490915</v>
      </c>
      <c r="AR15" s="15"/>
      <c r="AT15" s="103"/>
      <c r="AU15" s="103"/>
      <c r="AV15" s="165"/>
    </row>
    <row r="16" spans="1:48" x14ac:dyDescent="0.25">
      <c r="A16" s="47">
        <f t="shared" si="2"/>
        <v>2027</v>
      </c>
      <c r="B16" s="7">
        <f>B15</f>
        <v>2030</v>
      </c>
      <c r="C16" s="2">
        <f t="shared" ref="C16:C38" si="49">C15-D16</f>
        <v>1259.6120522999997</v>
      </c>
      <c r="D16" s="14">
        <f>D15</f>
        <v>69.978447349999982</v>
      </c>
      <c r="E16" s="18">
        <f t="shared" si="24"/>
        <v>1259.6120522999997</v>
      </c>
      <c r="F16" s="2">
        <f t="shared" si="40"/>
        <v>1106.8645396661441</v>
      </c>
      <c r="G16" s="2">
        <f t="shared" si="8"/>
        <v>0</v>
      </c>
      <c r="H16" s="31">
        <f t="shared" si="25"/>
        <v>534.15177437477166</v>
      </c>
      <c r="I16" s="31">
        <f>co2elec_annual!G16*J16</f>
        <v>534.15177437477166</v>
      </c>
      <c r="J16" s="117">
        <f t="shared" si="41"/>
        <v>0.69999999999999984</v>
      </c>
      <c r="K16" s="31">
        <f t="shared" si="42"/>
        <v>572.71276529137231</v>
      </c>
      <c r="L16" s="2">
        <f t="shared" si="43"/>
        <v>725.46027792522807</v>
      </c>
      <c r="M16" s="18">
        <f t="shared" si="47"/>
        <v>27364.585060950005</v>
      </c>
      <c r="N16" s="2">
        <f t="shared" si="26"/>
        <v>1749.5408259999999</v>
      </c>
      <c r="O16" s="2">
        <f t="shared" si="17"/>
        <v>10498.094980237574</v>
      </c>
      <c r="P16" s="2">
        <f t="shared" si="18"/>
        <v>10365.534412041598</v>
      </c>
      <c r="Q16" s="31">
        <f t="shared" si="27"/>
        <v>886.80645500000003</v>
      </c>
      <c r="R16" s="2">
        <f t="shared" si="28"/>
        <v>-50</v>
      </c>
      <c r="S16" s="2">
        <f t="shared" si="29"/>
        <v>-200</v>
      </c>
      <c r="T16" s="2">
        <f t="shared" si="30"/>
        <v>7.2137869999999999</v>
      </c>
      <c r="U16" s="2">
        <f t="shared" si="31"/>
        <v>900</v>
      </c>
      <c r="V16" s="2">
        <f t="shared" si="32"/>
        <v>2410.1465836708289</v>
      </c>
      <c r="W16" s="2">
        <f t="shared" si="33"/>
        <v>300</v>
      </c>
      <c r="X16" s="2">
        <f t="shared" si="34"/>
        <v>497.248017</v>
      </c>
      <c r="Y16" s="33">
        <f>co2elec_annual!D16</f>
        <v>531.60900000000004</v>
      </c>
      <c r="Z16" s="119">
        <f>co2elec_annual!Q16</f>
        <v>70.956294260856112</v>
      </c>
      <c r="AA16" s="2">
        <f>co2elec_annual!G16</f>
        <v>763.07396339253114</v>
      </c>
      <c r="AB16" s="91">
        <f>co2elec_annual!R16</f>
        <v>22.892218901775934</v>
      </c>
      <c r="AC16" s="92">
        <f>co2elec_annual!K16</f>
        <v>1</v>
      </c>
      <c r="AD16" s="92">
        <f>co2elec_annual!M16</f>
        <v>1.312005150545831</v>
      </c>
      <c r="AE16" s="17">
        <f t="shared" si="20"/>
        <v>1294.6829633925313</v>
      </c>
      <c r="AF16" s="119">
        <f t="shared" si="35"/>
        <v>25660.611775232963</v>
      </c>
      <c r="AG16" s="2">
        <f t="shared" si="36"/>
        <v>22331.932625390094</v>
      </c>
      <c r="AH16" s="92">
        <f t="shared" si="37"/>
        <v>0.62188200000000005</v>
      </c>
      <c r="AI16" s="92">
        <f t="shared" si="14"/>
        <v>0</v>
      </c>
      <c r="AJ16" s="115">
        <f t="shared" si="38"/>
        <v>3328.057267842868</v>
      </c>
      <c r="AK16" s="12">
        <f t="shared" si="21"/>
        <v>1085.0775148890812</v>
      </c>
      <c r="AL16" s="12">
        <f t="shared" si="22"/>
        <v>187.81842372638289</v>
      </c>
      <c r="AM16" s="2">
        <f t="shared" si="45"/>
        <v>130.20930178668974</v>
      </c>
      <c r="AN16" s="2">
        <f t="shared" si="46"/>
        <v>130.20930178668974</v>
      </c>
      <c r="AO16" s="2">
        <f t="shared" si="44"/>
        <v>618.89577082796086</v>
      </c>
      <c r="AP16" s="2">
        <f t="shared" si="48"/>
        <v>831.05704181575993</v>
      </c>
      <c r="AQ16" s="52">
        <f t="shared" si="39"/>
        <v>212.16127098779907</v>
      </c>
      <c r="AR16" s="15"/>
      <c r="AT16" s="103"/>
      <c r="AU16" s="103"/>
      <c r="AV16" s="165"/>
    </row>
    <row r="17" spans="1:48" x14ac:dyDescent="0.25">
      <c r="A17" s="47">
        <f t="shared" si="2"/>
        <v>2028</v>
      </c>
      <c r="B17" s="7">
        <f t="shared" ref="B17:B19" si="50">B16</f>
        <v>2030</v>
      </c>
      <c r="C17" s="2">
        <f t="shared" si="49"/>
        <v>1189.6336049499998</v>
      </c>
      <c r="D17" s="14">
        <f t="shared" ref="D17:D34" si="51">D16</f>
        <v>69.978447349999982</v>
      </c>
      <c r="E17" s="18">
        <f t="shared" si="24"/>
        <v>1189.6336049499998</v>
      </c>
      <c r="F17" s="2">
        <f t="shared" si="40"/>
        <v>1059.4243031633102</v>
      </c>
      <c r="G17" s="2">
        <f t="shared" si="8"/>
        <v>0</v>
      </c>
      <c r="H17" s="31">
        <f t="shared" si="25"/>
        <v>474.80018987066887</v>
      </c>
      <c r="I17" s="31">
        <f>co2elec_annual!G17*J17</f>
        <v>474.80018987066887</v>
      </c>
      <c r="J17" s="117">
        <f t="shared" si="41"/>
        <v>0.65999999999999981</v>
      </c>
      <c r="K17" s="31">
        <f t="shared" si="42"/>
        <v>584.62411329264137</v>
      </c>
      <c r="L17" s="2">
        <f t="shared" si="43"/>
        <v>714.83341507933096</v>
      </c>
      <c r="M17" s="18">
        <f t="shared" si="47"/>
        <v>28554.218665900004</v>
      </c>
      <c r="N17" s="2">
        <f t="shared" si="26"/>
        <v>1749.5408259999999</v>
      </c>
      <c r="O17" s="2">
        <f t="shared" si="17"/>
        <v>10972.895170108244</v>
      </c>
      <c r="P17" s="2">
        <f t="shared" si="18"/>
        <v>10950.158525334238</v>
      </c>
      <c r="Q17" s="31">
        <f t="shared" si="27"/>
        <v>886.80645500000003</v>
      </c>
      <c r="R17" s="2">
        <f t="shared" si="28"/>
        <v>-50</v>
      </c>
      <c r="S17" s="2">
        <f t="shared" si="29"/>
        <v>-200</v>
      </c>
      <c r="T17" s="2">
        <f t="shared" si="30"/>
        <v>7.2137869999999999</v>
      </c>
      <c r="U17" s="2">
        <f t="shared" si="31"/>
        <v>900</v>
      </c>
      <c r="V17" s="2">
        <f t="shared" si="32"/>
        <v>2540.3558854575185</v>
      </c>
      <c r="W17" s="2">
        <f t="shared" si="33"/>
        <v>300</v>
      </c>
      <c r="X17" s="2">
        <f t="shared" si="34"/>
        <v>497.248017</v>
      </c>
      <c r="Y17" s="33">
        <f>co2elec_annual!D17</f>
        <v>559.13139999999999</v>
      </c>
      <c r="Z17" s="119">
        <f>co2elec_annual!Q17</f>
        <v>74.314027226895433</v>
      </c>
      <c r="AA17" s="2">
        <f>co2elec_annual!G17</f>
        <v>719.39422707677124</v>
      </c>
      <c r="AB17" s="91">
        <f>co2elec_annual!R17</f>
        <v>21.581826812303138</v>
      </c>
      <c r="AC17" s="92">
        <f>co2elec_annual!K17</f>
        <v>1</v>
      </c>
      <c r="AD17" s="92">
        <f>co2elec_annual!M17</f>
        <v>1.1810165453071038</v>
      </c>
      <c r="AE17" s="17">
        <f t="shared" si="20"/>
        <v>1278.5256270767713</v>
      </c>
      <c r="AF17" s="119">
        <f t="shared" si="35"/>
        <v>27115.52970963301</v>
      </c>
      <c r="AG17" s="2">
        <f t="shared" si="36"/>
        <v>23610.458252466866</v>
      </c>
      <c r="AH17" s="92">
        <f t="shared" si="37"/>
        <v>0.62188200000000005</v>
      </c>
      <c r="AI17" s="92">
        <f t="shared" si="14"/>
        <v>0</v>
      </c>
      <c r="AJ17" s="115">
        <f t="shared" si="38"/>
        <v>3504.4495751661461</v>
      </c>
      <c r="AK17" s="12">
        <f t="shared" si="7"/>
        <v>865.97619097562074</v>
      </c>
      <c r="AL17" s="12">
        <f t="shared" si="22"/>
        <v>219.10132391346042</v>
      </c>
      <c r="AM17" s="2">
        <f t="shared" si="45"/>
        <v>103.91714291707449</v>
      </c>
      <c r="AN17" s="2">
        <f t="shared" si="46"/>
        <v>103.91714291707449</v>
      </c>
      <c r="AO17" s="2">
        <f t="shared" si="44"/>
        <v>572.71276529137231</v>
      </c>
      <c r="AP17" s="2">
        <f t="shared" si="48"/>
        <v>749.10507261465057</v>
      </c>
      <c r="AQ17" s="52">
        <f t="shared" si="39"/>
        <v>176.39230732327826</v>
      </c>
      <c r="AR17" s="15"/>
      <c r="AT17" s="103"/>
      <c r="AU17" s="103"/>
      <c r="AV17" s="165"/>
    </row>
    <row r="18" spans="1:48" x14ac:dyDescent="0.25">
      <c r="A18" s="47">
        <f t="shared" si="2"/>
        <v>2029</v>
      </c>
      <c r="B18" s="7">
        <f t="shared" si="50"/>
        <v>2030</v>
      </c>
      <c r="C18" s="2">
        <f t="shared" si="49"/>
        <v>1119.6551575999999</v>
      </c>
      <c r="D18" s="14">
        <f t="shared" si="51"/>
        <v>69.978447349999982</v>
      </c>
      <c r="E18" s="18">
        <f t="shared" si="24"/>
        <v>1119.6551575999999</v>
      </c>
      <c r="F18" s="2">
        <f t="shared" si="40"/>
        <v>1015.7380146829253</v>
      </c>
      <c r="G18" s="2">
        <f t="shared" si="8"/>
        <v>0</v>
      </c>
      <c r="H18" s="31">
        <f t="shared" si="25"/>
        <v>418.67228538415071</v>
      </c>
      <c r="I18" s="31">
        <f>co2elec_annual!G18*J18</f>
        <v>418.67228538415071</v>
      </c>
      <c r="J18" s="117">
        <f t="shared" si="41"/>
        <v>0.61999999999999977</v>
      </c>
      <c r="K18" s="31">
        <f t="shared" si="42"/>
        <v>597.06572929877461</v>
      </c>
      <c r="L18" s="2">
        <f t="shared" si="43"/>
        <v>700.98287221584928</v>
      </c>
      <c r="M18" s="18">
        <f t="shared" si="47"/>
        <v>29673.873823500009</v>
      </c>
      <c r="N18" s="2">
        <f t="shared" si="26"/>
        <v>1749.5408259999999</v>
      </c>
      <c r="O18" s="2">
        <f t="shared" si="17"/>
        <v>11391.567455492395</v>
      </c>
      <c r="P18" s="2">
        <f t="shared" si="18"/>
        <v>11547.224254633013</v>
      </c>
      <c r="Q18" s="31">
        <f t="shared" si="27"/>
        <v>886.80645500000003</v>
      </c>
      <c r="R18" s="2">
        <f t="shared" si="28"/>
        <v>-50</v>
      </c>
      <c r="S18" s="2">
        <f t="shared" si="29"/>
        <v>-200</v>
      </c>
      <c r="T18" s="2">
        <f t="shared" si="30"/>
        <v>7.2137869999999999</v>
      </c>
      <c r="U18" s="2">
        <f t="shared" si="31"/>
        <v>900</v>
      </c>
      <c r="V18" s="2">
        <f t="shared" si="32"/>
        <v>2644.2730283745932</v>
      </c>
      <c r="W18" s="2">
        <f t="shared" si="33"/>
        <v>300</v>
      </c>
      <c r="X18" s="2">
        <f t="shared" si="34"/>
        <v>497.248017</v>
      </c>
      <c r="Y18" s="33">
        <f>co2elec_annual!D18</f>
        <v>575.6576</v>
      </c>
      <c r="Z18" s="119">
        <f>co2elec_annual!Q18</f>
        <v>76.330232264141273</v>
      </c>
      <c r="AA18" s="2">
        <f>co2elec_annual!G18</f>
        <v>675.27787965185621</v>
      </c>
      <c r="AB18" s="91">
        <f>co2elec_annual!R18</f>
        <v>20.258336389555687</v>
      </c>
      <c r="AC18" s="92">
        <f>co2elec_annual!K18</f>
        <v>1</v>
      </c>
      <c r="AD18" s="92">
        <f>co2elec_annual!M18</f>
        <v>1.0793089300768328</v>
      </c>
      <c r="AE18" s="17">
        <f t="shared" si="20"/>
        <v>1250.9354796518562</v>
      </c>
      <c r="AF18" s="119">
        <f t="shared" si="35"/>
        <v>28458.470984200674</v>
      </c>
      <c r="AG18" s="2">
        <f t="shared" si="36"/>
        <v>24861.393732118722</v>
      </c>
      <c r="AH18" s="92">
        <f t="shared" si="37"/>
        <v>0.62188200000000005</v>
      </c>
      <c r="AI18" s="92">
        <f t="shared" si="14"/>
        <v>0</v>
      </c>
      <c r="AJ18" s="115">
        <f t="shared" si="38"/>
        <v>3596.4553700819515</v>
      </c>
      <c r="AK18" s="12">
        <f t="shared" si="7"/>
        <v>630.77872600669366</v>
      </c>
      <c r="AL18" s="12">
        <f t="shared" si="22"/>
        <v>235.19746496892708</v>
      </c>
      <c r="AM18" s="2">
        <f t="shared" si="45"/>
        <v>0</v>
      </c>
      <c r="AN18" s="2">
        <f t="shared" si="46"/>
        <v>0</v>
      </c>
      <c r="AO18" s="2">
        <f t="shared" si="44"/>
        <v>584.62411329264137</v>
      </c>
      <c r="AP18" s="2">
        <f t="shared" si="48"/>
        <v>676.62990820844675</v>
      </c>
      <c r="AQ18" s="52">
        <f t="shared" si="39"/>
        <v>92.005794915805382</v>
      </c>
      <c r="AR18" s="15"/>
      <c r="AT18" s="103"/>
      <c r="AU18" s="103"/>
      <c r="AV18" s="165"/>
    </row>
    <row r="19" spans="1:48" x14ac:dyDescent="0.25">
      <c r="A19" s="47">
        <f t="shared" si="2"/>
        <v>2030</v>
      </c>
      <c r="B19" s="7">
        <f t="shared" si="50"/>
        <v>2030</v>
      </c>
      <c r="C19" s="2">
        <f t="shared" si="49"/>
        <v>1049.67671025</v>
      </c>
      <c r="D19" s="14">
        <f t="shared" si="51"/>
        <v>69.978447349999982</v>
      </c>
      <c r="E19" s="18">
        <f t="shared" si="24"/>
        <v>1049.67671025</v>
      </c>
      <c r="F19" s="2">
        <f t="shared" si="40"/>
        <v>1049.67671025</v>
      </c>
      <c r="G19" s="2">
        <f t="shared" si="8"/>
        <v>0</v>
      </c>
      <c r="H19" s="31">
        <f t="shared" si="25"/>
        <v>366.07368869162525</v>
      </c>
      <c r="I19" s="31">
        <f>co2elec_annual!G19*J19</f>
        <v>366.07368869162525</v>
      </c>
      <c r="J19" s="117">
        <f t="shared" si="41"/>
        <v>0.57999999999999974</v>
      </c>
      <c r="K19" s="31">
        <f t="shared" si="42"/>
        <v>683.60302155837485</v>
      </c>
      <c r="L19" s="2">
        <f t="shared" si="43"/>
        <v>683.60302155837485</v>
      </c>
      <c r="M19" s="18">
        <f t="shared" si="47"/>
        <v>30723.550533750004</v>
      </c>
      <c r="N19" s="2">
        <f t="shared" si="26"/>
        <v>1749.5408259999999</v>
      </c>
      <c r="O19" s="2">
        <f t="shared" si="17"/>
        <v>11757.641144184021</v>
      </c>
      <c r="P19" s="2">
        <f t="shared" si="18"/>
        <v>12230.827276191387</v>
      </c>
      <c r="Q19" s="31">
        <f t="shared" si="27"/>
        <v>886.80645500000003</v>
      </c>
      <c r="R19" s="2">
        <f t="shared" si="28"/>
        <v>-50</v>
      </c>
      <c r="S19" s="2">
        <f t="shared" si="29"/>
        <v>-200</v>
      </c>
      <c r="T19" s="2">
        <f t="shared" si="30"/>
        <v>7.2137869999999999</v>
      </c>
      <c r="U19" s="2">
        <f t="shared" si="31"/>
        <v>900</v>
      </c>
      <c r="V19" s="2">
        <f t="shared" si="32"/>
        <v>2644.2730283745932</v>
      </c>
      <c r="W19" s="2">
        <f t="shared" si="33"/>
        <v>300</v>
      </c>
      <c r="X19" s="2">
        <f t="shared" si="34"/>
        <v>497.248017</v>
      </c>
      <c r="Y19" s="33">
        <f>co2elec_annual!D19</f>
        <v>581.3768</v>
      </c>
      <c r="Z19" s="119">
        <f>co2elec_annual!Q19</f>
        <v>77.027969862367598</v>
      </c>
      <c r="AA19" s="2">
        <f>co2elec_annual!G19</f>
        <v>631.16153222694038</v>
      </c>
      <c r="AB19" s="91">
        <f>co2elec_annual!R19</f>
        <v>18.934845966808211</v>
      </c>
      <c r="AC19" s="92">
        <f>co2elec_annual!K19</f>
        <v>1</v>
      </c>
      <c r="AD19" s="92">
        <f>co2elec_annual!M19</f>
        <v>0.99965904682769391</v>
      </c>
      <c r="AE19" s="17">
        <f t="shared" si="20"/>
        <v>1212.5383322269404</v>
      </c>
      <c r="AF19" s="119">
        <f t="shared" si="35"/>
        <v>29671.009316427615</v>
      </c>
      <c r="AG19" s="2">
        <f t="shared" si="36"/>
        <v>26073.932064345663</v>
      </c>
      <c r="AH19" s="92">
        <f t="shared" si="37"/>
        <v>0.62188200000000005</v>
      </c>
      <c r="AI19" s="92">
        <f t="shared" si="14"/>
        <v>0</v>
      </c>
      <c r="AJ19" s="115">
        <f t="shared" ref="AJ19" si="52">AJ18+AQ19</f>
        <v>3596.4553700819515</v>
      </c>
      <c r="AK19" s="12">
        <f t="shared" si="7"/>
        <v>467.91710402974718</v>
      </c>
      <c r="AL19" s="12">
        <f t="shared" si="22"/>
        <v>162.86162197694648</v>
      </c>
      <c r="AM19" s="2">
        <f t="shared" si="45"/>
        <v>0</v>
      </c>
      <c r="AN19" s="2">
        <f t="shared" si="46"/>
        <v>0</v>
      </c>
      <c r="AO19" s="2">
        <f t="shared" si="44"/>
        <v>584.62411329264137</v>
      </c>
      <c r="AP19" s="2">
        <f t="shared" si="48"/>
        <v>584.62411329264137</v>
      </c>
      <c r="AQ19" s="52">
        <f t="shared" si="39"/>
        <v>0</v>
      </c>
      <c r="AR19" s="15"/>
      <c r="AT19" s="103"/>
      <c r="AU19" s="103"/>
      <c r="AV19" s="165"/>
    </row>
    <row r="20" spans="1:48" x14ac:dyDescent="0.25">
      <c r="A20" s="47">
        <f t="shared" si="2"/>
        <v>2031</v>
      </c>
      <c r="B20" s="7">
        <f>B19+5</f>
        <v>2035</v>
      </c>
      <c r="C20" s="2">
        <f t="shared" si="49"/>
        <v>979.69826290000003</v>
      </c>
      <c r="D20" s="14">
        <f t="shared" si="51"/>
        <v>69.978447349999982</v>
      </c>
      <c r="E20" s="18">
        <f t="shared" si="24"/>
        <v>979.69826290000003</v>
      </c>
      <c r="F20" s="2">
        <f t="shared" si="40"/>
        <v>979.69826289999992</v>
      </c>
      <c r="G20" s="2">
        <f t="shared" si="8"/>
        <v>0</v>
      </c>
      <c r="H20" s="31">
        <f t="shared" si="25"/>
        <v>320.81119413798166</v>
      </c>
      <c r="I20" s="31">
        <f>co2elec_annual!G20*J20</f>
        <v>320.81119413798166</v>
      </c>
      <c r="J20" s="117">
        <f t="shared" si="41"/>
        <v>0.5399999999999997</v>
      </c>
      <c r="K20" s="31">
        <f t="shared" si="42"/>
        <v>658.88706876201832</v>
      </c>
      <c r="L20" s="2">
        <f t="shared" si="43"/>
        <v>658.88706876201832</v>
      </c>
      <c r="M20" s="18">
        <f t="shared" ref="M20:M28" si="53">SUM(N20:X20)</f>
        <v>31703.248796650008</v>
      </c>
      <c r="N20" s="2">
        <f t="shared" si="26"/>
        <v>1749.5408259999999</v>
      </c>
      <c r="O20" s="2">
        <f t="shared" si="17"/>
        <v>12078.452338322002</v>
      </c>
      <c r="P20" s="2">
        <f t="shared" si="18"/>
        <v>12889.714344953405</v>
      </c>
      <c r="Q20" s="31">
        <f t="shared" si="27"/>
        <v>886.80645500000003</v>
      </c>
      <c r="R20" s="2">
        <f t="shared" si="28"/>
        <v>-50</v>
      </c>
      <c r="S20" s="2">
        <f t="shared" si="29"/>
        <v>-200</v>
      </c>
      <c r="T20" s="2">
        <f t="shared" si="30"/>
        <v>7.2137869999999999</v>
      </c>
      <c r="U20" s="2">
        <f t="shared" si="31"/>
        <v>900</v>
      </c>
      <c r="V20" s="2">
        <f t="shared" si="32"/>
        <v>2644.2730283745932</v>
      </c>
      <c r="W20" s="2">
        <f t="shared" si="33"/>
        <v>300</v>
      </c>
      <c r="X20" s="2">
        <f t="shared" si="34"/>
        <v>497.248017</v>
      </c>
      <c r="Y20" s="33">
        <f>co2elec_annual!D20</f>
        <v>493.19243848269195</v>
      </c>
      <c r="Z20" s="119">
        <f>co2elec_annual!Q20</f>
        <v>63.505135007409571</v>
      </c>
      <c r="AA20" s="2">
        <f>co2elec_annual!G20</f>
        <v>594.0948039592256</v>
      </c>
      <c r="AB20" s="91">
        <f>co2elec_annual!R20</f>
        <v>17.822844118776764</v>
      </c>
      <c r="AC20" s="92">
        <f>co2elec_annual!K20</f>
        <v>1</v>
      </c>
      <c r="AD20" s="92">
        <f>co2elec_annual!M20</f>
        <v>1.1413181953643408</v>
      </c>
      <c r="AE20" s="17">
        <f t="shared" si="20"/>
        <v>1087.2872424419174</v>
      </c>
      <c r="AF20" s="119">
        <f t="shared" si="35"/>
        <v>30758.296558869533</v>
      </c>
      <c r="AG20" s="2">
        <f t="shared" si="36"/>
        <v>27161.219306787581</v>
      </c>
      <c r="AH20" s="92">
        <f t="shared" si="37"/>
        <v>0.62188200000000005</v>
      </c>
      <c r="AI20" s="92">
        <f t="shared" si="14"/>
        <v>0</v>
      </c>
      <c r="AJ20" s="115">
        <f t="shared" ref="AJ20:AJ39" si="54">AJ19+AQ20</f>
        <v>3596.4553700819515</v>
      </c>
      <c r="AK20" s="12">
        <f t="shared" si="7"/>
        <v>360.32812448783375</v>
      </c>
      <c r="AL20" s="12">
        <f t="shared" si="22"/>
        <v>107.58897954191343</v>
      </c>
      <c r="AM20" s="2">
        <f t="shared" si="45"/>
        <v>-100</v>
      </c>
      <c r="AN20" s="2">
        <f t="shared" si="46"/>
        <v>-100</v>
      </c>
      <c r="AO20" s="2">
        <f t="shared" si="44"/>
        <v>584.62411329264137</v>
      </c>
      <c r="AP20" s="2">
        <f>MAX(0,AO19+AM19)</f>
        <v>584.62411329264137</v>
      </c>
      <c r="AQ20" s="52">
        <f t="shared" si="39"/>
        <v>0</v>
      </c>
      <c r="AR20" s="15"/>
      <c r="AT20" s="103"/>
      <c r="AU20" s="103"/>
      <c r="AV20" s="165"/>
    </row>
    <row r="21" spans="1:48" x14ac:dyDescent="0.25">
      <c r="A21" s="47">
        <f t="shared" si="2"/>
        <v>2032</v>
      </c>
      <c r="B21" s="7">
        <f>B20</f>
        <v>2035</v>
      </c>
      <c r="C21" s="2">
        <f t="shared" si="49"/>
        <v>909.71981555000002</v>
      </c>
      <c r="D21" s="14">
        <f t="shared" si="51"/>
        <v>69.978447349999982</v>
      </c>
      <c r="E21" s="18">
        <f t="shared" si="24"/>
        <v>909.71981555000002</v>
      </c>
      <c r="F21" s="2">
        <f t="shared" si="40"/>
        <v>1009.7198155500001</v>
      </c>
      <c r="G21" s="2">
        <f t="shared" si="8"/>
        <v>0</v>
      </c>
      <c r="H21" s="31">
        <f t="shared" si="25"/>
        <v>276.30538689398293</v>
      </c>
      <c r="I21" s="31">
        <f>co2elec_annual!G21*J21</f>
        <v>276.30538689398293</v>
      </c>
      <c r="J21" s="117">
        <f t="shared" si="41"/>
        <v>0.49999999999999972</v>
      </c>
      <c r="K21" s="31">
        <f t="shared" si="42"/>
        <v>733.41442865601721</v>
      </c>
      <c r="L21" s="2">
        <f t="shared" si="43"/>
        <v>633.41442865601709</v>
      </c>
      <c r="M21" s="18">
        <f t="shared" si="53"/>
        <v>32612.968612200002</v>
      </c>
      <c r="N21" s="2">
        <f t="shared" si="26"/>
        <v>1749.5408259999999</v>
      </c>
      <c r="O21" s="2">
        <f t="shared" si="17"/>
        <v>12354.757725215984</v>
      </c>
      <c r="P21" s="2">
        <f t="shared" si="18"/>
        <v>13623.128773609422</v>
      </c>
      <c r="Q21" s="31">
        <f t="shared" si="27"/>
        <v>886.80645500000003</v>
      </c>
      <c r="R21" s="2">
        <f t="shared" si="28"/>
        <v>-50</v>
      </c>
      <c r="S21" s="2">
        <f t="shared" si="29"/>
        <v>-200</v>
      </c>
      <c r="T21" s="2">
        <f t="shared" si="30"/>
        <v>7.2137869999999999</v>
      </c>
      <c r="U21" s="2">
        <f t="shared" si="31"/>
        <v>900</v>
      </c>
      <c r="V21" s="2">
        <f t="shared" si="32"/>
        <v>2544.2730283745932</v>
      </c>
      <c r="W21" s="2">
        <f t="shared" si="33"/>
        <v>300</v>
      </c>
      <c r="X21" s="2">
        <f t="shared" si="34"/>
        <v>497.248017</v>
      </c>
      <c r="Y21" s="33">
        <f>co2elec_annual!D21</f>
        <v>432.15119057395151</v>
      </c>
      <c r="Z21" s="119">
        <f>co2elec_annual!Q21</f>
        <v>54.458077950749384</v>
      </c>
      <c r="AA21" s="2">
        <f>co2elec_annual!G21</f>
        <v>552.6107737879662</v>
      </c>
      <c r="AB21" s="91">
        <f>co2elec_annual!R21</f>
        <v>16.578323213638981</v>
      </c>
      <c r="AC21" s="92">
        <f>co2elec_annual!K21</f>
        <v>1</v>
      </c>
      <c r="AD21" s="92">
        <f>co2elec_annual!M21</f>
        <v>1.2379892375765371</v>
      </c>
      <c r="AE21" s="17">
        <f t="shared" si="20"/>
        <v>984.76196436191776</v>
      </c>
      <c r="AF21" s="119">
        <f t="shared" si="35"/>
        <v>31743.058523231452</v>
      </c>
      <c r="AG21" s="2">
        <f t="shared" si="36"/>
        <v>28145.9812711495</v>
      </c>
      <c r="AH21" s="92">
        <f t="shared" si="37"/>
        <v>0.62188200000000005</v>
      </c>
      <c r="AI21" s="92">
        <f t="shared" si="14"/>
        <v>0</v>
      </c>
      <c r="AJ21" s="115">
        <f t="shared" si="54"/>
        <v>3596.4553700819515</v>
      </c>
      <c r="AK21" s="12">
        <f t="shared" si="7"/>
        <v>385.28597567590919</v>
      </c>
      <c r="AL21" s="12">
        <f t="shared" si="22"/>
        <v>-24.957851188075438</v>
      </c>
      <c r="AM21" s="2">
        <f t="shared" si="45"/>
        <v>-100</v>
      </c>
      <c r="AN21" s="2">
        <f t="shared" si="46"/>
        <v>-100</v>
      </c>
      <c r="AO21" s="2">
        <f>MAX(0,AP21-AQ21)</f>
        <v>484.62411329264137</v>
      </c>
      <c r="AP21" s="2">
        <f>MAX(0,AO20+AM20)</f>
        <v>484.62411329264137</v>
      </c>
      <c r="AQ21" s="52">
        <f t="shared" si="39"/>
        <v>0</v>
      </c>
      <c r="AR21" s="15"/>
      <c r="AT21" s="103"/>
      <c r="AU21" s="103"/>
      <c r="AV21" s="165"/>
    </row>
    <row r="22" spans="1:48" x14ac:dyDescent="0.25">
      <c r="A22" s="47">
        <f t="shared" si="2"/>
        <v>2033</v>
      </c>
      <c r="B22" s="7">
        <f t="shared" ref="B22:B24" si="55">B21</f>
        <v>2035</v>
      </c>
      <c r="C22" s="2">
        <f t="shared" si="49"/>
        <v>839.74136820000001</v>
      </c>
      <c r="D22" s="14">
        <f t="shared" si="51"/>
        <v>69.978447349999982</v>
      </c>
      <c r="E22" s="18">
        <f t="shared" si="24"/>
        <v>839.74136820000001</v>
      </c>
      <c r="F22" s="2">
        <f t="shared" si="40"/>
        <v>939.74136820000012</v>
      </c>
      <c r="G22" s="2">
        <f t="shared" si="8"/>
        <v>0</v>
      </c>
      <c r="H22" s="31">
        <f t="shared" si="25"/>
        <v>235.11830206368498</v>
      </c>
      <c r="I22" s="31">
        <f>co2elec_annual!G22*J22</f>
        <v>235.11830206368498</v>
      </c>
      <c r="J22" s="117">
        <f t="shared" si="41"/>
        <v>0.45999999999999974</v>
      </c>
      <c r="K22" s="31">
        <f t="shared" si="42"/>
        <v>704.62306613631517</v>
      </c>
      <c r="L22" s="2">
        <f t="shared" si="43"/>
        <v>604.62306613631506</v>
      </c>
      <c r="M22" s="18">
        <f t="shared" si="53"/>
        <v>33452.709980400003</v>
      </c>
      <c r="N22" s="2">
        <f t="shared" si="26"/>
        <v>1749.5408259999999</v>
      </c>
      <c r="O22" s="2">
        <f t="shared" si="17"/>
        <v>12589.87602727967</v>
      </c>
      <c r="P22" s="2">
        <f t="shared" si="18"/>
        <v>14327.751839745737</v>
      </c>
      <c r="Q22" s="31">
        <f t="shared" si="27"/>
        <v>886.80645500000003</v>
      </c>
      <c r="R22" s="2">
        <f t="shared" si="28"/>
        <v>-50</v>
      </c>
      <c r="S22" s="2">
        <f t="shared" si="29"/>
        <v>-200</v>
      </c>
      <c r="T22" s="2">
        <f t="shared" si="30"/>
        <v>7.2137869999999999</v>
      </c>
      <c r="U22" s="2">
        <f t="shared" si="31"/>
        <v>900</v>
      </c>
      <c r="V22" s="2">
        <f t="shared" si="32"/>
        <v>2444.2730283745932</v>
      </c>
      <c r="W22" s="2">
        <f t="shared" si="33"/>
        <v>300</v>
      </c>
      <c r="X22" s="2">
        <f t="shared" si="34"/>
        <v>497.248017</v>
      </c>
      <c r="Y22" s="33">
        <f>co2elec_annual!D22</f>
        <v>371.10994266521118</v>
      </c>
      <c r="Z22" s="119">
        <f>co2elec_annual!Q22</f>
        <v>45.411020894089198</v>
      </c>
      <c r="AA22" s="2">
        <f>co2elec_annual!G22</f>
        <v>511.12674361670679</v>
      </c>
      <c r="AB22" s="91">
        <f>co2elec_annual!R22</f>
        <v>15.333802308501204</v>
      </c>
      <c r="AC22" s="92">
        <f>co2elec_annual!K22</f>
        <v>1</v>
      </c>
      <c r="AD22" s="92">
        <f>co2elec_annual!M22</f>
        <v>1.3731790541919928</v>
      </c>
      <c r="AE22" s="17">
        <f t="shared" si="20"/>
        <v>882.23668628191797</v>
      </c>
      <c r="AF22" s="119">
        <f t="shared" si="35"/>
        <v>32625.29520951337</v>
      </c>
      <c r="AG22" s="2">
        <f t="shared" si="36"/>
        <v>29028.217957431418</v>
      </c>
      <c r="AH22" s="92">
        <f>AH21</f>
        <v>0.62188200000000005</v>
      </c>
      <c r="AI22" s="92">
        <f t="shared" si="14"/>
        <v>0</v>
      </c>
      <c r="AJ22" s="115">
        <f>AJ21+AQ22</f>
        <v>3596.4553700819515</v>
      </c>
      <c r="AK22" s="12">
        <f t="shared" si="7"/>
        <v>442.79065759399168</v>
      </c>
      <c r="AL22" s="12">
        <f t="shared" si="22"/>
        <v>-57.504681918082497</v>
      </c>
      <c r="AM22" s="2">
        <f t="shared" si="45"/>
        <v>0</v>
      </c>
      <c r="AN22" s="2">
        <f t="shared" si="46"/>
        <v>0</v>
      </c>
      <c r="AO22" s="2">
        <f>MAX(0,AP22-AQ22)</f>
        <v>384.62411329264137</v>
      </c>
      <c r="AP22" s="2">
        <f t="shared" si="48"/>
        <v>384.62411329264137</v>
      </c>
      <c r="AQ22" s="52">
        <f t="shared" si="39"/>
        <v>0</v>
      </c>
      <c r="AR22" s="15"/>
      <c r="AT22" s="103"/>
      <c r="AU22" s="103"/>
      <c r="AV22" s="165"/>
    </row>
    <row r="23" spans="1:48" x14ac:dyDescent="0.25">
      <c r="A23" s="47">
        <f t="shared" si="2"/>
        <v>2034</v>
      </c>
      <c r="B23" s="7">
        <f t="shared" si="55"/>
        <v>2035</v>
      </c>
      <c r="C23" s="2">
        <f t="shared" si="49"/>
        <v>769.76292085</v>
      </c>
      <c r="D23" s="14">
        <f t="shared" si="51"/>
        <v>69.978447349999982</v>
      </c>
      <c r="E23" s="18">
        <f t="shared" si="24"/>
        <v>769.76292085</v>
      </c>
      <c r="F23" s="2">
        <f t="shared" si="40"/>
        <v>769.76292085</v>
      </c>
      <c r="G23" s="2">
        <f t="shared" si="8"/>
        <v>0</v>
      </c>
      <c r="H23" s="31">
        <f t="shared" si="25"/>
        <v>194.76329171074866</v>
      </c>
      <c r="I23" s="31">
        <f>co2elec_annual!G23*J23</f>
        <v>194.76329171074866</v>
      </c>
      <c r="J23" s="117">
        <f t="shared" si="41"/>
        <v>0.41999999999999976</v>
      </c>
      <c r="K23" s="31">
        <f t="shared" si="42"/>
        <v>574.99962913925128</v>
      </c>
      <c r="L23" s="2">
        <f t="shared" si="43"/>
        <v>574.99962913925128</v>
      </c>
      <c r="M23" s="18">
        <f t="shared" si="53"/>
        <v>34222.472901250003</v>
      </c>
      <c r="N23" s="2">
        <f t="shared" si="26"/>
        <v>1749.5408259999999</v>
      </c>
      <c r="O23" s="2">
        <f t="shared" si="17"/>
        <v>12784.639318990419</v>
      </c>
      <c r="P23" s="2">
        <f t="shared" si="18"/>
        <v>14902.751468884988</v>
      </c>
      <c r="Q23" s="31">
        <f t="shared" si="27"/>
        <v>886.80645500000003</v>
      </c>
      <c r="R23" s="2">
        <f t="shared" si="28"/>
        <v>-50</v>
      </c>
      <c r="S23" s="2">
        <f t="shared" si="29"/>
        <v>-200</v>
      </c>
      <c r="T23" s="2">
        <f t="shared" si="30"/>
        <v>7.2137869999999999</v>
      </c>
      <c r="U23" s="2">
        <f t="shared" si="31"/>
        <v>900</v>
      </c>
      <c r="V23" s="2">
        <f t="shared" si="32"/>
        <v>2444.2730283745932</v>
      </c>
      <c r="W23" s="2">
        <f t="shared" si="33"/>
        <v>300</v>
      </c>
      <c r="X23" s="2">
        <f t="shared" si="34"/>
        <v>497.248017</v>
      </c>
      <c r="Y23" s="33">
        <f>co2elec_annual!D23</f>
        <v>340.36000683404058</v>
      </c>
      <c r="Z23" s="119">
        <f>co2elec_annual!Q23</f>
        <v>41.033008133529592</v>
      </c>
      <c r="AA23" s="2">
        <f>co2elec_annual!G23</f>
        <v>463.72212312083042</v>
      </c>
      <c r="AB23" s="91">
        <f>co2elec_annual!R23</f>
        <v>13.911663693624911</v>
      </c>
      <c r="AC23" s="92">
        <f>co2elec_annual!K23</f>
        <v>1</v>
      </c>
      <c r="AD23" s="92">
        <f>co2elec_annual!M23</f>
        <v>1.3787460777098748</v>
      </c>
      <c r="AE23" s="17">
        <f t="shared" si="20"/>
        <v>804.08212995487099</v>
      </c>
      <c r="AF23" s="119">
        <f t="shared" si="35"/>
        <v>33429.377339468236</v>
      </c>
      <c r="AG23" s="2">
        <f t="shared" si="36"/>
        <v>29832.300087386287</v>
      </c>
      <c r="AH23" s="92">
        <f>AH22</f>
        <v>0.62188200000000005</v>
      </c>
      <c r="AI23" s="92">
        <f t="shared" si="14"/>
        <v>0</v>
      </c>
      <c r="AJ23" s="115">
        <f t="shared" si="54"/>
        <v>3596.4553700819515</v>
      </c>
      <c r="AK23" s="12">
        <f t="shared" si="7"/>
        <v>408.47144848912581</v>
      </c>
      <c r="AL23" s="12">
        <f t="shared" si="22"/>
        <v>34.319209104865877</v>
      </c>
      <c r="AM23" s="2">
        <f t="shared" si="45"/>
        <v>0</v>
      </c>
      <c r="AN23" s="2">
        <f t="shared" si="46"/>
        <v>0</v>
      </c>
      <c r="AO23" s="2">
        <f t="shared" si="44"/>
        <v>384.62411329264137</v>
      </c>
      <c r="AP23" s="2">
        <f t="shared" si="48"/>
        <v>384.62411329264137</v>
      </c>
      <c r="AQ23" s="52">
        <f t="shared" si="39"/>
        <v>0</v>
      </c>
      <c r="AR23" s="15"/>
      <c r="AT23" s="103"/>
      <c r="AU23" s="103"/>
      <c r="AV23" s="165"/>
    </row>
    <row r="24" spans="1:48" x14ac:dyDescent="0.25">
      <c r="A24" s="47">
        <f t="shared" si="2"/>
        <v>2035</v>
      </c>
      <c r="B24" s="7">
        <f t="shared" si="55"/>
        <v>2035</v>
      </c>
      <c r="C24" s="2">
        <f t="shared" si="49"/>
        <v>699.78447349999999</v>
      </c>
      <c r="D24" s="14">
        <f t="shared" si="51"/>
        <v>69.978447349999982</v>
      </c>
      <c r="E24" s="18">
        <f t="shared" si="24"/>
        <v>699.78447349999999</v>
      </c>
      <c r="F24" s="2">
        <f t="shared" si="40"/>
        <v>699.78447349999988</v>
      </c>
      <c r="G24" s="2">
        <f t="shared" si="8"/>
        <v>0</v>
      </c>
      <c r="H24" s="31">
        <f t="shared" si="25"/>
        <v>158.20065099748246</v>
      </c>
      <c r="I24" s="31">
        <f>co2elec_annual!G24*J24</f>
        <v>158.20065099748246</v>
      </c>
      <c r="J24" s="117">
        <f t="shared" si="41"/>
        <v>0.37999999999999978</v>
      </c>
      <c r="K24" s="31">
        <f t="shared" si="42"/>
        <v>541.58382250251748</v>
      </c>
      <c r="L24" s="2">
        <f t="shared" si="43"/>
        <v>541.58382250251748</v>
      </c>
      <c r="M24" s="18">
        <f t="shared" si="53"/>
        <v>34922.257374749999</v>
      </c>
      <c r="N24" s="2">
        <f t="shared" si="26"/>
        <v>1749.5408259999999</v>
      </c>
      <c r="O24" s="2">
        <f t="shared" si="17"/>
        <v>12942.839969987901</v>
      </c>
      <c r="P24" s="2">
        <f t="shared" si="18"/>
        <v>15444.335291387506</v>
      </c>
      <c r="Q24" s="31">
        <f t="shared" si="27"/>
        <v>886.80645500000003</v>
      </c>
      <c r="R24" s="2">
        <f t="shared" si="28"/>
        <v>-50</v>
      </c>
      <c r="S24" s="2">
        <f t="shared" si="29"/>
        <v>-200</v>
      </c>
      <c r="T24" s="2">
        <f t="shared" si="30"/>
        <v>7.2137869999999999</v>
      </c>
      <c r="U24" s="2">
        <f t="shared" si="31"/>
        <v>900</v>
      </c>
      <c r="V24" s="2">
        <f t="shared" si="32"/>
        <v>2444.2730283745932</v>
      </c>
      <c r="W24" s="2">
        <f t="shared" si="33"/>
        <v>300</v>
      </c>
      <c r="X24" s="2">
        <f t="shared" si="34"/>
        <v>497.248017</v>
      </c>
      <c r="Y24" s="33">
        <f>co2elec_annual!D24</f>
        <v>309.61007100287003</v>
      </c>
      <c r="Z24" s="119">
        <f>co2elec_annual!Q24</f>
        <v>36.654995372969978</v>
      </c>
      <c r="AA24" s="2">
        <f>co2elec_annual!G24</f>
        <v>416.3175026249541</v>
      </c>
      <c r="AB24" s="91">
        <f>co2elec_annual!R24</f>
        <v>12.489525078748621</v>
      </c>
      <c r="AC24" s="92">
        <f>co2elec_annual!K24</f>
        <v>1</v>
      </c>
      <c r="AD24" s="92">
        <f>co2elec_annual!M24</f>
        <v>1.3856429336149461</v>
      </c>
      <c r="AE24" s="17">
        <f t="shared" si="20"/>
        <v>725.92757362782413</v>
      </c>
      <c r="AF24" s="119">
        <f t="shared" si="35"/>
        <v>34155.304913096064</v>
      </c>
      <c r="AG24" s="2">
        <f t="shared" si="36"/>
        <v>30558.227661014113</v>
      </c>
      <c r="AH24" s="92">
        <f t="shared" si="37"/>
        <v>0.62188200000000005</v>
      </c>
      <c r="AI24" s="92">
        <f t="shared" si="14"/>
        <v>0</v>
      </c>
      <c r="AJ24" s="115">
        <f t="shared" si="54"/>
        <v>3596.4553700819515</v>
      </c>
      <c r="AK24" s="12">
        <f t="shared" si="7"/>
        <v>382.32834836129337</v>
      </c>
      <c r="AL24" s="12">
        <f t="shared" si="22"/>
        <v>26.14310012783244</v>
      </c>
      <c r="AM24" s="2">
        <f t="shared" si="45"/>
        <v>-100</v>
      </c>
      <c r="AN24" s="2">
        <f t="shared" si="46"/>
        <v>-100</v>
      </c>
      <c r="AO24" s="2">
        <f t="shared" si="44"/>
        <v>384.62411329264137</v>
      </c>
      <c r="AP24" s="2">
        <f t="shared" si="48"/>
        <v>384.62411329264137</v>
      </c>
      <c r="AQ24" s="52">
        <f t="shared" si="39"/>
        <v>0</v>
      </c>
      <c r="AR24" s="15"/>
      <c r="AT24" s="103"/>
      <c r="AU24" s="103"/>
      <c r="AV24" s="165"/>
    </row>
    <row r="25" spans="1:48" x14ac:dyDescent="0.25">
      <c r="A25" s="47">
        <f t="shared" si="2"/>
        <v>2036</v>
      </c>
      <c r="B25" s="7">
        <f>B24+5</f>
        <v>2040</v>
      </c>
      <c r="C25" s="2">
        <f t="shared" si="49"/>
        <v>629.80602614999998</v>
      </c>
      <c r="D25" s="14">
        <f t="shared" si="51"/>
        <v>69.978447349999982</v>
      </c>
      <c r="E25" s="18">
        <f t="shared" si="24"/>
        <v>629.80602614999998</v>
      </c>
      <c r="F25" s="2">
        <f t="shared" si="40"/>
        <v>729.80602614999998</v>
      </c>
      <c r="G25" s="2">
        <f t="shared" si="8"/>
        <v>0</v>
      </c>
      <c r="H25" s="31">
        <f t="shared" si="25"/>
        <v>116.86853796775068</v>
      </c>
      <c r="I25" s="31">
        <f>co2elec_annual!G25*J25</f>
        <v>116.86853796775068</v>
      </c>
      <c r="J25" s="117">
        <f t="shared" si="41"/>
        <v>0.3399999999999998</v>
      </c>
      <c r="K25" s="31">
        <f t="shared" si="42"/>
        <v>612.93748818224935</v>
      </c>
      <c r="L25" s="2">
        <f t="shared" si="43"/>
        <v>512.93748818224935</v>
      </c>
      <c r="M25" s="18">
        <f t="shared" si="53"/>
        <v>35552.063400899999</v>
      </c>
      <c r="N25" s="2">
        <f t="shared" si="26"/>
        <v>1749.5408259999999</v>
      </c>
      <c r="O25" s="2">
        <f t="shared" si="17"/>
        <v>13059.708507955651</v>
      </c>
      <c r="P25" s="2">
        <f t="shared" si="18"/>
        <v>16057.272779569756</v>
      </c>
      <c r="Q25" s="31">
        <f t="shared" si="27"/>
        <v>886.80645500000003</v>
      </c>
      <c r="R25" s="2">
        <f t="shared" si="28"/>
        <v>-50</v>
      </c>
      <c r="S25" s="2">
        <f t="shared" si="29"/>
        <v>-200</v>
      </c>
      <c r="T25" s="2">
        <f t="shared" si="30"/>
        <v>7.2137869999999999</v>
      </c>
      <c r="U25" s="2">
        <f t="shared" si="31"/>
        <v>900</v>
      </c>
      <c r="V25" s="2">
        <f t="shared" si="32"/>
        <v>2344.2730283745932</v>
      </c>
      <c r="W25" s="2">
        <f t="shared" si="33"/>
        <v>300</v>
      </c>
      <c r="X25" s="2">
        <f t="shared" si="34"/>
        <v>497.248017</v>
      </c>
      <c r="Y25" s="33">
        <f>co2elec_annual!D25</f>
        <v>287.94258823280279</v>
      </c>
      <c r="Z25" s="119">
        <f>co2elec_annual!Q25</f>
        <v>32.606099701916705</v>
      </c>
      <c r="AA25" s="2">
        <f>co2elec_annual!G25</f>
        <v>343.73099402279632</v>
      </c>
      <c r="AB25" s="91">
        <f>co2elec_annual!R25</f>
        <v>10.31192982068389</v>
      </c>
      <c r="AC25" s="92">
        <f>co2elec_annual!K25</f>
        <v>1</v>
      </c>
      <c r="AD25" s="92">
        <f>co2elec_annual!M25</f>
        <v>1.286114612117071</v>
      </c>
      <c r="AE25" s="17">
        <f t="shared" si="20"/>
        <v>631.67358225559906</v>
      </c>
      <c r="AF25" s="119">
        <f t="shared" si="35"/>
        <v>34786.978495351665</v>
      </c>
      <c r="AG25" s="2">
        <f t="shared" si="36"/>
        <v>31189.901243269713</v>
      </c>
      <c r="AH25" s="92">
        <f t="shared" si="37"/>
        <v>0.62188200000000005</v>
      </c>
      <c r="AI25" s="92">
        <f t="shared" si="14"/>
        <v>0</v>
      </c>
      <c r="AJ25" s="115">
        <f t="shared" si="54"/>
        <v>3596.4553700819515</v>
      </c>
      <c r="AK25" s="12">
        <f t="shared" si="7"/>
        <v>480.4607922556927</v>
      </c>
      <c r="AL25" s="12">
        <f t="shared" si="22"/>
        <v>-98.13244389439933</v>
      </c>
      <c r="AM25" s="2">
        <f t="shared" si="45"/>
        <v>0</v>
      </c>
      <c r="AN25" s="2">
        <f t="shared" si="46"/>
        <v>0</v>
      </c>
      <c r="AO25" s="2">
        <f t="shared" si="44"/>
        <v>284.62411329264137</v>
      </c>
      <c r="AP25" s="2">
        <f>MAX(0,AO24+AM24)</f>
        <v>284.62411329264137</v>
      </c>
      <c r="AQ25" s="52">
        <f t="shared" si="39"/>
        <v>0</v>
      </c>
      <c r="AR25" s="15"/>
      <c r="AT25" s="103"/>
      <c r="AU25" s="103"/>
      <c r="AV25" s="165"/>
    </row>
    <row r="26" spans="1:48" x14ac:dyDescent="0.25">
      <c r="A26" s="47">
        <f t="shared" si="2"/>
        <v>2037</v>
      </c>
      <c r="B26" s="7">
        <f>B25</f>
        <v>2040</v>
      </c>
      <c r="C26" s="2">
        <f t="shared" si="49"/>
        <v>559.82757879999997</v>
      </c>
      <c r="D26" s="14">
        <f t="shared" si="51"/>
        <v>69.978447349999982</v>
      </c>
      <c r="E26" s="18">
        <f t="shared" si="24"/>
        <v>559.82757879999997</v>
      </c>
      <c r="F26" s="2">
        <f t="shared" si="40"/>
        <v>559.82757879999986</v>
      </c>
      <c r="G26" s="2">
        <f t="shared" si="8"/>
        <v>0</v>
      </c>
      <c r="H26" s="31">
        <f t="shared" si="25"/>
        <v>89.868659820115511</v>
      </c>
      <c r="I26" s="31">
        <f>co2elec_annual!G26*J26</f>
        <v>89.868659820115511</v>
      </c>
      <c r="J26" s="117">
        <f t="shared" si="41"/>
        <v>0.29999999999999982</v>
      </c>
      <c r="K26" s="31">
        <f t="shared" si="42"/>
        <v>469.9589189798844</v>
      </c>
      <c r="L26" s="2">
        <f t="shared" si="43"/>
        <v>469.95891897988446</v>
      </c>
      <c r="M26" s="18">
        <f t="shared" si="53"/>
        <v>36111.890979700001</v>
      </c>
      <c r="N26" s="2">
        <f t="shared" si="26"/>
        <v>1749.5408259999999</v>
      </c>
      <c r="O26" s="2">
        <f t="shared" si="17"/>
        <v>13149.577167775766</v>
      </c>
      <c r="P26" s="2">
        <f t="shared" si="18"/>
        <v>16527.23169854964</v>
      </c>
      <c r="Q26" s="31">
        <f t="shared" si="27"/>
        <v>886.80645500000003</v>
      </c>
      <c r="R26" s="2">
        <f t="shared" si="28"/>
        <v>-50</v>
      </c>
      <c r="S26" s="2">
        <f t="shared" si="29"/>
        <v>-200</v>
      </c>
      <c r="T26" s="2">
        <f t="shared" si="30"/>
        <v>7.2137869999999999</v>
      </c>
      <c r="U26" s="2">
        <f t="shared" si="31"/>
        <v>900</v>
      </c>
      <c r="V26" s="2">
        <f t="shared" si="32"/>
        <v>2344.2730283745932</v>
      </c>
      <c r="W26" s="2">
        <f t="shared" si="33"/>
        <v>300</v>
      </c>
      <c r="X26" s="2">
        <f t="shared" si="34"/>
        <v>497.248017</v>
      </c>
      <c r="Y26" s="33">
        <f>co2elec_annual!D26</f>
        <v>256.19112936698764</v>
      </c>
      <c r="Z26" s="119">
        <f>co2elec_annual!Q26</f>
        <v>28.183445878254037</v>
      </c>
      <c r="AA26" s="2">
        <f>co2elec_annual!G26</f>
        <v>299.56219940038523</v>
      </c>
      <c r="AB26" s="91">
        <f>co2elec_annual!R26</f>
        <v>8.9868659820115564</v>
      </c>
      <c r="AC26" s="92">
        <f>co2elec_annual!K26</f>
        <v>1</v>
      </c>
      <c r="AD26" s="92">
        <f>co2elec_annual!M26</f>
        <v>1.2967395287545675</v>
      </c>
      <c r="AE26" s="17">
        <f t="shared" si="20"/>
        <v>555.75332876737286</v>
      </c>
      <c r="AF26" s="119">
        <f t="shared" si="35"/>
        <v>35342.731824119037</v>
      </c>
      <c r="AG26" s="2">
        <f t="shared" si="36"/>
        <v>31745.654572037085</v>
      </c>
      <c r="AH26" s="92">
        <f t="shared" si="37"/>
        <v>0.62188200000000005</v>
      </c>
      <c r="AI26" s="92">
        <f t="shared" si="14"/>
        <v>0</v>
      </c>
      <c r="AJ26" s="115">
        <f t="shared" si="54"/>
        <v>3596.4553700819515</v>
      </c>
      <c r="AK26" s="12">
        <f t="shared" si="7"/>
        <v>484.53504228832321</v>
      </c>
      <c r="AL26" s="12">
        <f t="shared" si="22"/>
        <v>-4.0742500326305162</v>
      </c>
      <c r="AM26" s="2">
        <f t="shared" si="45"/>
        <v>0</v>
      </c>
      <c r="AN26" s="2">
        <f t="shared" si="46"/>
        <v>0</v>
      </c>
      <c r="AO26" s="2">
        <f t="shared" si="44"/>
        <v>284.62411329264137</v>
      </c>
      <c r="AP26" s="2">
        <f>MAX(0,AO25+AM25)</f>
        <v>284.62411329264137</v>
      </c>
      <c r="AQ26" s="52">
        <f t="shared" si="39"/>
        <v>0</v>
      </c>
      <c r="AR26" s="15"/>
      <c r="AT26" s="103"/>
      <c r="AU26" s="103"/>
      <c r="AV26" s="165"/>
    </row>
    <row r="27" spans="1:48" x14ac:dyDescent="0.25">
      <c r="A27" s="47">
        <f t="shared" si="2"/>
        <v>2038</v>
      </c>
      <c r="B27" s="7">
        <f t="shared" ref="B27:B29" si="56">B26</f>
        <v>2040</v>
      </c>
      <c r="C27" s="2">
        <f t="shared" si="49"/>
        <v>489.84913144999996</v>
      </c>
      <c r="D27" s="14">
        <f t="shared" si="51"/>
        <v>69.978447349999982</v>
      </c>
      <c r="E27" s="18">
        <f t="shared" si="24"/>
        <v>489.84913144999996</v>
      </c>
      <c r="F27" s="2">
        <f t="shared" si="40"/>
        <v>489.84913145000002</v>
      </c>
      <c r="G27" s="2">
        <f t="shared" si="8"/>
        <v>0</v>
      </c>
      <c r="H27" s="31">
        <f t="shared" si="25"/>
        <v>66.402285242273209</v>
      </c>
      <c r="I27" s="31">
        <f>co2elec_annual!G27*J27</f>
        <v>66.402285242273209</v>
      </c>
      <c r="J27" s="117">
        <f t="shared" si="41"/>
        <v>0.25999999999999984</v>
      </c>
      <c r="K27" s="31">
        <f t="shared" si="42"/>
        <v>423.44684620772682</v>
      </c>
      <c r="L27" s="2">
        <f t="shared" si="43"/>
        <v>423.44684620772676</v>
      </c>
      <c r="M27" s="18">
        <f t="shared" si="53"/>
        <v>36601.740111149993</v>
      </c>
      <c r="N27" s="2">
        <f t="shared" si="26"/>
        <v>1749.5408259999999</v>
      </c>
      <c r="O27" s="2">
        <f t="shared" si="17"/>
        <v>13215.979453018039</v>
      </c>
      <c r="P27" s="2">
        <f t="shared" si="18"/>
        <v>16950.678544757367</v>
      </c>
      <c r="Q27" s="31">
        <f t="shared" si="27"/>
        <v>886.80645500000003</v>
      </c>
      <c r="R27" s="2">
        <f t="shared" si="28"/>
        <v>-50</v>
      </c>
      <c r="S27" s="2">
        <f t="shared" si="29"/>
        <v>-200</v>
      </c>
      <c r="T27" s="2">
        <f t="shared" si="30"/>
        <v>7.2137869999999999</v>
      </c>
      <c r="U27" s="2">
        <f t="shared" si="31"/>
        <v>900</v>
      </c>
      <c r="V27" s="2">
        <f t="shared" si="32"/>
        <v>2344.2730283745932</v>
      </c>
      <c r="W27" s="2">
        <f t="shared" si="33"/>
        <v>300</v>
      </c>
      <c r="X27" s="2">
        <f t="shared" si="34"/>
        <v>497.248017</v>
      </c>
      <c r="Y27" s="33">
        <f>co2elec_annual!D27</f>
        <v>224.43967050117254</v>
      </c>
      <c r="Z27" s="119">
        <f>co2elec_annual!Q27</f>
        <v>23.760792054591374</v>
      </c>
      <c r="AA27" s="2">
        <f>co2elec_annual!G27</f>
        <v>255.39340477797404</v>
      </c>
      <c r="AB27" s="91">
        <f>co2elec_annual!R27</f>
        <v>7.6618021433392212</v>
      </c>
      <c r="AC27" s="92">
        <f>co2elec_annual!K27</f>
        <v>1</v>
      </c>
      <c r="AD27" s="92">
        <f>co2elec_annual!M27</f>
        <v>1.3113197283712634</v>
      </c>
      <c r="AE27" s="17">
        <f t="shared" si="20"/>
        <v>479.83307527914656</v>
      </c>
      <c r="AF27" s="119">
        <f t="shared" si="35"/>
        <v>35822.564899398181</v>
      </c>
      <c r="AG27" s="2">
        <f t="shared" si="36"/>
        <v>32225.487647316233</v>
      </c>
      <c r="AH27" s="92">
        <f t="shared" si="37"/>
        <v>0.62188200000000005</v>
      </c>
      <c r="AI27" s="92">
        <f t="shared" si="14"/>
        <v>0</v>
      </c>
      <c r="AJ27" s="115">
        <f t="shared" si="54"/>
        <v>3596.4553700819515</v>
      </c>
      <c r="AK27" s="12">
        <f t="shared" si="7"/>
        <v>494.55109845917036</v>
      </c>
      <c r="AL27" s="12">
        <f t="shared" si="22"/>
        <v>-10.01605617084715</v>
      </c>
      <c r="AM27" s="2">
        <f t="shared" si="45"/>
        <v>0</v>
      </c>
      <c r="AN27" s="2">
        <f t="shared" si="46"/>
        <v>0</v>
      </c>
      <c r="AO27" s="2">
        <f t="shared" si="44"/>
        <v>284.62411329264137</v>
      </c>
      <c r="AP27" s="2">
        <f t="shared" si="48"/>
        <v>284.62411329264137</v>
      </c>
      <c r="AQ27" s="52">
        <f t="shared" si="39"/>
        <v>0</v>
      </c>
      <c r="AR27" s="15"/>
      <c r="AT27" s="103"/>
      <c r="AU27" s="103"/>
      <c r="AV27" s="165"/>
    </row>
    <row r="28" spans="1:48" x14ac:dyDescent="0.25">
      <c r="A28" s="47">
        <f t="shared" si="2"/>
        <v>2039</v>
      </c>
      <c r="B28" s="7">
        <f t="shared" si="56"/>
        <v>2040</v>
      </c>
      <c r="C28" s="2">
        <f t="shared" si="49"/>
        <v>419.87068409999995</v>
      </c>
      <c r="D28" s="14">
        <f t="shared" si="51"/>
        <v>69.978447349999982</v>
      </c>
      <c r="E28" s="18">
        <f t="shared" si="24"/>
        <v>419.87068409999995</v>
      </c>
      <c r="F28" s="2">
        <f t="shared" si="40"/>
        <v>419.87068410000001</v>
      </c>
      <c r="G28" s="2">
        <f t="shared" si="8"/>
        <v>0</v>
      </c>
      <c r="H28" s="31">
        <f t="shared" si="25"/>
        <v>52.631322200355235</v>
      </c>
      <c r="I28" s="31">
        <f>co2elec_annual!G28*J28</f>
        <v>52.631322200355235</v>
      </c>
      <c r="J28" s="117">
        <f t="shared" si="41"/>
        <v>0.21999999999999983</v>
      </c>
      <c r="K28" s="31">
        <f t="shared" si="42"/>
        <v>367.23936189964479</v>
      </c>
      <c r="L28" s="2">
        <f t="shared" si="43"/>
        <v>367.23936189964473</v>
      </c>
      <c r="M28" s="18">
        <f t="shared" si="53"/>
        <v>37021.610795249995</v>
      </c>
      <c r="N28" s="2">
        <f t="shared" si="26"/>
        <v>1749.5408259999999</v>
      </c>
      <c r="O28" s="2">
        <f t="shared" si="17"/>
        <v>13268.610775218394</v>
      </c>
      <c r="P28" s="2">
        <f t="shared" si="18"/>
        <v>17317.917906657014</v>
      </c>
      <c r="Q28" s="31">
        <f t="shared" si="27"/>
        <v>886.80645500000003</v>
      </c>
      <c r="R28" s="2">
        <f t="shared" si="28"/>
        <v>-50</v>
      </c>
      <c r="S28" s="2">
        <f t="shared" si="29"/>
        <v>-200</v>
      </c>
      <c r="T28" s="2">
        <f t="shared" si="30"/>
        <v>7.2137869999999999</v>
      </c>
      <c r="U28" s="2">
        <f t="shared" si="31"/>
        <v>900</v>
      </c>
      <c r="V28" s="2">
        <f t="shared" si="32"/>
        <v>2344.2730283745932</v>
      </c>
      <c r="W28" s="2">
        <f t="shared" si="33"/>
        <v>300</v>
      </c>
      <c r="X28" s="2">
        <f t="shared" si="34"/>
        <v>497.248017</v>
      </c>
      <c r="Y28" s="33">
        <f>co2elec_annual!D28</f>
        <v>198.63091697309756</v>
      </c>
      <c r="Z28" s="119">
        <f>co2elec_annual!Q28</f>
        <v>21.35677756542967</v>
      </c>
      <c r="AA28" s="2">
        <f>co2elec_annual!G28</f>
        <v>239.23328272888762</v>
      </c>
      <c r="AB28" s="91">
        <f>co2elec_annual!R28</f>
        <v>7.1769984818666286</v>
      </c>
      <c r="AC28" s="92">
        <f>co2elec_annual!K28</f>
        <v>1</v>
      </c>
      <c r="AD28" s="92">
        <f>co2elec_annual!M28</f>
        <v>1.3666134979168658</v>
      </c>
      <c r="AE28" s="17">
        <f t="shared" si="20"/>
        <v>437.86419970198517</v>
      </c>
      <c r="AF28" s="119">
        <f t="shared" si="35"/>
        <v>36260.429099100169</v>
      </c>
      <c r="AG28" s="2">
        <f t="shared" si="36"/>
        <v>32663.351847018217</v>
      </c>
      <c r="AH28" s="92">
        <f t="shared" si="37"/>
        <v>0.62188200000000005</v>
      </c>
      <c r="AI28" s="92">
        <f t="shared" si="14"/>
        <v>0</v>
      </c>
      <c r="AJ28" s="115">
        <f t="shared" si="54"/>
        <v>3596.4553700819515</v>
      </c>
      <c r="AK28" s="12">
        <f t="shared" si="7"/>
        <v>476.5575828571848</v>
      </c>
      <c r="AL28" s="12">
        <f t="shared" si="22"/>
        <v>17.993515601985564</v>
      </c>
      <c r="AM28" s="2">
        <f t="shared" si="45"/>
        <v>0</v>
      </c>
      <c r="AN28" s="2">
        <f t="shared" si="46"/>
        <v>0</v>
      </c>
      <c r="AO28" s="2">
        <f t="shared" si="44"/>
        <v>284.62411329264137</v>
      </c>
      <c r="AP28" s="2">
        <f t="shared" si="48"/>
        <v>284.62411329264137</v>
      </c>
      <c r="AQ28" s="52">
        <f t="shared" si="39"/>
        <v>0</v>
      </c>
      <c r="AR28" s="15"/>
      <c r="AT28" s="103"/>
      <c r="AU28" s="103"/>
      <c r="AV28" s="165"/>
    </row>
    <row r="29" spans="1:48" x14ac:dyDescent="0.25">
      <c r="A29" s="47">
        <f t="shared" si="2"/>
        <v>2040</v>
      </c>
      <c r="B29" s="7">
        <f t="shared" si="56"/>
        <v>2040</v>
      </c>
      <c r="C29" s="2">
        <f t="shared" si="49"/>
        <v>349.89223674999994</v>
      </c>
      <c r="D29" s="14">
        <f t="shared" si="51"/>
        <v>69.978447349999982</v>
      </c>
      <c r="E29" s="18">
        <f t="shared" si="24"/>
        <v>349.89223674999994</v>
      </c>
      <c r="F29" s="2">
        <f t="shared" si="40"/>
        <v>349.89223675</v>
      </c>
      <c r="G29" s="2">
        <f t="shared" si="8"/>
        <v>0</v>
      </c>
      <c r="H29" s="31">
        <f t="shared" si="25"/>
        <v>40.153168922364173</v>
      </c>
      <c r="I29" s="31">
        <f>co2elec_annual!G29*J29</f>
        <v>40.153168922364173</v>
      </c>
      <c r="J29" s="117">
        <f t="shared" si="41"/>
        <v>0.17999999999999983</v>
      </c>
      <c r="K29" s="31">
        <f t="shared" si="42"/>
        <v>309.73906782763584</v>
      </c>
      <c r="L29" s="2">
        <f t="shared" si="43"/>
        <v>309.73906782763578</v>
      </c>
      <c r="M29" s="18">
        <f t="shared" si="47"/>
        <v>37371.503032000001</v>
      </c>
      <c r="N29" s="2">
        <f t="shared" si="26"/>
        <v>1749.5408259999999</v>
      </c>
      <c r="O29" s="2">
        <f t="shared" si="17"/>
        <v>13308.763944140759</v>
      </c>
      <c r="P29" s="2">
        <f t="shared" si="18"/>
        <v>17627.656974484649</v>
      </c>
      <c r="Q29" s="31">
        <f t="shared" si="27"/>
        <v>886.80645500000003</v>
      </c>
      <c r="R29" s="2">
        <f t="shared" si="28"/>
        <v>-50</v>
      </c>
      <c r="S29" s="2">
        <f t="shared" si="29"/>
        <v>-200</v>
      </c>
      <c r="T29" s="2">
        <f t="shared" si="30"/>
        <v>7.2137869999999999</v>
      </c>
      <c r="U29" s="2">
        <f t="shared" si="31"/>
        <v>900</v>
      </c>
      <c r="V29" s="2">
        <f t="shared" si="32"/>
        <v>2344.2730283745932</v>
      </c>
      <c r="W29" s="2">
        <f t="shared" si="33"/>
        <v>300</v>
      </c>
      <c r="X29" s="2">
        <f t="shared" si="34"/>
        <v>497.248017</v>
      </c>
      <c r="Y29" s="33">
        <f>co2elec_annual!D29</f>
        <v>172.82216344502251</v>
      </c>
      <c r="Z29" s="119">
        <f>co2elec_annual!Q29</f>
        <v>18.952763076267971</v>
      </c>
      <c r="AA29" s="2">
        <f>co2elec_annual!G29</f>
        <v>223.07316067980119</v>
      </c>
      <c r="AB29" s="91">
        <f>co2elec_annual!R29</f>
        <v>6.6921948203940351</v>
      </c>
      <c r="AC29" s="92">
        <f>co2elec_annual!K29</f>
        <v>1</v>
      </c>
      <c r="AD29" s="92">
        <f>co2elec_annual!M29</f>
        <v>1.4359344594463581</v>
      </c>
      <c r="AE29" s="17">
        <f t="shared" si="20"/>
        <v>395.89532412482367</v>
      </c>
      <c r="AF29" s="119">
        <f t="shared" si="35"/>
        <v>36656.324423224993</v>
      </c>
      <c r="AG29" s="2">
        <f t="shared" si="36"/>
        <v>33059.247171143041</v>
      </c>
      <c r="AH29" s="92">
        <f t="shared" si="37"/>
        <v>0.62188200000000005</v>
      </c>
      <c r="AI29" s="92">
        <f t="shared" si="14"/>
        <v>0</v>
      </c>
      <c r="AJ29" s="115">
        <f t="shared" si="54"/>
        <v>3596.4553700819515</v>
      </c>
      <c r="AK29" s="12">
        <f t="shared" si="7"/>
        <v>430.55449548236652</v>
      </c>
      <c r="AL29" s="12">
        <f t="shared" si="22"/>
        <v>46.003087374818278</v>
      </c>
      <c r="AM29" s="2">
        <f t="shared" si="45"/>
        <v>0</v>
      </c>
      <c r="AN29" s="2">
        <f t="shared" si="46"/>
        <v>0</v>
      </c>
      <c r="AO29" s="2">
        <f t="shared" si="44"/>
        <v>284.62411329264137</v>
      </c>
      <c r="AP29" s="2">
        <f t="shared" si="48"/>
        <v>284.62411329264137</v>
      </c>
      <c r="AQ29" s="52">
        <f t="shared" si="39"/>
        <v>0</v>
      </c>
      <c r="AR29" s="15"/>
      <c r="AT29" s="103"/>
      <c r="AU29" s="103"/>
      <c r="AV29" s="165"/>
    </row>
    <row r="30" spans="1:48" x14ac:dyDescent="0.25">
      <c r="A30" s="47">
        <f t="shared" si="2"/>
        <v>2041</v>
      </c>
      <c r="B30" s="7">
        <f>B29+5</f>
        <v>2045</v>
      </c>
      <c r="C30" s="2">
        <f t="shared" si="49"/>
        <v>279.91378939999993</v>
      </c>
      <c r="D30" s="14">
        <f t="shared" si="51"/>
        <v>69.978447349999982</v>
      </c>
      <c r="E30" s="18">
        <f t="shared" si="24"/>
        <v>279.91378939999993</v>
      </c>
      <c r="F30" s="2">
        <f t="shared" si="40"/>
        <v>279.91378940000004</v>
      </c>
      <c r="G30" s="2">
        <f t="shared" si="8"/>
        <v>0</v>
      </c>
      <c r="H30" s="31">
        <f t="shared" si="25"/>
        <v>31.082204866751027</v>
      </c>
      <c r="I30" s="31">
        <f>co2elec_annual!G30*J30</f>
        <v>31.082204866751027</v>
      </c>
      <c r="J30" s="117">
        <f t="shared" si="41"/>
        <v>0.13999999999999982</v>
      </c>
      <c r="K30" s="31">
        <f t="shared" si="42"/>
        <v>248.83158453324904</v>
      </c>
      <c r="L30" s="2">
        <f t="shared" si="43"/>
        <v>248.8315845332489</v>
      </c>
      <c r="M30" s="18">
        <f t="shared" si="47"/>
        <v>37651.416821399995</v>
      </c>
      <c r="N30" s="2">
        <f t="shared" si="26"/>
        <v>1749.5408259999999</v>
      </c>
      <c r="O30" s="2">
        <f t="shared" si="17"/>
        <v>13339.84614900751</v>
      </c>
      <c r="P30" s="2">
        <f t="shared" si="18"/>
        <v>17876.488559017896</v>
      </c>
      <c r="Q30" s="31">
        <f t="shared" si="27"/>
        <v>886.80645500000003</v>
      </c>
      <c r="R30" s="2">
        <f t="shared" si="28"/>
        <v>-50</v>
      </c>
      <c r="S30" s="2">
        <f t="shared" si="29"/>
        <v>-200</v>
      </c>
      <c r="T30" s="2">
        <f t="shared" si="30"/>
        <v>7.2137869999999999</v>
      </c>
      <c r="U30" s="2">
        <f t="shared" si="31"/>
        <v>900</v>
      </c>
      <c r="V30" s="2">
        <f t="shared" si="32"/>
        <v>2344.2730283745932</v>
      </c>
      <c r="W30" s="2">
        <f t="shared" si="33"/>
        <v>300</v>
      </c>
      <c r="X30" s="2">
        <f t="shared" si="34"/>
        <v>497.248017</v>
      </c>
      <c r="Y30" s="33">
        <f>co2elec_annual!D30</f>
        <v>178.63536371074454</v>
      </c>
      <c r="Z30" s="119">
        <f>co2elec_annual!Q30</f>
        <v>21.471723318052359</v>
      </c>
      <c r="AA30" s="2">
        <f>co2elec_annual!G30</f>
        <v>222.01574904822192</v>
      </c>
      <c r="AB30" s="91">
        <f>co2elec_annual!R30</f>
        <v>6.6604724714466572</v>
      </c>
      <c r="AC30" s="92">
        <f>co2elec_annual!K30</f>
        <v>1</v>
      </c>
      <c r="AD30" s="92">
        <f>co2elec_annual!M30</f>
        <v>1.261469374519677</v>
      </c>
      <c r="AE30" s="17">
        <f t="shared" si="20"/>
        <v>400.65111275896646</v>
      </c>
      <c r="AF30" s="119">
        <f t="shared" si="35"/>
        <v>37056.975535983962</v>
      </c>
      <c r="AG30" s="2">
        <f t="shared" si="36"/>
        <v>33459.89828390201</v>
      </c>
      <c r="AH30" s="92">
        <f t="shared" si="37"/>
        <v>0.62188200000000005</v>
      </c>
      <c r="AI30" s="92">
        <f t="shared" si="14"/>
        <v>0</v>
      </c>
      <c r="AJ30" s="115">
        <f t="shared" si="54"/>
        <v>3596.4553700819515</v>
      </c>
      <c r="AK30" s="12">
        <f t="shared" si="7"/>
        <v>309.8171721233914</v>
      </c>
      <c r="AL30" s="12">
        <f t="shared" si="22"/>
        <v>120.73732335897512</v>
      </c>
      <c r="AM30" s="2">
        <f t="shared" si="45"/>
        <v>-100</v>
      </c>
      <c r="AN30" s="2">
        <f t="shared" si="46"/>
        <v>-100</v>
      </c>
      <c r="AO30" s="2">
        <f t="shared" si="44"/>
        <v>284.62411329264137</v>
      </c>
      <c r="AP30" s="2">
        <f t="shared" si="48"/>
        <v>284.62411329264137</v>
      </c>
      <c r="AQ30" s="52">
        <f t="shared" si="39"/>
        <v>0</v>
      </c>
      <c r="AR30" s="15"/>
      <c r="AT30" s="103"/>
      <c r="AU30" s="103"/>
      <c r="AV30" s="165"/>
    </row>
    <row r="31" spans="1:48" x14ac:dyDescent="0.25">
      <c r="A31" s="47">
        <f t="shared" si="2"/>
        <v>2042</v>
      </c>
      <c r="B31" s="7">
        <f>B30</f>
        <v>2045</v>
      </c>
      <c r="C31" s="2">
        <f t="shared" si="49"/>
        <v>209.93534204999995</v>
      </c>
      <c r="D31" s="14">
        <f t="shared" si="51"/>
        <v>69.978447349999982</v>
      </c>
      <c r="E31" s="18">
        <f t="shared" si="24"/>
        <v>209.93534204999995</v>
      </c>
      <c r="F31" s="2">
        <f t="shared" si="40"/>
        <v>309.9353420499998</v>
      </c>
      <c r="G31" s="2">
        <f t="shared" si="8"/>
        <v>0</v>
      </c>
      <c r="H31" s="31">
        <f t="shared" si="25"/>
        <v>20.46760897150952</v>
      </c>
      <c r="I31" s="31">
        <f>co2elec_annual!G31*J31</f>
        <v>20.46760897150952</v>
      </c>
      <c r="J31" s="117">
        <f t="shared" si="41"/>
        <v>9.9999999999999811E-2</v>
      </c>
      <c r="K31" s="31">
        <f t="shared" si="42"/>
        <v>289.46773307849026</v>
      </c>
      <c r="L31" s="2">
        <f t="shared" si="43"/>
        <v>189.46773307849043</v>
      </c>
      <c r="M31" s="18">
        <f t="shared" si="47"/>
        <v>37861.352163449999</v>
      </c>
      <c r="N31" s="2">
        <f t="shared" si="26"/>
        <v>1749.5408259999999</v>
      </c>
      <c r="O31" s="2">
        <f t="shared" si="17"/>
        <v>13360.31375797902</v>
      </c>
      <c r="P31" s="2">
        <f t="shared" si="18"/>
        <v>18165.956292096387</v>
      </c>
      <c r="Q31" s="31">
        <f t="shared" si="27"/>
        <v>886.80645500000003</v>
      </c>
      <c r="R31" s="2">
        <f t="shared" si="28"/>
        <v>-50</v>
      </c>
      <c r="S31" s="2">
        <f t="shared" si="29"/>
        <v>-200</v>
      </c>
      <c r="T31" s="2">
        <f t="shared" si="30"/>
        <v>7.2137869999999999</v>
      </c>
      <c r="U31" s="2">
        <f t="shared" si="31"/>
        <v>900</v>
      </c>
      <c r="V31" s="2">
        <f t="shared" si="32"/>
        <v>2244.2730283745932</v>
      </c>
      <c r="W31" s="2">
        <f t="shared" si="33"/>
        <v>300</v>
      </c>
      <c r="X31" s="2">
        <f t="shared" si="34"/>
        <v>497.248017</v>
      </c>
      <c r="Y31" s="33">
        <f>co2elec_annual!D31</f>
        <v>152.41659224686728</v>
      </c>
      <c r="Z31" s="119">
        <f>co2elec_annual!Q31</f>
        <v>18.945166494509316</v>
      </c>
      <c r="AA31" s="2">
        <f>co2elec_annual!G31</f>
        <v>204.67608971509557</v>
      </c>
      <c r="AB31" s="91">
        <f>co2elec_annual!R31</f>
        <v>6.1402826914528665</v>
      </c>
      <c r="AC31" s="92">
        <f>co2elec_annual!K31</f>
        <v>1</v>
      </c>
      <c r="AD31" s="92">
        <f>co2elec_annual!M31</f>
        <v>1.3180397729668196</v>
      </c>
      <c r="AE31" s="17">
        <f t="shared" si="20"/>
        <v>357.09268196196285</v>
      </c>
      <c r="AF31" s="119">
        <f t="shared" si="35"/>
        <v>37414.068217945925</v>
      </c>
      <c r="AG31" s="2">
        <f t="shared" si="36"/>
        <v>33816.990965863974</v>
      </c>
      <c r="AH31" s="92">
        <f t="shared" si="37"/>
        <v>0.62188200000000005</v>
      </c>
      <c r="AI31" s="92">
        <f t="shared" si="14"/>
        <v>0</v>
      </c>
      <c r="AJ31" s="115">
        <f t="shared" si="54"/>
        <v>3596.4553700819515</v>
      </c>
      <c r="AK31" s="12">
        <f t="shared" si="7"/>
        <v>262.65983221143256</v>
      </c>
      <c r="AL31" s="12">
        <f t="shared" si="22"/>
        <v>47.157339911958843</v>
      </c>
      <c r="AM31" s="2">
        <f t="shared" si="45"/>
        <v>-100</v>
      </c>
      <c r="AN31" s="2">
        <f t="shared" si="46"/>
        <v>-100</v>
      </c>
      <c r="AO31" s="2">
        <f t="shared" si="44"/>
        <v>184.62411329264137</v>
      </c>
      <c r="AP31" s="2">
        <f t="shared" si="48"/>
        <v>184.62411329264137</v>
      </c>
      <c r="AQ31" s="52">
        <f t="shared" si="39"/>
        <v>0</v>
      </c>
      <c r="AR31" s="15"/>
      <c r="AT31" s="103"/>
      <c r="AU31" s="103"/>
      <c r="AV31" s="165"/>
    </row>
    <row r="32" spans="1:48" x14ac:dyDescent="0.25">
      <c r="A32" s="47">
        <f t="shared" si="2"/>
        <v>2043</v>
      </c>
      <c r="B32" s="7">
        <f t="shared" ref="B32:B34" si="57">B31</f>
        <v>2045</v>
      </c>
      <c r="C32" s="2">
        <f t="shared" si="49"/>
        <v>139.95689469999996</v>
      </c>
      <c r="D32" s="14">
        <f t="shared" si="51"/>
        <v>69.978447349999982</v>
      </c>
      <c r="E32" s="18">
        <f t="shared" si="24"/>
        <v>139.95689469999996</v>
      </c>
      <c r="F32" s="2">
        <f t="shared" si="40"/>
        <v>239.95689469999994</v>
      </c>
      <c r="G32" s="2">
        <f t="shared" si="8"/>
        <v>0</v>
      </c>
      <c r="H32" s="31">
        <f t="shared" si="25"/>
        <v>11.240185822918116</v>
      </c>
      <c r="I32" s="31">
        <f>co2elec_annual!G32*J32</f>
        <v>11.240185822918116</v>
      </c>
      <c r="J32" s="117">
        <f t="shared" si="41"/>
        <v>5.999999999999981E-2</v>
      </c>
      <c r="K32" s="31">
        <f t="shared" si="42"/>
        <v>228.71670887708183</v>
      </c>
      <c r="L32" s="2">
        <f t="shared" si="43"/>
        <v>128.71670887708186</v>
      </c>
      <c r="M32" s="18">
        <f t="shared" si="47"/>
        <v>38001.309058149993</v>
      </c>
      <c r="N32" s="2">
        <f t="shared" si="26"/>
        <v>1749.5408259999999</v>
      </c>
      <c r="O32" s="2">
        <f t="shared" si="17"/>
        <v>13371.553943801939</v>
      </c>
      <c r="P32" s="2">
        <f t="shared" si="18"/>
        <v>18394.673000973467</v>
      </c>
      <c r="Q32" s="31">
        <f t="shared" si="27"/>
        <v>886.80645500000003</v>
      </c>
      <c r="R32" s="2">
        <f t="shared" si="28"/>
        <v>-50</v>
      </c>
      <c r="S32" s="2">
        <f t="shared" si="29"/>
        <v>-200</v>
      </c>
      <c r="T32" s="2">
        <f t="shared" si="30"/>
        <v>7.2137869999999999</v>
      </c>
      <c r="U32" s="2">
        <f t="shared" si="31"/>
        <v>900</v>
      </c>
      <c r="V32" s="2">
        <f t="shared" si="32"/>
        <v>2144.2730283745932</v>
      </c>
      <c r="W32" s="2">
        <f t="shared" si="33"/>
        <v>300</v>
      </c>
      <c r="X32" s="2">
        <f t="shared" si="34"/>
        <v>497.248017</v>
      </c>
      <c r="Y32" s="33">
        <f>co2elec_annual!D32</f>
        <v>126.19782078299002</v>
      </c>
      <c r="Z32" s="119">
        <f>co2elec_annual!Q32</f>
        <v>16.41860967096628</v>
      </c>
      <c r="AA32" s="2">
        <f>co2elec_annual!G32</f>
        <v>187.33643038196919</v>
      </c>
      <c r="AB32" s="91">
        <f>co2elec_annual!R32</f>
        <v>5.6200929114590759</v>
      </c>
      <c r="AC32" s="92">
        <f>co2elec_annual!K32</f>
        <v>1</v>
      </c>
      <c r="AD32" s="92">
        <f>co2elec_annual!M32</f>
        <v>1.392020698745021</v>
      </c>
      <c r="AE32" s="17">
        <f t="shared" si="20"/>
        <v>313.53425116495919</v>
      </c>
      <c r="AF32" s="119">
        <f t="shared" si="35"/>
        <v>37727.602469110883</v>
      </c>
      <c r="AG32" s="2">
        <f t="shared" si="36"/>
        <v>34130.525217028931</v>
      </c>
      <c r="AH32" s="92">
        <f t="shared" si="37"/>
        <v>0.62188200000000005</v>
      </c>
      <c r="AI32" s="92">
        <f t="shared" si="14"/>
        <v>0</v>
      </c>
      <c r="AJ32" s="115">
        <f t="shared" si="54"/>
        <v>3596.4553700819515</v>
      </c>
      <c r="AK32" s="12">
        <f t="shared" si="7"/>
        <v>189.08247574646816</v>
      </c>
      <c r="AL32" s="12">
        <f t="shared" si="22"/>
        <v>73.577356464964396</v>
      </c>
      <c r="AM32" s="2">
        <f t="shared" si="45"/>
        <v>-100</v>
      </c>
      <c r="AN32" s="2">
        <f t="shared" si="46"/>
        <v>-84.624113292641368</v>
      </c>
      <c r="AO32" s="2">
        <f t="shared" si="44"/>
        <v>84.624113292641368</v>
      </c>
      <c r="AP32" s="2">
        <f t="shared" si="48"/>
        <v>84.624113292641368</v>
      </c>
      <c r="AQ32" s="52">
        <f t="shared" si="39"/>
        <v>0</v>
      </c>
      <c r="AR32" s="15"/>
      <c r="AT32" s="103"/>
      <c r="AU32" s="103"/>
      <c r="AV32" s="165"/>
    </row>
    <row r="33" spans="1:48" x14ac:dyDescent="0.25">
      <c r="A33" s="47">
        <f t="shared" si="2"/>
        <v>2044</v>
      </c>
      <c r="B33" s="7">
        <f t="shared" si="57"/>
        <v>2045</v>
      </c>
      <c r="C33" s="2">
        <f t="shared" si="49"/>
        <v>69.978447349999982</v>
      </c>
      <c r="D33" s="14">
        <f t="shared" si="51"/>
        <v>69.978447349999982</v>
      </c>
      <c r="E33" s="18">
        <f t="shared" si="24"/>
        <v>69.978447349999982</v>
      </c>
      <c r="F33" s="2">
        <f t="shared" si="40"/>
        <v>154.60256064264163</v>
      </c>
      <c r="G33" s="2">
        <f t="shared" si="8"/>
        <v>0</v>
      </c>
      <c r="H33" s="31">
        <f t="shared" si="25"/>
        <v>5.0371424858487028</v>
      </c>
      <c r="I33" s="31">
        <f>co2elec_annual!G33*J33</f>
        <v>5.0371424858487028</v>
      </c>
      <c r="J33" s="117">
        <v>0.03</v>
      </c>
      <c r="K33" s="31">
        <f t="shared" si="42"/>
        <v>149.56541815679293</v>
      </c>
      <c r="L33" s="2">
        <f t="shared" si="43"/>
        <v>64.941304864151277</v>
      </c>
      <c r="M33" s="18">
        <f t="shared" si="47"/>
        <v>38071.287505499997</v>
      </c>
      <c r="N33" s="2">
        <f t="shared" si="26"/>
        <v>1749.5408259999999</v>
      </c>
      <c r="O33" s="2">
        <f t="shared" si="17"/>
        <v>13376.591086287788</v>
      </c>
      <c r="P33" s="2">
        <f t="shared" si="18"/>
        <v>18544.238419130259</v>
      </c>
      <c r="Q33" s="31">
        <f t="shared" si="27"/>
        <v>886.80645500000003</v>
      </c>
      <c r="R33" s="2">
        <f t="shared" si="28"/>
        <v>-50</v>
      </c>
      <c r="S33" s="2">
        <f t="shared" si="29"/>
        <v>-200</v>
      </c>
      <c r="T33" s="2">
        <f t="shared" si="30"/>
        <v>7.2137869999999999</v>
      </c>
      <c r="U33" s="2">
        <f t="shared" si="31"/>
        <v>900</v>
      </c>
      <c r="V33" s="2">
        <f t="shared" si="32"/>
        <v>2059.6489150819516</v>
      </c>
      <c r="W33" s="2">
        <f t="shared" si="33"/>
        <v>300</v>
      </c>
      <c r="X33" s="2">
        <f t="shared" si="34"/>
        <v>497.248017</v>
      </c>
      <c r="Y33" s="33">
        <f>co2elec_annual!D33</f>
        <v>51.168408654846587</v>
      </c>
      <c r="Z33" s="119">
        <f>co2elec_annual!Q33</f>
        <v>7.0930226251073609</v>
      </c>
      <c r="AA33" s="2">
        <f>co2elec_annual!G33</f>
        <v>167.9047495282901</v>
      </c>
      <c r="AB33" s="91">
        <f>co2elec_annual!R33</f>
        <v>5.0371424858487028</v>
      </c>
      <c r="AC33" s="92">
        <f>co2elec_annual!K33</f>
        <v>1</v>
      </c>
      <c r="AD33" s="92">
        <f>co2elec_annual!M33</f>
        <v>2.8879619486821162</v>
      </c>
      <c r="AE33" s="17">
        <f t="shared" si="20"/>
        <v>219.07315818313668</v>
      </c>
      <c r="AF33" s="119">
        <f t="shared" si="35"/>
        <v>37946.675627294018</v>
      </c>
      <c r="AG33" s="2">
        <f t="shared" si="36"/>
        <v>34349.598375212066</v>
      </c>
      <c r="AH33" s="92">
        <f t="shared" si="37"/>
        <v>0.62188200000000005</v>
      </c>
      <c r="AI33" s="92">
        <f t="shared" si="14"/>
        <v>0</v>
      </c>
      <c r="AJ33" s="115">
        <f t="shared" si="54"/>
        <v>3596.4553700819515</v>
      </c>
      <c r="AK33" s="12">
        <f t="shared" si="7"/>
        <v>124.61187820597843</v>
      </c>
      <c r="AL33" s="12">
        <f t="shared" si="22"/>
        <v>64.470597540489734</v>
      </c>
      <c r="AM33" s="2">
        <f t="shared" si="45"/>
        <v>-100</v>
      </c>
      <c r="AN33" s="2">
        <f t="shared" si="46"/>
        <v>0</v>
      </c>
      <c r="AO33" s="2">
        <f t="shared" si="44"/>
        <v>0</v>
      </c>
      <c r="AP33" s="2">
        <f t="shared" si="48"/>
        <v>0</v>
      </c>
      <c r="AQ33" s="52">
        <f t="shared" si="39"/>
        <v>0</v>
      </c>
      <c r="AR33" s="15"/>
      <c r="AT33" s="103"/>
      <c r="AU33" s="103"/>
      <c r="AV33" s="165"/>
    </row>
    <row r="34" spans="1:48" x14ac:dyDescent="0.25">
      <c r="A34" s="47">
        <f t="shared" si="2"/>
        <v>2045</v>
      </c>
      <c r="B34" s="7">
        <f t="shared" si="57"/>
        <v>2045</v>
      </c>
      <c r="C34" s="2">
        <f t="shared" si="49"/>
        <v>0</v>
      </c>
      <c r="D34" s="14">
        <f t="shared" si="51"/>
        <v>69.978447349999982</v>
      </c>
      <c r="E34" s="18">
        <f t="shared" si="24"/>
        <v>0</v>
      </c>
      <c r="F34" s="2">
        <f t="shared" si="40"/>
        <v>0</v>
      </c>
      <c r="G34" s="2">
        <f t="shared" si="8"/>
        <v>0</v>
      </c>
      <c r="H34" s="31">
        <f t="shared" si="25"/>
        <v>0</v>
      </c>
      <c r="I34" s="31">
        <f>co2elec_annual!G34*J34</f>
        <v>0</v>
      </c>
      <c r="J34" s="117">
        <v>0</v>
      </c>
      <c r="K34" s="31">
        <f t="shared" si="42"/>
        <v>0</v>
      </c>
      <c r="L34" s="2">
        <f t="shared" si="43"/>
        <v>0</v>
      </c>
      <c r="M34" s="18">
        <f t="shared" si="47"/>
        <v>38071.287505499997</v>
      </c>
      <c r="N34" s="2">
        <f t="shared" si="26"/>
        <v>1749.5408259999999</v>
      </c>
      <c r="O34" s="2">
        <f t="shared" si="17"/>
        <v>13376.591086287788</v>
      </c>
      <c r="P34" s="2">
        <f t="shared" si="18"/>
        <v>18544.238419130259</v>
      </c>
      <c r="Q34" s="31">
        <f t="shared" si="27"/>
        <v>886.80645500000003</v>
      </c>
      <c r="R34" s="2">
        <f t="shared" si="28"/>
        <v>-50</v>
      </c>
      <c r="S34" s="2">
        <f t="shared" si="29"/>
        <v>-200</v>
      </c>
      <c r="T34" s="2">
        <f t="shared" si="30"/>
        <v>7.2137869999999999</v>
      </c>
      <c r="U34" s="2">
        <f t="shared" si="31"/>
        <v>900</v>
      </c>
      <c r="V34" s="2">
        <f t="shared" si="32"/>
        <v>2059.6489150819516</v>
      </c>
      <c r="W34" s="2">
        <f t="shared" si="33"/>
        <v>300</v>
      </c>
      <c r="X34" s="2">
        <f t="shared" si="34"/>
        <v>497.248017</v>
      </c>
      <c r="Y34" s="33">
        <f>co2elec_annual!D34</f>
        <v>-23.861003473296847</v>
      </c>
      <c r="Z34" s="119">
        <f>co2elec_annual!Q34</f>
        <v>-2.2325644207515563</v>
      </c>
      <c r="AA34" s="2">
        <f>co2elec_annual!G34</f>
        <v>148.47306867461103</v>
      </c>
      <c r="AB34" s="91">
        <f>co2elec_annual!R34</f>
        <v>4.4541920602383307</v>
      </c>
      <c r="AC34" s="92">
        <f>co2elec_annual!K34</f>
        <v>1</v>
      </c>
      <c r="AD34" s="92">
        <f>co2elec_annual!M34</f>
        <v>-8.113411738508697</v>
      </c>
      <c r="AE34" s="17">
        <f t="shared" si="20"/>
        <v>124.61206520131418</v>
      </c>
      <c r="AF34" s="119">
        <f t="shared" si="35"/>
        <v>38071.287692495331</v>
      </c>
      <c r="AG34" s="2">
        <f t="shared" si="36"/>
        <v>34474.210440413379</v>
      </c>
      <c r="AH34" s="92">
        <f t="shared" si="37"/>
        <v>0.62188200000000005</v>
      </c>
      <c r="AI34" s="92">
        <f t="shared" si="14"/>
        <v>0</v>
      </c>
      <c r="AJ34" s="115">
        <f t="shared" si="54"/>
        <v>3596.4553700819515</v>
      </c>
      <c r="AK34" s="12">
        <f t="shared" si="7"/>
        <v>-1.8699533393373713E-4</v>
      </c>
      <c r="AL34" s="12">
        <f t="shared" si="22"/>
        <v>124.61206520131236</v>
      </c>
      <c r="AM34" s="2">
        <f t="shared" si="45"/>
        <v>-100</v>
      </c>
      <c r="AN34" s="2">
        <f t="shared" si="46"/>
        <v>0</v>
      </c>
      <c r="AO34" s="2">
        <f t="shared" si="44"/>
        <v>0</v>
      </c>
      <c r="AP34" s="2">
        <f t="shared" si="48"/>
        <v>0</v>
      </c>
      <c r="AQ34" s="52">
        <f t="shared" si="39"/>
        <v>0</v>
      </c>
      <c r="AR34" s="15"/>
      <c r="AT34" s="103"/>
      <c r="AU34" s="103"/>
      <c r="AV34" s="165"/>
    </row>
    <row r="35" spans="1:48" x14ac:dyDescent="0.25">
      <c r="A35" s="47">
        <f t="shared" si="2"/>
        <v>2046</v>
      </c>
      <c r="B35" s="7">
        <f>B34+5</f>
        <v>2050</v>
      </c>
      <c r="C35" s="2">
        <f t="shared" si="49"/>
        <v>0</v>
      </c>
      <c r="D35" s="14">
        <v>0</v>
      </c>
      <c r="E35" s="18">
        <f t="shared" si="24"/>
        <v>0</v>
      </c>
      <c r="F35" s="2">
        <f t="shared" si="40"/>
        <v>0</v>
      </c>
      <c r="G35" s="2">
        <f t="shared" si="8"/>
        <v>0</v>
      </c>
      <c r="H35" s="2">
        <f t="shared" ref="H35:H39" si="58">J35*E35</f>
        <v>0</v>
      </c>
      <c r="I35" s="2">
        <f t="shared" ref="I35:I39" si="59">E35-L35-G35</f>
        <v>0</v>
      </c>
      <c r="J35" s="9">
        <v>0</v>
      </c>
      <c r="K35" s="31">
        <f t="shared" si="42"/>
        <v>0</v>
      </c>
      <c r="L35" s="2">
        <f t="shared" si="43"/>
        <v>0</v>
      </c>
      <c r="M35" s="18">
        <f t="shared" si="47"/>
        <v>38071.287505499997</v>
      </c>
      <c r="N35" s="2">
        <f t="shared" si="26"/>
        <v>1749.5408259999999</v>
      </c>
      <c r="O35" s="2">
        <f t="shared" si="17"/>
        <v>13376.591086287788</v>
      </c>
      <c r="P35" s="2">
        <f t="shared" si="18"/>
        <v>18544.238419130259</v>
      </c>
      <c r="Q35" s="31">
        <f t="shared" si="27"/>
        <v>886.80645500000003</v>
      </c>
      <c r="R35" s="2">
        <f t="shared" si="28"/>
        <v>-50</v>
      </c>
      <c r="S35" s="2">
        <f t="shared" si="29"/>
        <v>-200</v>
      </c>
      <c r="T35" s="2">
        <f t="shared" si="30"/>
        <v>7.2137869999999999</v>
      </c>
      <c r="U35" s="2">
        <f t="shared" si="31"/>
        <v>900</v>
      </c>
      <c r="V35" s="2">
        <f t="shared" si="32"/>
        <v>2059.6489150819516</v>
      </c>
      <c r="W35" s="2">
        <f t="shared" si="33"/>
        <v>300</v>
      </c>
      <c r="X35" s="2">
        <f t="shared" si="34"/>
        <v>497.248017</v>
      </c>
      <c r="Y35" s="33">
        <f>co2elec_annual!D35</f>
        <v>-128.17679999999999</v>
      </c>
      <c r="Z35" s="119">
        <f>co2elec_annual!Q35</f>
        <v>-15.637569599999997</v>
      </c>
      <c r="AA35" s="2">
        <f>co2elec_annual!G35</f>
        <v>128.17676999999998</v>
      </c>
      <c r="AB35" s="91">
        <f>co2elec_annual!R35</f>
        <v>3.8453030999999993</v>
      </c>
      <c r="AC35" s="92">
        <f>co2elec_annual!K35</f>
        <v>1</v>
      </c>
      <c r="AD35" s="92">
        <f>co2elec_annual!M35</f>
        <v>-0.99999976594828388</v>
      </c>
      <c r="AE35" s="17">
        <f t="shared" si="20"/>
        <v>-3.000000000952241E-5</v>
      </c>
      <c r="AF35" s="119">
        <f t="shared" si="35"/>
        <v>38071.287662495328</v>
      </c>
      <c r="AG35" s="2">
        <f t="shared" si="36"/>
        <v>34474.210410413376</v>
      </c>
      <c r="AH35" s="92">
        <f t="shared" si="37"/>
        <v>0.62188200000000005</v>
      </c>
      <c r="AI35" s="92">
        <f t="shared" si="14"/>
        <v>0</v>
      </c>
      <c r="AJ35" s="115">
        <f t="shared" si="54"/>
        <v>3596.4553700819515</v>
      </c>
      <c r="AK35" s="12">
        <f t="shared" si="7"/>
        <v>-1.5699533105362207E-4</v>
      </c>
      <c r="AL35" s="12">
        <f t="shared" si="22"/>
        <v>-3.0000002880115062E-5</v>
      </c>
      <c r="AM35" s="2">
        <f t="shared" si="45"/>
        <v>-100</v>
      </c>
      <c r="AN35" s="2">
        <f t="shared" si="46"/>
        <v>0</v>
      </c>
      <c r="AO35" s="2">
        <f t="shared" si="44"/>
        <v>0</v>
      </c>
      <c r="AP35" s="2">
        <f t="shared" si="48"/>
        <v>0</v>
      </c>
      <c r="AQ35" s="52">
        <f t="shared" si="39"/>
        <v>0</v>
      </c>
      <c r="AR35" s="15"/>
      <c r="AT35" s="103"/>
      <c r="AU35" s="103"/>
      <c r="AV35" s="165"/>
    </row>
    <row r="36" spans="1:48" x14ac:dyDescent="0.25">
      <c r="A36" s="47">
        <f t="shared" si="2"/>
        <v>2047</v>
      </c>
      <c r="B36" s="7">
        <f>B35</f>
        <v>2050</v>
      </c>
      <c r="C36" s="2">
        <f t="shared" si="49"/>
        <v>0</v>
      </c>
      <c r="D36" s="14">
        <v>0</v>
      </c>
      <c r="E36" s="18">
        <f t="shared" si="24"/>
        <v>0</v>
      </c>
      <c r="F36" s="2">
        <f t="shared" si="40"/>
        <v>0</v>
      </c>
      <c r="G36" s="2">
        <f t="shared" si="8"/>
        <v>0</v>
      </c>
      <c r="H36" s="2">
        <f t="shared" si="58"/>
        <v>0</v>
      </c>
      <c r="I36" s="2">
        <f t="shared" si="59"/>
        <v>0</v>
      </c>
      <c r="J36" s="9">
        <v>0</v>
      </c>
      <c r="K36" s="31">
        <f t="shared" si="42"/>
        <v>0</v>
      </c>
      <c r="L36" s="2">
        <f t="shared" si="43"/>
        <v>0</v>
      </c>
      <c r="M36" s="18">
        <f t="shared" si="47"/>
        <v>38071.287505499997</v>
      </c>
      <c r="N36" s="2">
        <f t="shared" si="26"/>
        <v>1749.5408259999999</v>
      </c>
      <c r="O36" s="2">
        <f t="shared" si="17"/>
        <v>13376.591086287788</v>
      </c>
      <c r="P36" s="2">
        <f t="shared" si="18"/>
        <v>18544.238419130259</v>
      </c>
      <c r="Q36" s="31">
        <f t="shared" si="27"/>
        <v>886.80645500000003</v>
      </c>
      <c r="R36" s="2">
        <f t="shared" si="28"/>
        <v>-50</v>
      </c>
      <c r="S36" s="2">
        <f t="shared" si="29"/>
        <v>-200</v>
      </c>
      <c r="T36" s="2">
        <f t="shared" si="30"/>
        <v>7.2137869999999999</v>
      </c>
      <c r="U36" s="2">
        <f t="shared" si="31"/>
        <v>900</v>
      </c>
      <c r="V36" s="2">
        <f t="shared" si="32"/>
        <v>2059.6489150819516</v>
      </c>
      <c r="W36" s="2">
        <f t="shared" si="33"/>
        <v>300</v>
      </c>
      <c r="X36" s="2">
        <f t="shared" si="34"/>
        <v>497.248017</v>
      </c>
      <c r="Y36" s="33">
        <f>co2elec_annual!D36</f>
        <v>-128.17679999999999</v>
      </c>
      <c r="Z36" s="119">
        <f>co2elec_annual!Q36</f>
        <v>-15.637569599999997</v>
      </c>
      <c r="AA36" s="2">
        <f>co2elec_annual!G36</f>
        <v>128.17676999999998</v>
      </c>
      <c r="AB36" s="91">
        <f>co2elec_annual!R36</f>
        <v>3.8453030999999993</v>
      </c>
      <c r="AC36" s="92">
        <f>co2elec_annual!K36</f>
        <v>1</v>
      </c>
      <c r="AD36" s="92">
        <f>co2elec_annual!M36</f>
        <v>-0.99999976594828388</v>
      </c>
      <c r="AE36" s="17">
        <f t="shared" si="20"/>
        <v>-3.000000000952241E-5</v>
      </c>
      <c r="AF36" s="119">
        <f t="shared" si="35"/>
        <v>38071.287632495325</v>
      </c>
      <c r="AG36" s="2">
        <f t="shared" si="36"/>
        <v>34474.210380413373</v>
      </c>
      <c r="AH36" s="92">
        <f t="shared" si="37"/>
        <v>0.62188200000000005</v>
      </c>
      <c r="AI36" s="92">
        <f t="shared" si="14"/>
        <v>0</v>
      </c>
      <c r="AJ36" s="115">
        <f t="shared" si="54"/>
        <v>3596.4553700819515</v>
      </c>
      <c r="AK36" s="12">
        <f t="shared" si="7"/>
        <v>-1.26995328173507E-4</v>
      </c>
      <c r="AL36" s="12">
        <f t="shared" si="22"/>
        <v>-3.0000002880115062E-5</v>
      </c>
      <c r="AM36" s="2">
        <f t="shared" si="45"/>
        <v>-100</v>
      </c>
      <c r="AN36" s="2">
        <f t="shared" si="46"/>
        <v>0</v>
      </c>
      <c r="AO36" s="2">
        <f t="shared" si="44"/>
        <v>0</v>
      </c>
      <c r="AP36" s="2">
        <f t="shared" si="48"/>
        <v>0</v>
      </c>
      <c r="AQ36" s="52">
        <f t="shared" si="39"/>
        <v>0</v>
      </c>
      <c r="AR36" s="15"/>
      <c r="AT36" s="103"/>
      <c r="AU36" s="103"/>
      <c r="AV36" s="165"/>
    </row>
    <row r="37" spans="1:48" x14ac:dyDescent="0.25">
      <c r="A37" s="47">
        <f t="shared" si="2"/>
        <v>2048</v>
      </c>
      <c r="B37" s="7">
        <f t="shared" ref="B37:B39" si="60">B36</f>
        <v>2050</v>
      </c>
      <c r="C37" s="2">
        <f t="shared" si="49"/>
        <v>0</v>
      </c>
      <c r="D37" s="14">
        <v>0</v>
      </c>
      <c r="E37" s="18">
        <f t="shared" si="24"/>
        <v>0</v>
      </c>
      <c r="F37" s="2">
        <f t="shared" si="40"/>
        <v>0</v>
      </c>
      <c r="G37" s="2">
        <f t="shared" si="8"/>
        <v>0</v>
      </c>
      <c r="H37" s="2">
        <f t="shared" si="58"/>
        <v>0</v>
      </c>
      <c r="I37" s="2">
        <f t="shared" si="59"/>
        <v>0</v>
      </c>
      <c r="J37" s="9">
        <v>0</v>
      </c>
      <c r="K37" s="31">
        <f t="shared" si="42"/>
        <v>0</v>
      </c>
      <c r="L37" s="2">
        <f t="shared" si="43"/>
        <v>0</v>
      </c>
      <c r="M37" s="18">
        <f t="shared" si="47"/>
        <v>38071.287505499997</v>
      </c>
      <c r="N37" s="2">
        <f t="shared" si="26"/>
        <v>1749.5408259999999</v>
      </c>
      <c r="O37" s="2">
        <f t="shared" si="17"/>
        <v>13376.591086287788</v>
      </c>
      <c r="P37" s="2">
        <f t="shared" si="18"/>
        <v>18544.238419130259</v>
      </c>
      <c r="Q37" s="31">
        <f t="shared" si="27"/>
        <v>886.80645500000003</v>
      </c>
      <c r="R37" s="2">
        <f t="shared" si="28"/>
        <v>-50</v>
      </c>
      <c r="S37" s="2">
        <f t="shared" si="29"/>
        <v>-200</v>
      </c>
      <c r="T37" s="2">
        <f t="shared" si="30"/>
        <v>7.2137869999999999</v>
      </c>
      <c r="U37" s="2">
        <f t="shared" si="31"/>
        <v>900</v>
      </c>
      <c r="V37" s="2">
        <f t="shared" si="32"/>
        <v>2059.6489150819516</v>
      </c>
      <c r="W37" s="2">
        <f t="shared" si="33"/>
        <v>300</v>
      </c>
      <c r="X37" s="2">
        <f t="shared" si="34"/>
        <v>497.248017</v>
      </c>
      <c r="Y37" s="33">
        <f>co2elec_annual!D37</f>
        <v>-128.17679999999999</v>
      </c>
      <c r="Z37" s="119">
        <f>co2elec_annual!Q37</f>
        <v>-15.637569599999997</v>
      </c>
      <c r="AA37" s="2">
        <f>co2elec_annual!G37</f>
        <v>128.17676999999998</v>
      </c>
      <c r="AB37" s="91">
        <f>co2elec_annual!R37</f>
        <v>3.8453030999999993</v>
      </c>
      <c r="AC37" s="92">
        <f>co2elec_annual!K37</f>
        <v>1</v>
      </c>
      <c r="AD37" s="92">
        <f>co2elec_annual!M37</f>
        <v>-0.99999976594828388</v>
      </c>
      <c r="AE37" s="17">
        <f t="shared" si="20"/>
        <v>-3.000000000952241E-5</v>
      </c>
      <c r="AF37" s="119">
        <f t="shared" si="35"/>
        <v>38071.287602495322</v>
      </c>
      <c r="AG37" s="2">
        <f t="shared" si="36"/>
        <v>34474.21035041337</v>
      </c>
      <c r="AH37" s="92">
        <f t="shared" si="37"/>
        <v>0.62188200000000005</v>
      </c>
      <c r="AI37" s="92">
        <f t="shared" si="14"/>
        <v>0</v>
      </c>
      <c r="AJ37" s="115">
        <f t="shared" si="54"/>
        <v>3596.4553700819515</v>
      </c>
      <c r="AK37" s="12">
        <f t="shared" si="7"/>
        <v>-9.6995325293391943E-5</v>
      </c>
      <c r="AL37" s="12">
        <f t="shared" si="22"/>
        <v>-3.0000002880115062E-5</v>
      </c>
      <c r="AM37" s="2">
        <f t="shared" si="45"/>
        <v>-100</v>
      </c>
      <c r="AN37" s="2">
        <f t="shared" si="46"/>
        <v>0</v>
      </c>
      <c r="AO37" s="2">
        <f t="shared" si="44"/>
        <v>0</v>
      </c>
      <c r="AP37" s="2">
        <f t="shared" si="48"/>
        <v>0</v>
      </c>
      <c r="AQ37" s="52">
        <f t="shared" si="39"/>
        <v>0</v>
      </c>
      <c r="AR37" s="15"/>
      <c r="AT37" s="103"/>
      <c r="AU37" s="103"/>
      <c r="AV37" s="165"/>
    </row>
    <row r="38" spans="1:48" x14ac:dyDescent="0.25">
      <c r="A38" s="47">
        <f t="shared" si="2"/>
        <v>2049</v>
      </c>
      <c r="B38" s="7">
        <f t="shared" si="60"/>
        <v>2050</v>
      </c>
      <c r="C38" s="2">
        <f t="shared" si="49"/>
        <v>0</v>
      </c>
      <c r="D38" s="14">
        <v>0</v>
      </c>
      <c r="E38" s="18">
        <f t="shared" si="24"/>
        <v>0</v>
      </c>
      <c r="F38" s="2">
        <f t="shared" si="40"/>
        <v>0</v>
      </c>
      <c r="G38" s="2">
        <f t="shared" si="8"/>
        <v>0</v>
      </c>
      <c r="H38" s="2">
        <f t="shared" si="58"/>
        <v>0</v>
      </c>
      <c r="I38" s="2">
        <f t="shared" si="59"/>
        <v>0</v>
      </c>
      <c r="J38" s="9">
        <v>0</v>
      </c>
      <c r="K38" s="31">
        <f t="shared" si="42"/>
        <v>0</v>
      </c>
      <c r="L38" s="2">
        <f t="shared" si="43"/>
        <v>0</v>
      </c>
      <c r="M38" s="18">
        <f t="shared" si="47"/>
        <v>38071.287505499997</v>
      </c>
      <c r="N38" s="2">
        <f t="shared" si="26"/>
        <v>1749.5408259999999</v>
      </c>
      <c r="O38" s="2">
        <f t="shared" si="17"/>
        <v>13376.591086287788</v>
      </c>
      <c r="P38" s="2">
        <f t="shared" si="18"/>
        <v>18544.238419130259</v>
      </c>
      <c r="Q38" s="31">
        <f t="shared" si="27"/>
        <v>886.80645500000003</v>
      </c>
      <c r="R38" s="2">
        <f t="shared" si="28"/>
        <v>-50</v>
      </c>
      <c r="S38" s="2">
        <f t="shared" si="29"/>
        <v>-200</v>
      </c>
      <c r="T38" s="2">
        <f t="shared" si="30"/>
        <v>7.2137869999999999</v>
      </c>
      <c r="U38" s="2">
        <f t="shared" si="31"/>
        <v>900</v>
      </c>
      <c r="V38" s="2">
        <f t="shared" si="32"/>
        <v>2059.6489150819516</v>
      </c>
      <c r="W38" s="2">
        <f t="shared" si="33"/>
        <v>300</v>
      </c>
      <c r="X38" s="2">
        <f t="shared" si="34"/>
        <v>497.248017</v>
      </c>
      <c r="Y38" s="33">
        <f>co2elec_annual!D38</f>
        <v>-128.17679999999999</v>
      </c>
      <c r="Z38" s="119">
        <f>co2elec_annual!Q38</f>
        <v>-15.637569599999997</v>
      </c>
      <c r="AA38" s="2">
        <f>co2elec_annual!G38</f>
        <v>128.17676999999998</v>
      </c>
      <c r="AB38" s="91">
        <f>co2elec_annual!R38</f>
        <v>3.8453030999999993</v>
      </c>
      <c r="AC38" s="92">
        <f>co2elec_annual!K38</f>
        <v>1</v>
      </c>
      <c r="AD38" s="92">
        <f>co2elec_annual!M38</f>
        <v>-0.99999976594828388</v>
      </c>
      <c r="AE38" s="17">
        <f t="shared" si="20"/>
        <v>-3.000000000952241E-5</v>
      </c>
      <c r="AF38" s="119">
        <f t="shared" si="35"/>
        <v>38071.287572495319</v>
      </c>
      <c r="AG38" s="2">
        <f t="shared" si="36"/>
        <v>34474.210320413367</v>
      </c>
      <c r="AH38" s="92">
        <f t="shared" si="37"/>
        <v>0.62188200000000005</v>
      </c>
      <c r="AI38" s="92">
        <f t="shared" si="14"/>
        <v>0</v>
      </c>
      <c r="AJ38" s="115">
        <f t="shared" si="54"/>
        <v>3596.4553700819515</v>
      </c>
      <c r="AK38" s="12">
        <f t="shared" si="7"/>
        <v>-6.6995322413276881E-5</v>
      </c>
      <c r="AL38" s="12">
        <f t="shared" si="22"/>
        <v>-3.0000002880115062E-5</v>
      </c>
      <c r="AM38" s="2">
        <f t="shared" si="45"/>
        <v>-100</v>
      </c>
      <c r="AN38" s="2">
        <f t="shared" si="46"/>
        <v>0</v>
      </c>
      <c r="AO38" s="2">
        <f t="shared" si="44"/>
        <v>0</v>
      </c>
      <c r="AP38" s="2">
        <f t="shared" si="48"/>
        <v>0</v>
      </c>
      <c r="AQ38" s="52">
        <f t="shared" si="39"/>
        <v>0</v>
      </c>
      <c r="AR38" s="15"/>
      <c r="AT38" s="103"/>
      <c r="AU38" s="103"/>
      <c r="AV38" s="165"/>
    </row>
    <row r="39" spans="1:48" ht="14.25" thickBot="1" x14ac:dyDescent="0.3">
      <c r="A39" s="53">
        <f t="shared" si="2"/>
        <v>2050</v>
      </c>
      <c r="B39" s="54">
        <f t="shared" si="60"/>
        <v>2050</v>
      </c>
      <c r="C39" s="2">
        <f t="shared" si="3"/>
        <v>0</v>
      </c>
      <c r="D39" s="55">
        <v>0</v>
      </c>
      <c r="E39" s="56">
        <f t="shared" si="24"/>
        <v>0</v>
      </c>
      <c r="F39" s="4">
        <f t="shared" si="40"/>
        <v>0</v>
      </c>
      <c r="G39" s="4">
        <f t="shared" si="8"/>
        <v>0</v>
      </c>
      <c r="H39" s="4">
        <f t="shared" si="58"/>
        <v>0</v>
      </c>
      <c r="I39" s="4">
        <f t="shared" si="59"/>
        <v>0</v>
      </c>
      <c r="J39" s="57">
        <v>0</v>
      </c>
      <c r="K39" s="31">
        <f t="shared" si="42"/>
        <v>0</v>
      </c>
      <c r="L39" s="4">
        <f t="shared" si="43"/>
        <v>0</v>
      </c>
      <c r="M39" s="56">
        <f t="shared" si="47"/>
        <v>38071.287505499997</v>
      </c>
      <c r="N39" s="2">
        <f t="shared" si="26"/>
        <v>1749.5408259999999</v>
      </c>
      <c r="O39" s="4">
        <f t="shared" si="17"/>
        <v>13376.591086287788</v>
      </c>
      <c r="P39" s="4">
        <f t="shared" si="18"/>
        <v>18544.238419130259</v>
      </c>
      <c r="Q39" s="31">
        <f t="shared" si="27"/>
        <v>886.80645500000003</v>
      </c>
      <c r="R39" s="2">
        <f t="shared" si="28"/>
        <v>-50</v>
      </c>
      <c r="S39" s="2">
        <f t="shared" si="29"/>
        <v>-200</v>
      </c>
      <c r="T39" s="2">
        <f t="shared" si="30"/>
        <v>7.2137869999999999</v>
      </c>
      <c r="U39" s="2">
        <f t="shared" si="31"/>
        <v>900</v>
      </c>
      <c r="V39" s="2">
        <f t="shared" si="32"/>
        <v>2059.6489150819516</v>
      </c>
      <c r="W39" s="2">
        <f t="shared" si="33"/>
        <v>300</v>
      </c>
      <c r="X39" s="2">
        <f t="shared" si="34"/>
        <v>497.248017</v>
      </c>
      <c r="Y39" s="33">
        <f>co2elec_annual!D39</f>
        <v>-128.17679999999999</v>
      </c>
      <c r="Z39" s="119">
        <f>co2elec_annual!Q39</f>
        <v>-15.637569599999997</v>
      </c>
      <c r="AA39" s="4">
        <f>co2elec_annual!G39</f>
        <v>128.17676999999998</v>
      </c>
      <c r="AB39" s="91">
        <f>co2elec_annual!R39</f>
        <v>3.8453030999999993</v>
      </c>
      <c r="AC39" s="93">
        <f>co2elec_annual!K39</f>
        <v>1</v>
      </c>
      <c r="AD39" s="93">
        <f>co2elec_annual!M39</f>
        <v>-0.99999976594828388</v>
      </c>
      <c r="AE39" s="58">
        <f t="shared" si="20"/>
        <v>-3.000000000952241E-5</v>
      </c>
      <c r="AF39" s="119">
        <f t="shared" si="35"/>
        <v>38071.287542495316</v>
      </c>
      <c r="AG39" s="4">
        <f t="shared" si="36"/>
        <v>34474.210290413364</v>
      </c>
      <c r="AH39" s="111">
        <f t="shared" si="37"/>
        <v>0.62188200000000005</v>
      </c>
      <c r="AI39" s="111">
        <f t="shared" si="14"/>
        <v>0</v>
      </c>
      <c r="AJ39" s="116">
        <f t="shared" si="54"/>
        <v>3596.4553700819515</v>
      </c>
      <c r="AK39" s="12">
        <f t="shared" si="7"/>
        <v>-3.6995319533161819E-5</v>
      </c>
      <c r="AL39" s="59">
        <f t="shared" si="22"/>
        <v>-3.0000002880115062E-5</v>
      </c>
      <c r="AM39" s="4">
        <f t="shared" si="45"/>
        <v>-100</v>
      </c>
      <c r="AN39" s="4">
        <f t="shared" si="46"/>
        <v>0</v>
      </c>
      <c r="AO39" s="4">
        <f t="shared" si="44"/>
        <v>0</v>
      </c>
      <c r="AP39" s="4">
        <f t="shared" si="48"/>
        <v>0</v>
      </c>
      <c r="AQ39" s="52">
        <f t="shared" si="39"/>
        <v>0</v>
      </c>
      <c r="AR39" s="15"/>
      <c r="AT39" s="103"/>
      <c r="AU39" s="103"/>
      <c r="AV39" s="165"/>
    </row>
    <row r="40" spans="1:48" x14ac:dyDescent="0.25">
      <c r="A40" s="64" t="s">
        <v>24</v>
      </c>
      <c r="B40" s="65"/>
      <c r="C40" s="66"/>
      <c r="D40" s="66"/>
      <c r="E40" s="66">
        <f>SUM(E2:E39)</f>
        <v>35912.07171650001</v>
      </c>
      <c r="F40" s="66">
        <f>SUM(F2:F39)</f>
        <v>32315.61634641805</v>
      </c>
      <c r="G40" s="66"/>
      <c r="H40" s="66">
        <f>SUM(H2:H39)</f>
        <v>13447.520823287787</v>
      </c>
      <c r="I40" s="66"/>
      <c r="J40" s="66"/>
      <c r="K40" s="66">
        <f>SUM(K2:K39)</f>
        <v>18772.445919130256</v>
      </c>
      <c r="L40" s="66">
        <f>SUM(L2:L39)</f>
        <v>21732.094834212206</v>
      </c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>
        <f>SUM(Y2:Y39)</f>
        <v>16581.109473129225</v>
      </c>
      <c r="Z40" s="66">
        <f t="shared" ref="Z40:AB40" si="61">SUM(Z2:Z39)</f>
        <v>1013.6809666445884</v>
      </c>
      <c r="AA40" s="66">
        <f t="shared" si="61"/>
        <v>18029.203622284153</v>
      </c>
      <c r="AB40" s="66">
        <f t="shared" si="61"/>
        <v>351.38523556240159</v>
      </c>
      <c r="AC40" s="66"/>
      <c r="AD40" s="66"/>
      <c r="AE40" s="66">
        <f>SUM(AE2:AE39)</f>
        <v>34610.313095413367</v>
      </c>
      <c r="AF40" s="66"/>
      <c r="AG40" s="66"/>
      <c r="AH40" s="66"/>
      <c r="AI40" s="66"/>
      <c r="AJ40" s="66"/>
      <c r="AK40" s="66"/>
      <c r="AL40" s="66"/>
      <c r="AM40" s="66"/>
      <c r="AN40" s="66">
        <f>SUM(AN2:AN39)</f>
        <v>3317.2301593219527</v>
      </c>
      <c r="AO40" s="66"/>
      <c r="AP40" s="66"/>
      <c r="AQ40" s="66">
        <f>SUM(AQ2:AQ39)</f>
        <v>3596.4553700819515</v>
      </c>
      <c r="AR40" s="15"/>
    </row>
    <row r="41" spans="1:48" ht="14.25" thickBot="1" x14ac:dyDescent="0.3">
      <c r="A41" s="62" t="s">
        <v>23</v>
      </c>
      <c r="B41" s="63"/>
      <c r="C41" s="61"/>
      <c r="D41" s="61"/>
      <c r="E41" s="61">
        <f>SUM(E10:E39)</f>
        <v>21021.193210500001</v>
      </c>
      <c r="F41" s="61">
        <f>SUM(F10:F39)</f>
        <v>19349.289309418051</v>
      </c>
      <c r="G41" s="61"/>
      <c r="H41" s="61">
        <f>SUM(H10:H39)</f>
        <v>6787.6869882877872</v>
      </c>
      <c r="I41" s="61"/>
      <c r="J41" s="61"/>
      <c r="K41" s="61">
        <f>SUM(K10:K39)</f>
        <v>12535.985419130264</v>
      </c>
      <c r="L41" s="61">
        <f>SUM(L10:L39)</f>
        <v>13822.884342212214</v>
      </c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>
        <f>SUM(Y10:Y39)</f>
        <v>8578.7845299714299</v>
      </c>
      <c r="Z41" s="61">
        <f t="shared" ref="Z41:AB41" si="62">SUM(Z10:Z39)</f>
        <v>1013.6809666445884</v>
      </c>
      <c r="AA41" s="61">
        <f t="shared" si="62"/>
        <v>12349.096753441958</v>
      </c>
      <c r="AB41" s="61">
        <f t="shared" si="62"/>
        <v>351.38523556240159</v>
      </c>
      <c r="AC41" s="61"/>
      <c r="AD41" s="61"/>
      <c r="AE41" s="61">
        <f>SUM(AE10:AE39)</f>
        <v>20927.881283413382</v>
      </c>
      <c r="AF41" s="61"/>
      <c r="AG41" s="61"/>
      <c r="AH41" s="61"/>
      <c r="AI41" s="61"/>
      <c r="AJ41" s="61"/>
      <c r="AK41" s="61"/>
      <c r="AL41" s="61"/>
      <c r="AM41" s="61"/>
      <c r="AN41" s="61">
        <f>SUM(AN10:AN39)</f>
        <v>963.77330808195188</v>
      </c>
      <c r="AO41" s="61"/>
      <c r="AP41" s="61"/>
      <c r="AQ41" s="61">
        <f>SUM(AQ10:AQ39)</f>
        <v>3596.4553700819515</v>
      </c>
      <c r="AR41" s="15"/>
    </row>
    <row r="42" spans="1:48" x14ac:dyDescent="0.25">
      <c r="A42" s="44"/>
      <c r="B42" s="4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8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8" x14ac:dyDescent="0.25">
      <c r="E43" s="10" t="s">
        <v>25</v>
      </c>
      <c r="X43" s="84"/>
    </row>
    <row r="44" spans="1:48" x14ac:dyDescent="0.25">
      <c r="X44" s="84"/>
    </row>
    <row r="45" spans="1:48" x14ac:dyDescent="0.25">
      <c r="X45" s="84"/>
    </row>
    <row r="46" spans="1:48" x14ac:dyDescent="0.25">
      <c r="X46" s="84"/>
    </row>
    <row r="47" spans="1:48" x14ac:dyDescent="0.25">
      <c r="X47" s="84"/>
    </row>
    <row r="48" spans="1:48" x14ac:dyDescent="0.25">
      <c r="I48" s="10">
        <v>764.28974599999992</v>
      </c>
      <c r="J48" s="138">
        <v>638.89520103710288</v>
      </c>
      <c r="K48" s="10">
        <f>J48/I48</f>
        <v>0.83593323655176044</v>
      </c>
      <c r="X48" s="84"/>
    </row>
    <row r="49" spans="9:24" x14ac:dyDescent="0.25">
      <c r="I49" s="10">
        <v>742.78798849999987</v>
      </c>
      <c r="J49" s="138">
        <v>674.50407306501256</v>
      </c>
      <c r="K49" s="10">
        <f t="shared" ref="K49:K76" si="63">J49/I49</f>
        <v>0.90807078669529762</v>
      </c>
      <c r="X49" s="84"/>
    </row>
    <row r="50" spans="9:24" x14ac:dyDescent="0.25">
      <c r="I50" s="10">
        <v>721.28623099999982</v>
      </c>
      <c r="J50" s="138">
        <v>666.29618694926705</v>
      </c>
      <c r="K50" s="10">
        <f t="shared" si="63"/>
        <v>0.92376113436340812</v>
      </c>
      <c r="X50" s="84"/>
    </row>
    <row r="51" spans="9:24" x14ac:dyDescent="0.25">
      <c r="I51" s="10">
        <v>699.78447349999976</v>
      </c>
      <c r="J51" s="138">
        <v>702.1695107434706</v>
      </c>
      <c r="K51" s="10">
        <f t="shared" si="63"/>
        <v>1.0034082454438322</v>
      </c>
      <c r="X51" s="84"/>
    </row>
    <row r="52" spans="9:24" x14ac:dyDescent="0.25">
      <c r="I52" s="10">
        <v>664.79524982499981</v>
      </c>
      <c r="J52" s="138">
        <v>738.04283453767425</v>
      </c>
      <c r="K52" s="10">
        <f t="shared" si="63"/>
        <v>1.1101806680056094</v>
      </c>
      <c r="X52" s="84"/>
    </row>
    <row r="53" spans="9:24" x14ac:dyDescent="0.25">
      <c r="I53" s="10">
        <v>629.80602614999987</v>
      </c>
      <c r="J53" s="138">
        <v>773.91615833187791</v>
      </c>
      <c r="K53" s="10">
        <f t="shared" si="63"/>
        <v>1.2288166930742508</v>
      </c>
      <c r="X53" s="84"/>
    </row>
    <row r="54" spans="9:24" x14ac:dyDescent="0.25">
      <c r="I54" s="10">
        <v>594.81680247499992</v>
      </c>
      <c r="J54" s="138">
        <v>729.61579513228457</v>
      </c>
      <c r="K54" s="10">
        <f t="shared" si="63"/>
        <v>1.2266227048334772</v>
      </c>
      <c r="X54" s="84"/>
    </row>
    <row r="55" spans="9:24" x14ac:dyDescent="0.25">
      <c r="I55" s="10">
        <v>559.82757879999997</v>
      </c>
      <c r="J55" s="138">
        <v>684.87261720110212</v>
      </c>
      <c r="K55" s="10">
        <f t="shared" si="63"/>
        <v>1.2233634839304244</v>
      </c>
      <c r="X55" s="84"/>
    </row>
    <row r="56" spans="9:24" x14ac:dyDescent="0.25">
      <c r="I56" s="10">
        <v>524.83835512500002</v>
      </c>
      <c r="J56" s="138">
        <v>640.12943926991886</v>
      </c>
      <c r="K56" s="10">
        <f t="shared" si="63"/>
        <v>1.2196697002402961</v>
      </c>
      <c r="X56" s="84"/>
    </row>
    <row r="57" spans="9:24" x14ac:dyDescent="0.25">
      <c r="I57" s="10">
        <v>489.84913145000002</v>
      </c>
      <c r="J57" s="138">
        <v>565.00652140012357</v>
      </c>
      <c r="K57" s="10">
        <f t="shared" si="63"/>
        <v>1.1534296686974834</v>
      </c>
      <c r="X57" s="84"/>
    </row>
    <row r="58" spans="9:24" x14ac:dyDescent="0.25">
      <c r="I58" s="10">
        <v>454.85990777500001</v>
      </c>
      <c r="J58" s="138">
        <v>522.54637584278157</v>
      </c>
      <c r="K58" s="10">
        <f t="shared" si="63"/>
        <v>1.148807285299946</v>
      </c>
      <c r="X58" s="84"/>
    </row>
    <row r="59" spans="9:24" x14ac:dyDescent="0.25">
      <c r="I59" s="10">
        <v>419.87068410000001</v>
      </c>
      <c r="J59" s="138">
        <v>480.08623028543963</v>
      </c>
      <c r="K59" s="10">
        <f t="shared" si="63"/>
        <v>1.1434145046694857</v>
      </c>
      <c r="X59" s="84"/>
    </row>
    <row r="60" spans="9:24" x14ac:dyDescent="0.25">
      <c r="I60" s="10">
        <v>384.881460425</v>
      </c>
      <c r="J60" s="138">
        <v>440.7662078526015</v>
      </c>
      <c r="K60" s="10">
        <f t="shared" si="63"/>
        <v>1.1451998944451405</v>
      </c>
      <c r="X60" s="84"/>
    </row>
    <row r="61" spans="9:24" x14ac:dyDescent="0.25">
      <c r="I61" s="10">
        <v>349.89223675</v>
      </c>
      <c r="J61" s="138">
        <v>401.44618541976337</v>
      </c>
      <c r="K61" s="10">
        <f t="shared" si="63"/>
        <v>1.147342362175926</v>
      </c>
      <c r="X61" s="84"/>
    </row>
    <row r="62" spans="9:24" x14ac:dyDescent="0.25">
      <c r="I62" s="10">
        <v>314.90301307499999</v>
      </c>
      <c r="J62" s="138">
        <v>351.56599106439097</v>
      </c>
      <c r="K62" s="10">
        <f t="shared" si="63"/>
        <v>1.1164262533768103</v>
      </c>
      <c r="X62" s="84"/>
    </row>
    <row r="63" spans="9:24" x14ac:dyDescent="0.25">
      <c r="I63" s="10">
        <v>279.91378939999998</v>
      </c>
      <c r="J63" s="138">
        <v>313.39260270367777</v>
      </c>
      <c r="K63" s="10">
        <f t="shared" si="63"/>
        <v>1.1196040158487375</v>
      </c>
      <c r="X63" s="84"/>
    </row>
    <row r="64" spans="9:24" x14ac:dyDescent="0.25">
      <c r="I64" s="10">
        <v>244.92456572499998</v>
      </c>
      <c r="J64" s="138">
        <v>275.21921434296462</v>
      </c>
      <c r="K64" s="10">
        <f t="shared" si="63"/>
        <v>1.1236897104555013</v>
      </c>
      <c r="X64" s="84"/>
    </row>
    <row r="65" spans="9:24" x14ac:dyDescent="0.25">
      <c r="I65" s="10">
        <v>209.93534204999997</v>
      </c>
      <c r="J65" s="138">
        <v>252.67821024984713</v>
      </c>
      <c r="K65" s="10">
        <f t="shared" si="63"/>
        <v>1.2036001550880706</v>
      </c>
      <c r="X65" s="84"/>
    </row>
    <row r="66" spans="9:24" x14ac:dyDescent="0.25">
      <c r="I66" s="10">
        <v>174.94611837499997</v>
      </c>
      <c r="J66" s="138">
        <v>230.1372061567296</v>
      </c>
      <c r="K66" s="10">
        <f t="shared" si="63"/>
        <v>1.3154747775736675</v>
      </c>
      <c r="X66" s="84"/>
    </row>
    <row r="67" spans="9:24" x14ac:dyDescent="0.25">
      <c r="I67" s="10">
        <v>139.95689469999996</v>
      </c>
      <c r="J67" s="127">
        <v>240.59016293742553</v>
      </c>
      <c r="K67" s="10">
        <f t="shared" si="63"/>
        <v>1.7190304447175306</v>
      </c>
      <c r="X67" s="84"/>
    </row>
    <row r="68" spans="9:24" x14ac:dyDescent="0.25">
      <c r="I68" s="10">
        <v>104.96767102499997</v>
      </c>
      <c r="J68" s="127">
        <v>214.46664143930798</v>
      </c>
      <c r="K68" s="10">
        <f t="shared" si="63"/>
        <v>2.0431685236517141</v>
      </c>
      <c r="X68" s="84"/>
    </row>
    <row r="69" spans="9:24" x14ac:dyDescent="0.25">
      <c r="I69" s="10">
        <v>69.978447349999982</v>
      </c>
      <c r="J69" s="127">
        <v>188.34311994119051</v>
      </c>
      <c r="K69" s="10">
        <f t="shared" si="63"/>
        <v>2.6914446815200819</v>
      </c>
      <c r="X69" s="84"/>
    </row>
    <row r="70" spans="9:24" x14ac:dyDescent="0.25">
      <c r="I70" s="10">
        <v>34.989223674999991</v>
      </c>
      <c r="J70" s="127">
        <v>167.57144240869616</v>
      </c>
      <c r="K70" s="10">
        <f t="shared" si="63"/>
        <v>4.789230077385997</v>
      </c>
      <c r="X70" s="84"/>
    </row>
    <row r="71" spans="9:24" x14ac:dyDescent="0.25">
      <c r="I71" s="10">
        <v>0</v>
      </c>
      <c r="J71" s="127">
        <v>146.79976487620178</v>
      </c>
      <c r="K71" s="10" t="e">
        <f t="shared" si="63"/>
        <v>#DIV/0!</v>
      </c>
      <c r="X71" s="84"/>
    </row>
    <row r="72" spans="9:24" x14ac:dyDescent="0.25">
      <c r="I72" s="10">
        <v>0</v>
      </c>
      <c r="J72" s="127">
        <v>128.17676999999998</v>
      </c>
      <c r="K72" s="10" t="e">
        <f t="shared" si="63"/>
        <v>#DIV/0!</v>
      </c>
      <c r="X72" s="84"/>
    </row>
    <row r="73" spans="9:24" x14ac:dyDescent="0.25">
      <c r="I73" s="10">
        <v>0</v>
      </c>
      <c r="J73" s="127">
        <v>128.17676999999998</v>
      </c>
      <c r="K73" s="10" t="e">
        <f t="shared" si="63"/>
        <v>#DIV/0!</v>
      </c>
      <c r="X73" s="84"/>
    </row>
    <row r="74" spans="9:24" x14ac:dyDescent="0.25">
      <c r="I74" s="10">
        <v>0</v>
      </c>
      <c r="J74" s="127">
        <v>128.17676999999998</v>
      </c>
      <c r="K74" s="10" t="e">
        <f t="shared" si="63"/>
        <v>#DIV/0!</v>
      </c>
      <c r="X74" s="84"/>
    </row>
    <row r="75" spans="9:24" x14ac:dyDescent="0.25">
      <c r="I75" s="10">
        <v>0</v>
      </c>
      <c r="J75" s="127">
        <v>128.17676999999998</v>
      </c>
      <c r="K75" s="10" t="e">
        <f t="shared" si="63"/>
        <v>#DIV/0!</v>
      </c>
      <c r="X75" s="84"/>
    </row>
    <row r="76" spans="9:24" ht="14.25" thickBot="1" x14ac:dyDescent="0.3">
      <c r="I76" s="10">
        <v>0</v>
      </c>
      <c r="J76" s="128">
        <v>128.17676999999998</v>
      </c>
      <c r="K76" s="10" t="e">
        <f t="shared" si="63"/>
        <v>#DIV/0!</v>
      </c>
      <c r="X76" s="84"/>
    </row>
    <row r="77" spans="9:24" x14ac:dyDescent="0.25">
      <c r="X77" s="84"/>
    </row>
    <row r="78" spans="9:24" x14ac:dyDescent="0.25">
      <c r="X78" s="84"/>
    </row>
    <row r="79" spans="9:24" x14ac:dyDescent="0.25">
      <c r="X79" s="84"/>
    </row>
    <row r="80" spans="9:24" x14ac:dyDescent="0.25">
      <c r="X80" s="84"/>
    </row>
    <row r="81" spans="24:24" x14ac:dyDescent="0.25">
      <c r="X81" s="8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zoomScale="145" zoomScaleNormal="145" workbookViewId="0">
      <selection activeCell="A20" sqref="A20"/>
    </sheetView>
  </sheetViews>
  <sheetFormatPr baseColWidth="10" defaultRowHeight="13.5" x14ac:dyDescent="0.25"/>
  <cols>
    <col min="1" max="3" width="8.6640625" style="8" customWidth="1"/>
    <col min="4" max="24" width="10.1640625" style="8" customWidth="1"/>
    <col min="25" max="25" width="10.5" style="8" bestFit="1" customWidth="1"/>
    <col min="26" max="27" width="10.1640625" style="8" customWidth="1"/>
    <col min="28" max="16384" width="12" style="8"/>
  </cols>
  <sheetData>
    <row r="1" spans="1:34" ht="41.25" thickBot="1" x14ac:dyDescent="0.3">
      <c r="A1" s="79" t="s">
        <v>30</v>
      </c>
      <c r="B1" s="80" t="s">
        <v>31</v>
      </c>
      <c r="C1" s="90" t="s">
        <v>1</v>
      </c>
      <c r="D1" s="97" t="s">
        <v>85</v>
      </c>
      <c r="E1" s="89" t="s">
        <v>86</v>
      </c>
      <c r="F1" s="80" t="s">
        <v>73</v>
      </c>
      <c r="G1" s="80" t="s">
        <v>56</v>
      </c>
      <c r="H1" s="80" t="s">
        <v>55</v>
      </c>
      <c r="I1" s="159" t="s">
        <v>54</v>
      </c>
      <c r="J1" s="97" t="s">
        <v>32</v>
      </c>
      <c r="K1" s="89" t="s">
        <v>33</v>
      </c>
      <c r="L1" s="89" t="s">
        <v>45</v>
      </c>
      <c r="M1" s="97" t="s">
        <v>34</v>
      </c>
      <c r="N1" s="89" t="s">
        <v>35</v>
      </c>
      <c r="O1" s="89" t="s">
        <v>50</v>
      </c>
      <c r="P1" s="97" t="s">
        <v>52</v>
      </c>
      <c r="Q1" s="89" t="s">
        <v>53</v>
      </c>
      <c r="R1" s="159" t="s">
        <v>51</v>
      </c>
      <c r="S1" s="89" t="s">
        <v>13</v>
      </c>
      <c r="T1" s="89" t="s">
        <v>104</v>
      </c>
      <c r="U1" s="89" t="s">
        <v>22</v>
      </c>
      <c r="V1" s="89" t="s">
        <v>109</v>
      </c>
      <c r="W1" s="89" t="s">
        <v>106</v>
      </c>
      <c r="X1" s="89" t="s">
        <v>68</v>
      </c>
      <c r="Y1" s="89" t="s">
        <v>69</v>
      </c>
      <c r="Z1" s="89" t="s">
        <v>91</v>
      </c>
      <c r="AA1" s="159" t="s">
        <v>14</v>
      </c>
      <c r="AB1" s="76"/>
    </row>
    <row r="2" spans="1:34" x14ac:dyDescent="0.25">
      <c r="A2" s="51">
        <v>2020</v>
      </c>
      <c r="B2" s="30">
        <v>2020</v>
      </c>
      <c r="C2" s="94">
        <v>2020</v>
      </c>
      <c r="D2" s="98">
        <f>EUETS_annual!H9</f>
        <v>738.64079000000038</v>
      </c>
      <c r="E2" s="81">
        <f>EUETS_annual!I9</f>
        <v>990.44226700000308</v>
      </c>
      <c r="F2" s="81">
        <f>EUETS_annual!G9</f>
        <v>28.623086000000001</v>
      </c>
      <c r="G2" s="81">
        <f>EUETS_annual!L9</f>
        <v>1154.1302700000001</v>
      </c>
      <c r="H2" s="81">
        <f>EUETS_annual!K9</f>
        <v>778.50500000000011</v>
      </c>
      <c r="I2" s="126">
        <f>EUETS_annual!F9</f>
        <v>1545.7688760000005</v>
      </c>
      <c r="J2" s="98">
        <f>EUETS_annual!AK8</f>
        <v>1385.4961659999994</v>
      </c>
      <c r="K2" s="81">
        <f>EUETS_annual!AK9</f>
        <v>1578.7724260000032</v>
      </c>
      <c r="L2" s="81">
        <f>EUETS_annual!AL9</f>
        <v>-193.27626000000373</v>
      </c>
      <c r="M2" s="98">
        <f>EUETS_annual!AO8</f>
        <v>1297.124722</v>
      </c>
      <c r="N2" s="81">
        <f>EUETS_annual!AO9</f>
        <v>1924.551469</v>
      </c>
      <c r="O2" s="81">
        <f t="shared" ref="O2:O12" si="0">(N2-M2+R2)/1</f>
        <v>627.42674699999998</v>
      </c>
      <c r="P2" s="98">
        <f>EUETS_annual!AJ8</f>
        <v>0</v>
      </c>
      <c r="Q2" s="81">
        <f>EUETS_annual!AJ9</f>
        <v>0</v>
      </c>
      <c r="R2" s="126">
        <f>Q2-P2</f>
        <v>0</v>
      </c>
      <c r="S2" s="81">
        <f>EUETS_annual!Y9</f>
        <v>718.75494315779861</v>
      </c>
      <c r="T2" s="81">
        <f>EUETS_annual!Z9</f>
        <v>0</v>
      </c>
      <c r="U2" s="81">
        <f>co2elec_annual!O41</f>
        <v>633.64486084220198</v>
      </c>
      <c r="V2" s="81">
        <f>co2elec_annual!I41</f>
        <v>633.64486084220198</v>
      </c>
      <c r="W2" s="81">
        <f>EUETS_annual!AB9</f>
        <v>0</v>
      </c>
      <c r="X2" s="81">
        <f>co2elec_annual!K41</f>
        <v>1</v>
      </c>
      <c r="Y2" s="81">
        <f>co2elec_annual!M41</f>
        <v>0.88158678680988045</v>
      </c>
      <c r="Z2" s="81">
        <f>EUETS_annual!AI9</f>
        <v>9.2812000000000006E-2</v>
      </c>
      <c r="AA2" s="126">
        <f>EUETS_annual!AE9</f>
        <v>1352.3998040000006</v>
      </c>
      <c r="AB2" s="102"/>
      <c r="AC2" s="10"/>
      <c r="AD2" s="10"/>
      <c r="AE2" s="10"/>
      <c r="AG2" s="10"/>
      <c r="AH2" s="10"/>
    </row>
    <row r="3" spans="1:34" x14ac:dyDescent="0.25">
      <c r="A3" s="51">
        <f>A2+1</f>
        <v>2021</v>
      </c>
      <c r="B3" s="30">
        <f t="shared" ref="B3:C3" si="1">B2+1</f>
        <v>2021</v>
      </c>
      <c r="C3" s="94">
        <f t="shared" si="1"/>
        <v>2021</v>
      </c>
      <c r="D3" s="98">
        <f>EUETS_annual!H10</f>
        <v>552.2913410000001</v>
      </c>
      <c r="E3" s="81">
        <f>EUETS_annual!I10</f>
        <v>937.29631900000254</v>
      </c>
      <c r="F3" s="81">
        <f>EUETS_annual!G10</f>
        <v>25.616902000000014</v>
      </c>
      <c r="G3" s="81">
        <f>EUETS_annual!L10</f>
        <v>906.07811500000025</v>
      </c>
      <c r="H3" s="81">
        <f>EUETS_annual!K10</f>
        <v>582.95250000000033</v>
      </c>
      <c r="I3" s="126">
        <f>EUETS_annual!F10</f>
        <v>1160.8607430000004</v>
      </c>
      <c r="J3" s="98">
        <f>EUETS_annual!AK9</f>
        <v>1578.7724260000032</v>
      </c>
      <c r="K3" s="81">
        <f>EUETS_annual!AK10</f>
        <v>1449.2141820000052</v>
      </c>
      <c r="L3" s="81">
        <f>EUETS_annual!AL10</f>
        <v>129.55824399999801</v>
      </c>
      <c r="M3" s="98">
        <f>EUETS_annual!AO9</f>
        <v>1924.551469</v>
      </c>
      <c r="N3" s="81">
        <f>EUETS_annual!AO10</f>
        <v>2632.6820619999999</v>
      </c>
      <c r="O3" s="81">
        <f t="shared" si="0"/>
        <v>708.13059299999986</v>
      </c>
      <c r="P3" s="98">
        <f>EUETS_annual!AJ9</f>
        <v>0</v>
      </c>
      <c r="Q3" s="81">
        <f>EUETS_annual!AJ10</f>
        <v>0</v>
      </c>
      <c r="R3" s="126">
        <f t="shared" ref="R3:R12" si="2">Q3-P3</f>
        <v>0</v>
      </c>
      <c r="S3" s="81">
        <f>EUETS_annual!Y10</f>
        <v>653.98292997142676</v>
      </c>
      <c r="T3" s="81">
        <f>EUETS_annual!Z10</f>
        <v>0</v>
      </c>
      <c r="U3" s="81">
        <f>co2elec_annual!O42</f>
        <v>636.25556802857386</v>
      </c>
      <c r="V3" s="81">
        <f>co2elec_annual!I42</f>
        <v>636.25556802857386</v>
      </c>
      <c r="W3" s="81">
        <f>EUETS_annual!AB10</f>
        <v>0</v>
      </c>
      <c r="X3" s="81">
        <f>co2elec_annual!K42</f>
        <v>1</v>
      </c>
      <c r="Y3" s="81">
        <f>co2elec_annual!M42</f>
        <v>0.97289323447077214</v>
      </c>
      <c r="Z3" s="81">
        <f>EUETS_annual!AI10</f>
        <v>0.18048900000000007</v>
      </c>
      <c r="AA3" s="126">
        <f>EUETS_annual!AE10</f>
        <v>1290.2384980000006</v>
      </c>
      <c r="AB3" s="102"/>
      <c r="AC3" s="10"/>
    </row>
    <row r="4" spans="1:34" x14ac:dyDescent="0.25">
      <c r="A4" s="51">
        <f t="shared" ref="A4:A10" si="3">A3+1</f>
        <v>2022</v>
      </c>
      <c r="B4" s="30">
        <f t="shared" ref="B4:B11" si="4">B3+1</f>
        <v>2022</v>
      </c>
      <c r="C4" s="94">
        <f t="shared" ref="C4:C11" si="5">C3+1</f>
        <v>2022</v>
      </c>
      <c r="D4" s="98">
        <f>EUETS_annual!H11</f>
        <v>575.00568093339257</v>
      </c>
      <c r="E4" s="81">
        <f>EUETS_annual!I11</f>
        <v>575.00568093339257</v>
      </c>
      <c r="F4" s="81">
        <f>EUETS_annual!G11</f>
        <v>0</v>
      </c>
      <c r="G4" s="81">
        <f>EUETS_annual!L11</f>
        <v>953.57381106660728</v>
      </c>
      <c r="H4" s="81">
        <f>EUETS_annual!K11</f>
        <v>605.76240738660613</v>
      </c>
      <c r="I4" s="126">
        <f>EUETS_annual!F11</f>
        <v>1180.7680883199987</v>
      </c>
      <c r="J4" s="98">
        <f>EUETS_annual!AK10</f>
        <v>1449.2141820000052</v>
      </c>
      <c r="K4" s="81">
        <f>EUETS_annual!AK11</f>
        <v>1384.4689692828983</v>
      </c>
      <c r="L4" s="81">
        <f>EUETS_annual!AL11</f>
        <v>64.745212717106824</v>
      </c>
      <c r="M4" s="98">
        <f>EUETS_annual!AO10</f>
        <v>2632.6820619999999</v>
      </c>
      <c r="N4" s="81">
        <f>EUETS_annual!AO11</f>
        <v>2980.493465680001</v>
      </c>
      <c r="O4" s="81">
        <f t="shared" si="0"/>
        <v>347.81140368000115</v>
      </c>
      <c r="P4" s="98">
        <f>EUETS_annual!AJ10</f>
        <v>0</v>
      </c>
      <c r="Q4" s="81">
        <f>EUETS_annual!AJ11</f>
        <v>0</v>
      </c>
      <c r="R4" s="126">
        <f t="shared" si="2"/>
        <v>0</v>
      </c>
      <c r="S4" s="81">
        <f>EUETS_annual!Y11</f>
        <v>606.61810000000003</v>
      </c>
      <c r="T4" s="81">
        <f>EUETS_annual!Z11</f>
        <v>80.107406857655931</v>
      </c>
      <c r="U4" s="81">
        <f>co2elec_annual!O43</f>
        <v>638.89520103710288</v>
      </c>
      <c r="V4" s="81">
        <f>co2elec_annual!I43</f>
        <v>638.89520103710288</v>
      </c>
      <c r="W4" s="81">
        <f>EUETS_annual!AB11</f>
        <v>19.166856031113085</v>
      </c>
      <c r="X4" s="81">
        <f>co2elec_annual!K43</f>
        <v>1</v>
      </c>
      <c r="Y4" s="81">
        <f>co2elec_annual!M43</f>
        <v>0.97300883381518743</v>
      </c>
      <c r="Z4" s="81">
        <f>EUETS_annual!AI11</f>
        <v>0</v>
      </c>
      <c r="AA4" s="126">
        <f>EUETS_annual!AE11</f>
        <v>1245.5133010371028</v>
      </c>
      <c r="AB4" s="102"/>
      <c r="AC4" s="10"/>
    </row>
    <row r="5" spans="1:34" x14ac:dyDescent="0.25">
      <c r="A5" s="51">
        <f t="shared" si="3"/>
        <v>2023</v>
      </c>
      <c r="B5" s="30">
        <f t="shared" si="4"/>
        <v>2023</v>
      </c>
      <c r="C5" s="94">
        <f t="shared" si="5"/>
        <v>2023</v>
      </c>
      <c r="D5" s="98">
        <f>EUETS_annual!H12</f>
        <v>585.77939209832266</v>
      </c>
      <c r="E5" s="81">
        <f>EUETS_annual!I12</f>
        <v>585.77939209832266</v>
      </c>
      <c r="F5" s="81">
        <f>EUETS_annual!G12</f>
        <v>0</v>
      </c>
      <c r="G5" s="81">
        <f>EUETS_annual!L12</f>
        <v>899.79658490167708</v>
      </c>
      <c r="H5" s="81">
        <f>EUETS_annual!K12</f>
        <v>567.52403227378159</v>
      </c>
      <c r="I5" s="126">
        <f>EUETS_annual!F12</f>
        <v>1153.3034243721042</v>
      </c>
      <c r="J5" s="98">
        <f>EUETS_annual!AK11</f>
        <v>1384.4689692828983</v>
      </c>
      <c r="K5" s="81">
        <f>EUETS_annual!AK12</f>
        <v>1286.138265633705</v>
      </c>
      <c r="L5" s="81">
        <f>EUETS_annual!AL12</f>
        <v>98.33070364919331</v>
      </c>
      <c r="M5" s="98">
        <f>EUETS_annual!AO11</f>
        <v>2980.493465680001</v>
      </c>
      <c r="N5" s="81">
        <f>EUETS_annual!AO12</f>
        <v>605.7624073866059</v>
      </c>
      <c r="O5" s="81">
        <f t="shared" si="0"/>
        <v>332.27255262789549</v>
      </c>
      <c r="P5" s="98">
        <f>EUETS_annual!AJ11</f>
        <v>0</v>
      </c>
      <c r="Q5" s="81">
        <f>EUETS_annual!AJ12</f>
        <v>2707.0036109212906</v>
      </c>
      <c r="R5" s="126">
        <f t="shared" si="2"/>
        <v>2707.0036109212906</v>
      </c>
      <c r="S5" s="81">
        <f>EUETS_annual!Y12</f>
        <v>570.49530000000004</v>
      </c>
      <c r="T5" s="81">
        <f>EUETS_annual!Z12</f>
        <v>75.700423163416886</v>
      </c>
      <c r="U5" s="81">
        <f>co2elec_annual!O44</f>
        <v>681.13882802130547</v>
      </c>
      <c r="V5" s="81">
        <f>co2elec_annual!I44</f>
        <v>681.13882802130547</v>
      </c>
      <c r="W5" s="81">
        <f>EUETS_annual!AB12</f>
        <v>20.434164840639163</v>
      </c>
      <c r="X5" s="81">
        <f>co2elec_annual!K44</f>
        <v>1</v>
      </c>
      <c r="Y5" s="81">
        <f>co2elec_annual!M44</f>
        <v>1.0977341148967024</v>
      </c>
      <c r="Z5" s="81">
        <f>EUETS_annual!AI12</f>
        <v>0</v>
      </c>
      <c r="AA5" s="126">
        <f>EUETS_annual!AE12</f>
        <v>1251.6341280213055</v>
      </c>
      <c r="AB5" s="102"/>
      <c r="AC5" s="10"/>
    </row>
    <row r="6" spans="1:34" x14ac:dyDescent="0.25">
      <c r="A6" s="51">
        <f t="shared" si="3"/>
        <v>2024</v>
      </c>
      <c r="B6" s="30">
        <f t="shared" si="4"/>
        <v>2024</v>
      </c>
      <c r="C6" s="94">
        <f t="shared" si="5"/>
        <v>2024</v>
      </c>
      <c r="D6" s="98">
        <f>EUETS_annual!H13</f>
        <v>557.11146304398403</v>
      </c>
      <c r="E6" s="81">
        <f>EUETS_annual!I13</f>
        <v>557.11146304398403</v>
      </c>
      <c r="F6" s="81">
        <f>EUETS_annual!G13</f>
        <v>0</v>
      </c>
      <c r="G6" s="81">
        <f>EUETS_annual!L13</f>
        <v>885.4609989560156</v>
      </c>
      <c r="H6" s="81">
        <f>EUETS_annual!K13</f>
        <v>731.12440707997098</v>
      </c>
      <c r="I6" s="126">
        <f>EUETS_annual!F13</f>
        <v>1288.235870123955</v>
      </c>
      <c r="J6" s="98">
        <f>EUETS_annual!AK12</f>
        <v>1286.138265633705</v>
      </c>
      <c r="K6" s="81">
        <f>EUETS_annual!AK13</f>
        <v>1356.6038125332846</v>
      </c>
      <c r="L6" s="81">
        <f>EUETS_annual!AL13</f>
        <v>-70.465546899579522</v>
      </c>
      <c r="M6" s="98">
        <f>EUETS_annual!AO12</f>
        <v>605.7624073866059</v>
      </c>
      <c r="N6" s="81">
        <f>EUETS_annual!AO13</f>
        <v>567.52403227378159</v>
      </c>
      <c r="O6" s="81">
        <f t="shared" si="0"/>
        <v>154.33659187604485</v>
      </c>
      <c r="P6" s="98">
        <f>EUETS_annual!AJ12</f>
        <v>2707.0036109212906</v>
      </c>
      <c r="Q6" s="81">
        <f>EUETS_annual!AJ13</f>
        <v>2899.5785779101598</v>
      </c>
      <c r="R6" s="126">
        <f t="shared" si="2"/>
        <v>192.57496698886916</v>
      </c>
      <c r="S6" s="81">
        <f>EUETS_annual!Y13</f>
        <v>538.36609999999996</v>
      </c>
      <c r="T6" s="81">
        <f>EUETS_annual!Z13</f>
        <v>71.780661195430227</v>
      </c>
      <c r="U6" s="81">
        <f>co2elec_annual!O45</f>
        <v>679.40422322437075</v>
      </c>
      <c r="V6" s="81">
        <f>co2elec_annual!I45</f>
        <v>679.40422322437075</v>
      </c>
      <c r="W6" s="81">
        <f>EUETS_annual!AB13</f>
        <v>20.38212669673112</v>
      </c>
      <c r="X6" s="81">
        <f>co2elec_annual!K45</f>
        <v>1</v>
      </c>
      <c r="Y6" s="81">
        <f>co2elec_annual!M45</f>
        <v>1.1547304504162201</v>
      </c>
      <c r="Z6" s="81">
        <f>EUETS_annual!AI13</f>
        <v>0</v>
      </c>
      <c r="AA6" s="126">
        <f>EUETS_annual!AE13</f>
        <v>1217.7703232243707</v>
      </c>
      <c r="AB6" s="102"/>
      <c r="AC6" s="10"/>
    </row>
    <row r="7" spans="1:34" x14ac:dyDescent="0.25">
      <c r="A7" s="51">
        <f t="shared" si="3"/>
        <v>2025</v>
      </c>
      <c r="B7" s="30">
        <f t="shared" si="4"/>
        <v>2025</v>
      </c>
      <c r="C7" s="94">
        <f t="shared" si="5"/>
        <v>2025</v>
      </c>
      <c r="D7" s="98">
        <f>EUETS_annual!H14</f>
        <v>558.46696031410102</v>
      </c>
      <c r="E7" s="81">
        <f>EUETS_annual!I14</f>
        <v>558.46696031410102</v>
      </c>
      <c r="F7" s="81">
        <f>EUETS_annual!G14</f>
        <v>0</v>
      </c>
      <c r="G7" s="81">
        <f>EUETS_annual!L14</f>
        <v>841.10198668589851</v>
      </c>
      <c r="H7" s="81">
        <f>EUETS_annual!K14</f>
        <v>678.30952918190428</v>
      </c>
      <c r="I7" s="126">
        <f>EUETS_annual!F14</f>
        <v>1236.7764894960053</v>
      </c>
      <c r="J7" s="98">
        <f>EUETS_annual!AK13</f>
        <v>1356.6038125332846</v>
      </c>
      <c r="K7" s="81">
        <f>EUETS_annual!AK14</f>
        <v>1369.2538195753145</v>
      </c>
      <c r="L7" s="81">
        <f>EUETS_annual!AL14</f>
        <v>-12.650007042029983</v>
      </c>
      <c r="M7" s="98">
        <f>EUETS_annual!AO13</f>
        <v>567.52403227378159</v>
      </c>
      <c r="N7" s="81">
        <f>EUETS_annual!AO14</f>
        <v>730.3164897777757</v>
      </c>
      <c r="O7" s="81">
        <f t="shared" si="0"/>
        <v>162.79245750399411</v>
      </c>
      <c r="P7" s="98">
        <f>EUETS_annual!AJ13</f>
        <v>2899.5785779101598</v>
      </c>
      <c r="Q7" s="81">
        <f>EUETS_annual!AJ14</f>
        <v>2899.5785779101598</v>
      </c>
      <c r="R7" s="126">
        <f t="shared" si="2"/>
        <v>0</v>
      </c>
      <c r="S7" s="81">
        <f>EUETS_annual!Y14</f>
        <v>508.14319999999998</v>
      </c>
      <c r="T7" s="81">
        <f>EUETS_annual!Z14</f>
        <v>68.093472502069702</v>
      </c>
      <c r="U7" s="81">
        <f>co2elec_annual!O46</f>
        <v>715.98328245397579</v>
      </c>
      <c r="V7" s="81">
        <f>co2elec_annual!I46</f>
        <v>715.98328245397579</v>
      </c>
      <c r="W7" s="81">
        <f>EUETS_annual!AB14</f>
        <v>21.479498473619273</v>
      </c>
      <c r="X7" s="81">
        <f>co2elec_annual!K46</f>
        <v>1</v>
      </c>
      <c r="Y7" s="81">
        <f>co2elec_annual!M46</f>
        <v>1.28279491777615</v>
      </c>
      <c r="Z7" s="81">
        <f>EUETS_annual!AI14</f>
        <v>0</v>
      </c>
      <c r="AA7" s="126">
        <f>EUETS_annual!AE14</f>
        <v>1224.1264824539758</v>
      </c>
      <c r="AB7" s="102"/>
      <c r="AC7" s="10"/>
      <c r="AD7" s="10"/>
      <c r="AE7" s="10"/>
      <c r="AG7" s="10"/>
      <c r="AH7" s="10"/>
    </row>
    <row r="8" spans="1:34" x14ac:dyDescent="0.25">
      <c r="A8" s="51">
        <f t="shared" si="3"/>
        <v>2026</v>
      </c>
      <c r="B8" s="30">
        <f t="shared" si="4"/>
        <v>2026</v>
      </c>
      <c r="C8" s="94">
        <f t="shared" si="5"/>
        <v>2026</v>
      </c>
      <c r="D8" s="98">
        <f>EUETS_annual!H15</f>
        <v>546.38427047300127</v>
      </c>
      <c r="E8" s="81">
        <f>EUETS_annual!I15</f>
        <v>546.38427047300127</v>
      </c>
      <c r="F8" s="81">
        <f>EUETS_annual!G15</f>
        <v>0</v>
      </c>
      <c r="G8" s="81">
        <f>EUETS_annual!L15</f>
        <v>783.20622917699836</v>
      </c>
      <c r="H8" s="81">
        <f>EUETS_annual!K15</f>
        <v>618.89577082796086</v>
      </c>
      <c r="I8" s="126">
        <f>EUETS_annual!F15</f>
        <v>1165.2800413009622</v>
      </c>
      <c r="J8" s="98">
        <f>EUETS_annual!AK14</f>
        <v>1369.2538195753145</v>
      </c>
      <c r="K8" s="81">
        <f>EUETS_annual!AK15</f>
        <v>1272.895938615464</v>
      </c>
      <c r="L8" s="81">
        <f>EUETS_annual!AL15</f>
        <v>96.35788095985049</v>
      </c>
      <c r="M8" s="98">
        <f>EUETS_annual!AO14</f>
        <v>730.3164897777757</v>
      </c>
      <c r="N8" s="81">
        <f>EUETS_annual!AO15</f>
        <v>678.30952918190428</v>
      </c>
      <c r="O8" s="81">
        <f t="shared" si="0"/>
        <v>164.31045834903773</v>
      </c>
      <c r="P8" s="98">
        <f>EUETS_annual!AJ14</f>
        <v>2899.5785779101598</v>
      </c>
      <c r="Q8" s="81">
        <f>EUETS_annual!AJ15</f>
        <v>3115.8959968550689</v>
      </c>
      <c r="R8" s="126">
        <f t="shared" si="2"/>
        <v>216.31741894490915</v>
      </c>
      <c r="S8" s="81">
        <f>EUETS_annual!Y15</f>
        <v>523.2808</v>
      </c>
      <c r="T8" s="81">
        <f>EUETS_annual!Z15</f>
        <v>69.940253988663841</v>
      </c>
      <c r="U8" s="81">
        <f>co2elec_annual!O47</f>
        <v>738.35712226081262</v>
      </c>
      <c r="V8" s="81">
        <f>co2elec_annual!I47</f>
        <v>738.35712226081262</v>
      </c>
      <c r="W8" s="81">
        <f>EUETS_annual!AB15</f>
        <v>22.150713667824377</v>
      </c>
      <c r="X8" s="81">
        <f>co2elec_annual!K47</f>
        <v>1</v>
      </c>
      <c r="Y8" s="81">
        <f>co2elec_annual!M47</f>
        <v>1.287950268673882</v>
      </c>
      <c r="Z8" s="81">
        <f>EUETS_annual!AI15</f>
        <v>0</v>
      </c>
      <c r="AA8" s="126">
        <f>EUETS_annual!AE15</f>
        <v>1261.6379222608125</v>
      </c>
      <c r="AB8" s="102"/>
      <c r="AC8" s="10"/>
    </row>
    <row r="9" spans="1:34" x14ac:dyDescent="0.25">
      <c r="A9" s="51">
        <f t="shared" si="3"/>
        <v>2027</v>
      </c>
      <c r="B9" s="30">
        <f t="shared" si="4"/>
        <v>2027</v>
      </c>
      <c r="C9" s="94">
        <f t="shared" si="5"/>
        <v>2027</v>
      </c>
      <c r="D9" s="98">
        <f>EUETS_annual!H16</f>
        <v>534.15177437477166</v>
      </c>
      <c r="E9" s="81">
        <f>EUETS_annual!I16</f>
        <v>534.15177437477166</v>
      </c>
      <c r="F9" s="81">
        <f>EUETS_annual!G16</f>
        <v>0</v>
      </c>
      <c r="G9" s="81">
        <f>EUETS_annual!L16</f>
        <v>725.46027792522807</v>
      </c>
      <c r="H9" s="81">
        <f>EUETS_annual!K16</f>
        <v>572.71276529137231</v>
      </c>
      <c r="I9" s="126">
        <f>EUETS_annual!F16</f>
        <v>1106.8645396661441</v>
      </c>
      <c r="J9" s="98">
        <f>EUETS_annual!AK15</f>
        <v>1272.895938615464</v>
      </c>
      <c r="K9" s="81">
        <f>EUETS_annual!AK16</f>
        <v>1085.0775148890812</v>
      </c>
      <c r="L9" s="81">
        <f>EUETS_annual!AL16</f>
        <v>187.81842372638289</v>
      </c>
      <c r="M9" s="98">
        <f>EUETS_annual!AO15</f>
        <v>678.30952918190428</v>
      </c>
      <c r="N9" s="81">
        <f>EUETS_annual!AO16</f>
        <v>618.89577082796086</v>
      </c>
      <c r="O9" s="81">
        <f t="shared" si="0"/>
        <v>152.74751263385565</v>
      </c>
      <c r="P9" s="98">
        <f>EUETS_annual!AJ15</f>
        <v>3115.8959968550689</v>
      </c>
      <c r="Q9" s="81">
        <f>EUETS_annual!AJ16</f>
        <v>3328.057267842868</v>
      </c>
      <c r="R9" s="126">
        <f t="shared" si="2"/>
        <v>212.16127098779907</v>
      </c>
      <c r="S9" s="81">
        <f>EUETS_annual!Y16</f>
        <v>531.60900000000004</v>
      </c>
      <c r="T9" s="81">
        <f>EUETS_annual!Z16</f>
        <v>70.956294260856112</v>
      </c>
      <c r="U9" s="81">
        <f>co2elec_annual!O48</f>
        <v>763.07396339253114</v>
      </c>
      <c r="V9" s="81">
        <f>co2elec_annual!I48</f>
        <v>763.07396339253114</v>
      </c>
      <c r="W9" s="81">
        <f>EUETS_annual!AB16</f>
        <v>22.892218901775934</v>
      </c>
      <c r="X9" s="81">
        <f>co2elec_annual!K48</f>
        <v>1</v>
      </c>
      <c r="Y9" s="81">
        <f>co2elec_annual!M48</f>
        <v>1.312005150545831</v>
      </c>
      <c r="Z9" s="81">
        <f>EUETS_annual!AI16</f>
        <v>0</v>
      </c>
      <c r="AA9" s="126">
        <f>EUETS_annual!AE16</f>
        <v>1294.6829633925313</v>
      </c>
      <c r="AB9" s="102"/>
      <c r="AC9" s="10"/>
    </row>
    <row r="10" spans="1:34" x14ac:dyDescent="0.25">
      <c r="A10" s="51">
        <f t="shared" si="3"/>
        <v>2028</v>
      </c>
      <c r="B10" s="30">
        <f t="shared" si="4"/>
        <v>2028</v>
      </c>
      <c r="C10" s="94">
        <f t="shared" si="5"/>
        <v>2028</v>
      </c>
      <c r="D10" s="98">
        <f>EUETS_annual!H17</f>
        <v>474.80018987066887</v>
      </c>
      <c r="E10" s="81">
        <f>EUETS_annual!I17</f>
        <v>474.80018987066887</v>
      </c>
      <c r="F10" s="81">
        <f>EUETS_annual!G17</f>
        <v>0</v>
      </c>
      <c r="G10" s="81">
        <f>EUETS_annual!L17</f>
        <v>714.83341507933096</v>
      </c>
      <c r="H10" s="81">
        <f>EUETS_annual!K17</f>
        <v>584.62411329264137</v>
      </c>
      <c r="I10" s="126">
        <f>EUETS_annual!F17</f>
        <v>1059.4243031633102</v>
      </c>
      <c r="J10" s="98">
        <f>EUETS_annual!AK16</f>
        <v>1085.0775148890812</v>
      </c>
      <c r="K10" s="81">
        <f>EUETS_annual!AK17</f>
        <v>865.97619097562074</v>
      </c>
      <c r="L10" s="81">
        <f>EUETS_annual!AL17</f>
        <v>219.10132391346042</v>
      </c>
      <c r="M10" s="98">
        <f>EUETS_annual!AO16</f>
        <v>618.89577082796086</v>
      </c>
      <c r="N10" s="81">
        <f>EUETS_annual!AO17</f>
        <v>572.71276529137231</v>
      </c>
      <c r="O10" s="81">
        <f t="shared" si="0"/>
        <v>130.20930178668959</v>
      </c>
      <c r="P10" s="98">
        <f>EUETS_annual!AJ16</f>
        <v>3328.057267842868</v>
      </c>
      <c r="Q10" s="81">
        <f>EUETS_annual!AJ17</f>
        <v>3504.4495751661461</v>
      </c>
      <c r="R10" s="126">
        <f t="shared" si="2"/>
        <v>176.39230732327815</v>
      </c>
      <c r="S10" s="81">
        <f>EUETS_annual!Y17</f>
        <v>559.13139999999999</v>
      </c>
      <c r="T10" s="81">
        <f>EUETS_annual!Z17</f>
        <v>74.314027226895433</v>
      </c>
      <c r="U10" s="81">
        <f>co2elec_annual!O49</f>
        <v>719.39422707677124</v>
      </c>
      <c r="V10" s="81">
        <f>co2elec_annual!I49</f>
        <v>719.39422707677124</v>
      </c>
      <c r="W10" s="81">
        <f>EUETS_annual!AB17</f>
        <v>21.581826812303138</v>
      </c>
      <c r="X10" s="81">
        <f>co2elec_annual!K49</f>
        <v>1</v>
      </c>
      <c r="Y10" s="81">
        <f>co2elec_annual!M49</f>
        <v>1.1810165453071038</v>
      </c>
      <c r="Z10" s="81">
        <f>EUETS_annual!AI17</f>
        <v>0</v>
      </c>
      <c r="AA10" s="126">
        <f>EUETS_annual!AE17</f>
        <v>1278.5256270767713</v>
      </c>
      <c r="AB10" s="102"/>
      <c r="AC10" s="10"/>
    </row>
    <row r="11" spans="1:34" x14ac:dyDescent="0.25">
      <c r="A11" s="51">
        <f>A10+1</f>
        <v>2029</v>
      </c>
      <c r="B11" s="30">
        <f t="shared" si="4"/>
        <v>2029</v>
      </c>
      <c r="C11" s="94">
        <f t="shared" si="5"/>
        <v>2029</v>
      </c>
      <c r="D11" s="98">
        <f>EUETS_annual!H18</f>
        <v>418.67228538415071</v>
      </c>
      <c r="E11" s="81">
        <f>EUETS_annual!I18</f>
        <v>418.67228538415071</v>
      </c>
      <c r="F11" s="81">
        <f>EUETS_annual!G18</f>
        <v>0</v>
      </c>
      <c r="G11" s="81">
        <f>EUETS_annual!L18</f>
        <v>700.98287221584928</v>
      </c>
      <c r="H11" s="81">
        <f>EUETS_annual!K18</f>
        <v>597.06572929877461</v>
      </c>
      <c r="I11" s="126">
        <f>EUETS_annual!F18</f>
        <v>1015.7380146829253</v>
      </c>
      <c r="J11" s="98">
        <f>EUETS_annual!AK17</f>
        <v>865.97619097562074</v>
      </c>
      <c r="K11" s="81">
        <f>EUETS_annual!AK18</f>
        <v>630.77872600669366</v>
      </c>
      <c r="L11" s="81">
        <f>EUETS_annual!AL18</f>
        <v>235.19746496892708</v>
      </c>
      <c r="M11" s="98">
        <f>EUETS_annual!AO17</f>
        <v>572.71276529137231</v>
      </c>
      <c r="N11" s="81">
        <f>EUETS_annual!AO18</f>
        <v>584.62411329264137</v>
      </c>
      <c r="O11" s="81">
        <f t="shared" si="0"/>
        <v>103.91714291707444</v>
      </c>
      <c r="P11" s="98">
        <f>EUETS_annual!AJ17</f>
        <v>3504.4495751661461</v>
      </c>
      <c r="Q11" s="81">
        <f>EUETS_annual!AJ18</f>
        <v>3596.4553700819515</v>
      </c>
      <c r="R11" s="126">
        <f t="shared" si="2"/>
        <v>92.005794915805382</v>
      </c>
      <c r="S11" s="81">
        <f>EUETS_annual!Y18</f>
        <v>575.6576</v>
      </c>
      <c r="T11" s="81">
        <f>EUETS_annual!Z18</f>
        <v>76.330232264141273</v>
      </c>
      <c r="U11" s="81">
        <f>co2elec_annual!O50</f>
        <v>675.27787965185621</v>
      </c>
      <c r="V11" s="81">
        <f>co2elec_annual!I50</f>
        <v>675.27787965185621</v>
      </c>
      <c r="W11" s="81">
        <f>EUETS_annual!AB18</f>
        <v>20.258336389555687</v>
      </c>
      <c r="X11" s="81">
        <f>co2elec_annual!K50</f>
        <v>1</v>
      </c>
      <c r="Y11" s="81">
        <f>co2elec_annual!M50</f>
        <v>1.0793089300768328</v>
      </c>
      <c r="Z11" s="81">
        <f>EUETS_annual!AI18</f>
        <v>0</v>
      </c>
      <c r="AA11" s="126">
        <f>EUETS_annual!AE18</f>
        <v>1250.9354796518562</v>
      </c>
      <c r="AB11" s="102"/>
      <c r="AC11" s="10"/>
    </row>
    <row r="12" spans="1:34" x14ac:dyDescent="0.25">
      <c r="A12" s="51">
        <f t="shared" ref="A12" si="6">A11+1</f>
        <v>2030</v>
      </c>
      <c r="B12" s="30">
        <f t="shared" ref="B12" si="7">B11+1</f>
        <v>2030</v>
      </c>
      <c r="C12" s="94">
        <f t="shared" ref="C12" si="8">C11+1</f>
        <v>2030</v>
      </c>
      <c r="D12" s="98">
        <f>EUETS_annual!H19</f>
        <v>366.07368869162525</v>
      </c>
      <c r="E12" s="81">
        <f>EUETS_annual!I19</f>
        <v>366.07368869162525</v>
      </c>
      <c r="F12" s="81">
        <f>EUETS_annual!G19</f>
        <v>0</v>
      </c>
      <c r="G12" s="81">
        <f>EUETS_annual!L19</f>
        <v>683.60302155837485</v>
      </c>
      <c r="H12" s="81">
        <f>EUETS_annual!K19</f>
        <v>683.60302155837485</v>
      </c>
      <c r="I12" s="126">
        <f>EUETS_annual!F19</f>
        <v>1049.67671025</v>
      </c>
      <c r="J12" s="98">
        <f>EUETS_annual!AK18</f>
        <v>630.77872600669366</v>
      </c>
      <c r="K12" s="81">
        <f>EUETS_annual!AK19</f>
        <v>467.91710402974718</v>
      </c>
      <c r="L12" s="81">
        <f>EUETS_annual!AL19</f>
        <v>162.86162197694648</v>
      </c>
      <c r="M12" s="98">
        <f>EUETS_annual!AO18</f>
        <v>584.62411329264137</v>
      </c>
      <c r="N12" s="81">
        <f>EUETS_annual!AO19</f>
        <v>584.62411329264137</v>
      </c>
      <c r="O12" s="81">
        <f t="shared" si="0"/>
        <v>0</v>
      </c>
      <c r="P12" s="98">
        <f>EUETS_annual!AJ18</f>
        <v>3596.4553700819515</v>
      </c>
      <c r="Q12" s="81">
        <f>EUETS_annual!AJ19</f>
        <v>3596.4553700819515</v>
      </c>
      <c r="R12" s="126">
        <f t="shared" si="2"/>
        <v>0</v>
      </c>
      <c r="S12" s="81">
        <f>EUETS_annual!Y19</f>
        <v>581.3768</v>
      </c>
      <c r="T12" s="81">
        <f>EUETS_annual!Z19</f>
        <v>77.027969862367598</v>
      </c>
      <c r="U12" s="81">
        <f>co2elec_annual!O51</f>
        <v>631.16153222694038</v>
      </c>
      <c r="V12" s="81">
        <f>co2elec_annual!I51</f>
        <v>631.16153222694038</v>
      </c>
      <c r="W12" s="81">
        <f>EUETS_annual!AB19</f>
        <v>18.934845966808211</v>
      </c>
      <c r="X12" s="81">
        <f>co2elec_annual!K51</f>
        <v>1</v>
      </c>
      <c r="Y12" s="81">
        <f>co2elec_annual!M51</f>
        <v>0.99965904682769391</v>
      </c>
      <c r="Z12" s="81">
        <f>EUETS_annual!AI19</f>
        <v>0</v>
      </c>
      <c r="AA12" s="126">
        <f>EUETS_annual!AE19</f>
        <v>1212.5383322269404</v>
      </c>
      <c r="AB12" s="102"/>
      <c r="AC12" s="10"/>
      <c r="AD12" s="10"/>
      <c r="AE12" s="10"/>
      <c r="AG12" s="10"/>
      <c r="AH12" s="10"/>
    </row>
    <row r="13" spans="1:34" x14ac:dyDescent="0.25">
      <c r="A13" s="47">
        <f t="shared" ref="A13:A16" si="9">A12+5</f>
        <v>2035</v>
      </c>
      <c r="B13" s="7">
        <f t="shared" ref="B13:B16" si="10">B12+5</f>
        <v>2035</v>
      </c>
      <c r="C13" s="95">
        <f t="shared" ref="C13:C16" si="11">B13</f>
        <v>2035</v>
      </c>
      <c r="D13" s="99">
        <f>SUM(EUETS_annual!H20:H24)/5</f>
        <v>237.03976516077614</v>
      </c>
      <c r="E13" s="12">
        <f>SUM(EUETS_annual!I20:I24)/5</f>
        <v>237.03976516077614</v>
      </c>
      <c r="F13" s="12">
        <f>SUM(EUETS_annual!G20:G24)/5</f>
        <v>0</v>
      </c>
      <c r="G13" s="12">
        <f>SUM(EUETS_annual!L20:L24)/5</f>
        <v>602.70160303922387</v>
      </c>
      <c r="H13" s="12">
        <f>SUM(EUETS_annual!K20:K24)/5</f>
        <v>642.70160303922387</v>
      </c>
      <c r="I13" s="151">
        <f>SUM(EUETS_annual!F20:F24)/5</f>
        <v>879.74136820000001</v>
      </c>
      <c r="J13" s="99">
        <f t="shared" ref="J13:J16" si="12">K12</f>
        <v>467.91710402974718</v>
      </c>
      <c r="K13" s="12">
        <f>EUETS_annual!AK24</f>
        <v>382.32834836129337</v>
      </c>
      <c r="L13" s="12">
        <f>SUM(EUETS_annual!AL20:AL24)/5</f>
        <v>17.117751133690764</v>
      </c>
      <c r="M13" s="99">
        <f t="shared" ref="M13:M16" si="13">N12</f>
        <v>584.62411329264137</v>
      </c>
      <c r="N13" s="12">
        <f>EUETS_annual!AO24</f>
        <v>384.62411329264137</v>
      </c>
      <c r="O13" s="12">
        <f>(N13-M13+R13)/5</f>
        <v>-40</v>
      </c>
      <c r="P13" s="99">
        <f t="shared" ref="P13:P16" si="14">Q12</f>
        <v>3596.4553700819515</v>
      </c>
      <c r="Q13" s="12">
        <f>EUETS_annual!AJ24</f>
        <v>3596.4553700819515</v>
      </c>
      <c r="R13" s="151">
        <f t="shared" ref="R13:R16" si="15">Q13-P13</f>
        <v>0</v>
      </c>
      <c r="S13" s="12">
        <f>SUM(EUETS_annual!Y20:Y24)/5</f>
        <v>389.28472991175306</v>
      </c>
      <c r="T13" s="12">
        <f>SUM(EUETS_annual!Z20:Z24)/5</f>
        <v>48.212447471749542</v>
      </c>
      <c r="U13" s="12">
        <f>co2elec_annual!O52</f>
        <v>507.57438942193659</v>
      </c>
      <c r="V13" s="12">
        <f>co2elec_annual!I52</f>
        <v>507.57438942193659</v>
      </c>
      <c r="W13" s="12">
        <f>SUM(EUETS_annual!AB20:AB24)/5</f>
        <v>15.227231682658095</v>
      </c>
      <c r="X13" s="12">
        <f>co2elec_annual!K52</f>
        <v>1</v>
      </c>
      <c r="Y13" s="12">
        <f>co2elec_annual!M52</f>
        <v>1.284400165450243</v>
      </c>
      <c r="Z13" s="12">
        <f>SUM(EUETS_annual!AI20:AI24)/5</f>
        <v>0</v>
      </c>
      <c r="AA13" s="151">
        <f>SUM(EUETS_annual!AE20:AE24)/5</f>
        <v>896.8591193336897</v>
      </c>
      <c r="AB13" s="102"/>
      <c r="AC13" s="10"/>
      <c r="AD13" s="10"/>
      <c r="AE13" s="10"/>
      <c r="AG13" s="10"/>
      <c r="AH13" s="10"/>
    </row>
    <row r="14" spans="1:34" x14ac:dyDescent="0.25">
      <c r="A14" s="47">
        <f t="shared" si="9"/>
        <v>2040</v>
      </c>
      <c r="B14" s="7">
        <f t="shared" si="10"/>
        <v>2040</v>
      </c>
      <c r="C14" s="95">
        <f t="shared" si="11"/>
        <v>2040</v>
      </c>
      <c r="D14" s="99">
        <f>SUM(EUETS_annual!H25:H29)/5</f>
        <v>73.184794830571747</v>
      </c>
      <c r="E14" s="12">
        <f>SUM(EUETS_annual!I25:I29)/5</f>
        <v>73.184794830571747</v>
      </c>
      <c r="F14" s="12">
        <f>SUM(EUETS_annual!G25:G29)/5</f>
        <v>0</v>
      </c>
      <c r="G14" s="12">
        <f>SUM(EUETS_annual!L25:L29)/5</f>
        <v>416.66433661942818</v>
      </c>
      <c r="H14" s="12">
        <f>SUM(EUETS_annual!K25:K29)/5</f>
        <v>436.6643366194283</v>
      </c>
      <c r="I14" s="151">
        <f>SUM(EUETS_annual!F25:F29)/5</f>
        <v>509.8491314499999</v>
      </c>
      <c r="J14" s="99">
        <f t="shared" si="12"/>
        <v>382.32834836129337</v>
      </c>
      <c r="K14" s="12">
        <f>EUETS_annual!AK29</f>
        <v>430.55449548236652</v>
      </c>
      <c r="L14" s="12">
        <f>SUM(EUETS_annual!AL25:AL29)/5</f>
        <v>-9.6452294242146301</v>
      </c>
      <c r="M14" s="99">
        <f t="shared" si="13"/>
        <v>384.62411329264137</v>
      </c>
      <c r="N14" s="12">
        <f>EUETS_annual!AO29</f>
        <v>284.62411329264137</v>
      </c>
      <c r="O14" s="12">
        <f>(N14-M14+R14)/5</f>
        <v>-20</v>
      </c>
      <c r="P14" s="99">
        <f t="shared" si="14"/>
        <v>3596.4553700819515</v>
      </c>
      <c r="Q14" s="12">
        <f>EUETS_annual!AJ29</f>
        <v>3596.4553700819515</v>
      </c>
      <c r="R14" s="151">
        <f t="shared" si="15"/>
        <v>0</v>
      </c>
      <c r="S14" s="12">
        <f>SUM(EUETS_annual!Y25:Y29)/5</f>
        <v>228.00529370381665</v>
      </c>
      <c r="T14" s="12">
        <f>SUM(EUETS_annual!Z25:Z29)/5</f>
        <v>24.971975655291949</v>
      </c>
      <c r="U14" s="12">
        <f>co2elec_annual!O53</f>
        <v>272.19860832196889</v>
      </c>
      <c r="V14" s="12">
        <f>co2elec_annual!I53</f>
        <v>272.19860832196889</v>
      </c>
      <c r="W14" s="12">
        <f>SUM(EUETS_annual!AB25:AB29)/5</f>
        <v>8.1659582496590666</v>
      </c>
      <c r="X14" s="12">
        <f>co2elec_annual!K53</f>
        <v>1</v>
      </c>
      <c r="Y14" s="12">
        <f>co2elec_annual!M53</f>
        <v>1.329819901864387</v>
      </c>
      <c r="Z14" s="12">
        <f>SUM(EUETS_annual!AI25:AI29)/5</f>
        <v>0</v>
      </c>
      <c r="AA14" s="151">
        <f>SUM(EUETS_annual!AE25:AE29)/5</f>
        <v>500.20390202578545</v>
      </c>
      <c r="AB14" s="102"/>
      <c r="AC14" s="10"/>
      <c r="AD14" s="10"/>
      <c r="AE14" s="10"/>
      <c r="AG14" s="10"/>
      <c r="AH14" s="10"/>
    </row>
    <row r="15" spans="1:34" x14ac:dyDescent="0.25">
      <c r="A15" s="47">
        <f t="shared" si="9"/>
        <v>2045</v>
      </c>
      <c r="B15" s="7">
        <f t="shared" si="10"/>
        <v>2045</v>
      </c>
      <c r="C15" s="95">
        <f t="shared" si="11"/>
        <v>2045</v>
      </c>
      <c r="D15" s="99">
        <f>SUM(EUETS_annual!H30:H34)/5</f>
        <v>13.565428429405472</v>
      </c>
      <c r="E15" s="12">
        <f>SUM(EUETS_annual!I30:I34)/5</f>
        <v>13.565428429405472</v>
      </c>
      <c r="F15" s="12">
        <f>SUM(EUETS_annual!G30:G34)/5</f>
        <v>0</v>
      </c>
      <c r="G15" s="12">
        <f>SUM(EUETS_annual!L30:L34)/5</f>
        <v>126.39146627059449</v>
      </c>
      <c r="H15" s="12">
        <f>SUM(EUETS_annual!K30:K34)/5</f>
        <v>183.31628892912281</v>
      </c>
      <c r="I15" s="151">
        <f>SUM(EUETS_annual!F30:F34)/5</f>
        <v>196.88171735852828</v>
      </c>
      <c r="J15" s="99">
        <f t="shared" si="12"/>
        <v>430.55449548236652</v>
      </c>
      <c r="K15" s="12">
        <f>EUETS_annual!AK34</f>
        <v>-1.8699533393373713E-4</v>
      </c>
      <c r="L15" s="12">
        <f>SUM(EUETS_annual!AL30:AL34)/5</f>
        <v>86.110936495540088</v>
      </c>
      <c r="M15" s="99">
        <f t="shared" si="13"/>
        <v>284.62411329264137</v>
      </c>
      <c r="N15" s="12">
        <f>EUETS_annual!AO34</f>
        <v>0</v>
      </c>
      <c r="O15" s="12">
        <f>(N15-M15+R15)/5</f>
        <v>-56.924822658528271</v>
      </c>
      <c r="P15" s="99">
        <f t="shared" si="14"/>
        <v>3596.4553700819515</v>
      </c>
      <c r="Q15" s="12">
        <f>EUETS_annual!AJ34</f>
        <v>3596.4553700819515</v>
      </c>
      <c r="R15" s="151">
        <f t="shared" si="15"/>
        <v>0</v>
      </c>
      <c r="S15" s="12">
        <f>SUM(EUETS_annual!Y30:Y34)/5</f>
        <v>96.911436384430317</v>
      </c>
      <c r="T15" s="12">
        <f>SUM(EUETS_annual!Z30:Z34)/5</f>
        <v>12.339191537576751</v>
      </c>
      <c r="U15" s="12">
        <f>co2elec_annual!O54</f>
        <v>186.08121746963755</v>
      </c>
      <c r="V15" s="12">
        <f>co2elec_annual!I54</f>
        <v>186.08121746963755</v>
      </c>
      <c r="W15" s="12">
        <f>SUM(EUETS_annual!AB30:AB34)/5</f>
        <v>5.5824365240891263</v>
      </c>
      <c r="X15" s="12">
        <f>co2elec_annual!K54</f>
        <v>1</v>
      </c>
      <c r="Y15" s="12">
        <f>co2elec_annual!M54</f>
        <v>1.8398213904177814</v>
      </c>
      <c r="Z15" s="12">
        <f>SUM(EUETS_annual!AI30:AI34)/5</f>
        <v>0</v>
      </c>
      <c r="AA15" s="151">
        <f>SUM(EUETS_annual!AE30:AE34)/5</f>
        <v>282.9926538540679</v>
      </c>
      <c r="AB15" s="102"/>
      <c r="AC15" s="10"/>
      <c r="AD15" s="10"/>
      <c r="AE15" s="10"/>
      <c r="AG15" s="10"/>
      <c r="AH15" s="10"/>
    </row>
    <row r="16" spans="1:34" ht="14.25" thickBot="1" x14ac:dyDescent="0.3">
      <c r="A16" s="53">
        <f t="shared" si="9"/>
        <v>2050</v>
      </c>
      <c r="B16" s="54">
        <f t="shared" si="10"/>
        <v>2050</v>
      </c>
      <c r="C16" s="96">
        <f t="shared" si="11"/>
        <v>2050</v>
      </c>
      <c r="D16" s="100">
        <f>SUM(EUETS_annual!H35:H39)/5</f>
        <v>0</v>
      </c>
      <c r="E16" s="59">
        <f>SUM(EUETS_annual!I35:I39)/5</f>
        <v>0</v>
      </c>
      <c r="F16" s="59">
        <f>SUM(EUETS_annual!G35:G39)/5</f>
        <v>0</v>
      </c>
      <c r="G16" s="59">
        <f>SUM(EUETS_annual!L35:L39)/5</f>
        <v>0</v>
      </c>
      <c r="H16" s="59">
        <f>SUM(EUETS_annual!K35:K39)/5</f>
        <v>0</v>
      </c>
      <c r="I16" s="153">
        <f>SUM(EUETS_annual!F35:F39)/5</f>
        <v>0</v>
      </c>
      <c r="J16" s="100">
        <f t="shared" si="12"/>
        <v>-1.8699533393373713E-4</v>
      </c>
      <c r="K16" s="59">
        <f>EUETS_annual!AK39</f>
        <v>-3.6995319533161819E-5</v>
      </c>
      <c r="L16" s="59">
        <f>SUM(EUETS_annual!AL35:AL39)/5</f>
        <v>-3.0000002880115062E-5</v>
      </c>
      <c r="M16" s="100">
        <f t="shared" si="13"/>
        <v>0</v>
      </c>
      <c r="N16" s="59">
        <f>EUETS_annual!AO39</f>
        <v>0</v>
      </c>
      <c r="O16" s="59">
        <f>(N16-M16+R16)/5</f>
        <v>0</v>
      </c>
      <c r="P16" s="100">
        <f t="shared" si="14"/>
        <v>3596.4553700819515</v>
      </c>
      <c r="Q16" s="59">
        <f>EUETS_annual!AJ39</f>
        <v>3596.4553700819515</v>
      </c>
      <c r="R16" s="153">
        <f t="shared" si="15"/>
        <v>0</v>
      </c>
      <c r="S16" s="59">
        <f>SUM(EUETS_annual!Y35:Y39)/5</f>
        <v>-128.17679999999999</v>
      </c>
      <c r="T16" s="59">
        <f>SUM(EUETS_annual!Z35:Z39)/5</f>
        <v>-15.637569599999997</v>
      </c>
      <c r="U16" s="59">
        <f>co2elec_annual!O55</f>
        <v>128.17676999999998</v>
      </c>
      <c r="V16" s="59">
        <f>co2elec_annual!I55</f>
        <v>128.17676999999998</v>
      </c>
      <c r="W16" s="59">
        <f>SUM(EUETS_annual!AB35:AB39)/5</f>
        <v>3.8453030999999998</v>
      </c>
      <c r="X16" s="59">
        <f>co2elec_annual!K55</f>
        <v>1</v>
      </c>
      <c r="Y16" s="59">
        <f>co2elec_annual!M55</f>
        <v>-0.99999976594828388</v>
      </c>
      <c r="Z16" s="59">
        <f>SUM(EUETS_annual!AI35:AI39)/5</f>
        <v>0</v>
      </c>
      <c r="AA16" s="153">
        <f>SUM(EUETS_annual!AE35:AE39)/5</f>
        <v>-3.000000000952241E-5</v>
      </c>
      <c r="AB16" s="102"/>
      <c r="AC16" s="10"/>
      <c r="AD16" s="10"/>
      <c r="AE16" s="10"/>
      <c r="AG16" s="10"/>
      <c r="AH16" s="10"/>
    </row>
    <row r="17" spans="1:27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 x14ac:dyDescent="0.25">
      <c r="I18" s="10"/>
      <c r="S18" s="10"/>
      <c r="U18" s="10"/>
      <c r="V18" s="10"/>
    </row>
    <row r="19" spans="1:27" x14ac:dyDescent="0.25">
      <c r="D19" s="10"/>
      <c r="G19" s="10"/>
      <c r="H19" s="10"/>
      <c r="I19" s="10"/>
      <c r="S19" s="10"/>
      <c r="U19" s="10"/>
      <c r="V19" s="10"/>
    </row>
    <row r="20" spans="1:27" x14ac:dyDescent="0.25">
      <c r="D20" s="10"/>
      <c r="G20" s="10"/>
      <c r="H20" s="10"/>
      <c r="I20" s="10"/>
      <c r="S20" s="10"/>
      <c r="U20" s="10"/>
      <c r="V20" s="10"/>
    </row>
    <row r="21" spans="1:27" x14ac:dyDescent="0.25">
      <c r="D21" s="10"/>
      <c r="G21" s="10"/>
      <c r="H21" s="10"/>
      <c r="I21" s="10"/>
      <c r="S21" s="10"/>
      <c r="U21" s="10"/>
      <c r="V21" s="10"/>
    </row>
    <row r="22" spans="1:27" x14ac:dyDescent="0.25">
      <c r="D22" s="10"/>
      <c r="G22" s="10"/>
      <c r="H22" s="10"/>
      <c r="I22" s="10"/>
      <c r="S22" s="10"/>
      <c r="U22" s="10"/>
      <c r="V22" s="10"/>
    </row>
    <row r="23" spans="1:27" x14ac:dyDescent="0.25">
      <c r="D23" s="10"/>
      <c r="G23" s="10"/>
      <c r="H23" s="10"/>
      <c r="I23" s="10"/>
      <c r="S23" s="10"/>
      <c r="U23" s="10"/>
      <c r="V23" s="10"/>
    </row>
    <row r="24" spans="1:27" x14ac:dyDescent="0.25">
      <c r="D24" s="10"/>
      <c r="G24" s="10"/>
      <c r="H24" s="10"/>
      <c r="I24" s="10"/>
      <c r="S24" s="10"/>
      <c r="U24" s="10"/>
      <c r="V24" s="10"/>
    </row>
    <row r="25" spans="1:27" x14ac:dyDescent="0.25">
      <c r="D25" s="10"/>
      <c r="E25" s="10"/>
      <c r="F25" s="10"/>
      <c r="G25" s="10"/>
      <c r="H25" s="10"/>
      <c r="I25" s="10"/>
      <c r="S25" s="10"/>
      <c r="U25" s="10"/>
      <c r="V25" s="10"/>
    </row>
    <row r="26" spans="1:27" x14ac:dyDescent="0.25">
      <c r="D26" s="10"/>
      <c r="E26" s="10"/>
      <c r="F26" s="10"/>
      <c r="G26" s="10"/>
      <c r="H26" s="10"/>
      <c r="I26" s="10"/>
      <c r="S26" s="10"/>
      <c r="U26" s="10"/>
      <c r="V26" s="10"/>
    </row>
    <row r="27" spans="1:27" x14ac:dyDescent="0.25">
      <c r="D27" s="10"/>
      <c r="E27" s="10"/>
      <c r="F27" s="10"/>
      <c r="G27" s="10"/>
      <c r="H27" s="10"/>
      <c r="I27" s="10"/>
      <c r="S27" s="10"/>
      <c r="U27" s="10"/>
      <c r="V27" s="10"/>
    </row>
    <row r="28" spans="1:27" x14ac:dyDescent="0.25">
      <c r="S28" s="10"/>
      <c r="U28" s="10"/>
      <c r="V28" s="10"/>
    </row>
    <row r="29" spans="1:27" x14ac:dyDescent="0.25">
      <c r="S29" s="10"/>
      <c r="U29" s="10"/>
      <c r="V29" s="10"/>
    </row>
    <row r="30" spans="1:27" x14ac:dyDescent="0.25">
      <c r="S30" s="10"/>
      <c r="U30" s="10"/>
      <c r="V30" s="10"/>
    </row>
    <row r="31" spans="1:27" x14ac:dyDescent="0.25">
      <c r="S31" s="10"/>
      <c r="U31" s="10"/>
      <c r="V31" s="10"/>
    </row>
    <row r="32" spans="1:27" x14ac:dyDescent="0.25">
      <c r="S32" s="10"/>
      <c r="U32" s="10"/>
      <c r="V32" s="10"/>
    </row>
    <row r="33" spans="19:22" x14ac:dyDescent="0.25">
      <c r="S33" s="10"/>
      <c r="U33" s="10"/>
      <c r="V33" s="10"/>
    </row>
    <row r="34" spans="19:22" x14ac:dyDescent="0.25">
      <c r="S34" s="10"/>
      <c r="U34" s="10"/>
      <c r="V34" s="10"/>
    </row>
    <row r="35" spans="19:22" x14ac:dyDescent="0.25">
      <c r="S35" s="10"/>
      <c r="U35" s="10"/>
      <c r="V35" s="10"/>
    </row>
    <row r="36" spans="19:22" x14ac:dyDescent="0.25">
      <c r="S36" s="10"/>
      <c r="U36" s="10"/>
      <c r="V36" s="10"/>
    </row>
    <row r="37" spans="19:22" x14ac:dyDescent="0.25">
      <c r="S37" s="10"/>
      <c r="U37" s="10"/>
      <c r="V37" s="10"/>
    </row>
    <row r="38" spans="19:22" x14ac:dyDescent="0.25">
      <c r="U38" s="10"/>
      <c r="V38" s="1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3" sqref="A3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90</v>
      </c>
    </row>
    <row r="2" spans="1:2" x14ac:dyDescent="0.25">
      <c r="A2" s="75">
        <f>EUETS_period!C2</f>
        <v>2020</v>
      </c>
      <c r="B2" s="2">
        <f>EUETS_period!Z2</f>
        <v>9.2812000000000006E-2</v>
      </c>
    </row>
    <row r="3" spans="1:2" x14ac:dyDescent="0.25">
      <c r="A3" s="75">
        <f>EUETS_period!C3</f>
        <v>2021</v>
      </c>
      <c r="B3" s="2">
        <f>EUETS_period!Z3</f>
        <v>0.18048900000000007</v>
      </c>
    </row>
    <row r="4" spans="1:2" x14ac:dyDescent="0.25">
      <c r="A4" s="75">
        <f>EUETS_period!C4</f>
        <v>2022</v>
      </c>
      <c r="B4" s="2">
        <f>EUETS_period!Z4</f>
        <v>0</v>
      </c>
    </row>
    <row r="5" spans="1:2" x14ac:dyDescent="0.25">
      <c r="A5" s="75">
        <f>EUETS_period!C5</f>
        <v>2023</v>
      </c>
      <c r="B5" s="2">
        <f>EUETS_period!Z5</f>
        <v>0</v>
      </c>
    </row>
    <row r="6" spans="1:2" x14ac:dyDescent="0.25">
      <c r="A6" s="75">
        <f>EUETS_period!C6</f>
        <v>2024</v>
      </c>
      <c r="B6" s="2">
        <f>EUETS_period!Z6</f>
        <v>0</v>
      </c>
    </row>
    <row r="7" spans="1:2" x14ac:dyDescent="0.25">
      <c r="A7" s="75">
        <f>EUETS_period!C7</f>
        <v>2025</v>
      </c>
      <c r="B7" s="2">
        <f>EUETS_period!Z7</f>
        <v>0</v>
      </c>
    </row>
    <row r="8" spans="1:2" x14ac:dyDescent="0.25">
      <c r="A8" s="75">
        <f>EUETS_period!C8</f>
        <v>2026</v>
      </c>
      <c r="B8" s="2">
        <f>EUETS_period!Z8</f>
        <v>0</v>
      </c>
    </row>
    <row r="9" spans="1:2" x14ac:dyDescent="0.25">
      <c r="A9" s="75">
        <f>EUETS_period!C9</f>
        <v>2027</v>
      </c>
      <c r="B9" s="2">
        <f>EUETS_period!Z9</f>
        <v>0</v>
      </c>
    </row>
    <row r="10" spans="1:2" x14ac:dyDescent="0.25">
      <c r="A10" s="75">
        <f>EUETS_period!C10</f>
        <v>2028</v>
      </c>
      <c r="B10" s="2">
        <f>EUETS_period!Z10</f>
        <v>0</v>
      </c>
    </row>
    <row r="11" spans="1:2" x14ac:dyDescent="0.25">
      <c r="A11" s="75">
        <f>EUETS_period!C11</f>
        <v>2029</v>
      </c>
      <c r="B11" s="2">
        <f>EUETS_period!Z11</f>
        <v>0</v>
      </c>
    </row>
    <row r="12" spans="1:2" x14ac:dyDescent="0.25">
      <c r="A12" s="75">
        <f>EUETS_period!C12</f>
        <v>2030</v>
      </c>
      <c r="B12" s="2">
        <f>EUETS_period!Z12</f>
        <v>0</v>
      </c>
    </row>
    <row r="13" spans="1:2" x14ac:dyDescent="0.25">
      <c r="A13" s="75">
        <f>EUETS_period!C13</f>
        <v>2035</v>
      </c>
      <c r="B13" s="2">
        <f>EUETS_period!Z13</f>
        <v>0</v>
      </c>
    </row>
    <row r="14" spans="1:2" x14ac:dyDescent="0.25">
      <c r="A14" s="75">
        <f>EUETS_period!C14</f>
        <v>2040</v>
      </c>
      <c r="B14" s="2">
        <f>EUETS_period!Z14</f>
        <v>0</v>
      </c>
    </row>
    <row r="15" spans="1:2" x14ac:dyDescent="0.25">
      <c r="A15" s="75">
        <f>EUETS_period!C15</f>
        <v>2045</v>
      </c>
      <c r="B15" s="2">
        <f>EUETS_period!Z15</f>
        <v>0</v>
      </c>
    </row>
    <row r="16" spans="1:2" x14ac:dyDescent="0.25">
      <c r="A16" s="75">
        <f>EUETS_period!C16</f>
        <v>2050</v>
      </c>
      <c r="B16" s="2">
        <f>EUETS_period!Z16</f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130" zoomScaleNormal="130" workbookViewId="0">
      <selection activeCell="B2" sqref="B2:B16"/>
    </sheetView>
  </sheetViews>
  <sheetFormatPr baseColWidth="10" defaultRowHeight="13.5" x14ac:dyDescent="0.25"/>
  <sheetData>
    <row r="1" spans="1:6" x14ac:dyDescent="0.25">
      <c r="A1" s="74" t="s">
        <v>36</v>
      </c>
      <c r="B1" s="30" t="s">
        <v>42</v>
      </c>
    </row>
    <row r="2" spans="1:6" x14ac:dyDescent="0.25">
      <c r="A2" s="75">
        <f>EUETS_period!C2</f>
        <v>2020</v>
      </c>
      <c r="B2" s="2">
        <f>EUETS_period!S2</f>
        <v>718.75494315779861</v>
      </c>
      <c r="C2" s="82"/>
      <c r="D2" s="82"/>
      <c r="E2" s="82"/>
      <c r="F2" s="82"/>
    </row>
    <row r="3" spans="1:6" x14ac:dyDescent="0.25">
      <c r="A3" s="75">
        <f>EUETS_period!C3</f>
        <v>2021</v>
      </c>
      <c r="B3" s="2">
        <f>EUETS_period!S3</f>
        <v>653.98292997142676</v>
      </c>
      <c r="C3" s="82"/>
      <c r="D3" s="82"/>
      <c r="E3" s="82"/>
      <c r="F3" s="82"/>
    </row>
    <row r="4" spans="1:6" x14ac:dyDescent="0.25">
      <c r="A4" s="75">
        <f>EUETS_period!C4</f>
        <v>2022</v>
      </c>
      <c r="B4" s="2">
        <f>EUETS_period!S4</f>
        <v>606.61810000000003</v>
      </c>
      <c r="C4" s="82"/>
      <c r="D4" s="82"/>
      <c r="E4" s="82"/>
      <c r="F4" s="82"/>
    </row>
    <row r="5" spans="1:6" x14ac:dyDescent="0.25">
      <c r="A5" s="75">
        <f>EUETS_period!C5</f>
        <v>2023</v>
      </c>
      <c r="B5" s="2">
        <f>EUETS_period!S5</f>
        <v>570.49530000000004</v>
      </c>
      <c r="C5" s="82"/>
      <c r="D5" s="82"/>
      <c r="E5" s="82"/>
      <c r="F5" s="82"/>
    </row>
    <row r="6" spans="1:6" x14ac:dyDescent="0.25">
      <c r="A6" s="75">
        <f>EUETS_period!C6</f>
        <v>2024</v>
      </c>
      <c r="B6" s="2">
        <f>EUETS_period!S6</f>
        <v>538.36609999999996</v>
      </c>
      <c r="C6" s="82"/>
      <c r="D6" s="82"/>
      <c r="E6" s="82"/>
      <c r="F6" s="82"/>
    </row>
    <row r="7" spans="1:6" x14ac:dyDescent="0.25">
      <c r="A7" s="75">
        <f>EUETS_period!C7</f>
        <v>2025</v>
      </c>
      <c r="B7" s="2">
        <f>EUETS_period!S7</f>
        <v>508.14319999999998</v>
      </c>
      <c r="C7" s="82"/>
      <c r="D7" s="82"/>
      <c r="E7" s="82"/>
      <c r="F7" s="82"/>
    </row>
    <row r="8" spans="1:6" x14ac:dyDescent="0.25">
      <c r="A8" s="75">
        <f>EUETS_period!C8</f>
        <v>2026</v>
      </c>
      <c r="B8" s="2">
        <f>EUETS_period!S8</f>
        <v>523.2808</v>
      </c>
      <c r="C8" s="82"/>
      <c r="D8" s="82"/>
      <c r="E8" s="82"/>
      <c r="F8" s="82"/>
    </row>
    <row r="9" spans="1:6" x14ac:dyDescent="0.25">
      <c r="A9" s="75">
        <f>EUETS_period!C9</f>
        <v>2027</v>
      </c>
      <c r="B9" s="2">
        <f>EUETS_period!S9</f>
        <v>531.60900000000004</v>
      </c>
      <c r="C9" s="82"/>
      <c r="D9" s="82"/>
      <c r="E9" s="82"/>
      <c r="F9" s="82"/>
    </row>
    <row r="10" spans="1:6" x14ac:dyDescent="0.25">
      <c r="A10" s="75">
        <f>EUETS_period!C10</f>
        <v>2028</v>
      </c>
      <c r="B10" s="2">
        <f>EUETS_period!S10</f>
        <v>559.13139999999999</v>
      </c>
      <c r="C10" s="82"/>
      <c r="D10" s="82"/>
      <c r="E10" s="82"/>
      <c r="F10" s="82"/>
    </row>
    <row r="11" spans="1:6" x14ac:dyDescent="0.25">
      <c r="A11" s="75">
        <f>EUETS_period!C11</f>
        <v>2029</v>
      </c>
      <c r="B11" s="2">
        <f>EUETS_period!S11</f>
        <v>575.6576</v>
      </c>
      <c r="C11" s="82"/>
      <c r="D11" s="82"/>
      <c r="E11" s="82"/>
      <c r="F11" s="82"/>
    </row>
    <row r="12" spans="1:6" x14ac:dyDescent="0.25">
      <c r="A12" s="75">
        <f>EUETS_period!C12</f>
        <v>2030</v>
      </c>
      <c r="B12" s="2">
        <f>EUETS_period!S12</f>
        <v>581.3768</v>
      </c>
      <c r="C12" s="82"/>
      <c r="D12" s="82"/>
      <c r="E12" s="82"/>
      <c r="F12" s="82"/>
    </row>
    <row r="13" spans="1:6" x14ac:dyDescent="0.25">
      <c r="A13" s="75">
        <f>EUETS_period!C13</f>
        <v>2035</v>
      </c>
      <c r="B13" s="2">
        <f>EUETS_period!S13</f>
        <v>389.28472991175306</v>
      </c>
      <c r="C13" s="82"/>
      <c r="D13" s="82"/>
      <c r="E13" s="82"/>
      <c r="F13" s="82"/>
    </row>
    <row r="14" spans="1:6" x14ac:dyDescent="0.25">
      <c r="A14" s="75">
        <f>EUETS_period!C14</f>
        <v>2040</v>
      </c>
      <c r="B14" s="2">
        <f>EUETS_period!S14</f>
        <v>228.00529370381665</v>
      </c>
      <c r="C14" s="82"/>
      <c r="D14" s="82"/>
      <c r="E14" s="82"/>
      <c r="F14" s="82"/>
    </row>
    <row r="15" spans="1:6" x14ac:dyDescent="0.25">
      <c r="A15" s="75">
        <f>EUETS_period!C15</f>
        <v>2045</v>
      </c>
      <c r="B15" s="2">
        <f>EUETS_period!S15</f>
        <v>96.911436384430317</v>
      </c>
      <c r="C15" s="82"/>
      <c r="D15" s="82"/>
      <c r="E15" s="82"/>
      <c r="F15" s="82"/>
    </row>
    <row r="16" spans="1:6" x14ac:dyDescent="0.25">
      <c r="A16" s="75">
        <f>EUETS_period!C16</f>
        <v>2050</v>
      </c>
      <c r="B16" s="2">
        <f>EUETS_period!S16</f>
        <v>-128.17679999999999</v>
      </c>
      <c r="C16" s="82"/>
      <c r="D16" s="82"/>
      <c r="E16" s="82"/>
      <c r="F16" s="82"/>
    </row>
    <row r="18" spans="3:5" x14ac:dyDescent="0.25">
      <c r="C18" s="163"/>
      <c r="D18" s="163"/>
      <c r="E18" s="163"/>
    </row>
    <row r="19" spans="3:5" x14ac:dyDescent="0.25">
      <c r="C19" s="163"/>
      <c r="D19" s="163"/>
      <c r="E19" s="163"/>
    </row>
    <row r="20" spans="3:5" x14ac:dyDescent="0.25">
      <c r="C20" s="163"/>
      <c r="D20" s="163"/>
      <c r="E20" s="163"/>
    </row>
    <row r="21" spans="3:5" x14ac:dyDescent="0.25">
      <c r="C21" s="163"/>
      <c r="D21" s="163"/>
      <c r="E21" s="163"/>
    </row>
    <row r="22" spans="3:5" x14ac:dyDescent="0.25">
      <c r="C22" s="163"/>
      <c r="D22" s="163"/>
      <c r="E22" s="163"/>
    </row>
    <row r="23" spans="3:5" x14ac:dyDescent="0.25">
      <c r="C23" s="163"/>
      <c r="D23" s="163"/>
      <c r="E23" s="163"/>
    </row>
    <row r="24" spans="3:5" x14ac:dyDescent="0.25">
      <c r="C24" s="163"/>
      <c r="D24" s="163"/>
      <c r="E24" s="16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6" sqref="D16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42</v>
      </c>
    </row>
    <row r="2" spans="1:2" x14ac:dyDescent="0.25">
      <c r="A2" s="75">
        <f>EUETS_period!C2</f>
        <v>2020</v>
      </c>
      <c r="B2" s="2">
        <f>co2elec_annual!H41</f>
        <v>718.75494315779861</v>
      </c>
    </row>
    <row r="3" spans="1:2" x14ac:dyDescent="0.25">
      <c r="A3" s="75">
        <f>EUETS_period!C3</f>
        <v>2021</v>
      </c>
      <c r="B3" s="2">
        <f>co2elec_annual!H42</f>
        <v>653.98292997142676</v>
      </c>
    </row>
    <row r="4" spans="1:2" x14ac:dyDescent="0.25">
      <c r="A4" s="75">
        <f>EUETS_period!C4</f>
        <v>2022</v>
      </c>
      <c r="B4" s="2">
        <f>co2elec_annual!H43</f>
        <v>656.61808899717983</v>
      </c>
    </row>
    <row r="5" spans="1:2" x14ac:dyDescent="0.25">
      <c r="A5" s="75">
        <f>EUETS_period!C5</f>
        <v>2023</v>
      </c>
      <c r="B5" s="2">
        <f>co2elec_annual!H44</f>
        <v>620.495271831286</v>
      </c>
    </row>
    <row r="6" spans="1:2" x14ac:dyDescent="0.25">
      <c r="A6" s="75">
        <f>EUETS_period!C6</f>
        <v>2024</v>
      </c>
      <c r="B6" s="2">
        <f>co2elec_annual!H45</f>
        <v>588.36607537237887</v>
      </c>
    </row>
    <row r="7" spans="1:2" x14ac:dyDescent="0.25">
      <c r="A7" s="75">
        <f>EUETS_period!C7</f>
        <v>2025</v>
      </c>
      <c r="B7" s="2">
        <f>co2elec_annual!H46</f>
        <v>558.14321723007959</v>
      </c>
    </row>
    <row r="8" spans="1:2" x14ac:dyDescent="0.25">
      <c r="A8" s="75">
        <f>EUETS_period!C8</f>
        <v>2026</v>
      </c>
      <c r="B8" s="2">
        <f>co2elec_annual!H47</f>
        <v>573.28077039888399</v>
      </c>
    </row>
    <row r="9" spans="1:2" x14ac:dyDescent="0.25">
      <c r="A9" s="75">
        <f>EUETS_period!C9</f>
        <v>2027</v>
      </c>
      <c r="B9" s="2">
        <f>co2elec_annual!H48</f>
        <v>581.6089693512796</v>
      </c>
    </row>
    <row r="10" spans="1:2" x14ac:dyDescent="0.25">
      <c r="A10" s="75">
        <f>EUETS_period!C10</f>
        <v>2028</v>
      </c>
      <c r="B10" s="2">
        <f>co2elec_annual!H49</f>
        <v>609.13137071225765</v>
      </c>
    </row>
    <row r="11" spans="1:2" x14ac:dyDescent="0.25">
      <c r="A11" s="75">
        <f>EUETS_period!C11</f>
        <v>2029</v>
      </c>
      <c r="B11" s="2">
        <f>co2elec_annual!H50</f>
        <v>625.65764150935468</v>
      </c>
    </row>
    <row r="12" spans="1:2" x14ac:dyDescent="0.25">
      <c r="A12" s="75">
        <f>EUETS_period!C12</f>
        <v>2030</v>
      </c>
      <c r="B12" s="2">
        <f>co2elec_annual!H51</f>
        <v>631.37680215055411</v>
      </c>
    </row>
    <row r="13" spans="1:2" x14ac:dyDescent="0.25">
      <c r="A13" s="75">
        <f>EUETS_period!C13</f>
        <v>2035</v>
      </c>
      <c r="B13" s="2">
        <f>co2elec_annual!H52</f>
        <v>395.18399567007822</v>
      </c>
    </row>
    <row r="14" spans="1:2" x14ac:dyDescent="0.25">
      <c r="A14" s="75">
        <f>EUETS_period!C14</f>
        <v>2040</v>
      </c>
      <c r="B14" s="2">
        <f>co2elec_annual!H53</f>
        <v>204.68832504337666</v>
      </c>
    </row>
    <row r="15" spans="1:2" x14ac:dyDescent="0.25">
      <c r="A15" s="75">
        <f>EUETS_period!C15</f>
        <v>2045</v>
      </c>
      <c r="B15" s="2">
        <f>co2elec_annual!H54</f>
        <v>101.14091424243239</v>
      </c>
    </row>
    <row r="16" spans="1:2" x14ac:dyDescent="0.25">
      <c r="A16" s="75">
        <f>EUETS_period!C16</f>
        <v>2050</v>
      </c>
      <c r="B16" s="2">
        <f>co2elec_annual!H55</f>
        <v>-128.17679999999999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7"/>
    </sheetView>
  </sheetViews>
  <sheetFormatPr baseColWidth="10" defaultRowHeight="13.5" x14ac:dyDescent="0.25"/>
  <sheetData>
    <row r="1" spans="1:2" x14ac:dyDescent="0.25">
      <c r="A1" s="74" t="s">
        <v>36</v>
      </c>
      <c r="B1" s="30" t="s">
        <v>42</v>
      </c>
    </row>
    <row r="2" spans="1:2" x14ac:dyDescent="0.25">
      <c r="A2" s="75">
        <f>EUETS_period!C2</f>
        <v>2020</v>
      </c>
      <c r="B2" s="2">
        <f>EUETS_period!T2</f>
        <v>0</v>
      </c>
    </row>
    <row r="3" spans="1:2" x14ac:dyDescent="0.25">
      <c r="A3" s="75">
        <f>EUETS_period!C3</f>
        <v>2021</v>
      </c>
      <c r="B3" s="2">
        <f>EUETS_period!T3</f>
        <v>0</v>
      </c>
    </row>
    <row r="4" spans="1:2" x14ac:dyDescent="0.25">
      <c r="A4" s="75">
        <f>EUETS_period!C4</f>
        <v>2022</v>
      </c>
      <c r="B4" s="2">
        <f>EUETS_period!T4</f>
        <v>80.107406857655931</v>
      </c>
    </row>
    <row r="5" spans="1:2" x14ac:dyDescent="0.25">
      <c r="A5" s="75">
        <f>EUETS_period!C5</f>
        <v>2023</v>
      </c>
      <c r="B5" s="2">
        <f>EUETS_period!T5</f>
        <v>75.700423163416886</v>
      </c>
    </row>
    <row r="6" spans="1:2" x14ac:dyDescent="0.25">
      <c r="A6" s="75">
        <f>EUETS_period!C6</f>
        <v>2024</v>
      </c>
      <c r="B6" s="2">
        <f>EUETS_period!T6</f>
        <v>71.780661195430227</v>
      </c>
    </row>
    <row r="7" spans="1:2" x14ac:dyDescent="0.25">
      <c r="A7" s="75">
        <f>EUETS_period!C7</f>
        <v>2025</v>
      </c>
      <c r="B7" s="2">
        <f>EUETS_period!T7</f>
        <v>68.093472502069702</v>
      </c>
    </row>
    <row r="8" spans="1:2" x14ac:dyDescent="0.25">
      <c r="A8" s="75">
        <f>EUETS_period!C8</f>
        <v>2026</v>
      </c>
      <c r="B8" s="2">
        <f>EUETS_period!T8</f>
        <v>69.940253988663841</v>
      </c>
    </row>
    <row r="9" spans="1:2" x14ac:dyDescent="0.25">
      <c r="A9" s="75">
        <f>EUETS_period!C9</f>
        <v>2027</v>
      </c>
      <c r="B9" s="2">
        <f>EUETS_period!T9</f>
        <v>70.956294260856112</v>
      </c>
    </row>
    <row r="10" spans="1:2" x14ac:dyDescent="0.25">
      <c r="A10" s="75">
        <f>EUETS_period!C10</f>
        <v>2028</v>
      </c>
      <c r="B10" s="2">
        <f>EUETS_period!T10</f>
        <v>74.314027226895433</v>
      </c>
    </row>
    <row r="11" spans="1:2" x14ac:dyDescent="0.25">
      <c r="A11" s="75">
        <f>EUETS_period!C11</f>
        <v>2029</v>
      </c>
      <c r="B11" s="2">
        <f>EUETS_period!T11</f>
        <v>76.330232264141273</v>
      </c>
    </row>
    <row r="12" spans="1:2" x14ac:dyDescent="0.25">
      <c r="A12" s="75">
        <f>EUETS_period!C12</f>
        <v>2030</v>
      </c>
      <c r="B12" s="2">
        <f>EUETS_period!T12</f>
        <v>77.027969862367598</v>
      </c>
    </row>
    <row r="13" spans="1:2" x14ac:dyDescent="0.25">
      <c r="A13" s="75">
        <f>EUETS_period!C13</f>
        <v>2035</v>
      </c>
      <c r="B13" s="2">
        <f>EUETS_period!T13</f>
        <v>48.212447471749542</v>
      </c>
    </row>
    <row r="14" spans="1:2" x14ac:dyDescent="0.25">
      <c r="A14" s="75">
        <f>EUETS_period!C14</f>
        <v>2040</v>
      </c>
      <c r="B14" s="2">
        <f>EUETS_period!T14</f>
        <v>24.971975655291949</v>
      </c>
    </row>
    <row r="15" spans="1:2" x14ac:dyDescent="0.25">
      <c r="A15" s="75">
        <f>EUETS_period!C15</f>
        <v>2045</v>
      </c>
      <c r="B15" s="2">
        <f>EUETS_period!T15</f>
        <v>12.339191537576751</v>
      </c>
    </row>
    <row r="16" spans="1:2" x14ac:dyDescent="0.25">
      <c r="A16" s="75">
        <f>EUETS_period!C16</f>
        <v>2050</v>
      </c>
      <c r="B16" s="2">
        <f>EUETS_period!T16</f>
        <v>-15.637569599999997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co2elec_out</vt:lpstr>
      <vt:lpstr>co2ind_out</vt:lpstr>
      <vt:lpstr>co2elec_annual</vt:lpstr>
      <vt:lpstr>EUETS_annual</vt:lpstr>
      <vt:lpstr>EUETS_period</vt:lpstr>
      <vt:lpstr>co2can_in</vt:lpstr>
      <vt:lpstr>co2ele_in</vt:lpstr>
      <vt:lpstr>co2ele_org</vt:lpstr>
      <vt:lpstr>co2eleuk_in</vt:lpstr>
      <vt:lpstr>co2ind_in</vt:lpstr>
      <vt:lpstr>co2indorg_in</vt:lpstr>
      <vt:lpstr>co2induk_in</vt:lpstr>
      <vt:lpstr>co2indfix_in</vt:lpstr>
      <vt:lpstr>co2indshare_in</vt:lpstr>
      <vt:lpstr>tnacuse_in</vt:lpstr>
      <vt:lpstr>tnac_in</vt:lpstr>
      <vt:lpstr>co2add_in</vt:lpstr>
      <vt:lpstr>co2allocated_in</vt:lpstr>
      <vt:lpstr>co2auctioned_in</vt:lpstr>
      <vt:lpstr>msr_in</vt:lpstr>
      <vt:lpstr>msrin_in</vt:lpstr>
      <vt:lpstr>cancel_in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Mier, Mathias</dc:creator>
  <cp:lastModifiedBy>Mier, Mathias</cp:lastModifiedBy>
  <dcterms:created xsi:type="dcterms:W3CDTF">2021-12-21T20:00:45Z</dcterms:created>
  <dcterms:modified xsi:type="dcterms:W3CDTF">2023-04-19T12:08:37Z</dcterms:modified>
</cp:coreProperties>
</file>