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kte\FAUST\Papers\Black Box  - Investortype_MMVA\GAMS_dynamic\euetsmsr\co2iter_indformula_shortrun_reforms\"/>
    </mc:Choice>
  </mc:AlternateContent>
  <xr:revisionPtr revIDLastSave="0" documentId="8_{F1BC42FD-484B-4CB2-825C-56C23E7F1C88}" xr6:coauthVersionLast="47" xr6:coauthVersionMax="47" xr10:uidLastSave="{00000000-0000-0000-0000-000000000000}"/>
  <bookViews>
    <workbookView xWindow="38280" yWindow="-120" windowWidth="38640" windowHeight="21240" tabRatio="966" activeTab="4" xr2:uid="{00000000-000D-0000-FFFF-FFFF00000000}"/>
  </bookViews>
  <sheets>
    <sheet name="co2elec_out" sheetId="7" r:id="rId1"/>
    <sheet name="co2ind_out" sheetId="38" r:id="rId2"/>
    <sheet name="co2elec_annual" sheetId="8" r:id="rId3"/>
    <sheet name="EUETS_annual" sheetId="1" r:id="rId4"/>
    <sheet name="EUETS_period" sheetId="3" r:id="rId5"/>
    <sheet name="co2can_in" sheetId="35" r:id="rId6"/>
    <sheet name="co2ele_in" sheetId="9" r:id="rId7"/>
    <sheet name="co2ele_org" sheetId="40" r:id="rId8"/>
    <sheet name="co2eleuk_in" sheetId="36" r:id="rId9"/>
    <sheet name="co2avi_in" sheetId="41" r:id="rId10"/>
    <sheet name="co2shi_in" sheetId="42" r:id="rId11"/>
    <sheet name="co2out_in" sheetId="44" r:id="rId12"/>
    <sheet name="co2ind_in" sheetId="10" r:id="rId13"/>
    <sheet name="co2ind_org" sheetId="39" r:id="rId14"/>
    <sheet name="co2induk_in" sheetId="37" r:id="rId15"/>
    <sheet name="co2indfix_in" sheetId="31" r:id="rId16"/>
    <sheet name="co2indorgfix_in" sheetId="49" r:id="rId17"/>
    <sheet name="co2indshare_in" sheetId="32" r:id="rId18"/>
    <sheet name="tnac_in" sheetId="6" r:id="rId19"/>
    <sheet name="tnacuse_in" sheetId="5" r:id="rId20"/>
    <sheet name="tnacres_in" sheetId="43" r:id="rId21"/>
    <sheet name="tnacresuse_in" sheetId="48" r:id="rId22"/>
    <sheet name="co2add_in" sheetId="30" r:id="rId23"/>
    <sheet name="co2allocated_in" sheetId="25" r:id="rId24"/>
    <sheet name="co2auctioned_in" sheetId="21" r:id="rId25"/>
    <sheet name="msr_in" sheetId="22" r:id="rId26"/>
    <sheet name="msrin_in" sheetId="24" r:id="rId27"/>
    <sheet name="cancel_in" sheetId="23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1" i="1" l="1"/>
  <c r="AR10" i="1"/>
  <c r="AR9" i="1"/>
  <c r="AR8" i="1"/>
  <c r="AR7" i="1"/>
  <c r="H41" i="1" l="1"/>
  <c r="H9" i="1"/>
  <c r="H8" i="1"/>
  <c r="H7" i="1"/>
  <c r="H40" i="1" s="1"/>
  <c r="H6" i="1"/>
  <c r="D21" i="1" l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20" i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D19" i="1"/>
  <c r="D18" i="1"/>
  <c r="D17" i="1"/>
  <c r="D16" i="1"/>
  <c r="D15" i="1"/>
  <c r="D14" i="1"/>
  <c r="D13" i="1"/>
  <c r="D12" i="1"/>
  <c r="D11" i="1"/>
  <c r="J15" i="1" l="1"/>
  <c r="J16" i="1"/>
  <c r="E42" i="8"/>
  <c r="E41" i="8"/>
  <c r="A2" i="49" l="1"/>
  <c r="L20" i="8"/>
  <c r="L19" i="8"/>
  <c r="L51" i="8" s="1"/>
  <c r="L18" i="8"/>
  <c r="L50" i="8" s="1"/>
  <c r="L17" i="8"/>
  <c r="L49" i="8" s="1"/>
  <c r="L15" i="8"/>
  <c r="L47" i="8" s="1"/>
  <c r="L14" i="8"/>
  <c r="L46" i="8" s="1"/>
  <c r="A15" i="7"/>
  <c r="A16" i="7" s="1"/>
  <c r="I53" i="8"/>
  <c r="B8" i="49" l="1"/>
  <c r="B10" i="49"/>
  <c r="B11" i="49"/>
  <c r="B12" i="49"/>
  <c r="B7" i="49"/>
  <c r="AB11" i="1"/>
  <c r="AA10" i="1"/>
  <c r="AA9" i="1"/>
  <c r="AA8" i="1"/>
  <c r="AA7" i="1"/>
  <c r="AA6" i="1"/>
  <c r="AA5" i="1"/>
  <c r="AA4" i="1"/>
  <c r="AA3" i="1"/>
  <c r="AA2" i="1"/>
  <c r="I11" i="8"/>
  <c r="I43" i="8" s="1"/>
  <c r="M43" i="8" s="1"/>
  <c r="H41" i="8"/>
  <c r="I41" i="8"/>
  <c r="H42" i="8"/>
  <c r="I42" i="8"/>
  <c r="M42" i="8" s="1"/>
  <c r="H43" i="8"/>
  <c r="H44" i="8"/>
  <c r="I44" i="8"/>
  <c r="M44" i="8" s="1"/>
  <c r="H45" i="8"/>
  <c r="I45" i="8"/>
  <c r="M45" i="8" s="1"/>
  <c r="H46" i="8"/>
  <c r="I46" i="8"/>
  <c r="M46" i="8" s="1"/>
  <c r="H47" i="8"/>
  <c r="I47" i="8"/>
  <c r="M47" i="8" s="1"/>
  <c r="H48" i="8"/>
  <c r="I48" i="8"/>
  <c r="M48" i="8" s="1"/>
  <c r="H49" i="8"/>
  <c r="I49" i="8"/>
  <c r="K46" i="8" l="1"/>
  <c r="N46" i="8" s="1"/>
  <c r="B7" i="32" s="1"/>
  <c r="M41" i="8"/>
  <c r="M49" i="8"/>
  <c r="K49" i="8"/>
  <c r="N49" i="8" s="1"/>
  <c r="B10" i="32" s="1"/>
  <c r="K47" i="8"/>
  <c r="N47" i="8" s="1"/>
  <c r="B8" i="32" s="1"/>
  <c r="Y2" i="3"/>
  <c r="Z2" i="3"/>
  <c r="Y3" i="3"/>
  <c r="Z3" i="3"/>
  <c r="Y4" i="3"/>
  <c r="Z4" i="3"/>
  <c r="B7" i="7" l="1"/>
  <c r="A2" i="48" l="1"/>
  <c r="A2" i="44"/>
  <c r="A2" i="43"/>
  <c r="AA4" i="3"/>
  <c r="B4" i="44" s="1"/>
  <c r="AA3" i="3"/>
  <c r="B3" i="44" s="1"/>
  <c r="AA2" i="3"/>
  <c r="B2" i="44" s="1"/>
  <c r="M29" i="8"/>
  <c r="N29" i="8" s="1"/>
  <c r="AD36" i="1"/>
  <c r="AD37" i="1"/>
  <c r="AD38" i="1"/>
  <c r="AD39" i="1"/>
  <c r="AB19" i="1"/>
  <c r="Y12" i="3" s="1"/>
  <c r="AC12" i="1"/>
  <c r="Z5" i="3" s="1"/>
  <c r="A2" i="42"/>
  <c r="A2" i="41"/>
  <c r="C4" i="7"/>
  <c r="B4" i="7" s="1"/>
  <c r="C5" i="7"/>
  <c r="B5" i="7" s="1"/>
  <c r="C6" i="7"/>
  <c r="B6" i="7" s="1"/>
  <c r="C7" i="7"/>
  <c r="C8" i="7"/>
  <c r="D9" i="7"/>
  <c r="D10" i="7" s="1"/>
  <c r="D11" i="7" s="1"/>
  <c r="D12" i="7" s="1"/>
  <c r="D13" i="7" s="1"/>
  <c r="D14" i="7" s="1"/>
  <c r="D16" i="7" s="1"/>
  <c r="C9" i="7"/>
  <c r="C10" i="7"/>
  <c r="C11" i="7"/>
  <c r="C12" i="7"/>
  <c r="C13" i="7"/>
  <c r="C14" i="7"/>
  <c r="C15" i="7"/>
  <c r="B15" i="7" s="1"/>
  <c r="C16" i="7"/>
  <c r="I55" i="8"/>
  <c r="I54" i="8"/>
  <c r="C2" i="8"/>
  <c r="B11" i="8"/>
  <c r="D17" i="7" l="1"/>
  <c r="B16" i="7"/>
  <c r="B8" i="7"/>
  <c r="B14" i="7"/>
  <c r="B13" i="7"/>
  <c r="B12" i="7"/>
  <c r="B11" i="7"/>
  <c r="B10" i="7"/>
  <c r="B9" i="7"/>
  <c r="L27" i="8"/>
  <c r="L28" i="8"/>
  <c r="L29" i="8"/>
  <c r="L30" i="8"/>
  <c r="L31" i="8"/>
  <c r="L32" i="8"/>
  <c r="L33" i="8"/>
  <c r="L34" i="8"/>
  <c r="L35" i="8"/>
  <c r="L55" i="8" s="1"/>
  <c r="L36" i="8"/>
  <c r="L37" i="8"/>
  <c r="L38" i="8"/>
  <c r="L39" i="8"/>
  <c r="M10" i="8"/>
  <c r="N10" i="8" s="1"/>
  <c r="AI11" i="1"/>
  <c r="B10" i="8"/>
  <c r="AT11" i="1"/>
  <c r="N11" i="1"/>
  <c r="L54" i="8" l="1"/>
  <c r="K55" i="8"/>
  <c r="B16" i="49"/>
  <c r="L12" i="8"/>
  <c r="L44" i="8" s="1"/>
  <c r="L13" i="8"/>
  <c r="L45" i="8" s="1"/>
  <c r="L16" i="8"/>
  <c r="L48" i="8" s="1"/>
  <c r="L21" i="8"/>
  <c r="L52" i="8" s="1"/>
  <c r="L22" i="8"/>
  <c r="L23" i="8"/>
  <c r="L24" i="8"/>
  <c r="L25" i="8"/>
  <c r="L26" i="8"/>
  <c r="U14" i="8"/>
  <c r="U13" i="8"/>
  <c r="U15" i="8"/>
  <c r="U16" i="8"/>
  <c r="U17" i="8"/>
  <c r="U18" i="8"/>
  <c r="U19" i="8"/>
  <c r="U20" i="8"/>
  <c r="AC20" i="1" s="1"/>
  <c r="U21" i="8"/>
  <c r="AC21" i="1" s="1"/>
  <c r="U22" i="8"/>
  <c r="U23" i="8"/>
  <c r="AC23" i="1" s="1"/>
  <c r="U24" i="8"/>
  <c r="AC24" i="1" s="1"/>
  <c r="U25" i="8"/>
  <c r="AC25" i="1" s="1"/>
  <c r="U26" i="8"/>
  <c r="AC26" i="1" s="1"/>
  <c r="U27" i="8"/>
  <c r="AC27" i="1" s="1"/>
  <c r="U28" i="8"/>
  <c r="AC28" i="1" s="1"/>
  <c r="U29" i="8"/>
  <c r="AC29" i="1" s="1"/>
  <c r="U30" i="8"/>
  <c r="AC30" i="1" s="1"/>
  <c r="U31" i="8"/>
  <c r="AC31" i="1" s="1"/>
  <c r="U32" i="8"/>
  <c r="AC32" i="1" s="1"/>
  <c r="U33" i="8"/>
  <c r="AC33" i="1" s="1"/>
  <c r="U34" i="8"/>
  <c r="AC34" i="1" s="1"/>
  <c r="U35" i="8"/>
  <c r="AC35" i="1" s="1"/>
  <c r="U36" i="8"/>
  <c r="AC36" i="1" s="1"/>
  <c r="U37" i="8"/>
  <c r="AC37" i="1" s="1"/>
  <c r="U38" i="8"/>
  <c r="AC38" i="1" s="1"/>
  <c r="U39" i="8"/>
  <c r="AC39" i="1" s="1"/>
  <c r="V51" i="8"/>
  <c r="B12" i="41" s="1"/>
  <c r="U44" i="8"/>
  <c r="B5" i="42" s="1"/>
  <c r="U43" i="8"/>
  <c r="B4" i="42" s="1"/>
  <c r="U42" i="8"/>
  <c r="B3" i="42" s="1"/>
  <c r="U41" i="8"/>
  <c r="B2" i="42" s="1"/>
  <c r="J10" i="1"/>
  <c r="L53" i="8" l="1"/>
  <c r="B13" i="49"/>
  <c r="B9" i="49"/>
  <c r="K48" i="8"/>
  <c r="N48" i="8" s="1"/>
  <c r="B9" i="32" s="1"/>
  <c r="B6" i="49"/>
  <c r="K45" i="8"/>
  <c r="N45" i="8" s="1"/>
  <c r="B6" i="32" s="1"/>
  <c r="B5" i="49"/>
  <c r="K44" i="8"/>
  <c r="N44" i="8" s="1"/>
  <c r="B5" i="32" s="1"/>
  <c r="Z16" i="3"/>
  <c r="B15" i="49"/>
  <c r="K54" i="8"/>
  <c r="Z14" i="3"/>
  <c r="Z15" i="3"/>
  <c r="U52" i="8"/>
  <c r="AC22" i="1"/>
  <c r="Z13" i="3" s="1"/>
  <c r="U48" i="8"/>
  <c r="AC16" i="1"/>
  <c r="Z9" i="3" s="1"/>
  <c r="U47" i="8"/>
  <c r="AC15" i="1"/>
  <c r="Z8" i="3" s="1"/>
  <c r="U50" i="8"/>
  <c r="AC18" i="1"/>
  <c r="Z11" i="3" s="1"/>
  <c r="U46" i="8"/>
  <c r="AC14" i="1"/>
  <c r="Z7" i="3" s="1"/>
  <c r="U51" i="8"/>
  <c r="AC19" i="1"/>
  <c r="Z12" i="3" s="1"/>
  <c r="U49" i="8"/>
  <c r="AC17" i="1"/>
  <c r="Z10" i="3" s="1"/>
  <c r="U45" i="8"/>
  <c r="AC13" i="1"/>
  <c r="Z6" i="3" s="1"/>
  <c r="U55" i="8"/>
  <c r="U54" i="8"/>
  <c r="U53" i="8"/>
  <c r="E10" i="8"/>
  <c r="E9" i="8"/>
  <c r="B16" i="42" l="1"/>
  <c r="B14" i="42"/>
  <c r="B15" i="42"/>
  <c r="K53" i="8"/>
  <c r="B14" i="49"/>
  <c r="B6" i="42"/>
  <c r="B10" i="42"/>
  <c r="B7" i="42"/>
  <c r="B11" i="42"/>
  <c r="B8" i="42"/>
  <c r="B9" i="42"/>
  <c r="B12" i="42"/>
  <c r="B13" i="42"/>
  <c r="A2" i="40"/>
  <c r="A2" i="39" l="1"/>
  <c r="D8" i="38"/>
  <c r="C18" i="38"/>
  <c r="B18" i="38" s="1"/>
  <c r="C17" i="38"/>
  <c r="C16" i="38"/>
  <c r="C15" i="38"/>
  <c r="A15" i="38"/>
  <c r="A16" i="38" s="1"/>
  <c r="A17" i="38" s="1"/>
  <c r="A18" i="38" s="1"/>
  <c r="C14" i="38"/>
  <c r="C13" i="38"/>
  <c r="C12" i="38"/>
  <c r="C11" i="38"/>
  <c r="C10" i="38"/>
  <c r="C9" i="38"/>
  <c r="C8" i="38"/>
  <c r="C7" i="38"/>
  <c r="B7" i="38" s="1"/>
  <c r="C6" i="38"/>
  <c r="B6" i="38" s="1"/>
  <c r="C5" i="38"/>
  <c r="B5" i="38" s="1"/>
  <c r="C4" i="38"/>
  <c r="B4" i="38" s="1"/>
  <c r="B8" i="38" l="1"/>
  <c r="D9" i="38"/>
  <c r="D10" i="38" s="1"/>
  <c r="R2" i="8"/>
  <c r="S2" i="8"/>
  <c r="R3" i="8"/>
  <c r="S3" i="8"/>
  <c r="R4" i="8"/>
  <c r="S4" i="8"/>
  <c r="R5" i="8"/>
  <c r="S5" i="8"/>
  <c r="R6" i="8"/>
  <c r="S6" i="8"/>
  <c r="R7" i="8"/>
  <c r="S7" i="8"/>
  <c r="R8" i="8"/>
  <c r="S8" i="8"/>
  <c r="R9" i="8"/>
  <c r="R41" i="8" s="1"/>
  <c r="S9" i="8"/>
  <c r="S41" i="8" s="1"/>
  <c r="R10" i="8"/>
  <c r="R42" i="8" s="1"/>
  <c r="S10" i="8"/>
  <c r="S42" i="8" s="1"/>
  <c r="J2" i="1"/>
  <c r="J3" i="1"/>
  <c r="J4" i="1"/>
  <c r="J5" i="1"/>
  <c r="AD2" i="3"/>
  <c r="B2" i="37" s="1"/>
  <c r="AD3" i="3"/>
  <c r="B3" i="37" s="1"/>
  <c r="W2" i="3"/>
  <c r="B2" i="36" s="1"/>
  <c r="W3" i="3"/>
  <c r="B3" i="36" s="1"/>
  <c r="E12" i="1"/>
  <c r="E13" i="1"/>
  <c r="E14" i="1"/>
  <c r="E15" i="1"/>
  <c r="E16" i="1"/>
  <c r="E17" i="1"/>
  <c r="E18" i="1"/>
  <c r="E19" i="1"/>
  <c r="E20" i="1"/>
  <c r="E11" i="1"/>
  <c r="L11" i="1" s="1"/>
  <c r="S12" i="8"/>
  <c r="S44" i="8" s="1"/>
  <c r="S13" i="8"/>
  <c r="S45" i="8" s="1"/>
  <c r="S14" i="8"/>
  <c r="S46" i="8" s="1"/>
  <c r="S15" i="8"/>
  <c r="S47" i="8" s="1"/>
  <c r="S16" i="8"/>
  <c r="S48" i="8" s="1"/>
  <c r="S17" i="8"/>
  <c r="S49" i="8" s="1"/>
  <c r="S18" i="8"/>
  <c r="S50" i="8" s="1"/>
  <c r="S19" i="8"/>
  <c r="S51" i="8" s="1"/>
  <c r="S20" i="8"/>
  <c r="AE20" i="1" s="1"/>
  <c r="S21" i="8"/>
  <c r="AE21" i="1" s="1"/>
  <c r="S22" i="8"/>
  <c r="AE22" i="1" s="1"/>
  <c r="S23" i="8"/>
  <c r="AE23" i="1" s="1"/>
  <c r="S24" i="8"/>
  <c r="AE24" i="1" s="1"/>
  <c r="S25" i="8"/>
  <c r="AE25" i="1" s="1"/>
  <c r="S26" i="8"/>
  <c r="AE26" i="1" s="1"/>
  <c r="S27" i="8"/>
  <c r="AE27" i="1" s="1"/>
  <c r="S28" i="8"/>
  <c r="AE28" i="1" s="1"/>
  <c r="S29" i="8"/>
  <c r="AE29" i="1" s="1"/>
  <c r="S30" i="8"/>
  <c r="AE30" i="1" s="1"/>
  <c r="S31" i="8"/>
  <c r="AE31" i="1" s="1"/>
  <c r="S32" i="8"/>
  <c r="AE32" i="1" s="1"/>
  <c r="S33" i="8"/>
  <c r="AE33" i="1" s="1"/>
  <c r="S34" i="8"/>
  <c r="S35" i="8"/>
  <c r="AE35" i="1" s="1"/>
  <c r="S36" i="8"/>
  <c r="AE36" i="1" s="1"/>
  <c r="S37" i="8"/>
  <c r="AE37" i="1" s="1"/>
  <c r="S38" i="8"/>
  <c r="AE38" i="1" s="1"/>
  <c r="S39" i="8"/>
  <c r="AE39" i="1" s="1"/>
  <c r="A2" i="37"/>
  <c r="A2" i="36"/>
  <c r="AC9" i="3" l="1"/>
  <c r="B9" i="39" s="1"/>
  <c r="B9" i="38"/>
  <c r="D11" i="38"/>
  <c r="B10" i="38"/>
  <c r="AD14" i="3"/>
  <c r="B14" i="37" s="1"/>
  <c r="AE16" i="1"/>
  <c r="AD9" i="3" s="1"/>
  <c r="B9" i="37" s="1"/>
  <c r="AE14" i="1"/>
  <c r="AD7" i="3" s="1"/>
  <c r="B7" i="37" s="1"/>
  <c r="AD16" i="3"/>
  <c r="B16" i="37" s="1"/>
  <c r="S54" i="8"/>
  <c r="AE34" i="1"/>
  <c r="AD15" i="3" s="1"/>
  <c r="B15" i="37" s="1"/>
  <c r="AD13" i="3"/>
  <c r="B13" i="37" s="1"/>
  <c r="AE19" i="1"/>
  <c r="AD12" i="3" s="1"/>
  <c r="B12" i="37" s="1"/>
  <c r="AE18" i="1"/>
  <c r="AD11" i="3" s="1"/>
  <c r="B11" i="37" s="1"/>
  <c r="AE17" i="1"/>
  <c r="AD10" i="3" s="1"/>
  <c r="B10" i="37" s="1"/>
  <c r="AE15" i="1"/>
  <c r="AD8" i="3" s="1"/>
  <c r="B8" i="37" s="1"/>
  <c r="AE13" i="1"/>
  <c r="AD6" i="3" s="1"/>
  <c r="B6" i="37" s="1"/>
  <c r="AE12" i="1"/>
  <c r="AD5" i="3" s="1"/>
  <c r="B5" i="37" s="1"/>
  <c r="S52" i="8"/>
  <c r="S53" i="8"/>
  <c r="S55" i="8"/>
  <c r="D12" i="38" l="1"/>
  <c r="B11" i="38"/>
  <c r="AJ10" i="1"/>
  <c r="D13" i="38" l="1"/>
  <c r="B12" i="38"/>
  <c r="P10" i="1"/>
  <c r="O10" i="1"/>
  <c r="D14" i="38" l="1"/>
  <c r="B13" i="38"/>
  <c r="N10" i="1"/>
  <c r="D15" i="38" l="1"/>
  <c r="B14" i="38"/>
  <c r="D16" i="38" l="1"/>
  <c r="B15" i="38"/>
  <c r="B2" i="8"/>
  <c r="B3" i="8"/>
  <c r="B4" i="8"/>
  <c r="B5" i="8"/>
  <c r="B6" i="8"/>
  <c r="B7" i="8"/>
  <c r="B8" i="8"/>
  <c r="B9" i="8"/>
  <c r="C3" i="8"/>
  <c r="C4" i="8"/>
  <c r="C5" i="8"/>
  <c r="C6" i="8"/>
  <c r="C7" i="8"/>
  <c r="C8" i="8"/>
  <c r="C9" i="8"/>
  <c r="C10" i="8"/>
  <c r="D2" i="8"/>
  <c r="D3" i="8"/>
  <c r="D4" i="8"/>
  <c r="D5" i="8"/>
  <c r="D6" i="8"/>
  <c r="D7" i="8"/>
  <c r="D8" i="8"/>
  <c r="D9" i="8"/>
  <c r="D41" i="8" s="1"/>
  <c r="D10" i="8"/>
  <c r="D17" i="38" l="1"/>
  <c r="B17" i="38" s="1"/>
  <c r="B16" i="38"/>
  <c r="B3" i="3"/>
  <c r="B4" i="3" s="1"/>
  <c r="B5" i="3" s="1"/>
  <c r="B6" i="3" s="1"/>
  <c r="B7" i="3" s="1"/>
  <c r="B8" i="3" s="1"/>
  <c r="B9" i="3" s="1"/>
  <c r="B10" i="3" s="1"/>
  <c r="B11" i="3" s="1"/>
  <c r="B12" i="3" s="1"/>
  <c r="C3" i="3"/>
  <c r="A3" i="49" s="1"/>
  <c r="A3" i="3"/>
  <c r="A4" i="3" s="1"/>
  <c r="A5" i="3" s="1"/>
  <c r="A6" i="3" s="1"/>
  <c r="A7" i="3" s="1"/>
  <c r="A8" i="3" s="1"/>
  <c r="A9" i="3" s="1"/>
  <c r="A10" i="3" s="1"/>
  <c r="A11" i="3" s="1"/>
  <c r="A12" i="3" s="1"/>
  <c r="S3" i="3"/>
  <c r="T3" i="3"/>
  <c r="S4" i="3"/>
  <c r="T4" i="3"/>
  <c r="S5" i="3"/>
  <c r="AB3" i="3"/>
  <c r="B3" i="40" s="1"/>
  <c r="A3" i="6"/>
  <c r="A3" i="30"/>
  <c r="A3" i="21"/>
  <c r="A3" i="23"/>
  <c r="A3" i="43" l="1"/>
  <c r="A3" i="44"/>
  <c r="A3" i="48"/>
  <c r="A3" i="41"/>
  <c r="A3" i="42"/>
  <c r="U4" i="3"/>
  <c r="B4" i="23" s="1"/>
  <c r="A3" i="9"/>
  <c r="A3" i="40"/>
  <c r="A3" i="39"/>
  <c r="A3" i="36"/>
  <c r="A3" i="37"/>
  <c r="A3" i="35"/>
  <c r="AC3" i="3"/>
  <c r="B3" i="39" s="1"/>
  <c r="U3" i="3"/>
  <c r="B3" i="23" s="1"/>
  <c r="A3" i="31"/>
  <c r="A3" i="25"/>
  <c r="A3" i="22"/>
  <c r="A3" i="10"/>
  <c r="A3" i="5"/>
  <c r="A3" i="24"/>
  <c r="A3" i="32"/>
  <c r="C4" i="3"/>
  <c r="A4" i="49" s="1"/>
  <c r="A4" i="43" l="1"/>
  <c r="A4" i="48"/>
  <c r="A4" i="44"/>
  <c r="A4" i="41"/>
  <c r="A4" i="42"/>
  <c r="A4" i="40"/>
  <c r="A4" i="39"/>
  <c r="A4" i="37"/>
  <c r="A4" i="36"/>
  <c r="C5" i="3"/>
  <c r="A5" i="49" s="1"/>
  <c r="A4" i="25"/>
  <c r="A4" i="31"/>
  <c r="A4" i="9"/>
  <c r="A4" i="24"/>
  <c r="A4" i="23"/>
  <c r="A4" i="10"/>
  <c r="A4" i="22"/>
  <c r="A4" i="32"/>
  <c r="A4" i="6"/>
  <c r="A4" i="21"/>
  <c r="A4" i="5"/>
  <c r="A4" i="35"/>
  <c r="A4" i="30"/>
  <c r="A5" i="43" l="1"/>
  <c r="A5" i="48"/>
  <c r="A5" i="44"/>
  <c r="A5" i="41"/>
  <c r="A5" i="42"/>
  <c r="A5" i="40"/>
  <c r="A5" i="39"/>
  <c r="A5" i="37"/>
  <c r="A5" i="36"/>
  <c r="A5" i="9"/>
  <c r="A5" i="10"/>
  <c r="A5" i="21"/>
  <c r="A5" i="31"/>
  <c r="A5" i="25"/>
  <c r="C6" i="3"/>
  <c r="A6" i="49" s="1"/>
  <c r="A5" i="32"/>
  <c r="A5" i="30"/>
  <c r="A5" i="24"/>
  <c r="A5" i="6"/>
  <c r="A5" i="5"/>
  <c r="A5" i="22"/>
  <c r="A5" i="35"/>
  <c r="A5" i="23"/>
  <c r="AK10" i="1"/>
  <c r="AK9" i="1"/>
  <c r="AK8" i="1"/>
  <c r="AK7" i="1"/>
  <c r="AL7" i="1" s="1"/>
  <c r="AK5" i="1"/>
  <c r="AL6" i="1" s="1"/>
  <c r="A2" i="35"/>
  <c r="F3" i="1"/>
  <c r="L4" i="1"/>
  <c r="L3" i="1"/>
  <c r="F5" i="1"/>
  <c r="AJ9" i="1"/>
  <c r="A6" i="43" l="1"/>
  <c r="A6" i="44"/>
  <c r="A6" i="48"/>
  <c r="A6" i="41"/>
  <c r="A6" i="42"/>
  <c r="AL10" i="1"/>
  <c r="AG3" i="3" s="1"/>
  <c r="B3" i="35" s="1"/>
  <c r="AL9" i="1"/>
  <c r="AG2" i="3" s="1"/>
  <c r="B2" i="35" s="1"/>
  <c r="A6" i="40"/>
  <c r="A6" i="39"/>
  <c r="A6" i="37"/>
  <c r="A6" i="36"/>
  <c r="AC16" i="3"/>
  <c r="B16" i="39" s="1"/>
  <c r="AI10" i="1"/>
  <c r="AL5" i="1"/>
  <c r="AL8" i="1"/>
  <c r="AC2" i="3"/>
  <c r="B2" i="39" s="1"/>
  <c r="AC15" i="3"/>
  <c r="B15" i="39" s="1"/>
  <c r="AI9" i="1"/>
  <c r="A6" i="25"/>
  <c r="A6" i="35"/>
  <c r="A6" i="9"/>
  <c r="A6" i="31"/>
  <c r="A6" i="32"/>
  <c r="A6" i="5"/>
  <c r="A6" i="23"/>
  <c r="A6" i="30"/>
  <c r="A6" i="24"/>
  <c r="A6" i="6"/>
  <c r="A6" i="10"/>
  <c r="A6" i="21"/>
  <c r="A6" i="22"/>
  <c r="C7" i="3"/>
  <c r="A7" i="49" s="1"/>
  <c r="E2" i="8"/>
  <c r="F2" i="8" s="1"/>
  <c r="G2" i="8" s="1"/>
  <c r="E3" i="8"/>
  <c r="F3" i="8" s="1"/>
  <c r="G3" i="8" s="1"/>
  <c r="E4" i="8"/>
  <c r="F4" i="8" s="1"/>
  <c r="G4" i="8" s="1"/>
  <c r="E5" i="8"/>
  <c r="F5" i="8" s="1"/>
  <c r="G5" i="8" s="1"/>
  <c r="E6" i="8"/>
  <c r="F6" i="8" s="1"/>
  <c r="G6" i="8" s="1"/>
  <c r="E7" i="8"/>
  <c r="F7" i="8" s="1"/>
  <c r="G7" i="8" s="1"/>
  <c r="E8" i="8"/>
  <c r="M9" i="8"/>
  <c r="N9" i="8" s="1"/>
  <c r="A7" i="43" l="1"/>
  <c r="A7" i="44"/>
  <c r="A7" i="48"/>
  <c r="AB2" i="3"/>
  <c r="B2" i="40" s="1"/>
  <c r="A7" i="41"/>
  <c r="A7" i="42"/>
  <c r="A7" i="40"/>
  <c r="A7" i="39"/>
  <c r="A7" i="36"/>
  <c r="A7" i="37"/>
  <c r="AK12" i="1"/>
  <c r="AL11" i="1"/>
  <c r="AG4" i="3" s="1"/>
  <c r="B4" i="35" s="1"/>
  <c r="A7" i="6"/>
  <c r="A7" i="25"/>
  <c r="A7" i="24"/>
  <c r="A7" i="32"/>
  <c r="C8" i="3"/>
  <c r="A8" i="49" s="1"/>
  <c r="A7" i="23"/>
  <c r="A7" i="9"/>
  <c r="A7" i="10"/>
  <c r="A7" i="22"/>
  <c r="A7" i="30"/>
  <c r="A7" i="35"/>
  <c r="A7" i="5"/>
  <c r="A7" i="21"/>
  <c r="A7" i="31"/>
  <c r="F8" i="8"/>
  <c r="G8" i="8" s="1"/>
  <c r="T2" i="3"/>
  <c r="S2" i="3"/>
  <c r="A8" i="43" l="1"/>
  <c r="A8" i="44"/>
  <c r="A8" i="48"/>
  <c r="A8" i="41"/>
  <c r="A8" i="42"/>
  <c r="AK13" i="1"/>
  <c r="AL12" i="1"/>
  <c r="AG5" i="3" s="1"/>
  <c r="B5" i="35" s="1"/>
  <c r="A8" i="40"/>
  <c r="A8" i="39"/>
  <c r="A8" i="36"/>
  <c r="A8" i="37"/>
  <c r="A8" i="22"/>
  <c r="A8" i="6"/>
  <c r="A8" i="9"/>
  <c r="A8" i="10"/>
  <c r="A8" i="30"/>
  <c r="C9" i="3"/>
  <c r="A9" i="49" s="1"/>
  <c r="A8" i="5"/>
  <c r="A8" i="23"/>
  <c r="A8" i="25"/>
  <c r="A8" i="21"/>
  <c r="A8" i="32"/>
  <c r="A8" i="24"/>
  <c r="A8" i="35"/>
  <c r="A8" i="31"/>
  <c r="A13" i="3"/>
  <c r="A14" i="3" s="1"/>
  <c r="A15" i="3" s="1"/>
  <c r="A16" i="3" s="1"/>
  <c r="U2" i="3"/>
  <c r="A52" i="8"/>
  <c r="A53" i="8" s="1"/>
  <c r="A54" i="8" s="1"/>
  <c r="A55" i="8" s="1"/>
  <c r="C42" i="8"/>
  <c r="A9" i="43" l="1"/>
  <c r="A9" i="44"/>
  <c r="A9" i="48"/>
  <c r="A9" i="41"/>
  <c r="A9" i="42"/>
  <c r="A9" i="40"/>
  <c r="A9" i="39"/>
  <c r="A9" i="36"/>
  <c r="A9" i="37"/>
  <c r="AK14" i="1"/>
  <c r="AL13" i="1"/>
  <c r="AG6" i="3" s="1"/>
  <c r="B6" i="35" s="1"/>
  <c r="A9" i="5"/>
  <c r="A9" i="9"/>
  <c r="A9" i="10"/>
  <c r="A9" i="24"/>
  <c r="A9" i="30"/>
  <c r="A9" i="22"/>
  <c r="C10" i="3"/>
  <c r="A10" i="49" s="1"/>
  <c r="A9" i="23"/>
  <c r="A9" i="35"/>
  <c r="A9" i="21"/>
  <c r="A9" i="6"/>
  <c r="A9" i="32"/>
  <c r="A9" i="25"/>
  <c r="A9" i="31"/>
  <c r="B13" i="3"/>
  <c r="D42" i="8"/>
  <c r="A10" i="43" l="1"/>
  <c r="A10" i="48"/>
  <c r="A10" i="44"/>
  <c r="A10" i="41"/>
  <c r="A10" i="42"/>
  <c r="A10" i="40"/>
  <c r="A10" i="39"/>
  <c r="A10" i="36"/>
  <c r="A10" i="37"/>
  <c r="AK15" i="1"/>
  <c r="AL14" i="1"/>
  <c r="AG7" i="3" s="1"/>
  <c r="B7" i="35" s="1"/>
  <c r="C11" i="3"/>
  <c r="A11" i="49" s="1"/>
  <c r="A10" i="32"/>
  <c r="A10" i="24"/>
  <c r="A10" i="5"/>
  <c r="A10" i="6"/>
  <c r="A10" i="25"/>
  <c r="A10" i="30"/>
  <c r="A10" i="22"/>
  <c r="A10" i="35"/>
  <c r="A10" i="31"/>
  <c r="A10" i="23"/>
  <c r="A10" i="9"/>
  <c r="A10" i="21"/>
  <c r="A10" i="10"/>
  <c r="C13" i="3"/>
  <c r="A13" i="49" s="1"/>
  <c r="B14" i="3"/>
  <c r="A11" i="43" l="1"/>
  <c r="A11" i="48"/>
  <c r="A11" i="44"/>
  <c r="A13" i="43"/>
  <c r="A13" i="48"/>
  <c r="A13" i="44"/>
  <c r="A13" i="42"/>
  <c r="A13" i="41"/>
  <c r="A11" i="41"/>
  <c r="A11" i="42"/>
  <c r="A11" i="40"/>
  <c r="A11" i="39"/>
  <c r="A11" i="36"/>
  <c r="A11" i="37"/>
  <c r="AK16" i="1"/>
  <c r="AL15" i="1"/>
  <c r="AG8" i="3" s="1"/>
  <c r="B8" i="35" s="1"/>
  <c r="A13" i="40"/>
  <c r="A13" i="39"/>
  <c r="A13" i="36"/>
  <c r="A13" i="37"/>
  <c r="A11" i="32"/>
  <c r="A11" i="5"/>
  <c r="A11" i="9"/>
  <c r="A11" i="31"/>
  <c r="A11" i="23"/>
  <c r="A11" i="10"/>
  <c r="A11" i="22"/>
  <c r="A11" i="24"/>
  <c r="A11" i="21"/>
  <c r="C12" i="3"/>
  <c r="A12" i="49" s="1"/>
  <c r="A11" i="25"/>
  <c r="A11" i="30"/>
  <c r="A11" i="35"/>
  <c r="A11" i="6"/>
  <c r="A13" i="23"/>
  <c r="A13" i="30"/>
  <c r="A13" i="22"/>
  <c r="A13" i="10"/>
  <c r="A13" i="6"/>
  <c r="A13" i="9"/>
  <c r="A13" i="31"/>
  <c r="A13" i="5"/>
  <c r="A13" i="21"/>
  <c r="A13" i="35"/>
  <c r="A13" i="25"/>
  <c r="A13" i="24"/>
  <c r="A13" i="32"/>
  <c r="AF2" i="3"/>
  <c r="C14" i="3"/>
  <c r="A14" i="49" s="1"/>
  <c r="B15" i="3"/>
  <c r="V10" i="1"/>
  <c r="AT10" i="1" s="1"/>
  <c r="AF2" i="1"/>
  <c r="AF3" i="1"/>
  <c r="AF4" i="1"/>
  <c r="AF5" i="1"/>
  <c r="AF6" i="1"/>
  <c r="AF7" i="1"/>
  <c r="AF8" i="1"/>
  <c r="AF9" i="1"/>
  <c r="AF10" i="1"/>
  <c r="AF30" i="1"/>
  <c r="AF31" i="1"/>
  <c r="AF32" i="1"/>
  <c r="AF33" i="1"/>
  <c r="AF34" i="1"/>
  <c r="AF35" i="1"/>
  <c r="AF36" i="1"/>
  <c r="AF37" i="1"/>
  <c r="AF38" i="1"/>
  <c r="AF39" i="1"/>
  <c r="AF1" i="1"/>
  <c r="AG1" i="1"/>
  <c r="L3" i="8"/>
  <c r="L4" i="8"/>
  <c r="L5" i="8"/>
  <c r="L6" i="8"/>
  <c r="L7" i="8"/>
  <c r="L8" i="8"/>
  <c r="L9" i="8"/>
  <c r="L41" i="8" s="1"/>
  <c r="L10" i="8"/>
  <c r="L42" i="8" s="1"/>
  <c r="L2" i="8"/>
  <c r="A2" i="32"/>
  <c r="A2" i="31"/>
  <c r="A2" i="30"/>
  <c r="M3" i="8"/>
  <c r="M4" i="8"/>
  <c r="M5" i="8"/>
  <c r="M6" i="8"/>
  <c r="M7" i="8"/>
  <c r="M8" i="8"/>
  <c r="AF3" i="3"/>
  <c r="Q12" i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I2" i="1"/>
  <c r="I3" i="1"/>
  <c r="I4" i="1"/>
  <c r="I5" i="1"/>
  <c r="R12" i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F4" i="1"/>
  <c r="F2" i="1"/>
  <c r="L5" i="1"/>
  <c r="B3" i="49" l="1"/>
  <c r="K42" i="8"/>
  <c r="N42" i="8" s="1"/>
  <c r="AG8" i="1"/>
  <c r="N8" i="8"/>
  <c r="AG5" i="1"/>
  <c r="N5" i="8"/>
  <c r="AG4" i="1"/>
  <c r="N4" i="8"/>
  <c r="AG3" i="1"/>
  <c r="N3" i="8"/>
  <c r="K41" i="8"/>
  <c r="AG7" i="1"/>
  <c r="N7" i="8"/>
  <c r="AG6" i="1"/>
  <c r="N6" i="8"/>
  <c r="A12" i="43"/>
  <c r="A12" i="48"/>
  <c r="A12" i="44"/>
  <c r="A14" i="43"/>
  <c r="A14" i="48"/>
  <c r="A14" i="44"/>
  <c r="A14" i="42"/>
  <c r="A14" i="41"/>
  <c r="A12" i="41"/>
  <c r="A12" i="42"/>
  <c r="A14" i="40"/>
  <c r="A14" i="39"/>
  <c r="A14" i="36"/>
  <c r="A14" i="37"/>
  <c r="A12" i="40"/>
  <c r="A12" i="39"/>
  <c r="A12" i="36"/>
  <c r="A12" i="37"/>
  <c r="AK17" i="1"/>
  <c r="AL16" i="1"/>
  <c r="AG9" i="3" s="1"/>
  <c r="B9" i="35" s="1"/>
  <c r="AC5" i="3"/>
  <c r="B5" i="39" s="1"/>
  <c r="A12" i="5"/>
  <c r="A12" i="31"/>
  <c r="A12" i="23"/>
  <c r="A12" i="6"/>
  <c r="A12" i="24"/>
  <c r="A12" i="21"/>
  <c r="A12" i="10"/>
  <c r="A12" i="32"/>
  <c r="A12" i="9"/>
  <c r="A12" i="22"/>
  <c r="A12" i="25"/>
  <c r="A12" i="35"/>
  <c r="A12" i="30"/>
  <c r="A14" i="23"/>
  <c r="A14" i="24"/>
  <c r="A14" i="30"/>
  <c r="A14" i="22"/>
  <c r="A14" i="9"/>
  <c r="A14" i="31"/>
  <c r="A14" i="5"/>
  <c r="A14" i="35"/>
  <c r="A14" i="21"/>
  <c r="A14" i="10"/>
  <c r="A14" i="32"/>
  <c r="A14" i="6"/>
  <c r="A14" i="25"/>
  <c r="C15" i="3"/>
  <c r="A15" i="49" s="1"/>
  <c r="B16" i="3"/>
  <c r="C16" i="3" s="1"/>
  <c r="A16" i="49" s="1"/>
  <c r="S12" i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T12" i="1"/>
  <c r="AG10" i="1"/>
  <c r="AG9" i="1"/>
  <c r="AF11" i="1"/>
  <c r="AF12" i="1"/>
  <c r="A2" i="25"/>
  <c r="A2" i="24"/>
  <c r="A2" i="23"/>
  <c r="A2" i="22"/>
  <c r="A2" i="21"/>
  <c r="A2" i="6"/>
  <c r="A2" i="5"/>
  <c r="A2" i="10"/>
  <c r="A2" i="9"/>
  <c r="C18" i="7"/>
  <c r="B18" i="7" s="1"/>
  <c r="C17" i="7"/>
  <c r="B17" i="7" s="1"/>
  <c r="U12" i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W10" i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X10" i="1"/>
  <c r="B3" i="32" l="1"/>
  <c r="O42" i="8"/>
  <c r="P42" i="8" s="1"/>
  <c r="A15" i="43"/>
  <c r="A15" i="48"/>
  <c r="A15" i="44"/>
  <c r="A16" i="43"/>
  <c r="A16" i="48"/>
  <c r="A16" i="44"/>
  <c r="A16" i="42"/>
  <c r="A16" i="41"/>
  <c r="A15" i="42"/>
  <c r="A15" i="41"/>
  <c r="AK18" i="1"/>
  <c r="AL17" i="1"/>
  <c r="AG10" i="3" s="1"/>
  <c r="B10" i="35" s="1"/>
  <c r="A16" i="40"/>
  <c r="A16" i="39"/>
  <c r="A16" i="36"/>
  <c r="A16" i="37"/>
  <c r="A15" i="40"/>
  <c r="A15" i="39"/>
  <c r="A15" i="36"/>
  <c r="A15" i="37"/>
  <c r="M10" i="1"/>
  <c r="AE3" i="3"/>
  <c r="B3" i="31" s="1"/>
  <c r="Q3" i="3"/>
  <c r="P4" i="3"/>
  <c r="AC6" i="3"/>
  <c r="B6" i="39" s="1"/>
  <c r="F10" i="8"/>
  <c r="F42" i="8" s="1"/>
  <c r="AE5" i="3"/>
  <c r="A16" i="24"/>
  <c r="A16" i="10"/>
  <c r="A16" i="32"/>
  <c r="A16" i="6"/>
  <c r="A16" i="25"/>
  <c r="A16" i="23"/>
  <c r="A16" i="35"/>
  <c r="A16" i="30"/>
  <c r="A16" i="22"/>
  <c r="A16" i="9"/>
  <c r="A16" i="31"/>
  <c r="A16" i="5"/>
  <c r="A16" i="21"/>
  <c r="A15" i="10"/>
  <c r="A15" i="32"/>
  <c r="A15" i="6"/>
  <c r="A15" i="25"/>
  <c r="A15" i="23"/>
  <c r="A15" i="30"/>
  <c r="A15" i="22"/>
  <c r="A15" i="9"/>
  <c r="A15" i="31"/>
  <c r="A15" i="5"/>
  <c r="A15" i="21"/>
  <c r="A15" i="35"/>
  <c r="A15" i="24"/>
  <c r="T13" i="1"/>
  <c r="AE16" i="3"/>
  <c r="B41" i="8"/>
  <c r="B55" i="8"/>
  <c r="B35" i="8" s="1"/>
  <c r="B3" i="22" l="1"/>
  <c r="AK19" i="1"/>
  <c r="AL18" i="1"/>
  <c r="AG11" i="3" s="1"/>
  <c r="B11" i="35" s="1"/>
  <c r="AC7" i="3"/>
  <c r="B7" i="39" s="1"/>
  <c r="B16" i="31"/>
  <c r="G10" i="8"/>
  <c r="G42" i="8" s="1"/>
  <c r="B5" i="31"/>
  <c r="B36" i="8"/>
  <c r="B37" i="8" s="1"/>
  <c r="B38" i="8" s="1"/>
  <c r="AN10" i="1"/>
  <c r="AP10" i="1" s="1"/>
  <c r="X12" i="1"/>
  <c r="G11" i="1"/>
  <c r="F4" i="3" s="1"/>
  <c r="B4" i="30" s="1"/>
  <c r="T14" i="1"/>
  <c r="AF13" i="1"/>
  <c r="O10" i="8"/>
  <c r="Y10" i="1"/>
  <c r="O8" i="8"/>
  <c r="O6" i="8"/>
  <c r="O5" i="8"/>
  <c r="O3" i="8"/>
  <c r="P3" i="8" s="1"/>
  <c r="M4" i="3" l="1"/>
  <c r="N3" i="3"/>
  <c r="B3" i="43" s="1"/>
  <c r="V3" i="3"/>
  <c r="P10" i="8"/>
  <c r="AK20" i="1"/>
  <c r="AL19" i="1"/>
  <c r="AG12" i="3" s="1"/>
  <c r="B12" i="35" s="1"/>
  <c r="B3" i="9"/>
  <c r="K3" i="3"/>
  <c r="J4" i="3"/>
  <c r="AE6" i="3"/>
  <c r="X13" i="1"/>
  <c r="G12" i="1"/>
  <c r="F5" i="3" s="1"/>
  <c r="B5" i="30" s="1"/>
  <c r="T15" i="1"/>
  <c r="B39" i="8"/>
  <c r="C36" i="8" s="1"/>
  <c r="AF14" i="1"/>
  <c r="M2" i="8"/>
  <c r="Y2" i="1"/>
  <c r="AH2" i="1" s="1"/>
  <c r="Y3" i="1"/>
  <c r="AH3" i="1" s="1"/>
  <c r="P5" i="8"/>
  <c r="Y5" i="1"/>
  <c r="AH5" i="1" s="1"/>
  <c r="Y6" i="1"/>
  <c r="AH6" i="1" s="1"/>
  <c r="P6" i="8"/>
  <c r="Y8" i="1"/>
  <c r="AH8" i="1" s="1"/>
  <c r="P8" i="8"/>
  <c r="O4" i="8"/>
  <c r="P4" i="8" s="1"/>
  <c r="O7" i="8"/>
  <c r="L2" i="1"/>
  <c r="AG2" i="1" l="1"/>
  <c r="N2" i="8"/>
  <c r="AH10" i="1"/>
  <c r="AH3" i="3" s="1"/>
  <c r="X3" i="3"/>
  <c r="B3" i="6"/>
  <c r="D36" i="8"/>
  <c r="C38" i="8"/>
  <c r="AK21" i="1"/>
  <c r="AL20" i="1"/>
  <c r="AC8" i="3"/>
  <c r="B8" i="39" s="1"/>
  <c r="AE7" i="3"/>
  <c r="B6" i="31"/>
  <c r="C35" i="8"/>
  <c r="X14" i="1"/>
  <c r="G13" i="1"/>
  <c r="F6" i="3" s="1"/>
  <c r="B6" i="30" s="1"/>
  <c r="T16" i="1"/>
  <c r="C39" i="8"/>
  <c r="C37" i="8"/>
  <c r="O2" i="8"/>
  <c r="P2" i="8" s="1"/>
  <c r="AF15" i="1"/>
  <c r="Y7" i="1"/>
  <c r="AH7" i="1" s="1"/>
  <c r="P7" i="8"/>
  <c r="Y4" i="1"/>
  <c r="AH4" i="1" s="1"/>
  <c r="A3" i="8"/>
  <c r="A4" i="8" s="1"/>
  <c r="A5" i="8" s="1"/>
  <c r="A6" i="8" s="1"/>
  <c r="A7" i="8" s="1"/>
  <c r="B3" i="10" l="1"/>
  <c r="D39" i="8"/>
  <c r="D37" i="8"/>
  <c r="D35" i="8"/>
  <c r="D38" i="8"/>
  <c r="A8" i="8"/>
  <c r="AK22" i="1"/>
  <c r="AL21" i="1"/>
  <c r="AE8" i="3"/>
  <c r="B7" i="31"/>
  <c r="I50" i="8"/>
  <c r="X15" i="1"/>
  <c r="G14" i="1"/>
  <c r="F7" i="3" s="1"/>
  <c r="B7" i="30" s="1"/>
  <c r="T17" i="1"/>
  <c r="C55" i="8"/>
  <c r="AF16" i="1"/>
  <c r="K50" i="8" l="1"/>
  <c r="D55" i="8"/>
  <c r="A9" i="8"/>
  <c r="AK23" i="1"/>
  <c r="AL22" i="1"/>
  <c r="AC10" i="3"/>
  <c r="B10" i="39" s="1"/>
  <c r="AC11" i="3"/>
  <c r="B11" i="39" s="1"/>
  <c r="B8" i="31"/>
  <c r="I51" i="8"/>
  <c r="X16" i="1"/>
  <c r="G15" i="1"/>
  <c r="F8" i="3" s="1"/>
  <c r="B8" i="30" s="1"/>
  <c r="T18" i="1"/>
  <c r="AF17" i="1"/>
  <c r="Y39" i="1"/>
  <c r="K51" i="8" l="1"/>
  <c r="A10" i="8"/>
  <c r="AK24" i="1"/>
  <c r="AL23" i="1"/>
  <c r="AC12" i="3"/>
  <c r="B12" i="39" s="1"/>
  <c r="AE10" i="3"/>
  <c r="AE9" i="3"/>
  <c r="X17" i="1"/>
  <c r="G16" i="1"/>
  <c r="F9" i="3" s="1"/>
  <c r="B9" i="30" s="1"/>
  <c r="T19" i="1"/>
  <c r="AF18" i="1"/>
  <c r="A11" i="8" l="1"/>
  <c r="AK25" i="1"/>
  <c r="AL24" i="1"/>
  <c r="AE11" i="3"/>
  <c r="B9" i="31"/>
  <c r="B10" i="31"/>
  <c r="C41" i="8"/>
  <c r="X18" i="1"/>
  <c r="G17" i="1"/>
  <c r="F10" i="3" s="1"/>
  <c r="B10" i="30" s="1"/>
  <c r="T20" i="1"/>
  <c r="AF19" i="1"/>
  <c r="Y38" i="1"/>
  <c r="A12" i="8" l="1"/>
  <c r="AK26" i="1"/>
  <c r="AL25" i="1"/>
  <c r="B11" i="31"/>
  <c r="AE12" i="3"/>
  <c r="X19" i="1"/>
  <c r="G18" i="1"/>
  <c r="F11" i="3" s="1"/>
  <c r="B11" i="30" s="1"/>
  <c r="T21" i="1"/>
  <c r="O9" i="8"/>
  <c r="AF20" i="1"/>
  <c r="Y37" i="1"/>
  <c r="Y9" i="1"/>
  <c r="P9" i="8" l="1"/>
  <c r="A13" i="8"/>
  <c r="AK27" i="1"/>
  <c r="AL26" i="1"/>
  <c r="B12" i="31"/>
  <c r="X20" i="1"/>
  <c r="G19" i="1"/>
  <c r="F12" i="3" s="1"/>
  <c r="B12" i="30" s="1"/>
  <c r="T22" i="1"/>
  <c r="V2" i="3"/>
  <c r="AF21" i="1"/>
  <c r="Y36" i="1"/>
  <c r="Y35" i="1"/>
  <c r="A14" i="8" l="1"/>
  <c r="AK28" i="1"/>
  <c r="AL27" i="1"/>
  <c r="I52" i="8"/>
  <c r="X21" i="1"/>
  <c r="G20" i="1"/>
  <c r="V16" i="3"/>
  <c r="T23" i="1"/>
  <c r="B2" i="9"/>
  <c r="AF22" i="1"/>
  <c r="X9" i="1"/>
  <c r="V9" i="1"/>
  <c r="O9" i="1"/>
  <c r="P9" i="1"/>
  <c r="K10" i="1" s="1"/>
  <c r="L10" i="1" s="1"/>
  <c r="W9" i="1"/>
  <c r="N9" i="1"/>
  <c r="AJ8" i="1"/>
  <c r="AI8" i="1" s="1"/>
  <c r="X8" i="1"/>
  <c r="V8" i="1"/>
  <c r="P8" i="1"/>
  <c r="O8" i="1"/>
  <c r="W8" i="1"/>
  <c r="N8" i="1"/>
  <c r="AJ7" i="1"/>
  <c r="AI7" i="1" s="1"/>
  <c r="X7" i="1"/>
  <c r="P7" i="1"/>
  <c r="O7" i="1"/>
  <c r="J7" i="1" s="1"/>
  <c r="W7" i="1"/>
  <c r="N7" i="1"/>
  <c r="AJ6" i="1"/>
  <c r="AI6" i="1" s="1"/>
  <c r="X6" i="1"/>
  <c r="P6" i="1"/>
  <c r="O6" i="1"/>
  <c r="W6" i="1"/>
  <c r="N6" i="1"/>
  <c r="AJ5" i="1"/>
  <c r="AI5" i="1" s="1"/>
  <c r="X5" i="1"/>
  <c r="W5" i="1"/>
  <c r="P5" i="1"/>
  <c r="O5" i="1"/>
  <c r="N5" i="1"/>
  <c r="M5" i="1" s="1"/>
  <c r="C2" i="1"/>
  <c r="C3" i="1" s="1"/>
  <c r="C4" i="1" s="1"/>
  <c r="C5" i="1" s="1"/>
  <c r="C6" i="1" s="1"/>
  <c r="C7" i="1" s="1"/>
  <c r="C8" i="1" s="1"/>
  <c r="C9" i="1" s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l="1"/>
  <c r="K52" i="8"/>
  <c r="B53" i="8"/>
  <c r="B27" i="8" s="1"/>
  <c r="C27" i="8" s="1"/>
  <c r="A15" i="8"/>
  <c r="M8" i="1"/>
  <c r="G6" i="1"/>
  <c r="M9" i="1"/>
  <c r="M7" i="1"/>
  <c r="E8" i="1" s="1"/>
  <c r="AK29" i="1"/>
  <c r="AL28" i="1"/>
  <c r="AC13" i="3"/>
  <c r="B13" i="39" s="1"/>
  <c r="B16" i="9"/>
  <c r="K8" i="1"/>
  <c r="L8" i="1" s="1"/>
  <c r="J8" i="1"/>
  <c r="G9" i="1"/>
  <c r="F2" i="3" s="1"/>
  <c r="B2" i="30" s="1"/>
  <c r="G10" i="1"/>
  <c r="F3" i="3" s="1"/>
  <c r="B3" i="30" s="1"/>
  <c r="G8" i="1"/>
  <c r="G7" i="1"/>
  <c r="AS7" i="1"/>
  <c r="AT8" i="1"/>
  <c r="P2" i="3" s="1"/>
  <c r="K9" i="1"/>
  <c r="L9" i="1" s="1"/>
  <c r="J9" i="1"/>
  <c r="AT9" i="1"/>
  <c r="AS8" i="1"/>
  <c r="M6" i="1"/>
  <c r="AN5" i="1"/>
  <c r="X22" i="1"/>
  <c r="G21" i="1"/>
  <c r="T24" i="1"/>
  <c r="AF23" i="1"/>
  <c r="K6" i="1"/>
  <c r="L6" i="1" s="1"/>
  <c r="K7" i="1"/>
  <c r="L7" i="1" s="1"/>
  <c r="B2" i="23"/>
  <c r="A15" i="1" l="1"/>
  <c r="I8" i="1"/>
  <c r="A16" i="8"/>
  <c r="F6" i="1"/>
  <c r="J6" i="1"/>
  <c r="Q2" i="3"/>
  <c r="R2" i="3" s="1"/>
  <c r="P3" i="3"/>
  <c r="R3" i="3" s="1"/>
  <c r="B3" i="24" s="1"/>
  <c r="AK30" i="1"/>
  <c r="AL29" i="1"/>
  <c r="F10" i="1"/>
  <c r="I3" i="3" s="1"/>
  <c r="E9" i="1"/>
  <c r="I9" i="1" s="1"/>
  <c r="E10" i="1"/>
  <c r="I10" i="1" s="1"/>
  <c r="G3" i="3"/>
  <c r="B3" i="21" s="1"/>
  <c r="H3" i="3"/>
  <c r="D3" i="3"/>
  <c r="G2" i="3"/>
  <c r="H2" i="3"/>
  <c r="AN9" i="1"/>
  <c r="F9" i="1"/>
  <c r="D2" i="3"/>
  <c r="F7" i="1"/>
  <c r="F8" i="1"/>
  <c r="X23" i="1"/>
  <c r="G22" i="1"/>
  <c r="T25" i="1"/>
  <c r="E6" i="1"/>
  <c r="I6" i="1" s="1"/>
  <c r="E7" i="1"/>
  <c r="I7" i="1" s="1"/>
  <c r="AF24" i="1"/>
  <c r="AN7" i="1"/>
  <c r="AN8" i="1"/>
  <c r="AN6" i="1"/>
  <c r="A16" i="1" l="1"/>
  <c r="AQ8" i="1"/>
  <c r="AP7" i="1"/>
  <c r="AQ9" i="1"/>
  <c r="AP8" i="1"/>
  <c r="M2" i="3" s="1"/>
  <c r="AQ10" i="1"/>
  <c r="L3" i="3" s="1"/>
  <c r="B3" i="5" s="1"/>
  <c r="AP9" i="1"/>
  <c r="AQ7" i="1"/>
  <c r="AP6" i="1"/>
  <c r="AQ6" i="1"/>
  <c r="A17" i="8"/>
  <c r="AK31" i="1"/>
  <c r="AL30" i="1"/>
  <c r="AS9" i="1"/>
  <c r="J3" i="3"/>
  <c r="E3" i="3"/>
  <c r="B3" i="25" s="1"/>
  <c r="D4" i="3"/>
  <c r="I2" i="3"/>
  <c r="X24" i="1"/>
  <c r="G23" i="1"/>
  <c r="E2" i="3"/>
  <c r="B2" i="25" s="1"/>
  <c r="K2" i="3"/>
  <c r="T26" i="1"/>
  <c r="J2" i="3"/>
  <c r="AF25" i="1"/>
  <c r="B2" i="22"/>
  <c r="B2" i="24"/>
  <c r="B2" i="21"/>
  <c r="A17" i="1" l="1"/>
  <c r="N2" i="3"/>
  <c r="B2" i="43" s="1"/>
  <c r="M3" i="3"/>
  <c r="O3" i="3" s="1"/>
  <c r="B3" i="48" s="1"/>
  <c r="A18" i="8"/>
  <c r="AK32" i="1"/>
  <c r="AL31" i="1"/>
  <c r="AE13" i="3"/>
  <c r="X25" i="1"/>
  <c r="G24" i="1"/>
  <c r="F13" i="3" s="1"/>
  <c r="B13" i="30" s="1"/>
  <c r="T27" i="1"/>
  <c r="L2" i="3"/>
  <c r="B2" i="5" s="1"/>
  <c r="AF26" i="1"/>
  <c r="B2" i="6"/>
  <c r="N12" i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O2" i="3" l="1"/>
  <c r="B2" i="48" s="1"/>
  <c r="A18" i="1"/>
  <c r="A19" i="8"/>
  <c r="AK33" i="1"/>
  <c r="AL32" i="1"/>
  <c r="B13" i="31"/>
  <c r="X26" i="1"/>
  <c r="G25" i="1"/>
  <c r="T28" i="1"/>
  <c r="AF27" i="1"/>
  <c r="A19" i="1" l="1"/>
  <c r="V7" i="8"/>
  <c r="V8" i="8"/>
  <c r="V9" i="8"/>
  <c r="V41" i="8" s="1"/>
  <c r="B2" i="41" s="1"/>
  <c r="V10" i="8"/>
  <c r="V42" i="8" s="1"/>
  <c r="B3" i="41" s="1"/>
  <c r="V11" i="8"/>
  <c r="V12" i="8"/>
  <c r="A20" i="8"/>
  <c r="V13" i="8"/>
  <c r="V14" i="8"/>
  <c r="V15" i="8"/>
  <c r="V16" i="8"/>
  <c r="V17" i="8"/>
  <c r="V18" i="8"/>
  <c r="AB18" i="1" s="1"/>
  <c r="Y11" i="3" s="1"/>
  <c r="AK34" i="1"/>
  <c r="AL33" i="1"/>
  <c r="AC14" i="3"/>
  <c r="B14" i="39" s="1"/>
  <c r="X27" i="1"/>
  <c r="G26" i="1"/>
  <c r="T29" i="1"/>
  <c r="AS10" i="1"/>
  <c r="AF28" i="1"/>
  <c r="A20" i="1" l="1"/>
  <c r="V49" i="8"/>
  <c r="AB17" i="1"/>
  <c r="Y10" i="3" s="1"/>
  <c r="V44" i="8"/>
  <c r="AB12" i="1"/>
  <c r="Y5" i="3" s="1"/>
  <c r="V48" i="8"/>
  <c r="AB16" i="1"/>
  <c r="Y9" i="3" s="1"/>
  <c r="V46" i="8"/>
  <c r="AB14" i="1"/>
  <c r="Y7" i="3" s="1"/>
  <c r="V47" i="8"/>
  <c r="AB15" i="1"/>
  <c r="Y8" i="3" s="1"/>
  <c r="V45" i="8"/>
  <c r="AB13" i="1"/>
  <c r="Y6" i="3" s="1"/>
  <c r="A21" i="8"/>
  <c r="A22" i="8" s="1"/>
  <c r="V20" i="8"/>
  <c r="AB20" i="1" s="1"/>
  <c r="V50" i="8"/>
  <c r="B11" i="41" s="1"/>
  <c r="V43" i="8"/>
  <c r="B4" i="41" s="1"/>
  <c r="AK35" i="1"/>
  <c r="AL34" i="1"/>
  <c r="P5" i="3"/>
  <c r="Q4" i="3"/>
  <c r="X28" i="1"/>
  <c r="G27" i="1"/>
  <c r="T30" i="1"/>
  <c r="AF29" i="1"/>
  <c r="A21" i="1" l="1"/>
  <c r="B6" i="41"/>
  <c r="B8" i="41"/>
  <c r="B7" i="41"/>
  <c r="B9" i="41"/>
  <c r="B5" i="41"/>
  <c r="B10" i="41"/>
  <c r="A23" i="8"/>
  <c r="A24" i="8" s="1"/>
  <c r="V21" i="8"/>
  <c r="AK36" i="1"/>
  <c r="AL35" i="1"/>
  <c r="B4" i="22"/>
  <c r="R4" i="3"/>
  <c r="B4" i="24" s="1"/>
  <c r="X29" i="1"/>
  <c r="G28" i="1"/>
  <c r="T31" i="1"/>
  <c r="A22" i="1" l="1"/>
  <c r="V22" i="8"/>
  <c r="AB21" i="1"/>
  <c r="A25" i="8"/>
  <c r="AK37" i="1"/>
  <c r="AL36" i="1"/>
  <c r="AE15" i="3"/>
  <c r="B15" i="31" s="1"/>
  <c r="AE14" i="3"/>
  <c r="X30" i="1"/>
  <c r="G29" i="1"/>
  <c r="T32" i="1"/>
  <c r="A23" i="1" l="1"/>
  <c r="V23" i="8"/>
  <c r="AB22" i="1"/>
  <c r="A26" i="8"/>
  <c r="AK38" i="1"/>
  <c r="AL37" i="1"/>
  <c r="B14" i="31"/>
  <c r="F14" i="3"/>
  <c r="B14" i="30" s="1"/>
  <c r="X31" i="1"/>
  <c r="G30" i="1"/>
  <c r="T33" i="1"/>
  <c r="A24" i="1" l="1"/>
  <c r="V24" i="8"/>
  <c r="AB23" i="1"/>
  <c r="A27" i="8"/>
  <c r="AK39" i="1"/>
  <c r="AL39" i="1" s="1"/>
  <c r="AL38" i="1"/>
  <c r="X32" i="1"/>
  <c r="G31" i="1"/>
  <c r="T34" i="1"/>
  <c r="A25" i="1" l="1"/>
  <c r="V25" i="8"/>
  <c r="AB24" i="1"/>
  <c r="Y13" i="3" s="1"/>
  <c r="V52" i="8"/>
  <c r="A28" i="8"/>
  <c r="A29" i="8" s="1"/>
  <c r="A30" i="8" s="1"/>
  <c r="A31" i="8" s="1"/>
  <c r="A32" i="8" s="1"/>
  <c r="X33" i="1"/>
  <c r="G32" i="1"/>
  <c r="T35" i="1"/>
  <c r="A26" i="1" l="1"/>
  <c r="B13" i="41"/>
  <c r="AB25" i="1"/>
  <c r="V26" i="8"/>
  <c r="X34" i="1"/>
  <c r="G33" i="1"/>
  <c r="T36" i="1"/>
  <c r="A33" i="8"/>
  <c r="A27" i="1" l="1"/>
  <c r="V27" i="8"/>
  <c r="AB26" i="1"/>
  <c r="D27" i="8"/>
  <c r="X35" i="1"/>
  <c r="G34" i="1"/>
  <c r="T37" i="1"/>
  <c r="A34" i="8"/>
  <c r="A28" i="1" l="1"/>
  <c r="V28" i="8"/>
  <c r="AB27" i="1"/>
  <c r="F15" i="3"/>
  <c r="B15" i="30" s="1"/>
  <c r="X36" i="1"/>
  <c r="G35" i="1"/>
  <c r="T38" i="1"/>
  <c r="A35" i="8"/>
  <c r="A29" i="1" l="1"/>
  <c r="V29" i="8"/>
  <c r="AB28" i="1"/>
  <c r="X37" i="1"/>
  <c r="G36" i="1"/>
  <c r="T39" i="1"/>
  <c r="A36" i="8"/>
  <c r="A37" i="8" s="1"/>
  <c r="A38" i="8" s="1"/>
  <c r="A39" i="8" s="1"/>
  <c r="Y27" i="1"/>
  <c r="A30" i="1" l="1"/>
  <c r="V30" i="8"/>
  <c r="AB29" i="1"/>
  <c r="Y14" i="3" s="1"/>
  <c r="V53" i="8"/>
  <c r="X38" i="1"/>
  <c r="G37" i="1"/>
  <c r="B14" i="41" l="1"/>
  <c r="A31" i="1"/>
  <c r="AB30" i="1"/>
  <c r="V31" i="8"/>
  <c r="X39" i="1"/>
  <c r="G39" i="1" s="1"/>
  <c r="G38" i="1"/>
  <c r="A32" i="1" l="1"/>
  <c r="V32" i="8"/>
  <c r="AB31" i="1"/>
  <c r="F16" i="3"/>
  <c r="B16" i="30" s="1"/>
  <c r="A33" i="1" l="1"/>
  <c r="V33" i="8"/>
  <c r="AB32" i="1"/>
  <c r="K11" i="1"/>
  <c r="F11" i="1" s="1"/>
  <c r="G4" i="3"/>
  <c r="B4" i="21" s="1"/>
  <c r="A34" i="1" l="1"/>
  <c r="J33" i="1" s="1"/>
  <c r="V34" i="8"/>
  <c r="AB33" i="1"/>
  <c r="V54" i="8"/>
  <c r="I4" i="3"/>
  <c r="H4" i="3"/>
  <c r="J34" i="1" l="1"/>
  <c r="J13" i="1"/>
  <c r="A35" i="1"/>
  <c r="A36" i="1" s="1"/>
  <c r="A37" i="1" s="1"/>
  <c r="A38" i="1" s="1"/>
  <c r="A39" i="1" s="1"/>
  <c r="J14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V35" i="8"/>
  <c r="AB34" i="1"/>
  <c r="Y15" i="3" s="1"/>
  <c r="B15" i="41" s="1"/>
  <c r="M11" i="1"/>
  <c r="AB35" i="1" l="1"/>
  <c r="V36" i="8"/>
  <c r="AG13" i="3"/>
  <c r="B13" i="35" s="1"/>
  <c r="AB36" i="1" l="1"/>
  <c r="V37" i="8"/>
  <c r="AG14" i="3"/>
  <c r="B14" i="35" s="1"/>
  <c r="AB37" i="1" l="1"/>
  <c r="V38" i="8"/>
  <c r="AG15" i="3"/>
  <c r="B15" i="35" s="1"/>
  <c r="AB38" i="1" l="1"/>
  <c r="V39" i="8"/>
  <c r="AG16" i="3"/>
  <c r="B16" i="35" s="1"/>
  <c r="AB39" i="1" l="1"/>
  <c r="Y16" i="3" s="1"/>
  <c r="V55" i="8"/>
  <c r="B16" i="41" l="1"/>
  <c r="AN11" i="1"/>
  <c r="AP11" i="1" s="1"/>
  <c r="N4" i="3" l="1"/>
  <c r="M5" i="3"/>
  <c r="K4" i="3"/>
  <c r="AQ11" i="1"/>
  <c r="L4" i="3" s="1"/>
  <c r="B4" i="5" s="1"/>
  <c r="AU12" i="1"/>
  <c r="AV12" i="1" s="1"/>
  <c r="J5" i="3"/>
  <c r="O4" i="3" l="1"/>
  <c r="B4" i="48" s="1"/>
  <c r="B4" i="43"/>
  <c r="B4" i="6"/>
  <c r="AS11" i="1"/>
  <c r="V12" i="1" s="1"/>
  <c r="AM12" i="1" l="1"/>
  <c r="AT12" i="1"/>
  <c r="T5" i="3" l="1"/>
  <c r="U5" i="3" s="1"/>
  <c r="B5" i="23" s="1"/>
  <c r="S6" i="3"/>
  <c r="P6" i="3"/>
  <c r="Q5" i="3"/>
  <c r="R5" i="3" l="1"/>
  <c r="B5" i="24" s="1"/>
  <c r="B5" i="22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4" i="1" l="1"/>
  <c r="E33" i="1"/>
  <c r="E35" i="1" l="1"/>
  <c r="E36" i="1" l="1"/>
  <c r="E37" i="1" l="1"/>
  <c r="E38" i="1"/>
  <c r="E39" i="1" l="1"/>
  <c r="E40" i="1" l="1"/>
  <c r="E41" i="1"/>
  <c r="F9" i="8" l="1"/>
  <c r="F41" i="8" l="1"/>
  <c r="G9" i="8"/>
  <c r="G41" i="8" l="1"/>
  <c r="AH9" i="1" l="1"/>
  <c r="AH2" i="3" s="1"/>
  <c r="X2" i="3"/>
  <c r="B2" i="10" s="1"/>
  <c r="R38" i="8" l="1"/>
  <c r="Z38" i="1" s="1"/>
  <c r="R39" i="8"/>
  <c r="Z39" i="1" s="1"/>
  <c r="R15" i="8"/>
  <c r="Z15" i="1" s="1"/>
  <c r="W8" i="3" s="1"/>
  <c r="B8" i="36" s="1"/>
  <c r="M37" i="8"/>
  <c r="N37" i="8" s="1"/>
  <c r="O37" i="8" s="1"/>
  <c r="H54" i="8"/>
  <c r="R12" i="8"/>
  <c r="Z12" i="1" s="1"/>
  <c r="R32" i="8"/>
  <c r="Z32" i="1" s="1"/>
  <c r="M21" i="8"/>
  <c r="H55" i="8"/>
  <c r="R25" i="8"/>
  <c r="M31" i="8"/>
  <c r="H51" i="8"/>
  <c r="M51" i="8" s="1"/>
  <c r="N51" i="8" s="1"/>
  <c r="B12" i="32" s="1"/>
  <c r="R23" i="8"/>
  <c r="Z23" i="1" s="1"/>
  <c r="M23" i="8"/>
  <c r="R31" i="8"/>
  <c r="Z31" i="1" s="1"/>
  <c r="R19" i="8"/>
  <c r="R51" i="8" s="1"/>
  <c r="M33" i="8"/>
  <c r="R33" i="8"/>
  <c r="Z33" i="1" s="1"/>
  <c r="AB6" i="3"/>
  <c r="B6" i="40" s="1"/>
  <c r="AB4" i="3"/>
  <c r="B4" i="40" s="1"/>
  <c r="R18" i="8"/>
  <c r="R50" i="8" s="1"/>
  <c r="R21" i="8"/>
  <c r="Z21" i="1" s="1"/>
  <c r="AB10" i="3"/>
  <c r="B10" i="40" s="1"/>
  <c r="R20" i="8"/>
  <c r="Z20" i="1" s="1"/>
  <c r="H50" i="8"/>
  <c r="R22" i="8"/>
  <c r="Z22" i="1" s="1"/>
  <c r="R24" i="8"/>
  <c r="Z24" i="1" s="1"/>
  <c r="M36" i="8"/>
  <c r="N36" i="8" s="1"/>
  <c r="O36" i="8" s="1"/>
  <c r="M26" i="8"/>
  <c r="N26" i="8" s="1"/>
  <c r="M34" i="8"/>
  <c r="N34" i="8" s="1"/>
  <c r="AB5" i="3"/>
  <c r="B5" i="40" s="1"/>
  <c r="AF5" i="3"/>
  <c r="R26" i="8"/>
  <c r="Z26" i="1" s="1"/>
  <c r="R17" i="8"/>
  <c r="R49" i="8" s="1"/>
  <c r="Z17" i="1"/>
  <c r="W10" i="3" s="1"/>
  <c r="B10" i="36" s="1"/>
  <c r="M27" i="8"/>
  <c r="M24" i="8"/>
  <c r="N24" i="8" s="1"/>
  <c r="M18" i="8"/>
  <c r="N18" i="8" s="1"/>
  <c r="R27" i="8"/>
  <c r="Z27" i="1" s="1"/>
  <c r="R14" i="8"/>
  <c r="R46" i="8" s="1"/>
  <c r="R11" i="8"/>
  <c r="R43" i="8" s="1"/>
  <c r="Z11" i="1"/>
  <c r="W4" i="3"/>
  <c r="B4" i="36" s="1"/>
  <c r="M38" i="8"/>
  <c r="H52" i="8"/>
  <c r="M52" i="8" s="1"/>
  <c r="N52" i="8" s="1"/>
  <c r="B13" i="32" s="1"/>
  <c r="R28" i="8"/>
  <c r="Z28" i="1" s="1"/>
  <c r="R35" i="8"/>
  <c r="Z35" i="1" s="1"/>
  <c r="R29" i="8"/>
  <c r="Z29" i="1" s="1"/>
  <c r="C11" i="8"/>
  <c r="C43" i="8"/>
  <c r="M28" i="8"/>
  <c r="N28" i="8" s="1"/>
  <c r="R30" i="8"/>
  <c r="Z30" i="1" s="1"/>
  <c r="H53" i="8"/>
  <c r="R34" i="8"/>
  <c r="Z34" i="1" s="1"/>
  <c r="M22" i="8"/>
  <c r="M15" i="8"/>
  <c r="N15" i="8" s="1"/>
  <c r="R16" i="8"/>
  <c r="R48" i="8" s="1"/>
  <c r="R36" i="8"/>
  <c r="Z36" i="1"/>
  <c r="M30" i="8"/>
  <c r="M32" i="8"/>
  <c r="M17" i="8"/>
  <c r="R37" i="8"/>
  <c r="Z37" i="1" s="1"/>
  <c r="M13" i="8"/>
  <c r="R13" i="8"/>
  <c r="Z13" i="1" s="1"/>
  <c r="W6" i="3" s="1"/>
  <c r="B6" i="36" s="1"/>
  <c r="D11" i="8"/>
  <c r="Y11" i="1" s="1"/>
  <c r="M14" i="8"/>
  <c r="AB7" i="3"/>
  <c r="B7" i="40" s="1"/>
  <c r="AF7" i="3"/>
  <c r="M35" i="8"/>
  <c r="N35" i="8" s="1"/>
  <c r="O35" i="8" s="1"/>
  <c r="M39" i="8"/>
  <c r="M16" i="8"/>
  <c r="L11" i="8"/>
  <c r="L43" i="8" s="1"/>
  <c r="M25" i="8"/>
  <c r="M19" i="8"/>
  <c r="M20" i="8"/>
  <c r="M12" i="8"/>
  <c r="AG17" i="1" l="1"/>
  <c r="N17" i="8"/>
  <c r="AG20" i="1"/>
  <c r="N20" i="8"/>
  <c r="AG23" i="1"/>
  <c r="N23" i="8"/>
  <c r="AG31" i="1"/>
  <c r="N31" i="8"/>
  <c r="AG38" i="1"/>
  <c r="N38" i="8"/>
  <c r="O38" i="8" s="1"/>
  <c r="P38" i="8" s="1"/>
  <c r="AG39" i="1"/>
  <c r="N39" i="8"/>
  <c r="O39" i="8" s="1"/>
  <c r="P39" i="8" s="1"/>
  <c r="AB16" i="3"/>
  <c r="B16" i="40" s="1"/>
  <c r="M55" i="8"/>
  <c r="N55" i="8" s="1"/>
  <c r="AG21" i="1"/>
  <c r="N21" i="8"/>
  <c r="AB14" i="3"/>
  <c r="B14" i="40" s="1"/>
  <c r="M53" i="8"/>
  <c r="N53" i="8" s="1"/>
  <c r="B14" i="32" s="1"/>
  <c r="AG16" i="1"/>
  <c r="N16" i="8"/>
  <c r="AB11" i="3"/>
  <c r="B11" i="40" s="1"/>
  <c r="M50" i="8"/>
  <c r="N50" i="8" s="1"/>
  <c r="B11" i="32" s="1"/>
  <c r="AG14" i="1"/>
  <c r="N14" i="8"/>
  <c r="AB15" i="3"/>
  <c r="B15" i="40" s="1"/>
  <c r="M54" i="8"/>
  <c r="N54" i="8" s="1"/>
  <c r="B15" i="32" s="1"/>
  <c r="AG12" i="1"/>
  <c r="N12" i="8"/>
  <c r="AG25" i="1"/>
  <c r="N25" i="8"/>
  <c r="AG27" i="1"/>
  <c r="N27" i="8"/>
  <c r="O27" i="8" s="1"/>
  <c r="P27" i="8" s="1"/>
  <c r="AG32" i="1"/>
  <c r="N32" i="8"/>
  <c r="AG19" i="1"/>
  <c r="N19" i="8"/>
  <c r="AG30" i="1"/>
  <c r="N30" i="8"/>
  <c r="AG22" i="1"/>
  <c r="N22" i="8"/>
  <c r="AG13" i="1"/>
  <c r="N13" i="8"/>
  <c r="AG33" i="1"/>
  <c r="N33" i="8"/>
  <c r="B4" i="49"/>
  <c r="K43" i="8"/>
  <c r="N43" i="8" s="1"/>
  <c r="Z18" i="1"/>
  <c r="W11" i="3" s="1"/>
  <c r="B11" i="36" s="1"/>
  <c r="AF13" i="3"/>
  <c r="AB13" i="3"/>
  <c r="B13" i="40" s="1"/>
  <c r="AF8" i="3"/>
  <c r="AB8" i="3"/>
  <c r="B8" i="40" s="1"/>
  <c r="AF12" i="3"/>
  <c r="AB12" i="3"/>
  <c r="B12" i="40" s="1"/>
  <c r="AF9" i="3"/>
  <c r="AB9" i="3"/>
  <c r="B9" i="40" s="1"/>
  <c r="AF10" i="3"/>
  <c r="AG37" i="1"/>
  <c r="P37" i="8"/>
  <c r="AG36" i="1"/>
  <c r="P36" i="8"/>
  <c r="AG28" i="1"/>
  <c r="V4" i="3"/>
  <c r="B4" i="9" s="1"/>
  <c r="Z14" i="1"/>
  <c r="W7" i="3" s="1"/>
  <c r="B7" i="36" s="1"/>
  <c r="R53" i="8"/>
  <c r="W16" i="3"/>
  <c r="B16" i="36" s="1"/>
  <c r="R54" i="8"/>
  <c r="Z16" i="1"/>
  <c r="W9" i="3" s="1"/>
  <c r="B9" i="36" s="1"/>
  <c r="AG18" i="1"/>
  <c r="AG35" i="1"/>
  <c r="AG26" i="1"/>
  <c r="R55" i="8"/>
  <c r="W13" i="3"/>
  <c r="B13" i="36" s="1"/>
  <c r="AF14" i="3"/>
  <c r="W15" i="3"/>
  <c r="B15" i="36" s="1"/>
  <c r="Z19" i="1"/>
  <c r="W12" i="3" s="1"/>
  <c r="B12" i="36" s="1"/>
  <c r="AF6" i="3"/>
  <c r="AG34" i="1"/>
  <c r="R47" i="8"/>
  <c r="AG24" i="1"/>
  <c r="W5" i="3"/>
  <c r="B5" i="36" s="1"/>
  <c r="P35" i="8"/>
  <c r="Z25" i="1"/>
  <c r="W14" i="3" s="1"/>
  <c r="B14" i="36" s="1"/>
  <c r="R44" i="8"/>
  <c r="AF11" i="3"/>
  <c r="AG29" i="1"/>
  <c r="J11" i="1"/>
  <c r="R45" i="8"/>
  <c r="M11" i="8"/>
  <c r="R52" i="8"/>
  <c r="E11" i="8"/>
  <c r="F11" i="8" s="1"/>
  <c r="S11" i="8"/>
  <c r="AG15" i="1"/>
  <c r="D43" i="8"/>
  <c r="AF15" i="3" l="1"/>
  <c r="B4" i="32"/>
  <c r="O43" i="8"/>
  <c r="P43" i="8" s="1"/>
  <c r="E43" i="8" s="1"/>
  <c r="AG11" i="1"/>
  <c r="N11" i="8"/>
  <c r="AF16" i="3"/>
  <c r="B16" i="32"/>
  <c r="O55" i="8"/>
  <c r="P55" i="8" s="1"/>
  <c r="E55" i="8" s="1"/>
  <c r="O11" i="8"/>
  <c r="AE4" i="3"/>
  <c r="B4" i="31" s="1"/>
  <c r="Z41" i="1"/>
  <c r="Z40" i="1"/>
  <c r="AE11" i="1"/>
  <c r="S43" i="8"/>
  <c r="G11" i="8"/>
  <c r="AA11" i="1" s="1"/>
  <c r="AH11" i="1" s="1"/>
  <c r="F43" i="8"/>
  <c r="AF4" i="3"/>
  <c r="AC4" i="3"/>
  <c r="B4" i="39" s="1"/>
  <c r="P11" i="8" l="1"/>
  <c r="E35" i="8"/>
  <c r="E36" i="8" s="1"/>
  <c r="B54" i="8"/>
  <c r="B32" i="8" s="1"/>
  <c r="G43" i="8"/>
  <c r="I11" i="1"/>
  <c r="E4" i="3" s="1"/>
  <c r="B4" i="25" s="1"/>
  <c r="AD4" i="3"/>
  <c r="B4" i="37" s="1"/>
  <c r="AE41" i="1"/>
  <c r="AE40" i="1"/>
  <c r="X4" i="3" l="1"/>
  <c r="B4" i="10"/>
  <c r="B31" i="8"/>
  <c r="B28" i="8"/>
  <c r="B29" i="8"/>
  <c r="B30" i="8"/>
  <c r="B34" i="8"/>
  <c r="B33" i="8"/>
  <c r="E37" i="8"/>
  <c r="C33" i="8" l="1"/>
  <c r="D33" i="8" s="1"/>
  <c r="C34" i="8"/>
  <c r="D34" i="8" s="1"/>
  <c r="C32" i="8"/>
  <c r="D32" i="8" s="1"/>
  <c r="C30" i="8"/>
  <c r="D30" i="8" s="1"/>
  <c r="O30" i="8" s="1"/>
  <c r="C31" i="8"/>
  <c r="D31" i="8" s="1"/>
  <c r="O31" i="8" s="1"/>
  <c r="E38" i="8"/>
  <c r="AH4" i="3"/>
  <c r="O32" i="8" l="1"/>
  <c r="P32" i="8" s="1"/>
  <c r="O34" i="8"/>
  <c r="P34" i="8" s="1"/>
  <c r="O33" i="8"/>
  <c r="P33" i="8" s="1"/>
  <c r="Y34" i="1"/>
  <c r="Y33" i="1"/>
  <c r="Y32" i="1"/>
  <c r="C54" i="8"/>
  <c r="Y31" i="1"/>
  <c r="P31" i="8"/>
  <c r="D54" i="8"/>
  <c r="O54" i="8" s="1"/>
  <c r="P54" i="8" s="1"/>
  <c r="E54" i="8" s="1"/>
  <c r="Y30" i="1"/>
  <c r="E39" i="8"/>
  <c r="F38" i="8" s="1"/>
  <c r="G38" i="8" s="1"/>
  <c r="AA38" i="1" s="1"/>
  <c r="AH38" i="1" s="1"/>
  <c r="V15" i="3" l="1"/>
  <c r="B15" i="9" s="1"/>
  <c r="P30" i="8"/>
  <c r="B52" i="8"/>
  <c r="B22" i="8" s="1"/>
  <c r="F35" i="8"/>
  <c r="F36" i="8"/>
  <c r="G36" i="8" s="1"/>
  <c r="AA36" i="1" s="1"/>
  <c r="AH36" i="1" s="1"/>
  <c r="F39" i="8"/>
  <c r="G39" i="8" s="1"/>
  <c r="AA39" i="1" s="1"/>
  <c r="AH39" i="1" s="1"/>
  <c r="F37" i="8"/>
  <c r="G37" i="8" s="1"/>
  <c r="AA37" i="1" s="1"/>
  <c r="AH37" i="1" s="1"/>
  <c r="G35" i="8"/>
  <c r="AA35" i="1" l="1"/>
  <c r="F55" i="8"/>
  <c r="B26" i="8"/>
  <c r="B23" i="8"/>
  <c r="B24" i="8"/>
  <c r="B25" i="8"/>
  <c r="E32" i="8"/>
  <c r="G55" i="8"/>
  <c r="C29" i="8" l="1"/>
  <c r="D29" i="8" s="1"/>
  <c r="O29" i="8" s="1"/>
  <c r="C28" i="8"/>
  <c r="D28" i="8" s="1"/>
  <c r="O28" i="8" s="1"/>
  <c r="AH35" i="1"/>
  <c r="AH16" i="3" s="1"/>
  <c r="X16" i="3"/>
  <c r="B16" i="10" s="1"/>
  <c r="C25" i="8"/>
  <c r="E33" i="8"/>
  <c r="E34" i="8"/>
  <c r="C26" i="8"/>
  <c r="D26" i="8" s="1"/>
  <c r="O26" i="8" s="1"/>
  <c r="Y26" i="1" l="1"/>
  <c r="P26" i="8"/>
  <c r="Y28" i="1"/>
  <c r="P28" i="8"/>
  <c r="Y29" i="1"/>
  <c r="P29" i="8"/>
  <c r="C53" i="8"/>
  <c r="D25" i="8"/>
  <c r="D53" i="8" l="1"/>
  <c r="O53" i="8" s="1"/>
  <c r="P53" i="8" s="1"/>
  <c r="O25" i="8"/>
  <c r="Y25" i="1"/>
  <c r="P25" i="8" l="1"/>
  <c r="V14" i="3"/>
  <c r="B14" i="9" s="1"/>
  <c r="B51" i="8"/>
  <c r="B19" i="8" s="1"/>
  <c r="C19" i="8" l="1"/>
  <c r="B21" i="8"/>
  <c r="B20" i="8"/>
  <c r="E53" i="8" l="1"/>
  <c r="E27" i="8" s="1"/>
  <c r="C21" i="8"/>
  <c r="D21" i="8" s="1"/>
  <c r="C20" i="8"/>
  <c r="C22" i="8"/>
  <c r="D22" i="8" s="1"/>
  <c r="O22" i="8" s="1"/>
  <c r="P22" i="8" s="1"/>
  <c r="C23" i="8"/>
  <c r="D23" i="8" s="1"/>
  <c r="O23" i="8" s="1"/>
  <c r="C24" i="8"/>
  <c r="D24" i="8" s="1"/>
  <c r="O24" i="8" s="1"/>
  <c r="D19" i="8"/>
  <c r="O19" i="8" s="1"/>
  <c r="C51" i="8"/>
  <c r="O21" i="8" l="1"/>
  <c r="P21" i="8" s="1"/>
  <c r="E31" i="8"/>
  <c r="E29" i="8"/>
  <c r="E30" i="8"/>
  <c r="E28" i="8"/>
  <c r="C52" i="8"/>
  <c r="Y21" i="1"/>
  <c r="F34" i="8"/>
  <c r="G34" i="8" s="1"/>
  <c r="F33" i="8"/>
  <c r="G33" i="8" s="1"/>
  <c r="Y24" i="1"/>
  <c r="P24" i="8"/>
  <c r="Y22" i="1"/>
  <c r="F31" i="8"/>
  <c r="G31" i="8" s="1"/>
  <c r="D51" i="8"/>
  <c r="O51" i="8" s="1"/>
  <c r="P51" i="8" s="1"/>
  <c r="E51" i="8" s="1"/>
  <c r="Y19" i="1"/>
  <c r="Y23" i="1"/>
  <c r="P23" i="8"/>
  <c r="D20" i="8"/>
  <c r="F30" i="8" l="1"/>
  <c r="F32" i="8"/>
  <c r="G32" i="8" s="1"/>
  <c r="D52" i="8"/>
  <c r="O52" i="8" s="1"/>
  <c r="P52" i="8" s="1"/>
  <c r="E52" i="8" s="1"/>
  <c r="O20" i="8"/>
  <c r="AA31" i="1"/>
  <c r="AH31" i="1" s="1"/>
  <c r="AA34" i="1"/>
  <c r="AH34" i="1" s="1"/>
  <c r="AA33" i="1"/>
  <c r="AH33" i="1" s="1"/>
  <c r="AA32" i="1"/>
  <c r="AH32" i="1" s="1"/>
  <c r="P19" i="8"/>
  <c r="I34" i="1"/>
  <c r="L34" i="1" s="1"/>
  <c r="I32" i="1"/>
  <c r="L32" i="1" s="1"/>
  <c r="Y20" i="1"/>
  <c r="V12" i="3"/>
  <c r="I31" i="1"/>
  <c r="L31" i="1" s="1"/>
  <c r="I33" i="1"/>
  <c r="L33" i="1" s="1"/>
  <c r="F54" i="8"/>
  <c r="G30" i="8"/>
  <c r="AA30" i="1" l="1"/>
  <c r="V13" i="3"/>
  <c r="B13" i="9" s="1"/>
  <c r="G54" i="8"/>
  <c r="I30" i="1"/>
  <c r="B49" i="8"/>
  <c r="B17" i="8" s="1"/>
  <c r="C17" i="8" s="1"/>
  <c r="B12" i="9"/>
  <c r="P20" i="8"/>
  <c r="E19" i="8"/>
  <c r="B50" i="8"/>
  <c r="B18" i="8" s="1"/>
  <c r="C18" i="8" s="1"/>
  <c r="AH30" i="1" l="1"/>
  <c r="AH15" i="3" s="1"/>
  <c r="X15" i="3"/>
  <c r="B15" i="10" s="1"/>
  <c r="E15" i="3"/>
  <c r="B15" i="25" s="1"/>
  <c r="E22" i="8"/>
  <c r="D18" i="8"/>
  <c r="C50" i="8"/>
  <c r="F19" i="8"/>
  <c r="D17" i="8"/>
  <c r="C49" i="8"/>
  <c r="D50" i="8" l="1"/>
  <c r="O50" i="8" s="1"/>
  <c r="P50" i="8" s="1"/>
  <c r="O18" i="8"/>
  <c r="D49" i="8"/>
  <c r="O49" i="8" s="1"/>
  <c r="P49" i="8" s="1"/>
  <c r="O17" i="8"/>
  <c r="E20" i="8"/>
  <c r="E25" i="8"/>
  <c r="E26" i="8"/>
  <c r="L30" i="1"/>
  <c r="G15" i="3" s="1"/>
  <c r="B15" i="21" s="1"/>
  <c r="D15" i="3"/>
  <c r="E21" i="8"/>
  <c r="Y17" i="1"/>
  <c r="E49" i="8"/>
  <c r="E23" i="8"/>
  <c r="E24" i="8"/>
  <c r="F51" i="8"/>
  <c r="G19" i="8"/>
  <c r="Y18" i="1"/>
  <c r="E50" i="8"/>
  <c r="F24" i="8" l="1"/>
  <c r="G24" i="8" s="1"/>
  <c r="AA24" i="1" s="1"/>
  <c r="AH24" i="1" s="1"/>
  <c r="F26" i="8"/>
  <c r="G26" i="8" s="1"/>
  <c r="I26" i="1" s="1"/>
  <c r="L26" i="1" s="1"/>
  <c r="AA19" i="1"/>
  <c r="V11" i="3"/>
  <c r="B11" i="9" s="1"/>
  <c r="V10" i="3"/>
  <c r="B10" i="9" s="1"/>
  <c r="F22" i="8"/>
  <c r="G22" i="8" s="1"/>
  <c r="I22" i="1" s="1"/>
  <c r="L22" i="1" s="1"/>
  <c r="F23" i="8"/>
  <c r="G23" i="8" s="1"/>
  <c r="I23" i="1" s="1"/>
  <c r="L23" i="1" s="1"/>
  <c r="F20" i="8"/>
  <c r="F21" i="8"/>
  <c r="G21" i="8" s="1"/>
  <c r="B48" i="8"/>
  <c r="B16" i="8" s="1"/>
  <c r="C16" i="8" s="1"/>
  <c r="B47" i="8"/>
  <c r="B15" i="8" s="1"/>
  <c r="C15" i="8" s="1"/>
  <c r="P18" i="8"/>
  <c r="G51" i="8"/>
  <c r="I19" i="1"/>
  <c r="F25" i="8"/>
  <c r="F27" i="8"/>
  <c r="G27" i="8" s="1"/>
  <c r="F29" i="8"/>
  <c r="G29" i="8" s="1"/>
  <c r="F28" i="8"/>
  <c r="G28" i="8" s="1"/>
  <c r="P17" i="8"/>
  <c r="AH19" i="1" l="1"/>
  <c r="AH12" i="3" s="1"/>
  <c r="X12" i="3"/>
  <c r="B12" i="10" s="1"/>
  <c r="E12" i="3"/>
  <c r="B12" i="25" s="1"/>
  <c r="I24" i="1"/>
  <c r="L24" i="1" s="1"/>
  <c r="AA26" i="1"/>
  <c r="AH26" i="1" s="1"/>
  <c r="AA28" i="1"/>
  <c r="AH28" i="1" s="1"/>
  <c r="AA27" i="1"/>
  <c r="AH27" i="1" s="1"/>
  <c r="AA21" i="1"/>
  <c r="AH21" i="1" s="1"/>
  <c r="AA22" i="1"/>
  <c r="AH22" i="1" s="1"/>
  <c r="AA29" i="1"/>
  <c r="AH29" i="1" s="1"/>
  <c r="AA23" i="1"/>
  <c r="AH23" i="1" s="1"/>
  <c r="G20" i="8"/>
  <c r="F52" i="8"/>
  <c r="I21" i="1"/>
  <c r="L21" i="1" s="1"/>
  <c r="I27" i="1"/>
  <c r="L27" i="1" s="1"/>
  <c r="G25" i="8"/>
  <c r="F53" i="8"/>
  <c r="D16" i="8"/>
  <c r="O16" i="8" s="1"/>
  <c r="C48" i="8"/>
  <c r="I29" i="1"/>
  <c r="L29" i="1" s="1"/>
  <c r="E18" i="8"/>
  <c r="F18" i="8" s="1"/>
  <c r="E17" i="8"/>
  <c r="F17" i="8" s="1"/>
  <c r="I28" i="1"/>
  <c r="L28" i="1" s="1"/>
  <c r="D15" i="8"/>
  <c r="O15" i="8" s="1"/>
  <c r="C47" i="8"/>
  <c r="L19" i="1" l="1"/>
  <c r="G12" i="3" s="1"/>
  <c r="B12" i="21" s="1"/>
  <c r="D12" i="3"/>
  <c r="AA25" i="1"/>
  <c r="AA20" i="1"/>
  <c r="I20" i="1"/>
  <c r="G52" i="8"/>
  <c r="D47" i="8"/>
  <c r="O47" i="8" s="1"/>
  <c r="P47" i="8" s="1"/>
  <c r="E47" i="8" s="1"/>
  <c r="Y15" i="1"/>
  <c r="G17" i="8"/>
  <c r="F49" i="8"/>
  <c r="G18" i="8"/>
  <c r="F50" i="8"/>
  <c r="D48" i="8"/>
  <c r="O48" i="8" s="1"/>
  <c r="P48" i="8" s="1"/>
  <c r="E48" i="8" s="1"/>
  <c r="Y16" i="1"/>
  <c r="G53" i="8"/>
  <c r="I25" i="1"/>
  <c r="AH20" i="1" l="1"/>
  <c r="AH13" i="3" s="1"/>
  <c r="X13" i="3"/>
  <c r="B13" i="10" s="1"/>
  <c r="AH25" i="1"/>
  <c r="AH14" i="3" s="1"/>
  <c r="X14" i="3"/>
  <c r="B14" i="10" s="1"/>
  <c r="E13" i="3"/>
  <c r="B13" i="25" s="1"/>
  <c r="E14" i="3"/>
  <c r="B14" i="25" s="1"/>
  <c r="AA18" i="1"/>
  <c r="AA17" i="1"/>
  <c r="AH17" i="1" s="1"/>
  <c r="V8" i="3"/>
  <c r="B8" i="9" s="1"/>
  <c r="V9" i="3"/>
  <c r="B9" i="9" s="1"/>
  <c r="B46" i="8"/>
  <c r="B14" i="8" s="1"/>
  <c r="C14" i="8" s="1"/>
  <c r="B45" i="8"/>
  <c r="B13" i="8" s="1"/>
  <c r="C13" i="8" s="1"/>
  <c r="P16" i="8"/>
  <c r="G50" i="8"/>
  <c r="I18" i="1"/>
  <c r="G49" i="8"/>
  <c r="I17" i="1"/>
  <c r="P15" i="8"/>
  <c r="E15" i="8" l="1"/>
  <c r="F15" i="8" s="1"/>
  <c r="AH10" i="3"/>
  <c r="X10" i="3"/>
  <c r="B10" i="10" s="1"/>
  <c r="AH18" i="1"/>
  <c r="AH11" i="3" s="1"/>
  <c r="X11" i="3"/>
  <c r="B11" i="10" s="1"/>
  <c r="E11" i="3"/>
  <c r="B11" i="25" s="1"/>
  <c r="E10" i="3"/>
  <c r="B10" i="25" s="1"/>
  <c r="L25" i="1"/>
  <c r="G14" i="3" s="1"/>
  <c r="B14" i="21" s="1"/>
  <c r="D14" i="3"/>
  <c r="L20" i="1"/>
  <c r="G13" i="3" s="1"/>
  <c r="B13" i="21" s="1"/>
  <c r="D13" i="3"/>
  <c r="D13" i="8"/>
  <c r="O13" i="8" s="1"/>
  <c r="C45" i="8"/>
  <c r="E16" i="8"/>
  <c r="F16" i="8" s="1"/>
  <c r="D14" i="8"/>
  <c r="O14" i="8" s="1"/>
  <c r="C46" i="8"/>
  <c r="L18" i="1" l="1"/>
  <c r="G11" i="3" s="1"/>
  <c r="B11" i="21" s="1"/>
  <c r="D11" i="3"/>
  <c r="L17" i="1"/>
  <c r="G10" i="3" s="1"/>
  <c r="B10" i="21" s="1"/>
  <c r="D10" i="3"/>
  <c r="D46" i="8"/>
  <c r="O46" i="8" s="1"/>
  <c r="P46" i="8" s="1"/>
  <c r="E46" i="8" s="1"/>
  <c r="Y14" i="1"/>
  <c r="G16" i="8"/>
  <c r="F48" i="8"/>
  <c r="D45" i="8"/>
  <c r="O45" i="8" s="1"/>
  <c r="P45" i="8" s="1"/>
  <c r="E45" i="8" s="1"/>
  <c r="Y13" i="1"/>
  <c r="F47" i="8"/>
  <c r="G15" i="8"/>
  <c r="AA15" i="1" l="1"/>
  <c r="AH15" i="1" s="1"/>
  <c r="AA16" i="1"/>
  <c r="AH16" i="1" s="1"/>
  <c r="V6" i="3"/>
  <c r="V7" i="3"/>
  <c r="B7" i="9" s="1"/>
  <c r="P13" i="8"/>
  <c r="B44" i="8"/>
  <c r="B12" i="8" s="1"/>
  <c r="C12" i="8" s="1"/>
  <c r="I15" i="1"/>
  <c r="G47" i="8"/>
  <c r="B43" i="8"/>
  <c r="B6" i="9"/>
  <c r="G48" i="8"/>
  <c r="I16" i="1"/>
  <c r="P14" i="8"/>
  <c r="AH9" i="3" l="1"/>
  <c r="X9" i="3"/>
  <c r="B9" i="10" s="1"/>
  <c r="AH8" i="3"/>
  <c r="X8" i="3"/>
  <c r="B8" i="10" s="1"/>
  <c r="E9" i="3"/>
  <c r="B9" i="25" s="1"/>
  <c r="E8" i="3"/>
  <c r="B8" i="25" s="1"/>
  <c r="E13" i="8"/>
  <c r="F13" i="8" s="1"/>
  <c r="F45" i="8" s="1"/>
  <c r="E14" i="8"/>
  <c r="F14" i="8" s="1"/>
  <c r="D12" i="8"/>
  <c r="O12" i="8" s="1"/>
  <c r="C44" i="8"/>
  <c r="L16" i="1" l="1"/>
  <c r="G9" i="3" s="1"/>
  <c r="B9" i="21" s="1"/>
  <c r="D9" i="3"/>
  <c r="L15" i="1"/>
  <c r="G8" i="3" s="1"/>
  <c r="B8" i="21" s="1"/>
  <c r="D8" i="3"/>
  <c r="D44" i="8"/>
  <c r="O44" i="8" s="1"/>
  <c r="Y12" i="1"/>
  <c r="F46" i="8"/>
  <c r="G14" i="8"/>
  <c r="G13" i="8"/>
  <c r="P44" i="8" l="1"/>
  <c r="E44" i="8" s="1"/>
  <c r="AA13" i="1"/>
  <c r="AH13" i="1" s="1"/>
  <c r="AA14" i="1"/>
  <c r="AH14" i="1" s="1"/>
  <c r="I14" i="1"/>
  <c r="G46" i="8"/>
  <c r="P12" i="8"/>
  <c r="G45" i="8"/>
  <c r="I13" i="1"/>
  <c r="V5" i="3"/>
  <c r="Y40" i="1"/>
  <c r="Y41" i="1"/>
  <c r="AH7" i="3" l="1"/>
  <c r="X7" i="3"/>
  <c r="B7" i="10" s="1"/>
  <c r="AH6" i="3"/>
  <c r="X6" i="3"/>
  <c r="B6" i="10" s="1"/>
  <c r="E6" i="3"/>
  <c r="B6" i="25" s="1"/>
  <c r="E7" i="3"/>
  <c r="B7" i="25" s="1"/>
  <c r="B42" i="8"/>
  <c r="B5" i="9"/>
  <c r="E12" i="8"/>
  <c r="F12" i="8" s="1"/>
  <c r="F44" i="8" s="1"/>
  <c r="L13" i="1" l="1"/>
  <c r="G6" i="3" s="1"/>
  <c r="B6" i="21" s="1"/>
  <c r="D6" i="3"/>
  <c r="L14" i="1"/>
  <c r="G7" i="3" s="1"/>
  <c r="B7" i="21" s="1"/>
  <c r="D7" i="3"/>
  <c r="G12" i="8"/>
  <c r="I12" i="1" s="1"/>
  <c r="L12" i="1" l="1"/>
  <c r="D5" i="3"/>
  <c r="O12" i="1"/>
  <c r="AA12" i="1"/>
  <c r="AH12" i="1" s="1"/>
  <c r="G44" i="8"/>
  <c r="E5" i="3"/>
  <c r="B5" i="25" s="1"/>
  <c r="X5" i="3" l="1"/>
  <c r="B5" i="10" s="1"/>
  <c r="G5" i="3"/>
  <c r="B5" i="21" s="1"/>
  <c r="K12" i="1"/>
  <c r="O13" i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AA41" i="1"/>
  <c r="AA40" i="1"/>
  <c r="H5" i="3" l="1"/>
  <c r="P12" i="1"/>
  <c r="M12" i="1" s="1"/>
  <c r="F12" i="1"/>
  <c r="I5" i="3" s="1"/>
  <c r="AJ12" i="1"/>
  <c r="AH5" i="3"/>
  <c r="AH40" i="1"/>
  <c r="AH41" i="1"/>
  <c r="AI12" i="1" l="1"/>
  <c r="AN12" i="1" s="1"/>
  <c r="AR12" i="1" s="1"/>
  <c r="AJ13" i="1"/>
  <c r="AO12" i="1" l="1"/>
  <c r="AQ12" i="1"/>
  <c r="L5" i="3" s="1"/>
  <c r="B5" i="5" s="1"/>
  <c r="AJ14" i="1"/>
  <c r="J6" i="3"/>
  <c r="K5" i="3"/>
  <c r="B5" i="6" l="1"/>
  <c r="AD12" i="1"/>
  <c r="AA5" i="3" s="1"/>
  <c r="B5" i="44" s="1"/>
  <c r="AP12" i="1"/>
  <c r="AS12" i="1"/>
  <c r="V13" i="1" s="1"/>
  <c r="AU13" i="1"/>
  <c r="AV13" i="1" s="1"/>
  <c r="AJ15" i="1"/>
  <c r="N5" i="3" l="1"/>
  <c r="M6" i="3"/>
  <c r="AT13" i="1"/>
  <c r="AM13" i="1"/>
  <c r="AJ16" i="1"/>
  <c r="AJ17" i="1" s="1"/>
  <c r="K13" i="1"/>
  <c r="AJ18" i="1" l="1"/>
  <c r="B5" i="43"/>
  <c r="O5" i="3"/>
  <c r="B5" i="48" s="1"/>
  <c r="F13" i="1"/>
  <c r="I6" i="3" s="1"/>
  <c r="H6" i="3"/>
  <c r="P13" i="1"/>
  <c r="T6" i="3"/>
  <c r="U6" i="3" s="1"/>
  <c r="S7" i="3"/>
  <c r="AI13" i="1"/>
  <c r="P7" i="3"/>
  <c r="Q6" i="3"/>
  <c r="B6" i="22" l="1"/>
  <c r="R6" i="3"/>
  <c r="B6" i="24" s="1"/>
  <c r="M13" i="1"/>
  <c r="AN13" i="1" s="1"/>
  <c r="AR13" i="1" s="1"/>
  <c r="B6" i="23"/>
  <c r="AO13" i="1" l="1"/>
  <c r="AQ13" i="1"/>
  <c r="L6" i="3" s="1"/>
  <c r="B6" i="5" s="1"/>
  <c r="K6" i="3"/>
  <c r="J7" i="3"/>
  <c r="AJ19" i="1"/>
  <c r="AJ20" i="1" l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B6" i="6"/>
  <c r="AP13" i="1"/>
  <c r="AD13" i="1"/>
  <c r="AA6" i="3" s="1"/>
  <c r="B6" i="44" s="1"/>
  <c r="AS13" i="1"/>
  <c r="V14" i="1" s="1"/>
  <c r="AU14" i="1"/>
  <c r="AV14" i="1" s="1"/>
  <c r="M7" i="3" l="1"/>
  <c r="N6" i="3"/>
  <c r="AM14" i="1"/>
  <c r="K14" i="1"/>
  <c r="AT14" i="1" l="1"/>
  <c r="P8" i="3" s="1"/>
  <c r="B6" i="43"/>
  <c r="O6" i="3"/>
  <c r="B6" i="48" s="1"/>
  <c r="H7" i="3"/>
  <c r="F14" i="1"/>
  <c r="I7" i="3" s="1"/>
  <c r="P14" i="1"/>
  <c r="S8" i="3"/>
  <c r="T7" i="3"/>
  <c r="U7" i="3" s="1"/>
  <c r="AI14" i="1"/>
  <c r="Q7" i="3" l="1"/>
  <c r="B7" i="22" s="1"/>
  <c r="B7" i="23"/>
  <c r="M14" i="1"/>
  <c r="AN14" i="1" s="1"/>
  <c r="AR14" i="1" s="1"/>
  <c r="R7" i="3" l="1"/>
  <c r="B7" i="24" s="1"/>
  <c r="AO14" i="1"/>
  <c r="AQ14" i="1"/>
  <c r="L7" i="3" s="1"/>
  <c r="B7" i="5" s="1"/>
  <c r="K7" i="3"/>
  <c r="J8" i="3"/>
  <c r="B7" i="6" l="1"/>
  <c r="AP14" i="1"/>
  <c r="AD14" i="1"/>
  <c r="AA7" i="3" s="1"/>
  <c r="B7" i="44" s="1"/>
  <c r="AS14" i="1"/>
  <c r="V15" i="1" s="1"/>
  <c r="AU15" i="1"/>
  <c r="AV15" i="1" s="1"/>
  <c r="M8" i="3" l="1"/>
  <c r="N7" i="3"/>
  <c r="AM15" i="1"/>
  <c r="K15" i="1"/>
  <c r="AT15" i="1" l="1"/>
  <c r="P9" i="3" s="1"/>
  <c r="B7" i="43"/>
  <c r="O7" i="3"/>
  <c r="B7" i="48" s="1"/>
  <c r="H8" i="3"/>
  <c r="F15" i="1"/>
  <c r="I8" i="3" s="1"/>
  <c r="P15" i="1"/>
  <c r="S9" i="3"/>
  <c r="T8" i="3"/>
  <c r="U8" i="3" s="1"/>
  <c r="AI15" i="1"/>
  <c r="Q8" i="3" l="1"/>
  <c r="R8" i="3" s="1"/>
  <c r="B8" i="24" s="1"/>
  <c r="B8" i="23"/>
  <c r="M15" i="1"/>
  <c r="AN15" i="1" s="1"/>
  <c r="AR15" i="1" s="1"/>
  <c r="B8" i="22" l="1"/>
  <c r="AO15" i="1"/>
  <c r="AQ15" i="1"/>
  <c r="L8" i="3" s="1"/>
  <c r="B8" i="5" s="1"/>
  <c r="K8" i="3"/>
  <c r="J9" i="3"/>
  <c r="B8" i="6" l="1"/>
  <c r="AP15" i="1"/>
  <c r="AD15" i="1"/>
  <c r="AA8" i="3" s="1"/>
  <c r="B8" i="44" s="1"/>
  <c r="AS15" i="1"/>
  <c r="V16" i="1" s="1"/>
  <c r="AU16" i="1"/>
  <c r="AV16" i="1" s="1"/>
  <c r="M9" i="3" l="1"/>
  <c r="N8" i="3"/>
  <c r="AM16" i="1"/>
  <c r="K16" i="1"/>
  <c r="B8" i="43" l="1"/>
  <c r="O8" i="3"/>
  <c r="B8" i="48" s="1"/>
  <c r="AT16" i="1"/>
  <c r="P10" i="3" s="1"/>
  <c r="F16" i="1"/>
  <c r="I9" i="3" s="1"/>
  <c r="H9" i="3"/>
  <c r="P16" i="1"/>
  <c r="S10" i="3"/>
  <c r="T9" i="3"/>
  <c r="U9" i="3" s="1"/>
  <c r="AI16" i="1"/>
  <c r="Q9" i="3" l="1"/>
  <c r="B9" i="22" s="1"/>
  <c r="B9" i="23"/>
  <c r="M16" i="1"/>
  <c r="AN16" i="1" s="1"/>
  <c r="AR16" i="1" s="1"/>
  <c r="R9" i="3" l="1"/>
  <c r="B9" i="24" s="1"/>
  <c r="AO16" i="1"/>
  <c r="AQ16" i="1"/>
  <c r="L9" i="3" s="1"/>
  <c r="B9" i="5" s="1"/>
  <c r="K9" i="3"/>
  <c r="J10" i="3"/>
  <c r="B9" i="6" l="1"/>
  <c r="AD16" i="1"/>
  <c r="AA9" i="3" s="1"/>
  <c r="B9" i="44" s="1"/>
  <c r="AP16" i="1"/>
  <c r="AS16" i="1"/>
  <c r="V17" i="1" s="1"/>
  <c r="K17" i="1" s="1"/>
  <c r="AU17" i="1"/>
  <c r="AV17" i="1" s="1"/>
  <c r="N9" i="3" l="1"/>
  <c r="M10" i="3"/>
  <c r="AM17" i="1"/>
  <c r="AI17" i="1" s="1"/>
  <c r="F17" i="1"/>
  <c r="I10" i="3" s="1"/>
  <c r="H10" i="3"/>
  <c r="P17" i="1"/>
  <c r="AT17" i="1" l="1"/>
  <c r="Q10" i="3" s="1"/>
  <c r="B9" i="43"/>
  <c r="O9" i="3"/>
  <c r="B9" i="48" s="1"/>
  <c r="M17" i="1"/>
  <c r="T10" i="3"/>
  <c r="U10" i="3" s="1"/>
  <c r="S11" i="3"/>
  <c r="P11" i="3" l="1"/>
  <c r="B10" i="23"/>
  <c r="AN17" i="1"/>
  <c r="AR17" i="1" s="1"/>
  <c r="R10" i="3"/>
  <c r="B10" i="24" s="1"/>
  <c r="B10" i="22"/>
  <c r="AO17" i="1" l="1"/>
  <c r="AQ17" i="1"/>
  <c r="L10" i="3" s="1"/>
  <c r="B10" i="5" s="1"/>
  <c r="J11" i="3"/>
  <c r="K10" i="3"/>
  <c r="B10" i="6" l="1"/>
  <c r="AD17" i="1"/>
  <c r="AA10" i="3" s="1"/>
  <c r="B10" i="44" s="1"/>
  <c r="AP17" i="1"/>
  <c r="AS17" i="1"/>
  <c r="V18" i="1" s="1"/>
  <c r="K18" i="1" s="1"/>
  <c r="AU18" i="1"/>
  <c r="AV18" i="1" s="1"/>
  <c r="N10" i="3" l="1"/>
  <c r="M11" i="3"/>
  <c r="AM18" i="1"/>
  <c r="H11" i="3"/>
  <c r="F18" i="1"/>
  <c r="I11" i="3" s="1"/>
  <c r="P18" i="1"/>
  <c r="AT18" i="1" l="1"/>
  <c r="P12" i="3" s="1"/>
  <c r="B10" i="43"/>
  <c r="O10" i="3"/>
  <c r="B10" i="48" s="1"/>
  <c r="M18" i="1"/>
  <c r="T11" i="3"/>
  <c r="U11" i="3" s="1"/>
  <c r="S12" i="3"/>
  <c r="AI18" i="1"/>
  <c r="Q11" i="3" l="1"/>
  <c r="R11" i="3" s="1"/>
  <c r="B11" i="24" s="1"/>
  <c r="B11" i="23"/>
  <c r="AN18" i="1"/>
  <c r="AR18" i="1" s="1"/>
  <c r="B11" i="22" l="1"/>
  <c r="AO18" i="1"/>
  <c r="AQ18" i="1"/>
  <c r="L11" i="3" s="1"/>
  <c r="B11" i="5" s="1"/>
  <c r="K11" i="3"/>
  <c r="J12" i="3"/>
  <c r="B11" i="6" l="1"/>
  <c r="AD18" i="1"/>
  <c r="AA11" i="3" s="1"/>
  <c r="B11" i="44" s="1"/>
  <c r="AP18" i="1"/>
  <c r="AS18" i="1"/>
  <c r="V19" i="1" s="1"/>
  <c r="K19" i="1" s="1"/>
  <c r="AU19" i="1"/>
  <c r="AV19" i="1" s="1"/>
  <c r="M12" i="3" l="1"/>
  <c r="N11" i="3"/>
  <c r="AM19" i="1"/>
  <c r="AI19" i="1" s="1"/>
  <c r="F19" i="1"/>
  <c r="I12" i="3" s="1"/>
  <c r="H12" i="3"/>
  <c r="P19" i="1"/>
  <c r="AT19" i="1" l="1"/>
  <c r="Q12" i="3" s="1"/>
  <c r="B11" i="43"/>
  <c r="O11" i="3"/>
  <c r="B11" i="48" s="1"/>
  <c r="M19" i="1"/>
  <c r="T12" i="3"/>
  <c r="U12" i="3" l="1"/>
  <c r="R12" i="3" s="1"/>
  <c r="B12" i="24" s="1"/>
  <c r="S13" i="3"/>
  <c r="B12" i="22"/>
  <c r="P13" i="3"/>
  <c r="AN19" i="1"/>
  <c r="AR19" i="1" s="1"/>
  <c r="AO19" i="1" l="1"/>
  <c r="AQ19" i="1"/>
  <c r="L12" i="3" s="1"/>
  <c r="B12" i="5" s="1"/>
  <c r="K12" i="3"/>
  <c r="B12" i="23"/>
  <c r="AD19" i="1" l="1"/>
  <c r="AA12" i="3" s="1"/>
  <c r="B12" i="44" s="1"/>
  <c r="AP19" i="1"/>
  <c r="N12" i="3" s="1"/>
  <c r="B12" i="6"/>
  <c r="J13" i="3"/>
  <c r="AS19" i="1"/>
  <c r="V20" i="1" s="1"/>
  <c r="K20" i="1" s="1"/>
  <c r="AU20" i="1"/>
  <c r="AV20" i="1" s="1"/>
  <c r="M13" i="3" l="1"/>
  <c r="B12" i="43"/>
  <c r="O12" i="3"/>
  <c r="B12" i="48" s="1"/>
  <c r="AM20" i="1"/>
  <c r="AI20" i="1" s="1"/>
  <c r="F20" i="1"/>
  <c r="P20" i="1"/>
  <c r="AT20" i="1" l="1"/>
  <c r="M20" i="1"/>
  <c r="AN20" i="1" l="1"/>
  <c r="AR20" i="1" s="1"/>
  <c r="AO20" i="1" l="1"/>
  <c r="AD20" i="1" s="1"/>
  <c r="AU21" i="1"/>
  <c r="AV21" i="1" s="1"/>
  <c r="AQ20" i="1"/>
  <c r="AP20" i="1" l="1"/>
  <c r="AS20" i="1"/>
  <c r="V21" i="1" s="1"/>
  <c r="K21" i="1" s="1"/>
  <c r="F21" i="1" s="1"/>
  <c r="AM21" i="1"/>
  <c r="AI21" i="1" s="1"/>
  <c r="P21" i="1" l="1"/>
  <c r="M21" i="1" s="1"/>
  <c r="AT21" i="1"/>
  <c r="AN21" i="1" l="1"/>
  <c r="AR21" i="1" s="1"/>
  <c r="AO21" i="1" l="1"/>
  <c r="AD21" i="1" s="1"/>
  <c r="AQ21" i="1"/>
  <c r="AS21" i="1"/>
  <c r="V22" i="1" s="1"/>
  <c r="K22" i="1" s="1"/>
  <c r="AU22" i="1"/>
  <c r="AV22" i="1" s="1"/>
  <c r="AP21" i="1" l="1"/>
  <c r="AM22" i="1"/>
  <c r="AI22" i="1" s="1"/>
  <c r="F22" i="1"/>
  <c r="P22" i="1"/>
  <c r="AT22" i="1" l="1"/>
  <c r="M22" i="1"/>
  <c r="AN22" i="1" l="1"/>
  <c r="AR22" i="1" s="1"/>
  <c r="AO22" i="1" l="1"/>
  <c r="AD22" i="1" s="1"/>
  <c r="AQ22" i="1"/>
  <c r="AS22" i="1"/>
  <c r="V23" i="1" s="1"/>
  <c r="K23" i="1" s="1"/>
  <c r="AU23" i="1"/>
  <c r="AV23" i="1" s="1"/>
  <c r="AP22" i="1" l="1"/>
  <c r="AM23" i="1"/>
  <c r="AI23" i="1" s="1"/>
  <c r="F23" i="1"/>
  <c r="P23" i="1"/>
  <c r="AT23" i="1" l="1"/>
  <c r="M23" i="1"/>
  <c r="AN23" i="1" l="1"/>
  <c r="AR23" i="1" s="1"/>
  <c r="AO23" i="1" l="1"/>
  <c r="AD23" i="1" s="1"/>
  <c r="AU24" i="1"/>
  <c r="AV24" i="1" s="1"/>
  <c r="AQ23" i="1"/>
  <c r="AP23" i="1" l="1"/>
  <c r="AS23" i="1"/>
  <c r="V24" i="1" s="1"/>
  <c r="K24" i="1" s="1"/>
  <c r="H13" i="3" s="1"/>
  <c r="AM24" i="1"/>
  <c r="P24" i="1" l="1"/>
  <c r="M24" i="1" s="1"/>
  <c r="F24" i="1"/>
  <c r="I13" i="3" s="1"/>
  <c r="AT24" i="1"/>
  <c r="Q13" i="3" s="1"/>
  <c r="T13" i="3"/>
  <c r="AI24" i="1"/>
  <c r="U13" i="3" l="1"/>
  <c r="R13" i="3" s="1"/>
  <c r="B13" i="24" s="1"/>
  <c r="S14" i="3"/>
  <c r="P14" i="3"/>
  <c r="B13" i="22"/>
  <c r="AN24" i="1"/>
  <c r="AR24" i="1" s="1"/>
  <c r="AO24" i="1" l="1"/>
  <c r="AQ24" i="1"/>
  <c r="L13" i="3" s="1"/>
  <c r="B13" i="5" s="1"/>
  <c r="K13" i="3"/>
  <c r="B13" i="23"/>
  <c r="AD24" i="1" l="1"/>
  <c r="AA13" i="3" s="1"/>
  <c r="B13" i="44" s="1"/>
  <c r="AP24" i="1"/>
  <c r="N13" i="3" s="1"/>
  <c r="J14" i="3"/>
  <c r="B13" i="6"/>
  <c r="AS24" i="1"/>
  <c r="V25" i="1" s="1"/>
  <c r="K25" i="1" s="1"/>
  <c r="AU25" i="1"/>
  <c r="AV25" i="1" s="1"/>
  <c r="M14" i="3" l="1"/>
  <c r="B13" i="43"/>
  <c r="O13" i="3"/>
  <c r="B13" i="48" s="1"/>
  <c r="AM25" i="1"/>
  <c r="AI25" i="1" s="1"/>
  <c r="F25" i="1"/>
  <c r="P25" i="1"/>
  <c r="AT25" i="1" l="1"/>
  <c r="M25" i="1"/>
  <c r="AN25" i="1" l="1"/>
  <c r="AR25" i="1" s="1"/>
  <c r="AQ25" i="1" l="1"/>
  <c r="AO25" i="1"/>
  <c r="AD25" i="1" s="1"/>
  <c r="AS25" i="1"/>
  <c r="V26" i="1" s="1"/>
  <c r="K26" i="1" s="1"/>
  <c r="AU26" i="1"/>
  <c r="AV26" i="1" s="1"/>
  <c r="AP25" i="1" l="1"/>
  <c r="AM26" i="1"/>
  <c r="AI26" i="1" s="1"/>
  <c r="F26" i="1"/>
  <c r="P26" i="1"/>
  <c r="AT26" i="1" l="1"/>
  <c r="M26" i="1"/>
  <c r="AN26" i="1" l="1"/>
  <c r="AR26" i="1" s="1"/>
  <c r="AO26" i="1" l="1"/>
  <c r="AD26" i="1" s="1"/>
  <c r="AQ26" i="1"/>
  <c r="AS26" i="1"/>
  <c r="V27" i="1" s="1"/>
  <c r="K27" i="1" s="1"/>
  <c r="AU27" i="1"/>
  <c r="AV27" i="1" s="1"/>
  <c r="AP26" i="1" l="1"/>
  <c r="AM27" i="1"/>
  <c r="AI27" i="1" s="1"/>
  <c r="F27" i="1"/>
  <c r="P27" i="1"/>
  <c r="AT27" i="1" l="1"/>
  <c r="M27" i="1"/>
  <c r="AN27" i="1" l="1"/>
  <c r="AR27" i="1" s="1"/>
  <c r="AQ27" i="1" l="1"/>
  <c r="AO27" i="1"/>
  <c r="AD27" i="1" s="1"/>
  <c r="AS27" i="1"/>
  <c r="V28" i="1" s="1"/>
  <c r="K28" i="1" s="1"/>
  <c r="AU28" i="1"/>
  <c r="AV28" i="1" s="1"/>
  <c r="AP27" i="1" l="1"/>
  <c r="AM28" i="1"/>
  <c r="AI28" i="1" s="1"/>
  <c r="F28" i="1"/>
  <c r="P28" i="1"/>
  <c r="AT28" i="1" l="1"/>
  <c r="M28" i="1"/>
  <c r="AN28" i="1" l="1"/>
  <c r="AR28" i="1" s="1"/>
  <c r="AQ28" i="1" l="1"/>
  <c r="AO28" i="1"/>
  <c r="AP28" i="1" s="1"/>
  <c r="AS28" i="1"/>
  <c r="V29" i="1" s="1"/>
  <c r="K29" i="1" s="1"/>
  <c r="H14" i="3" s="1"/>
  <c r="AU29" i="1"/>
  <c r="AV29" i="1" s="1"/>
  <c r="AD28" i="1" l="1"/>
  <c r="AM29" i="1"/>
  <c r="F29" i="1"/>
  <c r="I14" i="3" s="1"/>
  <c r="P29" i="1"/>
  <c r="AT29" i="1" l="1"/>
  <c r="Q14" i="3" s="1"/>
  <c r="M29" i="1"/>
  <c r="T14" i="3"/>
  <c r="AI29" i="1"/>
  <c r="AN29" i="1" l="1"/>
  <c r="AR29" i="1" s="1"/>
  <c r="S15" i="3"/>
  <c r="U14" i="3"/>
  <c r="R14" i="3" s="1"/>
  <c r="B14" i="24" s="1"/>
  <c r="B14" i="22"/>
  <c r="P15" i="3"/>
  <c r="AO29" i="1" l="1"/>
  <c r="AQ29" i="1"/>
  <c r="L14" i="3" s="1"/>
  <c r="B14" i="5" s="1"/>
  <c r="B14" i="23"/>
  <c r="K14" i="3"/>
  <c r="AD29" i="1" l="1"/>
  <c r="AA14" i="3" s="1"/>
  <c r="B14" i="44" s="1"/>
  <c r="AP29" i="1"/>
  <c r="N14" i="3" s="1"/>
  <c r="AS29" i="1"/>
  <c r="V30" i="1" s="1"/>
  <c r="K30" i="1" s="1"/>
  <c r="AU30" i="1"/>
  <c r="AV30" i="1" s="1"/>
  <c r="J15" i="3"/>
  <c r="B14" i="6"/>
  <c r="M15" i="3" l="1"/>
  <c r="B14" i="43"/>
  <c r="O14" i="3"/>
  <c r="B14" i="48" s="1"/>
  <c r="AM30" i="1"/>
  <c r="AI30" i="1" s="1"/>
  <c r="F30" i="1"/>
  <c r="P30" i="1"/>
  <c r="AT30" i="1" l="1"/>
  <c r="M30" i="1"/>
  <c r="AN30" i="1" l="1"/>
  <c r="AR30" i="1" s="1"/>
  <c r="AQ30" i="1" l="1"/>
  <c r="AO30" i="1"/>
  <c r="AP30" i="1" s="1"/>
  <c r="AS30" i="1"/>
  <c r="V31" i="1" s="1"/>
  <c r="K31" i="1" s="1"/>
  <c r="AU31" i="1"/>
  <c r="AV31" i="1" s="1"/>
  <c r="AD30" i="1" l="1"/>
  <c r="AM31" i="1"/>
  <c r="AI31" i="1" s="1"/>
  <c r="F31" i="1"/>
  <c r="P31" i="1"/>
  <c r="AT31" i="1" l="1"/>
  <c r="M31" i="1"/>
  <c r="AN31" i="1" l="1"/>
  <c r="AR31" i="1" s="1"/>
  <c r="AQ31" i="1" l="1"/>
  <c r="AO31" i="1"/>
  <c r="AD31" i="1" s="1"/>
  <c r="AS31" i="1"/>
  <c r="V32" i="1" s="1"/>
  <c r="K32" i="1" s="1"/>
  <c r="AU32" i="1"/>
  <c r="AV32" i="1" s="1"/>
  <c r="AP31" i="1" l="1"/>
  <c r="AM32" i="1"/>
  <c r="AI32" i="1" s="1"/>
  <c r="F32" i="1"/>
  <c r="P32" i="1"/>
  <c r="AT32" i="1" l="1"/>
  <c r="M32" i="1"/>
  <c r="AN32" i="1" l="1"/>
  <c r="AR32" i="1" s="1"/>
  <c r="AQ32" i="1" l="1"/>
  <c r="AO32" i="1"/>
  <c r="AD32" i="1" s="1"/>
  <c r="AS32" i="1"/>
  <c r="V33" i="1" s="1"/>
  <c r="K33" i="1" s="1"/>
  <c r="AU33" i="1"/>
  <c r="AV33" i="1" s="1"/>
  <c r="AP32" i="1" l="1"/>
  <c r="AM33" i="1"/>
  <c r="AI33" i="1" s="1"/>
  <c r="F33" i="1"/>
  <c r="P33" i="1"/>
  <c r="AT33" i="1" l="1"/>
  <c r="M33" i="1"/>
  <c r="AN33" i="1" l="1"/>
  <c r="AR33" i="1" s="1"/>
  <c r="AQ33" i="1" l="1"/>
  <c r="AO33" i="1"/>
  <c r="AD33" i="1" s="1"/>
  <c r="AS33" i="1"/>
  <c r="V34" i="1" s="1"/>
  <c r="K34" i="1" s="1"/>
  <c r="H15" i="3" s="1"/>
  <c r="AU34" i="1"/>
  <c r="AV34" i="1" s="1"/>
  <c r="AP33" i="1" l="1"/>
  <c r="AM34" i="1"/>
  <c r="F34" i="1"/>
  <c r="I15" i="3" s="1"/>
  <c r="P34" i="1"/>
  <c r="AT34" i="1" l="1"/>
  <c r="Q15" i="3" s="1"/>
  <c r="M34" i="1"/>
  <c r="T15" i="3"/>
  <c r="AI34" i="1"/>
  <c r="B15" i="22" l="1"/>
  <c r="P16" i="3"/>
  <c r="S16" i="3"/>
  <c r="U15" i="3"/>
  <c r="AN34" i="1"/>
  <c r="AR34" i="1" s="1"/>
  <c r="AO34" i="1" l="1"/>
  <c r="AP34" i="1" s="1"/>
  <c r="N15" i="3" s="1"/>
  <c r="AQ34" i="1"/>
  <c r="L15" i="3" s="1"/>
  <c r="B15" i="5" s="1"/>
  <c r="K15" i="3"/>
  <c r="B15" i="23"/>
  <c r="R15" i="3"/>
  <c r="B15" i="24" s="1"/>
  <c r="B15" i="43" l="1"/>
  <c r="M16" i="3"/>
  <c r="O15" i="3"/>
  <c r="B15" i="48" s="1"/>
  <c r="AD35" i="1"/>
  <c r="AA16" i="3" s="1"/>
  <c r="B16" i="44" s="1"/>
  <c r="AD34" i="1"/>
  <c r="AA15" i="3" s="1"/>
  <c r="B15" i="44" s="1"/>
  <c r="AS34" i="1"/>
  <c r="V35" i="1" s="1"/>
  <c r="AU35" i="1"/>
  <c r="AV35" i="1" s="1"/>
  <c r="J16" i="3"/>
  <c r="B15" i="6"/>
  <c r="AM35" i="1" l="1"/>
  <c r="AI35" i="1" s="1"/>
  <c r="AT35" i="1" l="1"/>
  <c r="A17" i="7" l="1"/>
  <c r="A18" i="7" s="1"/>
  <c r="O35" i="1" l="1"/>
  <c r="L35" i="1"/>
  <c r="K35" i="1" s="1"/>
  <c r="I35" i="1" l="1"/>
  <c r="F35" i="1"/>
  <c r="P35" i="1"/>
  <c r="M35" i="1" s="1"/>
  <c r="AN35" i="1" s="1"/>
  <c r="AR35" i="1" s="1"/>
  <c r="AP35" i="1" l="1"/>
  <c r="AQ35" i="1"/>
  <c r="AU36" i="1" l="1"/>
  <c r="AV36" i="1" s="1"/>
  <c r="AS35" i="1"/>
  <c r="V36" i="1" l="1"/>
  <c r="AM36" i="1" l="1"/>
  <c r="AT36" i="1"/>
  <c r="AI36" i="1" l="1"/>
  <c r="L39" i="1"/>
  <c r="I39" i="1" s="1"/>
  <c r="D16" i="3"/>
  <c r="L37" i="1"/>
  <c r="I37" i="1" s="1"/>
  <c r="O36" i="1"/>
  <c r="O37" i="1" s="1"/>
  <c r="L38" i="1"/>
  <c r="I38" i="1" s="1"/>
  <c r="L36" i="1"/>
  <c r="G16" i="3" s="1"/>
  <c r="B16" i="21" s="1"/>
  <c r="L40" i="1"/>
  <c r="L41" i="1" l="1"/>
  <c r="I36" i="1"/>
  <c r="E16" i="3"/>
  <c r="B16" i="25" s="1"/>
  <c r="O38" i="1"/>
  <c r="K36" i="1"/>
  <c r="F36" i="1" l="1"/>
  <c r="P36" i="1"/>
  <c r="O39" i="1"/>
  <c r="M36" i="1" l="1"/>
  <c r="AN36" i="1" s="1"/>
  <c r="AR36" i="1" s="1"/>
  <c r="AP36" i="1" l="1"/>
  <c r="AQ36" i="1"/>
  <c r="AU37" i="1" l="1"/>
  <c r="AV37" i="1" s="1"/>
  <c r="AS36" i="1"/>
  <c r="V37" i="1" l="1"/>
  <c r="K37" i="1" l="1"/>
  <c r="AM37" i="1"/>
  <c r="AT37" i="1"/>
  <c r="F37" i="1" l="1"/>
  <c r="P37" i="1"/>
  <c r="AI37" i="1"/>
  <c r="M37" i="1" l="1"/>
  <c r="AN37" i="1" s="1"/>
  <c r="AR37" i="1" s="1"/>
  <c r="AP37" i="1" l="1"/>
  <c r="AQ37" i="1"/>
  <c r="AS37" i="1" l="1"/>
  <c r="AU38" i="1"/>
  <c r="AV38" i="1" s="1"/>
  <c r="V38" i="1" l="1"/>
  <c r="K38" i="1" l="1"/>
  <c r="AM38" i="1"/>
  <c r="AT38" i="1"/>
  <c r="AI38" i="1" l="1"/>
  <c r="F38" i="1"/>
  <c r="P38" i="1"/>
  <c r="M38" i="1" l="1"/>
  <c r="AN38" i="1" s="1"/>
  <c r="AR38" i="1" s="1"/>
  <c r="AP38" i="1" l="1"/>
  <c r="AQ38" i="1"/>
  <c r="AS38" i="1" l="1"/>
  <c r="AU39" i="1"/>
  <c r="AV39" i="1" s="1"/>
  <c r="AV41" i="1" l="1"/>
  <c r="AV40" i="1"/>
  <c r="AT39" i="1"/>
  <c r="Q16" i="3" s="1"/>
  <c r="V39" i="1"/>
  <c r="K39" i="1" s="1"/>
  <c r="F39" i="1" l="1"/>
  <c r="K40" i="1"/>
  <c r="K41" i="1"/>
  <c r="H16" i="3"/>
  <c r="P39" i="1"/>
  <c r="M39" i="1" s="1"/>
  <c r="B16" i="22"/>
  <c r="AM39" i="1"/>
  <c r="AI39" i="1" l="1"/>
  <c r="AN39" i="1" s="1"/>
  <c r="AR39" i="1" s="1"/>
  <c r="T16" i="3"/>
  <c r="U16" i="3" s="1"/>
  <c r="I16" i="3"/>
  <c r="F41" i="1"/>
  <c r="F40" i="1"/>
  <c r="B16" i="23" l="1"/>
  <c r="R16" i="3"/>
  <c r="B16" i="24" s="1"/>
  <c r="AP39" i="1"/>
  <c r="N16" i="3" s="1"/>
  <c r="K16" i="3"/>
  <c r="B16" i="6" s="1"/>
  <c r="AS39" i="1"/>
  <c r="AQ39" i="1"/>
  <c r="L16" i="3" s="1"/>
  <c r="B16" i="5" s="1"/>
  <c r="AS40" i="1" l="1"/>
  <c r="AS41" i="1"/>
  <c r="O16" i="3"/>
  <c r="B16" i="48" s="1"/>
  <c r="B16" i="43"/>
  <c r="B2" i="49"/>
  <c r="N41" i="8"/>
  <c r="O41" i="8" l="1"/>
  <c r="P41" i="8" s="1"/>
  <c r="B2" i="32"/>
  <c r="AE2" i="3"/>
  <c r="B2" i="31" s="1"/>
</calcChain>
</file>

<file path=xl/sharedStrings.xml><?xml version="1.0" encoding="utf-8"?>
<sst xmlns="http://schemas.openxmlformats.org/spreadsheetml/2006/main" count="197" uniqueCount="126">
  <si>
    <t>year</t>
  </si>
  <si>
    <t>model-year</t>
  </si>
  <si>
    <t>cap</t>
  </si>
  <si>
    <t>linear factor</t>
  </si>
  <si>
    <t>NER300</t>
  </si>
  <si>
    <t>International credits</t>
  </si>
  <si>
    <t>Accumulated supply</t>
  </si>
  <si>
    <t>Accumulated demand</t>
  </si>
  <si>
    <t>MSR holdings</t>
  </si>
  <si>
    <t>In MSR</t>
  </si>
  <si>
    <t>Allowances deducted from auctioning volumes (2014-2016)</t>
  </si>
  <si>
    <t>Allowances deducted from auctioning volume due to MSR</t>
  </si>
  <si>
    <t>Planned auctioning</t>
  </si>
  <si>
    <t>CO2 elec</t>
  </si>
  <si>
    <t>CO2 total</t>
  </si>
  <si>
    <t>Annual supply - planned</t>
  </si>
  <si>
    <t>Annual supply - true</t>
  </si>
  <si>
    <t>Allowances auctioned - true</t>
  </si>
  <si>
    <t>Allowances allocated</t>
  </si>
  <si>
    <t>In MSR true</t>
  </si>
  <si>
    <t>MSR holdings wo cancelling</t>
  </si>
  <si>
    <t>MSR cancelling</t>
  </si>
  <si>
    <t>Sum 21 - 50</t>
  </si>
  <si>
    <t>Sum 13 - 50</t>
  </si>
  <si>
    <t xml:space="preserve"> </t>
  </si>
  <si>
    <t>Allowances auctioned</t>
  </si>
  <si>
    <t>Allowances allocated (for free)</t>
  </si>
  <si>
    <t>Accumulated verified emissions</t>
  </si>
  <si>
    <t>Accumulated cancelled</t>
  </si>
  <si>
    <t>from</t>
  </si>
  <si>
    <t>to</t>
  </si>
  <si>
    <t>TNAC start</t>
  </si>
  <si>
    <t>TNAC end</t>
  </si>
  <si>
    <t>MSR start</t>
  </si>
  <si>
    <t>MSR end</t>
  </si>
  <si>
    <t>t</t>
  </si>
  <si>
    <t>2020</t>
  </si>
  <si>
    <t>2035</t>
  </si>
  <si>
    <t>2040</t>
  </si>
  <si>
    <t>2045</t>
  </si>
  <si>
    <t>2050</t>
  </si>
  <si>
    <t>co2elec</t>
  </si>
  <si>
    <t>co2ind</t>
  </si>
  <si>
    <t>CO2 elec benchmark</t>
  </si>
  <si>
    <t>TNAC use</t>
  </si>
  <si>
    <t>TNAC used (NBC - net banked credits/certificates)</t>
  </si>
  <si>
    <t>TNAC (CBC - cumulative banked credits/certificate)</t>
  </si>
  <si>
    <t>CO2 ind benchmark</t>
  </si>
  <si>
    <t>Banked from 2008 to 2012</t>
  </si>
  <si>
    <t>MSR in</t>
  </si>
  <si>
    <t>Cancelling</t>
  </si>
  <si>
    <t>Cancelling start</t>
  </si>
  <si>
    <t>Cancelling end</t>
  </si>
  <si>
    <t>Supply</t>
  </si>
  <si>
    <t>Auctioning true</t>
  </si>
  <si>
    <t>Auctioning plan</t>
  </si>
  <si>
    <t>cancel</t>
  </si>
  <si>
    <t>msrin</t>
  </si>
  <si>
    <t>tnacuse</t>
  </si>
  <si>
    <t>tnac</t>
  </si>
  <si>
    <t>msr</t>
  </si>
  <si>
    <t>Planned allocation</t>
  </si>
  <si>
    <t>Unallocated allowances to be auctrioned for Innovation Fund</t>
  </si>
  <si>
    <t xml:space="preserve">Unallocated allowances </t>
  </si>
  <si>
    <t>New entrants reserve</t>
  </si>
  <si>
    <t>Allowances used for flexibility</t>
  </si>
  <si>
    <t>Accumulated cancelled from MSR</t>
  </si>
  <si>
    <t>CO2 ind fix</t>
  </si>
  <si>
    <t>CO2 ind elec share</t>
  </si>
  <si>
    <t>add</t>
  </si>
  <si>
    <t>allocated</t>
  </si>
  <si>
    <t>auctioned</t>
  </si>
  <si>
    <t>Added</t>
  </si>
  <si>
    <t>co2indshare</t>
  </si>
  <si>
    <t>co2indfix</t>
  </si>
  <si>
    <t>CO2 elec model out adjusted</t>
  </si>
  <si>
    <t>CO2 elec model out interpolated</t>
  </si>
  <si>
    <t>CO2 elec simulation in</t>
  </si>
  <si>
    <t>CO2 ind simulation in</t>
  </si>
  <si>
    <t>CO2 ind fix share absolute</t>
  </si>
  <si>
    <t>CO2 ind fix share relative</t>
  </si>
  <si>
    <t>CO2 ind elec share relative</t>
  </si>
  <si>
    <t>CO2 ind elec share absolute</t>
  </si>
  <si>
    <t>CO2 ind formula</t>
  </si>
  <si>
    <t>Allocation true</t>
  </si>
  <si>
    <t>Allocation plan</t>
  </si>
  <si>
    <t>CO2 ind model out interpolated</t>
  </si>
  <si>
    <t>CO2 ind model out adjusted</t>
  </si>
  <si>
    <t>Allowances added (from 2017 onwards) + flexibility</t>
  </si>
  <si>
    <t>co2can</t>
  </si>
  <si>
    <t>CO2 can</t>
  </si>
  <si>
    <t>Demand cancelled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</si>
  <si>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</si>
  <si>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</si>
  <si>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</si>
  <si>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</si>
  <si>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</si>
  <si>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</si>
  <si>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</si>
  <si>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</si>
  <si>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</si>
  <si>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</si>
  <si>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Allowances allocated - share of industrial emissions</t>
  </si>
  <si>
    <t>CO2 elec uk</t>
  </si>
  <si>
    <t>CO2 ind + avai uk</t>
  </si>
  <si>
    <t>Including UK</t>
  </si>
  <si>
    <t>CO2 ind uk</t>
  </si>
  <si>
    <t>CO2 maritime</t>
  </si>
  <si>
    <t>TNAC holding outside EU ETS sectors for sake of hedging</t>
  </si>
  <si>
    <t>CO2 aviation</t>
  </si>
  <si>
    <t>CO2 shipping</t>
  </si>
  <si>
    <t>EUA supply/demand outside EU ETS sectors for sake of hedging</t>
  </si>
  <si>
    <t>CO2 ind</t>
  </si>
  <si>
    <t>CO2 avi</t>
  </si>
  <si>
    <t>CO2 shi</t>
  </si>
  <si>
    <t>CO2 outside</t>
  </si>
  <si>
    <t xml:space="preserve">CO2 ind </t>
  </si>
  <si>
    <t>CO2 elec org</t>
  </si>
  <si>
    <t>CO2 ind org</t>
  </si>
  <si>
    <t>TNAC res start</t>
  </si>
  <si>
    <t>TNAC res end</t>
  </si>
  <si>
    <t>TNAC res use</t>
  </si>
  <si>
    <t>TNAC residual</t>
  </si>
  <si>
    <t>including aviation</t>
  </si>
  <si>
    <t>excluding aviation</t>
  </si>
  <si>
    <t>CO2 ind elec share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</si>
</sst>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"/>
    <numFmt numFmtId="166" formatCode="0.000000"/>
    <numFmt numFmtId="167" formatCode="#,##0.00000"/>
  </numFmts>
  <fonts count="3" x14ac:knownFonts="1">
    <font>
      <sz val="10"/>
      <color theme="1"/>
      <name val="Source Sans Pro"/>
      <family val="2"/>
    </font>
    <font>
      <sz val="10"/>
      <color theme="0"/>
      <name val="Source Sans Pro"/>
      <family val="2"/>
    </font>
    <font>
      <sz val="10"/>
      <name val="Source Sans Pro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theme="0"/>
      </right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/>
      <right style="medium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4">
    <xf numFmtId="0" fontId="0" fillId="0" borderId="0" xfId="0"/>
    <xf numFmtId="2" fontId="0" fillId="2" borderId="2" xfId="0" applyNumberFormat="1" applyFill="1" applyBorder="1"/>
    <xf numFmtId="4" fontId="0" fillId="3" borderId="2" xfId="0" applyNumberFormat="1" applyFill="1" applyBorder="1"/>
    <xf numFmtId="4" fontId="0" fillId="3" borderId="4" xfId="0" applyNumberFormat="1" applyFill="1" applyBorder="1"/>
    <xf numFmtId="4" fontId="0" fillId="3" borderId="6" xfId="0" applyNumberFormat="1" applyFill="1" applyBorder="1"/>
    <xf numFmtId="4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4" borderId="2" xfId="0" applyFill="1" applyBorder="1"/>
    <xf numFmtId="0" fontId="0" fillId="0" borderId="2" xfId="0" applyBorder="1"/>
    <xf numFmtId="4" fontId="0" fillId="2" borderId="2" xfId="0" applyNumberFormat="1" applyFill="1" applyBorder="1"/>
    <xf numFmtId="4" fontId="0" fillId="0" borderId="2" xfId="0" applyNumberFormat="1" applyBorder="1"/>
    <xf numFmtId="2" fontId="0" fillId="3" borderId="2" xfId="0" applyNumberFormat="1" applyFill="1" applyBorder="1"/>
    <xf numFmtId="4" fontId="0" fillId="3" borderId="1" xfId="0" applyNumberFormat="1" applyFill="1" applyBorder="1"/>
    <xf numFmtId="4" fontId="0" fillId="0" borderId="8" xfId="0" applyNumberFormat="1" applyBorder="1"/>
    <xf numFmtId="4" fontId="0" fillId="2" borderId="8" xfId="0" applyNumberFormat="1" applyFill="1" applyBorder="1"/>
    <xf numFmtId="4" fontId="0" fillId="0" borderId="1" xfId="0" applyNumberFormat="1" applyBorder="1"/>
    <xf numFmtId="4" fontId="0" fillId="2" borderId="9" xfId="0" applyNumberFormat="1" applyFill="1" applyBorder="1"/>
    <xf numFmtId="4" fontId="0" fillId="3" borderId="8" xfId="0" applyNumberFormat="1" applyFill="1" applyBorder="1"/>
    <xf numFmtId="4" fontId="0" fillId="3" borderId="9" xfId="0" applyNumberFormat="1" applyFill="1" applyBorder="1"/>
    <xf numFmtId="4" fontId="0" fillId="0" borderId="9" xfId="0" applyNumberFormat="1" applyBorder="1"/>
    <xf numFmtId="0" fontId="0" fillId="0" borderId="10" xfId="0" applyBorder="1"/>
    <xf numFmtId="4" fontId="0" fillId="2" borderId="10" xfId="0" applyNumberFormat="1" applyFill="1" applyBorder="1"/>
    <xf numFmtId="4" fontId="0" fillId="0" borderId="11" xfId="0" applyNumberFormat="1" applyBorder="1"/>
    <xf numFmtId="4" fontId="0" fillId="2" borderId="12" xfId="0" applyNumberFormat="1" applyFill="1" applyBorder="1"/>
    <xf numFmtId="4" fontId="0" fillId="3" borderId="10" xfId="0" applyNumberFormat="1" applyFill="1" applyBorder="1"/>
    <xf numFmtId="2" fontId="0" fillId="2" borderId="10" xfId="0" applyNumberFormat="1" applyFill="1" applyBorder="1"/>
    <xf numFmtId="4" fontId="0" fillId="3" borderId="11" xfId="0" applyNumberFormat="1" applyFill="1" applyBorder="1"/>
    <xf numFmtId="4" fontId="0" fillId="0" borderId="12" xfId="0" applyNumberFormat="1" applyBorder="1"/>
    <xf numFmtId="4" fontId="0" fillId="0" borderId="10" xfId="0" applyNumberFormat="1" applyBorder="1"/>
    <xf numFmtId="4" fontId="0" fillId="0" borderId="13" xfId="0" applyNumberFormat="1" applyBorder="1"/>
    <xf numFmtId="0" fontId="0" fillId="4" borderId="14" xfId="0" applyFill="1" applyBorder="1"/>
    <xf numFmtId="4" fontId="0" fillId="3" borderId="14" xfId="0" applyNumberFormat="1" applyFill="1" applyBorder="1"/>
    <xf numFmtId="4" fontId="0" fillId="3" borderId="16" xfId="0" applyNumberFormat="1" applyFill="1" applyBorder="1"/>
    <xf numFmtId="4" fontId="0" fillId="0" borderId="14" xfId="0" applyNumberFormat="1" applyBorder="1"/>
    <xf numFmtId="0" fontId="0" fillId="4" borderId="18" xfId="0" applyFill="1" applyBorder="1"/>
    <xf numFmtId="4" fontId="0" fillId="3" borderId="18" xfId="0" applyNumberFormat="1" applyFill="1" applyBorder="1"/>
    <xf numFmtId="4" fontId="0" fillId="3" borderId="7" xfId="0" applyNumberFormat="1" applyFill="1" applyBorder="1"/>
    <xf numFmtId="4" fontId="0" fillId="0" borderId="1" xfId="0" applyNumberFormat="1" applyBorder="1" applyAlignment="1">
      <alignment wrapText="1"/>
    </xf>
    <xf numFmtId="0" fontId="0" fillId="0" borderId="14" xfId="0" applyBorder="1"/>
    <xf numFmtId="0" fontId="0" fillId="4" borderId="25" xfId="0" applyFill="1" applyBorder="1"/>
    <xf numFmtId="4" fontId="0" fillId="0" borderId="26" xfId="0" applyNumberFormat="1" applyBorder="1"/>
    <xf numFmtId="0" fontId="0" fillId="4" borderId="3" xfId="0" applyFill="1" applyBorder="1"/>
    <xf numFmtId="4" fontId="0" fillId="0" borderId="27" xfId="0" applyNumberFormat="1" applyBorder="1"/>
    <xf numFmtId="0" fontId="0" fillId="4" borderId="28" xfId="0" applyFill="1" applyBorder="1"/>
    <xf numFmtId="4" fontId="0" fillId="0" borderId="29" xfId="0" applyNumberFormat="1" applyBorder="1"/>
    <xf numFmtId="0" fontId="0" fillId="4" borderId="30" xfId="0" applyFill="1" applyBorder="1"/>
    <xf numFmtId="4" fontId="0" fillId="3" borderId="27" xfId="0" applyNumberFormat="1" applyFill="1" applyBorder="1"/>
    <xf numFmtId="0" fontId="0" fillId="4" borderId="5" xfId="0" applyFill="1" applyBorder="1"/>
    <xf numFmtId="0" fontId="0" fillId="4" borderId="6" xfId="0" applyFill="1" applyBorder="1"/>
    <xf numFmtId="4" fontId="0" fillId="2" borderId="32" xfId="0" applyNumberFormat="1" applyFill="1" applyBorder="1"/>
    <xf numFmtId="4" fontId="0" fillId="3" borderId="33" xfId="0" applyNumberFormat="1" applyFill="1" applyBorder="1"/>
    <xf numFmtId="4" fontId="0" fillId="3" borderId="32" xfId="0" applyNumberFormat="1" applyFill="1" applyBorder="1"/>
    <xf numFmtId="4" fontId="0" fillId="3" borderId="34" xfId="0" applyNumberFormat="1" applyFill="1" applyBorder="1"/>
    <xf numFmtId="4" fontId="0" fillId="3" borderId="35" xfId="0" applyNumberFormat="1" applyFill="1" applyBorder="1"/>
    <xf numFmtId="4" fontId="0" fillId="0" borderId="39" xfId="0" applyNumberFormat="1" applyBorder="1"/>
    <xf numFmtId="0" fontId="0" fillId="6" borderId="38" xfId="0" applyFill="1" applyBorder="1"/>
    <xf numFmtId="0" fontId="0" fillId="0" borderId="39" xfId="0" applyBorder="1"/>
    <xf numFmtId="0" fontId="0" fillId="6" borderId="40" xfId="0" applyFill="1" applyBorder="1"/>
    <xf numFmtId="0" fontId="0" fillId="0" borderId="41" xfId="0" applyBorder="1"/>
    <xf numFmtId="4" fontId="0" fillId="0" borderId="41" xfId="0" applyNumberFormat="1" applyBorder="1"/>
    <xf numFmtId="0" fontId="0" fillId="6" borderId="19" xfId="0" applyFill="1" applyBorder="1" applyAlignment="1">
      <alignment wrapText="1"/>
    </xf>
    <xf numFmtId="0" fontId="0" fillId="6" borderId="20" xfId="0" applyFill="1" applyBorder="1" applyAlignment="1">
      <alignment wrapText="1"/>
    </xf>
    <xf numFmtId="4" fontId="0" fillId="6" borderId="20" xfId="0" applyNumberFormat="1" applyFill="1" applyBorder="1" applyAlignment="1">
      <alignment wrapText="1"/>
    </xf>
    <xf numFmtId="4" fontId="0" fillId="6" borderId="21" xfId="0" applyNumberFormat="1" applyFill="1" applyBorder="1" applyAlignment="1">
      <alignment wrapText="1"/>
    </xf>
    <xf numFmtId="4" fontId="0" fillId="6" borderId="22" xfId="0" applyNumberFormat="1" applyFill="1" applyBorder="1" applyAlignment="1">
      <alignment wrapText="1"/>
    </xf>
    <xf numFmtId="4" fontId="0" fillId="6" borderId="23" xfId="0" applyNumberFormat="1" applyFill="1" applyBorder="1" applyAlignment="1">
      <alignment wrapText="1"/>
    </xf>
    <xf numFmtId="4" fontId="0" fillId="6" borderId="24" xfId="0" applyNumberFormat="1" applyFill="1" applyBorder="1" applyAlignment="1">
      <alignment wrapText="1"/>
    </xf>
    <xf numFmtId="0" fontId="0" fillId="4" borderId="17" xfId="0" applyFill="1" applyBorder="1"/>
    <xf numFmtId="0" fontId="0" fillId="4" borderId="1" xfId="0" applyFill="1" applyBorder="1"/>
    <xf numFmtId="0" fontId="0" fillId="0" borderId="1" xfId="0" applyBorder="1"/>
    <xf numFmtId="4" fontId="0" fillId="3" borderId="12" xfId="0" applyNumberFormat="1" applyFill="1" applyBorder="1"/>
    <xf numFmtId="4" fontId="0" fillId="3" borderId="31" xfId="0" applyNumberFormat="1" applyFill="1" applyBorder="1"/>
    <xf numFmtId="4" fontId="0" fillId="6" borderId="36" xfId="0" applyNumberFormat="1" applyFill="1" applyBorder="1" applyAlignment="1">
      <alignment wrapText="1"/>
    </xf>
    <xf numFmtId="4" fontId="0" fillId="6" borderId="37" xfId="0" applyNumberFormat="1" applyFill="1" applyBorder="1" applyAlignment="1">
      <alignment wrapText="1"/>
    </xf>
    <xf numFmtId="4" fontId="0" fillId="3" borderId="42" xfId="0" applyNumberFormat="1" applyFill="1" applyBorder="1"/>
    <xf numFmtId="4" fontId="0" fillId="0" borderId="0" xfId="0" applyNumberFormat="1"/>
    <xf numFmtId="0" fontId="0" fillId="4" borderId="43" xfId="0" applyFill="1" applyBorder="1"/>
    <xf numFmtId="164" fontId="0" fillId="0" borderId="14" xfId="0" applyNumberFormat="1" applyBorder="1"/>
    <xf numFmtId="1" fontId="0" fillId="2" borderId="1" xfId="0" applyNumberFormat="1" applyFill="1" applyBorder="1"/>
    <xf numFmtId="1" fontId="0" fillId="2" borderId="2" xfId="0" applyNumberFormat="1" applyFill="1" applyBorder="1"/>
    <xf numFmtId="3" fontId="0" fillId="3" borderId="2" xfId="0" applyNumberFormat="1" applyFill="1" applyBorder="1"/>
    <xf numFmtId="3" fontId="0" fillId="5" borderId="2" xfId="0" applyNumberFormat="1" applyFill="1" applyBorder="1"/>
    <xf numFmtId="4" fontId="0" fillId="6" borderId="44" xfId="0" applyNumberFormat="1" applyFill="1" applyBorder="1" applyAlignment="1">
      <alignment wrapText="1"/>
    </xf>
    <xf numFmtId="4" fontId="0" fillId="6" borderId="45" xfId="0" applyNumberFormat="1" applyFill="1" applyBorder="1" applyAlignment="1">
      <alignment wrapText="1"/>
    </xf>
    <xf numFmtId="4" fontId="0" fillId="3" borderId="46" xfId="0" applyNumberFormat="1" applyFill="1" applyBorder="1"/>
    <xf numFmtId="4" fontId="0" fillId="3" borderId="47" xfId="0" applyNumberFormat="1" applyFill="1" applyBorder="1"/>
    <xf numFmtId="4" fontId="0" fillId="3" borderId="48" xfId="0" applyNumberFormat="1" applyFill="1" applyBorder="1"/>
    <xf numFmtId="0" fontId="0" fillId="4" borderId="46" xfId="0" applyFill="1" applyBorder="1"/>
    <xf numFmtId="0" fontId="0" fillId="4" borderId="47" xfId="0" applyFill="1" applyBorder="1"/>
    <xf numFmtId="0" fontId="0" fillId="4" borderId="48" xfId="0" applyFill="1" applyBorder="1"/>
    <xf numFmtId="4" fontId="0" fillId="6" borderId="49" xfId="0" applyNumberFormat="1" applyFill="1" applyBorder="1" applyAlignment="1">
      <alignment wrapText="1"/>
    </xf>
    <xf numFmtId="4" fontId="0" fillId="3" borderId="50" xfId="0" applyNumberFormat="1" applyFill="1" applyBorder="1"/>
    <xf numFmtId="4" fontId="0" fillId="3" borderId="3" xfId="0" applyNumberFormat="1" applyFill="1" applyBorder="1"/>
    <xf numFmtId="4" fontId="0" fillId="3" borderId="5" xfId="0" applyNumberFormat="1" applyFill="1" applyBorder="1"/>
    <xf numFmtId="4" fontId="0" fillId="3" borderId="30" xfId="0" applyNumberFormat="1" applyFill="1" applyBorder="1"/>
    <xf numFmtId="2" fontId="0" fillId="0" borderId="1" xfId="0" applyNumberFormat="1" applyBorder="1"/>
    <xf numFmtId="2" fontId="0" fillId="0" borderId="2" xfId="0" applyNumberFormat="1" applyBorder="1"/>
    <xf numFmtId="0" fontId="0" fillId="2" borderId="17" xfId="0" quotePrefix="1" applyFill="1" applyBorder="1"/>
    <xf numFmtId="0" fontId="0" fillId="2" borderId="14" xfId="0" quotePrefix="1" applyFill="1" applyBorder="1"/>
    <xf numFmtId="4" fontId="0" fillId="6" borderId="51" xfId="0" applyNumberFormat="1" applyFill="1" applyBorder="1" applyAlignment="1">
      <alignment wrapText="1"/>
    </xf>
    <xf numFmtId="4" fontId="0" fillId="0" borderId="52" xfId="0" applyNumberFormat="1" applyBorder="1"/>
    <xf numFmtId="4" fontId="0" fillId="0" borderId="47" xfId="0" applyNumberFormat="1" applyBorder="1"/>
    <xf numFmtId="4" fontId="0" fillId="2" borderId="47" xfId="0" applyNumberFormat="1" applyFill="1" applyBorder="1"/>
    <xf numFmtId="4" fontId="0" fillId="3" borderId="54" xfId="0" applyNumberFormat="1" applyFill="1" applyBorder="1"/>
    <xf numFmtId="4" fontId="0" fillId="6" borderId="55" xfId="0" applyNumberFormat="1" applyFill="1" applyBorder="1" applyAlignment="1">
      <alignment wrapText="1"/>
    </xf>
    <xf numFmtId="4" fontId="0" fillId="0" borderId="56" xfId="0" applyNumberFormat="1" applyBorder="1"/>
    <xf numFmtId="4" fontId="0" fillId="0" borderId="57" xfId="0" applyNumberFormat="1" applyBorder="1"/>
    <xf numFmtId="4" fontId="0" fillId="3" borderId="57" xfId="0" applyNumberFormat="1" applyFill="1" applyBorder="1"/>
    <xf numFmtId="4" fontId="0" fillId="3" borderId="58" xfId="0" applyNumberFormat="1" applyFill="1" applyBorder="1"/>
    <xf numFmtId="4" fontId="0" fillId="2" borderId="14" xfId="0" applyNumberFormat="1" applyFill="1" applyBorder="1"/>
    <xf numFmtId="4" fontId="0" fillId="3" borderId="15" xfId="0" applyNumberFormat="1" applyFill="1" applyBorder="1"/>
    <xf numFmtId="4" fontId="0" fillId="3" borderId="17" xfId="0" applyNumberFormat="1" applyFill="1" applyBorder="1"/>
    <xf numFmtId="4" fontId="0" fillId="0" borderId="59" xfId="0" applyNumberFormat="1" applyBorder="1"/>
    <xf numFmtId="4" fontId="0" fillId="3" borderId="52" xfId="0" applyNumberFormat="1" applyFill="1" applyBorder="1"/>
    <xf numFmtId="4" fontId="0" fillId="3" borderId="61" xfId="0" applyNumberFormat="1" applyFill="1" applyBorder="1"/>
    <xf numFmtId="4" fontId="0" fillId="2" borderId="27" xfId="0" applyNumberFormat="1" applyFill="1" applyBorder="1"/>
    <xf numFmtId="4" fontId="0" fillId="2" borderId="35" xfId="0" applyNumberFormat="1" applyFill="1" applyBorder="1"/>
    <xf numFmtId="0" fontId="0" fillId="0" borderId="42" xfId="0" applyBorder="1"/>
    <xf numFmtId="4" fontId="0" fillId="0" borderId="64" xfId="0" applyNumberFormat="1" applyBorder="1"/>
    <xf numFmtId="0" fontId="0" fillId="0" borderId="64" xfId="0" applyBorder="1"/>
    <xf numFmtId="4" fontId="0" fillId="2" borderId="3" xfId="0" applyNumberFormat="1" applyFill="1" applyBorder="1"/>
    <xf numFmtId="0" fontId="0" fillId="0" borderId="65" xfId="0" applyBorder="1"/>
    <xf numFmtId="0" fontId="0" fillId="0" borderId="66" xfId="0" applyBorder="1"/>
    <xf numFmtId="0" fontId="0" fillId="4" borderId="62" xfId="0" applyFill="1" applyBorder="1"/>
    <xf numFmtId="4" fontId="0" fillId="3" borderId="63" xfId="0" applyNumberFormat="1" applyFill="1" applyBorder="1"/>
    <xf numFmtId="4" fontId="0" fillId="3" borderId="62" xfId="0" applyNumberFormat="1" applyFill="1" applyBorder="1"/>
    <xf numFmtId="4" fontId="0" fillId="2" borderId="31" xfId="0" applyNumberFormat="1" applyFill="1" applyBorder="1"/>
    <xf numFmtId="4" fontId="0" fillId="6" borderId="40" xfId="0" applyNumberFormat="1" applyFill="1" applyBorder="1" applyAlignment="1">
      <alignment wrapText="1"/>
    </xf>
    <xf numFmtId="4" fontId="0" fillId="6" borderId="67" xfId="0" applyNumberFormat="1" applyFill="1" applyBorder="1" applyAlignment="1">
      <alignment wrapText="1"/>
    </xf>
    <xf numFmtId="4" fontId="0" fillId="6" borderId="41" xfId="0" applyNumberFormat="1" applyFill="1" applyBorder="1" applyAlignment="1">
      <alignment wrapText="1"/>
    </xf>
    <xf numFmtId="0" fontId="0" fillId="6" borderId="40" xfId="0" applyFill="1" applyBorder="1" applyAlignment="1">
      <alignment wrapText="1"/>
    </xf>
    <xf numFmtId="4" fontId="0" fillId="6" borderId="68" xfId="0" applyNumberFormat="1" applyFill="1" applyBorder="1" applyAlignment="1">
      <alignment wrapText="1"/>
    </xf>
    <xf numFmtId="4" fontId="0" fillId="2" borderId="17" xfId="0" applyNumberFormat="1" applyFill="1" applyBorder="1"/>
    <xf numFmtId="4" fontId="0" fillId="2" borderId="1" xfId="0" applyNumberFormat="1" applyFill="1" applyBorder="1"/>
    <xf numFmtId="4" fontId="0" fillId="2" borderId="34" xfId="0" applyNumberFormat="1" applyFill="1" applyBorder="1"/>
    <xf numFmtId="4" fontId="0" fillId="6" borderId="69" xfId="0" applyNumberFormat="1" applyFill="1" applyBorder="1" applyAlignment="1">
      <alignment wrapText="1"/>
    </xf>
    <xf numFmtId="4" fontId="0" fillId="3" borderId="70" xfId="0" applyNumberFormat="1" applyFill="1" applyBorder="1"/>
    <xf numFmtId="4" fontId="0" fillId="3" borderId="71" xfId="0" applyNumberFormat="1" applyFill="1" applyBorder="1"/>
    <xf numFmtId="4" fontId="0" fillId="3" borderId="72" xfId="0" applyNumberFormat="1" applyFill="1" applyBorder="1"/>
    <xf numFmtId="4" fontId="0" fillId="3" borderId="73" xfId="0" applyNumberFormat="1" applyFill="1" applyBorder="1"/>
    <xf numFmtId="4" fontId="0" fillId="3" borderId="74" xfId="0" applyNumberFormat="1" applyFill="1" applyBorder="1"/>
    <xf numFmtId="4" fontId="0" fillId="6" borderId="75" xfId="0" applyNumberFormat="1" applyFill="1" applyBorder="1" applyAlignment="1">
      <alignment wrapText="1"/>
    </xf>
    <xf numFmtId="0" fontId="1" fillId="0" borderId="0" xfId="0" applyFont="1"/>
    <xf numFmtId="4" fontId="0" fillId="6" borderId="76" xfId="0" applyNumberFormat="1" applyFill="1" applyBorder="1" applyAlignment="1">
      <alignment wrapText="1"/>
    </xf>
    <xf numFmtId="164" fontId="0" fillId="3" borderId="62" xfId="0" applyNumberFormat="1" applyFill="1" applyBorder="1"/>
    <xf numFmtId="164" fontId="0" fillId="3" borderId="3" xfId="0" applyNumberFormat="1" applyFill="1" applyBorder="1"/>
    <xf numFmtId="164" fontId="0" fillId="3" borderId="5" xfId="0" applyNumberFormat="1" applyFill="1" applyBorder="1"/>
    <xf numFmtId="2" fontId="0" fillId="0" borderId="0" xfId="0" applyNumberFormat="1"/>
    <xf numFmtId="167" fontId="0" fillId="0" borderId="0" xfId="0" applyNumberFormat="1"/>
    <xf numFmtId="166" fontId="0" fillId="0" borderId="2" xfId="0" applyNumberFormat="1" applyBorder="1"/>
    <xf numFmtId="165" fontId="0" fillId="2" borderId="30" xfId="0" applyNumberFormat="1" applyFill="1" applyBorder="1"/>
    <xf numFmtId="165" fontId="0" fillId="2" borderId="3" xfId="0" applyNumberFormat="1" applyFill="1" applyBorder="1"/>
    <xf numFmtId="3" fontId="0" fillId="0" borderId="2" xfId="0" applyNumberFormat="1" applyBorder="1"/>
    <xf numFmtId="4" fontId="0" fillId="0" borderId="53" xfId="0" applyNumberFormat="1" applyBorder="1"/>
    <xf numFmtId="1" fontId="0" fillId="0" borderId="2" xfId="0" applyNumberFormat="1" applyBorder="1"/>
    <xf numFmtId="2" fontId="0" fillId="3" borderId="10" xfId="0" applyNumberFormat="1" applyFill="1" applyBorder="1"/>
    <xf numFmtId="4" fontId="0" fillId="2" borderId="5" xfId="0" applyNumberFormat="1" applyFill="1" applyBorder="1"/>
    <xf numFmtId="4" fontId="0" fillId="2" borderId="46" xfId="0" applyNumberFormat="1" applyFill="1" applyBorder="1"/>
    <xf numFmtId="4" fontId="0" fillId="3" borderId="77" xfId="0" applyNumberFormat="1" applyFill="1" applyBorder="1"/>
    <xf numFmtId="4" fontId="0" fillId="3" borderId="28" xfId="0" applyNumberFormat="1" applyFill="1" applyBorder="1"/>
    <xf numFmtId="4" fontId="0" fillId="0" borderId="42" xfId="0" applyNumberFormat="1" applyBorder="1"/>
    <xf numFmtId="0" fontId="0" fillId="4" borderId="78" xfId="0" applyFill="1" applyBorder="1"/>
    <xf numFmtId="4" fontId="0" fillId="3" borderId="43" xfId="0" applyNumberFormat="1" applyFill="1" applyBorder="1"/>
    <xf numFmtId="4" fontId="0" fillId="2" borderId="79" xfId="0" applyNumberFormat="1" applyFill="1" applyBorder="1"/>
    <xf numFmtId="4" fontId="0" fillId="2" borderId="80" xfId="0" applyNumberFormat="1" applyFill="1" applyBorder="1"/>
    <xf numFmtId="4" fontId="0" fillId="3" borderId="82" xfId="0" applyNumberFormat="1" applyFill="1" applyBorder="1"/>
    <xf numFmtId="4" fontId="0" fillId="3" borderId="83" xfId="0" applyNumberFormat="1" applyFill="1" applyBorder="1"/>
    <xf numFmtId="0" fontId="0" fillId="0" borderId="81" xfId="0" applyBorder="1"/>
    <xf numFmtId="4" fontId="0" fillId="3" borderId="78" xfId="0" applyNumberFormat="1" applyFill="1" applyBorder="1"/>
    <xf numFmtId="4" fontId="0" fillId="3" borderId="80" xfId="0" applyNumberFormat="1" applyFill="1" applyBorder="1"/>
    <xf numFmtId="165" fontId="0" fillId="2" borderId="78" xfId="0" applyNumberFormat="1" applyFill="1" applyBorder="1"/>
    <xf numFmtId="0" fontId="0" fillId="4" borderId="85" xfId="0" applyFill="1" applyBorder="1"/>
    <xf numFmtId="4" fontId="0" fillId="3" borderId="86" xfId="0" applyNumberFormat="1" applyFill="1" applyBorder="1"/>
    <xf numFmtId="4" fontId="0" fillId="2" borderId="77" xfId="0" applyNumberFormat="1" applyFill="1" applyBorder="1"/>
    <xf numFmtId="4" fontId="0" fillId="2" borderId="87" xfId="0" applyNumberFormat="1" applyFill="1" applyBorder="1"/>
    <xf numFmtId="165" fontId="0" fillId="2" borderId="85" xfId="0" applyNumberFormat="1" applyFill="1" applyBorder="1"/>
    <xf numFmtId="4" fontId="0" fillId="3" borderId="88" xfId="0" applyNumberFormat="1" applyFill="1" applyBorder="1"/>
    <xf numFmtId="4" fontId="0" fillId="3" borderId="89" xfId="0" applyNumberFormat="1" applyFill="1" applyBorder="1"/>
    <xf numFmtId="4" fontId="0" fillId="2" borderId="85" xfId="0" applyNumberFormat="1" applyFill="1" applyBorder="1"/>
    <xf numFmtId="4" fontId="0" fillId="7" borderId="3" xfId="0" applyNumberFormat="1" applyFill="1" applyBorder="1"/>
    <xf numFmtId="4" fontId="0" fillId="7" borderId="85" xfId="0" applyNumberFormat="1" applyFill="1" applyBorder="1"/>
    <xf numFmtId="4" fontId="0" fillId="7" borderId="78" xfId="0" applyNumberFormat="1" applyFill="1" applyBorder="1"/>
    <xf numFmtId="4" fontId="0" fillId="7" borderId="30" xfId="0" applyNumberFormat="1" applyFill="1" applyBorder="1"/>
    <xf numFmtId="4" fontId="0" fillId="7" borderId="27" xfId="0" applyNumberFormat="1" applyFill="1" applyBorder="1"/>
    <xf numFmtId="0" fontId="0" fillId="4" borderId="66" xfId="0" applyFill="1" applyBorder="1"/>
    <xf numFmtId="4" fontId="0" fillId="2" borderId="86" xfId="0" applyNumberFormat="1" applyFill="1" applyBorder="1"/>
    <xf numFmtId="4" fontId="0" fillId="0" borderId="88" xfId="0" applyNumberFormat="1" applyBorder="1"/>
    <xf numFmtId="4" fontId="0" fillId="3" borderId="90" xfId="0" applyNumberFormat="1" applyFill="1" applyBorder="1"/>
    <xf numFmtId="2" fontId="0" fillId="3" borderId="86" xfId="0" applyNumberFormat="1" applyFill="1" applyBorder="1"/>
    <xf numFmtId="2" fontId="0" fillId="2" borderId="86" xfId="0" applyNumberFormat="1" applyFill="1" applyBorder="1"/>
    <xf numFmtId="4" fontId="0" fillId="2" borderId="88" xfId="0" applyNumberFormat="1" applyFill="1" applyBorder="1"/>
    <xf numFmtId="4" fontId="0" fillId="0" borderId="77" xfId="0" applyNumberFormat="1" applyBorder="1"/>
    <xf numFmtId="4" fontId="0" fillId="0" borderId="54" xfId="0" applyNumberFormat="1" applyBorder="1"/>
    <xf numFmtId="4" fontId="0" fillId="2" borderId="54" xfId="0" applyNumberFormat="1" applyFill="1" applyBorder="1"/>
    <xf numFmtId="4" fontId="0" fillId="3" borderId="85" xfId="0" applyNumberFormat="1" applyFill="1" applyBorder="1"/>
    <xf numFmtId="4" fontId="0" fillId="0" borderId="86" xfId="0" applyNumberFormat="1" applyBorder="1"/>
    <xf numFmtId="4" fontId="0" fillId="3" borderId="60" xfId="0" applyNumberFormat="1" applyFill="1" applyBorder="1"/>
    <xf numFmtId="4" fontId="0" fillId="2" borderId="43" xfId="0" applyNumberFormat="1" applyFill="1" applyBorder="1"/>
    <xf numFmtId="4" fontId="0" fillId="3" borderId="91" xfId="0" applyNumberFormat="1" applyFill="1" applyBorder="1"/>
    <xf numFmtId="4" fontId="0" fillId="3" borderId="79" xfId="0" applyNumberFormat="1" applyFill="1" applyBorder="1"/>
    <xf numFmtId="4" fontId="0" fillId="3" borderId="92" xfId="0" applyNumberFormat="1" applyFill="1" applyBorder="1"/>
    <xf numFmtId="4" fontId="0" fillId="2" borderId="92" xfId="0" applyNumberFormat="1" applyFill="1" applyBorder="1"/>
    <xf numFmtId="4" fontId="0" fillId="6" borderId="93" xfId="0" applyNumberFormat="1" applyFill="1" applyBorder="1" applyAlignment="1">
      <alignment wrapText="1"/>
    </xf>
    <xf numFmtId="4" fontId="0" fillId="3" borderId="84" xfId="0" applyNumberFormat="1" applyFill="1" applyBorder="1"/>
    <xf numFmtId="4" fontId="0" fillId="3" borderId="0" xfId="0" applyNumberFormat="1" applyFill="1"/>
    <xf numFmtId="165" fontId="0" fillId="2" borderId="38" xfId="0" applyNumberFormat="1" applyFill="1" applyBorder="1"/>
    <xf numFmtId="4" fontId="0" fillId="5" borderId="4" xfId="0" applyNumberFormat="1" applyFill="1" applyBorder="1"/>
    <xf numFmtId="4" fontId="0" fillId="5" borderId="2" xfId="0" applyNumberFormat="1" applyFill="1" applyBorder="1"/>
    <xf numFmtId="4" fontId="0" fillId="5" borderId="6" xfId="0" applyNumberFormat="1" applyFill="1" applyBorder="1"/>
    <xf numFmtId="4" fontId="0" fillId="5" borderId="14" xfId="0" applyNumberFormat="1" applyFill="1" applyBorder="1"/>
    <xf numFmtId="164" fontId="0" fillId="3" borderId="30" xfId="0" applyNumberFormat="1" applyFill="1" applyBorder="1"/>
    <xf numFmtId="4" fontId="0" fillId="5" borderId="18" xfId="0" applyNumberFormat="1" applyFill="1" applyBorder="1"/>
    <xf numFmtId="4" fontId="0" fillId="3" borderId="29" xfId="0" applyNumberFormat="1" applyFill="1" applyBorder="1"/>
    <xf numFmtId="164" fontId="0" fillId="3" borderId="28" xfId="0" applyNumberFormat="1" applyFill="1" applyBorder="1"/>
    <xf numFmtId="0" fontId="0" fillId="8" borderId="2" xfId="0" applyFill="1" applyBorder="1"/>
    <xf numFmtId="4" fontId="0" fillId="3" borderId="66" xfId="0" applyNumberFormat="1" applyFill="1" applyBorder="1"/>
    <xf numFmtId="4" fontId="0" fillId="2" borderId="48" xfId="0" applyNumberFormat="1" applyFill="1" applyBorder="1"/>
    <xf numFmtId="4" fontId="0" fillId="5" borderId="1" xfId="0" applyNumberFormat="1" applyFill="1" applyBorder="1"/>
    <xf numFmtId="4" fontId="0" fillId="7" borderId="46" xfId="0" applyNumberFormat="1" applyFill="1" applyBorder="1"/>
    <xf numFmtId="4" fontId="0" fillId="5" borderId="43" xfId="0" applyNumberFormat="1" applyFill="1" applyBorder="1"/>
    <xf numFmtId="4" fontId="0" fillId="7" borderId="92" xfId="0" applyNumberFormat="1" applyFill="1" applyBorder="1"/>
    <xf numFmtId="4" fontId="0" fillId="6" borderId="94" xfId="0" applyNumberFormat="1" applyFill="1" applyBorder="1" applyAlignment="1">
      <alignment wrapText="1"/>
    </xf>
    <xf numFmtId="0" fontId="2" fillId="0" borderId="0" xfId="0" applyFont="1"/>
    <xf numFmtId="4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zoomScale="145" zoomScaleNormal="145" workbookViewId="0">
      <selection activeCell="D16" sqref="D16"/>
    </sheetView>
  </sheetViews>
  <sheetFormatPr baseColWidth="10" defaultRowHeight="13.5" x14ac:dyDescent="0.25"/>
  <cols>
    <col min="1" max="1" width="6.83203125" style="69" customWidth="1"/>
    <col min="2" max="2" width="6.83203125" style="8" customWidth="1"/>
    <col min="3" max="3" width="6.5" style="8" customWidth="1"/>
    <col min="4" max="15" width="6.83203125" style="8" customWidth="1"/>
    <col min="16" max="16384" width="12" style="8"/>
  </cols>
  <sheetData>
    <row r="1" spans="1:15" s="38" customFormat="1" x14ac:dyDescent="0.25">
      <c r="A1" s="97" t="s">
        <v>36</v>
      </c>
      <c r="B1" s="97" t="s">
        <v>92</v>
      </c>
      <c r="C1" s="97" t="s">
        <v>93</v>
      </c>
      <c r="D1" s="97" t="s">
        <v>94</v>
      </c>
      <c r="E1" s="97" t="s">
        <v>95</v>
      </c>
      <c r="F1" s="97" t="s">
        <v>96</v>
      </c>
      <c r="G1" s="97" t="s">
        <v>97</v>
      </c>
      <c r="H1" s="97" t="s">
        <v>98</v>
      </c>
      <c r="I1" s="97" t="s">
        <v>99</v>
      </c>
      <c r="J1" s="97" t="s">
        <v>100</v>
      </c>
      <c r="K1" s="97" t="s">
        <v>101</v>
      </c>
      <c r="L1" s="98" t="s">
        <v>37</v>
      </c>
      <c r="M1" s="98" t="s">
        <v>38</v>
      </c>
      <c r="N1" s="98" t="s">
        <v>39</v>
      </c>
      <c r="O1" s="98" t="s">
        <v>40</v>
      </c>
    </row>
    <row r="2" spans="1:15" x14ac:dyDescent="0.25">
      <c r="A2" s="78">
        <v>718.75494315779861</v>
      </c>
      <c r="B2" s="78">
        <v>653.98292997142676</v>
      </c>
      <c r="C2" s="78">
        <v>664.21799999999996</v>
      </c>
      <c r="D2" s="78">
        <v>620.495271831286</v>
      </c>
      <c r="E2" s="78">
        <v>617.6955609151197</v>
      </c>
      <c r="F2" s="78">
        <v>555.12580000779815</v>
      </c>
      <c r="G2" s="78">
        <v>538.50476604415064</v>
      </c>
      <c r="H2" s="78">
        <v>514.1908375817012</v>
      </c>
      <c r="I2" s="78">
        <v>504.86525237884962</v>
      </c>
      <c r="J2" s="78">
        <v>483.99184541492934</v>
      </c>
      <c r="K2" s="79">
        <v>418.64231446975253</v>
      </c>
      <c r="L2" s="79">
        <v>146.67955068677983</v>
      </c>
      <c r="M2" s="79">
        <v>75.97370307793885</v>
      </c>
      <c r="N2" s="79">
        <v>-157.50185358777472</v>
      </c>
      <c r="O2" s="79">
        <v>-321.60753923076925</v>
      </c>
    </row>
    <row r="3" spans="1:15" x14ac:dyDescent="0.25">
      <c r="A3" s="95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</row>
    <row r="4" spans="1:15" x14ac:dyDescent="0.25">
      <c r="A4" s="68">
        <v>2020</v>
      </c>
      <c r="B4" s="80">
        <f>C4</f>
        <v>718.75494315779861</v>
      </c>
      <c r="C4" s="81">
        <f>A2</f>
        <v>718.75494315779861</v>
      </c>
    </row>
    <row r="5" spans="1:15" x14ac:dyDescent="0.25">
      <c r="A5" s="68">
        <v>2021</v>
      </c>
      <c r="B5" s="80">
        <f t="shared" ref="B5:B6" si="0">C5</f>
        <v>653.98292997142676</v>
      </c>
      <c r="C5" s="81">
        <f>B2</f>
        <v>653.98292997142676</v>
      </c>
    </row>
    <row r="6" spans="1:15" x14ac:dyDescent="0.25">
      <c r="A6" s="68">
        <v>2022</v>
      </c>
      <c r="B6" s="80">
        <f t="shared" si="0"/>
        <v>664.21799999999996</v>
      </c>
      <c r="C6" s="81">
        <f>C2</f>
        <v>664.21799999999996</v>
      </c>
    </row>
    <row r="7" spans="1:15" x14ac:dyDescent="0.25">
      <c r="A7" s="68">
        <v>2023</v>
      </c>
      <c r="B7" s="80">
        <f>D2</f>
        <v>620.495271831286</v>
      </c>
      <c r="C7" s="81">
        <f>D2</f>
        <v>620.495271831286</v>
      </c>
    </row>
    <row r="8" spans="1:15" x14ac:dyDescent="0.25">
      <c r="A8" s="68">
        <v>2024</v>
      </c>
      <c r="B8" s="80">
        <f t="shared" ref="B8:B14" si="1">IF(C8&lt;0,C8/D8,C8*D8)</f>
        <v>617.6955609151197</v>
      </c>
      <c r="C8" s="81">
        <f>E2</f>
        <v>617.6955609151197</v>
      </c>
      <c r="D8" s="214">
        <v>1</v>
      </c>
    </row>
    <row r="9" spans="1:15" x14ac:dyDescent="0.25">
      <c r="A9" s="68">
        <v>2025</v>
      </c>
      <c r="B9" s="80">
        <f t="shared" si="1"/>
        <v>555.12580000779815</v>
      </c>
      <c r="C9" s="81">
        <f>F2</f>
        <v>555.12580000779815</v>
      </c>
      <c r="D9" s="8">
        <f t="shared" ref="D9:D17" si="2">D8</f>
        <v>1</v>
      </c>
    </row>
    <row r="10" spans="1:15" x14ac:dyDescent="0.25">
      <c r="A10" s="68">
        <v>2026</v>
      </c>
      <c r="B10" s="80">
        <f t="shared" si="1"/>
        <v>538.50476604415064</v>
      </c>
      <c r="C10" s="81">
        <f>G2</f>
        <v>538.50476604415064</v>
      </c>
      <c r="D10" s="8">
        <f t="shared" si="2"/>
        <v>1</v>
      </c>
    </row>
    <row r="11" spans="1:15" x14ac:dyDescent="0.25">
      <c r="A11" s="68">
        <v>2027</v>
      </c>
      <c r="B11" s="80">
        <f t="shared" si="1"/>
        <v>514.1908375817012</v>
      </c>
      <c r="C11" s="81">
        <f>H2</f>
        <v>514.1908375817012</v>
      </c>
      <c r="D11" s="8">
        <f t="shared" si="2"/>
        <v>1</v>
      </c>
    </row>
    <row r="12" spans="1:15" x14ac:dyDescent="0.25">
      <c r="A12" s="68">
        <v>2028</v>
      </c>
      <c r="B12" s="80">
        <f t="shared" si="1"/>
        <v>504.86525237884962</v>
      </c>
      <c r="C12" s="81">
        <f>I2</f>
        <v>504.86525237884962</v>
      </c>
      <c r="D12" s="8">
        <f t="shared" si="2"/>
        <v>1</v>
      </c>
    </row>
    <row r="13" spans="1:15" x14ac:dyDescent="0.25">
      <c r="A13" s="68">
        <v>2029</v>
      </c>
      <c r="B13" s="80">
        <f t="shared" si="1"/>
        <v>483.99184541492934</v>
      </c>
      <c r="C13" s="81">
        <f>J2</f>
        <v>483.99184541492934</v>
      </c>
      <c r="D13" s="8">
        <f t="shared" si="2"/>
        <v>1</v>
      </c>
    </row>
    <row r="14" spans="1:15" x14ac:dyDescent="0.25">
      <c r="A14" s="68">
        <v>2030</v>
      </c>
      <c r="B14" s="80">
        <f t="shared" si="1"/>
        <v>418.64231446975253</v>
      </c>
      <c r="C14" s="81">
        <f>K2</f>
        <v>418.64231446975253</v>
      </c>
      <c r="D14" s="8">
        <f t="shared" si="2"/>
        <v>1</v>
      </c>
    </row>
    <row r="15" spans="1:15" x14ac:dyDescent="0.25">
      <c r="A15" s="68">
        <f t="shared" ref="A15:A18" si="3">A14+5</f>
        <v>2035</v>
      </c>
      <c r="B15" s="80">
        <f>IF(C15&lt;0,C15/D15,C15*D15)</f>
        <v>146.67955068677983</v>
      </c>
      <c r="C15" s="81">
        <f>L2</f>
        <v>146.67955068677983</v>
      </c>
      <c r="D15" s="214">
        <v>1</v>
      </c>
    </row>
    <row r="16" spans="1:15" x14ac:dyDescent="0.25">
      <c r="A16" s="68">
        <f t="shared" si="3"/>
        <v>2040</v>
      </c>
      <c r="B16" s="80">
        <f>IF(C16&lt;0,C16/D16,C16*D16)</f>
        <v>75.97370307793885</v>
      </c>
      <c r="C16" s="81">
        <f>M2</f>
        <v>75.97370307793885</v>
      </c>
      <c r="D16" s="8">
        <f t="shared" si="2"/>
        <v>1</v>
      </c>
    </row>
    <row r="17" spans="1:4" x14ac:dyDescent="0.25">
      <c r="A17" s="68">
        <f t="shared" si="3"/>
        <v>2045</v>
      </c>
      <c r="B17" s="80">
        <f>IF(C17&lt;0,C17/D17,C17*D17)</f>
        <v>-157.50185358777472</v>
      </c>
      <c r="C17" s="81">
        <f>N2</f>
        <v>-157.50185358777472</v>
      </c>
      <c r="D17" s="8">
        <f t="shared" si="2"/>
        <v>1</v>
      </c>
    </row>
    <row r="18" spans="1:4" x14ac:dyDescent="0.25">
      <c r="A18" s="68">
        <f t="shared" si="3"/>
        <v>2050</v>
      </c>
      <c r="B18" s="80">
        <f>C18</f>
        <v>-321.60753923076925</v>
      </c>
      <c r="C18" s="81">
        <f>O2</f>
        <v>-321.60753923076925</v>
      </c>
    </row>
    <row r="23" spans="1:4" x14ac:dyDescent="0.25">
      <c r="C23" s="152"/>
    </row>
    <row r="24" spans="1:4" x14ac:dyDescent="0.25">
      <c r="C24" s="152"/>
    </row>
    <row r="25" spans="1:4" x14ac:dyDescent="0.25">
      <c r="C25" s="152"/>
    </row>
    <row r="26" spans="1:4" x14ac:dyDescent="0.25">
      <c r="C26" s="152"/>
    </row>
    <row r="27" spans="1:4" x14ac:dyDescent="0.25">
      <c r="C27" s="152"/>
    </row>
    <row r="28" spans="1:4" x14ac:dyDescent="0.25">
      <c r="C28" s="152"/>
    </row>
    <row r="29" spans="1:4" x14ac:dyDescent="0.25">
      <c r="C29" s="152"/>
    </row>
    <row r="30" spans="1:4" x14ac:dyDescent="0.25">
      <c r="C30" s="152"/>
    </row>
    <row r="31" spans="1:4" x14ac:dyDescent="0.25">
      <c r="C31" s="152"/>
    </row>
    <row r="32" spans="1:4" x14ac:dyDescent="0.25">
      <c r="C32" s="152"/>
    </row>
    <row r="34" spans="3:3" x14ac:dyDescent="0.25">
      <c r="C34" s="152"/>
    </row>
    <row r="35" spans="3:3" x14ac:dyDescent="0.25">
      <c r="C35" s="152"/>
    </row>
    <row r="36" spans="3:3" x14ac:dyDescent="0.25">
      <c r="C36" s="152"/>
    </row>
    <row r="37" spans="3:3" x14ac:dyDescent="0.25">
      <c r="C37" s="152"/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6"/>
  <sheetViews>
    <sheetView zoomScale="145" zoomScaleNormal="145" workbookViewId="0">
      <selection activeCell="B2" sqref="B2:B16"/>
    </sheetView>
  </sheetViews>
  <sheetFormatPr baseColWidth="10" defaultRowHeight="13.5" x14ac:dyDescent="0.25"/>
  <cols>
    <col min="3" max="5" width="12" customWidth="1"/>
  </cols>
  <sheetData>
    <row r="1" spans="1:4" x14ac:dyDescent="0.25">
      <c r="A1" s="67" t="s">
        <v>35</v>
      </c>
      <c r="B1" s="30" t="s">
        <v>42</v>
      </c>
    </row>
    <row r="2" spans="1:4" x14ac:dyDescent="0.25">
      <c r="A2" s="68">
        <f>EUETS_period!C2</f>
        <v>2020</v>
      </c>
      <c r="B2" s="2">
        <f>EUETS_period!Y2</f>
        <v>0</v>
      </c>
      <c r="D2" s="148"/>
    </row>
    <row r="3" spans="1:4" x14ac:dyDescent="0.25">
      <c r="A3" s="68">
        <f>EUETS_period!C3</f>
        <v>2021</v>
      </c>
      <c r="B3" s="2">
        <f>EUETS_period!Y3</f>
        <v>0</v>
      </c>
      <c r="D3" s="148"/>
    </row>
    <row r="4" spans="1:4" x14ac:dyDescent="0.25">
      <c r="A4" s="68">
        <f>EUETS_period!C4</f>
        <v>2022</v>
      </c>
      <c r="B4" s="2">
        <f>EUETS_period!Y4</f>
        <v>0</v>
      </c>
      <c r="D4" s="148"/>
    </row>
    <row r="5" spans="1:4" x14ac:dyDescent="0.25">
      <c r="A5" s="68">
        <f>EUETS_period!C5</f>
        <v>2023</v>
      </c>
      <c r="B5" s="2">
        <f>EUETS_period!Y5</f>
        <v>72.66153846153847</v>
      </c>
      <c r="D5" s="148"/>
    </row>
    <row r="6" spans="1:4" x14ac:dyDescent="0.25">
      <c r="A6" s="68">
        <f>EUETS_period!C6</f>
        <v>2024</v>
      </c>
      <c r="B6" s="2">
        <f>EUETS_period!Y6</f>
        <v>73.738461538461536</v>
      </c>
      <c r="D6" s="148"/>
    </row>
    <row r="7" spans="1:4" x14ac:dyDescent="0.25">
      <c r="A7" s="68">
        <f>EUETS_period!C7</f>
        <v>2025</v>
      </c>
      <c r="B7" s="2">
        <f>EUETS_period!Y7</f>
        <v>74.815384615384616</v>
      </c>
      <c r="D7" s="148"/>
    </row>
    <row r="8" spans="1:4" x14ac:dyDescent="0.25">
      <c r="A8" s="68">
        <f>EUETS_period!C8</f>
        <v>2026</v>
      </c>
      <c r="B8" s="2">
        <f>EUETS_period!Y8</f>
        <v>75.892307692307696</v>
      </c>
      <c r="D8" s="148"/>
    </row>
    <row r="9" spans="1:4" x14ac:dyDescent="0.25">
      <c r="A9" s="68">
        <f>EUETS_period!C9</f>
        <v>2027</v>
      </c>
      <c r="B9" s="2">
        <f>EUETS_period!Y9</f>
        <v>76.969230769230776</v>
      </c>
      <c r="D9" s="148"/>
    </row>
    <row r="10" spans="1:4" x14ac:dyDescent="0.25">
      <c r="A10" s="68">
        <f>EUETS_period!C10</f>
        <v>2028</v>
      </c>
      <c r="B10" s="2">
        <f>EUETS_period!Y10</f>
        <v>78.046153846153857</v>
      </c>
      <c r="D10" s="148"/>
    </row>
    <row r="11" spans="1:4" x14ac:dyDescent="0.25">
      <c r="A11" s="68">
        <f>EUETS_period!C11</f>
        <v>2029</v>
      </c>
      <c r="B11" s="2">
        <f>EUETS_period!Y11</f>
        <v>79.123076923076923</v>
      </c>
      <c r="D11" s="148"/>
    </row>
    <row r="12" spans="1:4" x14ac:dyDescent="0.25">
      <c r="A12" s="68">
        <f>EUETS_period!C12</f>
        <v>2030</v>
      </c>
      <c r="B12" s="2">
        <f>EUETS_period!Y12</f>
        <v>80.2</v>
      </c>
      <c r="D12" s="148"/>
    </row>
    <row r="13" spans="1:4" x14ac:dyDescent="0.25">
      <c r="A13" s="68">
        <f>EUETS_period!C13</f>
        <v>2035</v>
      </c>
      <c r="B13" s="2">
        <f>EUETS_period!Y13</f>
        <v>83.430769230769243</v>
      </c>
      <c r="D13" s="148"/>
    </row>
    <row r="14" spans="1:4" x14ac:dyDescent="0.25">
      <c r="A14" s="68">
        <f>EUETS_period!C14</f>
        <v>2040</v>
      </c>
      <c r="B14" s="2">
        <f>EUETS_period!Y14</f>
        <v>88.815384615384644</v>
      </c>
      <c r="D14" s="148"/>
    </row>
    <row r="15" spans="1:4" x14ac:dyDescent="0.25">
      <c r="A15" s="68">
        <f>EUETS_period!C15</f>
        <v>2045</v>
      </c>
      <c r="B15" s="2">
        <f>EUETS_period!Y15</f>
        <v>94.200000000000045</v>
      </c>
      <c r="D15" s="148"/>
    </row>
    <row r="16" spans="1:4" x14ac:dyDescent="0.25">
      <c r="A16" s="68">
        <f>EUETS_period!C16</f>
        <v>2050</v>
      </c>
      <c r="B16" s="2">
        <f>EUETS_period!Y16</f>
        <v>97.430769230769286</v>
      </c>
      <c r="D16" s="148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6"/>
  <sheetViews>
    <sheetView zoomScale="145" zoomScaleNormal="145" workbookViewId="0">
      <selection activeCell="B2" sqref="B2:B16"/>
    </sheetView>
  </sheetViews>
  <sheetFormatPr baseColWidth="10" defaultRowHeight="13.5" x14ac:dyDescent="0.25"/>
  <cols>
    <col min="3" max="5" width="12" customWidth="1"/>
  </cols>
  <sheetData>
    <row r="1" spans="1:4" x14ac:dyDescent="0.25">
      <c r="A1" s="67" t="s">
        <v>35</v>
      </c>
      <c r="B1" s="30" t="s">
        <v>42</v>
      </c>
    </row>
    <row r="2" spans="1:4" x14ac:dyDescent="0.25">
      <c r="A2" s="68">
        <f>EUETS_period!C2</f>
        <v>2020</v>
      </c>
      <c r="B2" s="2">
        <f>EUETS_period!Z2</f>
        <v>0</v>
      </c>
      <c r="D2" s="148"/>
    </row>
    <row r="3" spans="1:4" x14ac:dyDescent="0.25">
      <c r="A3" s="68">
        <f>EUETS_period!C3</f>
        <v>2021</v>
      </c>
      <c r="B3" s="2">
        <f>EUETS_period!Z3</f>
        <v>0</v>
      </c>
      <c r="D3" s="148"/>
    </row>
    <row r="4" spans="1:4" x14ac:dyDescent="0.25">
      <c r="A4" s="68">
        <f>EUETS_period!C4</f>
        <v>2022</v>
      </c>
      <c r="B4" s="2">
        <f>EUETS_period!Z4</f>
        <v>0</v>
      </c>
      <c r="D4" s="148"/>
    </row>
    <row r="5" spans="1:4" x14ac:dyDescent="0.25">
      <c r="A5" s="68">
        <f>EUETS_period!C5</f>
        <v>2023</v>
      </c>
      <c r="B5" s="2">
        <f>EUETS_period!Z5</f>
        <v>0</v>
      </c>
      <c r="D5" s="148"/>
    </row>
    <row r="6" spans="1:4" x14ac:dyDescent="0.25">
      <c r="A6" s="68">
        <f>EUETS_period!C6</f>
        <v>2024</v>
      </c>
      <c r="B6" s="2">
        <f>EUETS_period!Z6</f>
        <v>38.400000000000006</v>
      </c>
      <c r="D6" s="148"/>
    </row>
    <row r="7" spans="1:4" x14ac:dyDescent="0.25">
      <c r="A7" s="68">
        <f>EUETS_period!C7</f>
        <v>2025</v>
      </c>
      <c r="B7" s="2">
        <f>EUETS_period!Z7</f>
        <v>67.199999999999989</v>
      </c>
      <c r="D7" s="148"/>
    </row>
    <row r="8" spans="1:4" x14ac:dyDescent="0.25">
      <c r="A8" s="68">
        <f>EUETS_period!C8</f>
        <v>2026</v>
      </c>
      <c r="B8" s="2">
        <f>EUETS_period!Z8</f>
        <v>96</v>
      </c>
      <c r="D8" s="148"/>
    </row>
    <row r="9" spans="1:4" x14ac:dyDescent="0.25">
      <c r="A9" s="68">
        <f>EUETS_period!C9</f>
        <v>2027</v>
      </c>
      <c r="B9" s="2">
        <f>EUETS_period!Z9</f>
        <v>96</v>
      </c>
      <c r="D9" s="148"/>
    </row>
    <row r="10" spans="1:4" x14ac:dyDescent="0.25">
      <c r="A10" s="68">
        <f>EUETS_period!C10</f>
        <v>2028</v>
      </c>
      <c r="B10" s="2">
        <f>EUETS_period!Z10</f>
        <v>96</v>
      </c>
      <c r="D10" s="148"/>
    </row>
    <row r="11" spans="1:4" x14ac:dyDescent="0.25">
      <c r="A11" s="68">
        <f>EUETS_period!C11</f>
        <v>2029</v>
      </c>
      <c r="B11" s="2">
        <f>EUETS_period!Z11</f>
        <v>96</v>
      </c>
      <c r="D11" s="148"/>
    </row>
    <row r="12" spans="1:4" x14ac:dyDescent="0.25">
      <c r="A12" s="68">
        <f>EUETS_period!C12</f>
        <v>2030</v>
      </c>
      <c r="B12" s="2">
        <f>EUETS_period!Z12</f>
        <v>96</v>
      </c>
      <c r="D12" s="148"/>
    </row>
    <row r="13" spans="1:4" x14ac:dyDescent="0.25">
      <c r="A13" s="68">
        <f>EUETS_period!C13</f>
        <v>2035</v>
      </c>
      <c r="B13" s="2">
        <f>EUETS_period!Z13</f>
        <v>96</v>
      </c>
      <c r="D13" s="148"/>
    </row>
    <row r="14" spans="1:4" x14ac:dyDescent="0.25">
      <c r="A14" s="68">
        <f>EUETS_period!C14</f>
        <v>2040</v>
      </c>
      <c r="B14" s="2">
        <f>EUETS_period!Z14</f>
        <v>96</v>
      </c>
      <c r="D14" s="148"/>
    </row>
    <row r="15" spans="1:4" x14ac:dyDescent="0.25">
      <c r="A15" s="68">
        <f>EUETS_period!C15</f>
        <v>2045</v>
      </c>
      <c r="B15" s="2">
        <f>EUETS_period!Z15</f>
        <v>96</v>
      </c>
      <c r="D15" s="148"/>
    </row>
    <row r="16" spans="1:4" x14ac:dyDescent="0.25">
      <c r="A16" s="68">
        <f>EUETS_period!C16</f>
        <v>2050</v>
      </c>
      <c r="B16" s="2">
        <f>EUETS_period!Z16</f>
        <v>96</v>
      </c>
      <c r="D16" s="148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6"/>
  <sheetViews>
    <sheetView zoomScale="145" zoomScaleNormal="145" workbookViewId="0">
      <selection activeCell="D18" sqref="D18"/>
    </sheetView>
  </sheetViews>
  <sheetFormatPr baseColWidth="10" defaultRowHeight="13.5" x14ac:dyDescent="0.25"/>
  <cols>
    <col min="3" max="5" width="12" customWidth="1"/>
  </cols>
  <sheetData>
    <row r="1" spans="1:4" x14ac:dyDescent="0.25">
      <c r="A1" s="67" t="s">
        <v>35</v>
      </c>
      <c r="B1" s="30" t="s">
        <v>42</v>
      </c>
    </row>
    <row r="2" spans="1:4" x14ac:dyDescent="0.25">
      <c r="A2" s="68">
        <f>EUETS_period!C2</f>
        <v>2020</v>
      </c>
      <c r="B2" s="2">
        <f>EUETS_period!AA2</f>
        <v>0</v>
      </c>
      <c r="D2" s="148"/>
    </row>
    <row r="3" spans="1:4" x14ac:dyDescent="0.25">
      <c r="A3" s="68">
        <f>EUETS_period!C3</f>
        <v>2021</v>
      </c>
      <c r="B3" s="2">
        <f>EUETS_period!AA3</f>
        <v>0</v>
      </c>
      <c r="D3" s="148"/>
    </row>
    <row r="4" spans="1:4" x14ac:dyDescent="0.25">
      <c r="A4" s="68">
        <f>EUETS_period!C4</f>
        <v>2022</v>
      </c>
      <c r="B4" s="2">
        <f>EUETS_period!AA4</f>
        <v>0</v>
      </c>
      <c r="D4" s="148"/>
    </row>
    <row r="5" spans="1:4" x14ac:dyDescent="0.25">
      <c r="A5" s="68">
        <f>EUETS_period!C5</f>
        <v>2023</v>
      </c>
      <c r="B5" s="2">
        <f>EUETS_period!AA5</f>
        <v>-21.739130434782624</v>
      </c>
      <c r="D5" s="148"/>
    </row>
    <row r="6" spans="1:4" x14ac:dyDescent="0.25">
      <c r="A6" s="68">
        <f>EUETS_period!C6</f>
        <v>2024</v>
      </c>
      <c r="B6" s="2">
        <f>EUETS_period!AA6</f>
        <v>-21.739130434782567</v>
      </c>
      <c r="D6" s="148"/>
    </row>
    <row r="7" spans="1:4" x14ac:dyDescent="0.25">
      <c r="A7" s="68">
        <f>EUETS_period!C7</f>
        <v>2025</v>
      </c>
      <c r="B7" s="2">
        <f>EUETS_period!AA7</f>
        <v>-21.739130434782624</v>
      </c>
      <c r="D7" s="148"/>
    </row>
    <row r="8" spans="1:4" x14ac:dyDescent="0.25">
      <c r="A8" s="68">
        <f>EUETS_period!C8</f>
        <v>2026</v>
      </c>
      <c r="B8" s="2">
        <f>EUETS_period!AA8</f>
        <v>-21.739130434782624</v>
      </c>
      <c r="D8" s="148"/>
    </row>
    <row r="9" spans="1:4" x14ac:dyDescent="0.25">
      <c r="A9" s="68">
        <f>EUETS_period!C9</f>
        <v>2027</v>
      </c>
      <c r="B9" s="2">
        <f>EUETS_period!AA9</f>
        <v>-21.739130434782624</v>
      </c>
      <c r="D9" s="148"/>
    </row>
    <row r="10" spans="1:4" x14ac:dyDescent="0.25">
      <c r="A10" s="68">
        <f>EUETS_period!C10</f>
        <v>2028</v>
      </c>
      <c r="B10" s="2">
        <f>EUETS_period!AA10</f>
        <v>-113.33338612122219</v>
      </c>
      <c r="D10" s="148"/>
    </row>
    <row r="11" spans="1:4" x14ac:dyDescent="0.25">
      <c r="A11" s="68">
        <f>EUETS_period!C11</f>
        <v>2029</v>
      </c>
      <c r="B11" s="2">
        <f>EUETS_period!AA11</f>
        <v>-18.571347425498971</v>
      </c>
      <c r="D11" s="148"/>
    </row>
    <row r="12" spans="1:4" x14ac:dyDescent="0.25">
      <c r="A12" s="68">
        <f>EUETS_period!C12</f>
        <v>2030</v>
      </c>
      <c r="B12" s="2">
        <f>EUETS_period!AA12</f>
        <v>40.600385720630584</v>
      </c>
      <c r="D12" s="148"/>
    </row>
    <row r="13" spans="1:4" x14ac:dyDescent="0.25">
      <c r="A13" s="68">
        <f>EUETS_period!C13</f>
        <v>2035</v>
      </c>
      <c r="B13" s="2">
        <f>EUETS_period!AA13</f>
        <v>-16.521739130434053</v>
      </c>
      <c r="D13" s="148"/>
    </row>
    <row r="14" spans="1:4" x14ac:dyDescent="0.25">
      <c r="A14" s="68">
        <f>EUETS_period!C14</f>
        <v>2040</v>
      </c>
      <c r="B14" s="2">
        <f>EUETS_period!AA14</f>
        <v>-21.739130434782609</v>
      </c>
      <c r="D14" s="148"/>
    </row>
    <row r="15" spans="1:4" x14ac:dyDescent="0.25">
      <c r="A15" s="68">
        <f>EUETS_period!C15</f>
        <v>2045</v>
      </c>
      <c r="B15" s="2">
        <f>EUETS_period!AA15</f>
        <v>-21.739130434782609</v>
      </c>
      <c r="D15" s="148"/>
    </row>
    <row r="16" spans="1:4" x14ac:dyDescent="0.25">
      <c r="A16" s="68">
        <f>EUETS_period!C16</f>
        <v>2050</v>
      </c>
      <c r="B16" s="2">
        <f>EUETS_period!AA16</f>
        <v>0</v>
      </c>
      <c r="D16" s="148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6"/>
  <sheetViews>
    <sheetView zoomScale="145" zoomScaleNormal="145" workbookViewId="0">
      <selection activeCell="B2" sqref="B2:B16"/>
    </sheetView>
  </sheetViews>
  <sheetFormatPr baseColWidth="10" defaultRowHeight="13.5" x14ac:dyDescent="0.25"/>
  <cols>
    <col min="3" max="5" width="12" customWidth="1"/>
  </cols>
  <sheetData>
    <row r="1" spans="1:4" x14ac:dyDescent="0.25">
      <c r="A1" s="67" t="s">
        <v>35</v>
      </c>
      <c r="B1" s="30" t="s">
        <v>42</v>
      </c>
    </row>
    <row r="2" spans="1:4" x14ac:dyDescent="0.25">
      <c r="A2" s="68">
        <f>EUETS_period!C2</f>
        <v>2020</v>
      </c>
      <c r="B2" s="2">
        <f>EUETS_period!X2</f>
        <v>633.64486084220198</v>
      </c>
      <c r="D2" s="148"/>
    </row>
    <row r="3" spans="1:4" x14ac:dyDescent="0.25">
      <c r="A3" s="68">
        <f>EUETS_period!C3</f>
        <v>2021</v>
      </c>
      <c r="B3" s="2">
        <f>EUETS_period!X3</f>
        <v>636.25556802857386</v>
      </c>
      <c r="D3" s="148"/>
    </row>
    <row r="4" spans="1:4" x14ac:dyDescent="0.25">
      <c r="A4" s="68">
        <f>EUETS_period!C4</f>
        <v>2022</v>
      </c>
      <c r="B4" s="2">
        <f>EUETS_period!X4</f>
        <v>682.17957799999829</v>
      </c>
      <c r="D4" s="148"/>
    </row>
    <row r="5" spans="1:4" x14ac:dyDescent="0.25">
      <c r="A5" s="68">
        <f>EUETS_period!C5</f>
        <v>2023</v>
      </c>
      <c r="B5" s="2">
        <f>EUETS_period!X5</f>
        <v>608.49357243191093</v>
      </c>
      <c r="D5" s="148"/>
    </row>
    <row r="6" spans="1:4" x14ac:dyDescent="0.25">
      <c r="A6" s="68">
        <f>EUETS_period!C6</f>
        <v>2024</v>
      </c>
      <c r="B6" s="2">
        <f>EUETS_period!X6</f>
        <v>638.70545359097105</v>
      </c>
      <c r="D6" s="148"/>
    </row>
    <row r="7" spans="1:4" x14ac:dyDescent="0.25">
      <c r="A7" s="68">
        <f>EUETS_period!C7</f>
        <v>2025</v>
      </c>
      <c r="B7" s="2">
        <f>EUETS_period!X7</f>
        <v>641.13072234691924</v>
      </c>
      <c r="D7" s="148"/>
    </row>
    <row r="8" spans="1:4" x14ac:dyDescent="0.25">
      <c r="A8" s="68">
        <f>EUETS_period!C8</f>
        <v>2026</v>
      </c>
      <c r="B8" s="2">
        <f>EUETS_period!X8</f>
        <v>636.23787613827551</v>
      </c>
      <c r="D8" s="148"/>
    </row>
    <row r="9" spans="1:4" x14ac:dyDescent="0.25">
      <c r="A9" s="68">
        <f>EUETS_period!C9</f>
        <v>2027</v>
      </c>
      <c r="B9" s="2">
        <f>EUETS_period!X9</f>
        <v>631.80565067712587</v>
      </c>
      <c r="D9" s="148"/>
    </row>
    <row r="10" spans="1:4" x14ac:dyDescent="0.25">
      <c r="A10" s="68">
        <f>EUETS_period!C10</f>
        <v>2028</v>
      </c>
      <c r="B10" s="2">
        <f>EUETS_period!X10</f>
        <v>565.53693619723799</v>
      </c>
      <c r="D10" s="148"/>
    </row>
    <row r="11" spans="1:4" x14ac:dyDescent="0.25">
      <c r="A11" s="68">
        <f>EUETS_period!C11</f>
        <v>2029</v>
      </c>
      <c r="B11" s="2">
        <f>EUETS_period!X11</f>
        <v>502.52939508748909</v>
      </c>
      <c r="D11" s="148"/>
    </row>
    <row r="12" spans="1:4" x14ac:dyDescent="0.25">
      <c r="A12" s="68">
        <f>EUETS_period!C12</f>
        <v>2030</v>
      </c>
      <c r="B12" s="2">
        <f>EUETS_period!X12</f>
        <v>417.63026980961831</v>
      </c>
      <c r="D12" s="148"/>
    </row>
    <row r="13" spans="1:4" x14ac:dyDescent="0.25">
      <c r="A13" s="68">
        <f>EUETS_period!C13</f>
        <v>2035</v>
      </c>
      <c r="B13" s="2">
        <f>EUETS_period!X13</f>
        <v>254.1601046599832</v>
      </c>
      <c r="D13" s="148"/>
    </row>
    <row r="14" spans="1:4" x14ac:dyDescent="0.25">
      <c r="A14" s="68">
        <f>EUETS_period!C14</f>
        <v>2040</v>
      </c>
      <c r="B14" s="2">
        <f>EUETS_period!X14</f>
        <v>206.07938258840636</v>
      </c>
      <c r="D14" s="148"/>
    </row>
    <row r="15" spans="1:4" x14ac:dyDescent="0.25">
      <c r="A15" s="68">
        <f>EUETS_period!C15</f>
        <v>2045</v>
      </c>
      <c r="B15" s="2">
        <f>EUETS_period!X15</f>
        <v>174.46510000000004</v>
      </c>
      <c r="D15" s="148"/>
    </row>
    <row r="16" spans="1:4" x14ac:dyDescent="0.25">
      <c r="A16" s="68">
        <f>EUETS_period!C16</f>
        <v>2050</v>
      </c>
      <c r="B16" s="2">
        <f>EUETS_period!X16</f>
        <v>128.17679999999999</v>
      </c>
      <c r="D16" s="148"/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zoomScale="145" zoomScaleNormal="145" workbookViewId="0">
      <selection activeCell="B7" sqref="B7"/>
    </sheetView>
  </sheetViews>
  <sheetFormatPr baseColWidth="10" defaultRowHeight="13.5" x14ac:dyDescent="0.25"/>
  <cols>
    <col min="3" max="5" width="12" customWidth="1"/>
  </cols>
  <sheetData>
    <row r="1" spans="1:4" x14ac:dyDescent="0.25">
      <c r="A1" s="67" t="s">
        <v>35</v>
      </c>
      <c r="B1" s="30" t="s">
        <v>42</v>
      </c>
    </row>
    <row r="2" spans="1:4" x14ac:dyDescent="0.25">
      <c r="A2" s="68">
        <f>EUETS_period!C2</f>
        <v>2020</v>
      </c>
      <c r="B2" s="2">
        <f>EUETS_period!AC2</f>
        <v>633.64486084220198</v>
      </c>
      <c r="D2" s="148"/>
    </row>
    <row r="3" spans="1:4" x14ac:dyDescent="0.25">
      <c r="A3" s="68">
        <f>EUETS_period!C3</f>
        <v>2021</v>
      </c>
      <c r="B3" s="2">
        <f>EUETS_period!AC3</f>
        <v>636.25556802857386</v>
      </c>
      <c r="D3" s="148"/>
    </row>
    <row r="4" spans="1:4" x14ac:dyDescent="0.25">
      <c r="A4" s="68">
        <f>EUETS_period!C4</f>
        <v>2022</v>
      </c>
      <c r="B4" s="2">
        <f>EUETS_period!AC4</f>
        <v>682.17957799999829</v>
      </c>
      <c r="D4" s="148"/>
    </row>
    <row r="5" spans="1:4" x14ac:dyDescent="0.25">
      <c r="A5" s="68">
        <f>EUETS_period!C5</f>
        <v>2023</v>
      </c>
      <c r="B5" s="2">
        <f>EUETS_period!AC5</f>
        <v>608.47728955976652</v>
      </c>
      <c r="D5" s="148"/>
    </row>
    <row r="6" spans="1:4" x14ac:dyDescent="0.25">
      <c r="A6" s="68">
        <f>EUETS_period!C6</f>
        <v>2024</v>
      </c>
      <c r="B6" s="2">
        <f>EUETS_period!AC6</f>
        <v>592.03240435704822</v>
      </c>
      <c r="D6" s="148"/>
    </row>
    <row r="7" spans="1:4" x14ac:dyDescent="0.25">
      <c r="A7" s="68">
        <f>EUETS_period!C7</f>
        <v>2025</v>
      </c>
      <c r="B7" s="2">
        <f>EUETS_period!AC7</f>
        <v>594.27055025594154</v>
      </c>
      <c r="D7" s="148"/>
    </row>
    <row r="8" spans="1:4" x14ac:dyDescent="0.25">
      <c r="A8" s="68">
        <f>EUETS_period!C8</f>
        <v>2026</v>
      </c>
      <c r="B8" s="2">
        <f>EUETS_period!AC8</f>
        <v>589.74858936311455</v>
      </c>
      <c r="D8" s="148"/>
    </row>
    <row r="9" spans="1:4" x14ac:dyDescent="0.25">
      <c r="A9" s="68">
        <f>EUETS_period!C9</f>
        <v>2027</v>
      </c>
      <c r="B9" s="2">
        <f>EUETS_period!AC9</f>
        <v>585.63804370882644</v>
      </c>
      <c r="D9" s="148"/>
    </row>
    <row r="10" spans="1:4" x14ac:dyDescent="0.25">
      <c r="A10" s="68">
        <f>EUETS_period!C10</f>
        <v>2028</v>
      </c>
      <c r="B10" s="2">
        <f>EUETS_period!AC10</f>
        <v>524.19941789148504</v>
      </c>
      <c r="D10" s="148"/>
    </row>
    <row r="11" spans="1:4" x14ac:dyDescent="0.25">
      <c r="A11" s="68">
        <f>EUETS_period!C11</f>
        <v>2029</v>
      </c>
      <c r="B11" s="2">
        <f>EUETS_period!AC11</f>
        <v>465.79630078613258</v>
      </c>
      <c r="D11" s="148"/>
    </row>
    <row r="12" spans="1:4" x14ac:dyDescent="0.25">
      <c r="A12" s="68">
        <f>EUETS_period!C12</f>
        <v>2030</v>
      </c>
      <c r="B12" s="2">
        <f>EUETS_period!AC12</f>
        <v>387.13125437704008</v>
      </c>
      <c r="D12" s="148"/>
    </row>
    <row r="13" spans="1:4" x14ac:dyDescent="0.25">
      <c r="A13" s="68">
        <f>EUETS_period!C13</f>
        <v>2035</v>
      </c>
      <c r="B13" s="2">
        <f>EUETS_period!AC13</f>
        <v>239.2388468734959</v>
      </c>
      <c r="D13" s="148"/>
    </row>
    <row r="14" spans="1:4" x14ac:dyDescent="0.25">
      <c r="A14" s="68">
        <f>EUETS_period!C14</f>
        <v>2040</v>
      </c>
      <c r="B14" s="2">
        <f>EUETS_period!AC14</f>
        <v>198.44226271708476</v>
      </c>
      <c r="D14" s="148"/>
    </row>
    <row r="15" spans="1:4" x14ac:dyDescent="0.25">
      <c r="A15" s="68">
        <f>EUETS_period!C15</f>
        <v>2045</v>
      </c>
      <c r="B15" s="2">
        <f>EUETS_period!AC15</f>
        <v>174.46509140315825</v>
      </c>
      <c r="D15" s="148"/>
    </row>
    <row r="16" spans="1:4" x14ac:dyDescent="0.25">
      <c r="A16" s="68">
        <f>EUETS_period!C16</f>
        <v>2050</v>
      </c>
      <c r="B16" s="2">
        <f>EUETS_period!AC16</f>
        <v>128.17676999999998</v>
      </c>
      <c r="D16" s="148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6"/>
  <sheetViews>
    <sheetView workbookViewId="0">
      <selection activeCell="T61" sqref="T61"/>
    </sheetView>
  </sheetViews>
  <sheetFormatPr baseColWidth="10" defaultRowHeight="13.5" x14ac:dyDescent="0.25"/>
  <sheetData>
    <row r="1" spans="1:2" x14ac:dyDescent="0.25">
      <c r="A1" s="67" t="s">
        <v>35</v>
      </c>
      <c r="B1" s="30" t="s">
        <v>42</v>
      </c>
    </row>
    <row r="2" spans="1:2" x14ac:dyDescent="0.25">
      <c r="A2" s="68">
        <f>EUETS_period!C2</f>
        <v>2020</v>
      </c>
      <c r="B2" s="2">
        <f>EUETS_period!AD2</f>
        <v>0</v>
      </c>
    </row>
    <row r="3" spans="1:2" x14ac:dyDescent="0.25">
      <c r="A3" s="68">
        <f>EUETS_period!C3</f>
        <v>2021</v>
      </c>
      <c r="B3" s="2">
        <f>EUETS_period!AD3</f>
        <v>0</v>
      </c>
    </row>
    <row r="4" spans="1:2" x14ac:dyDescent="0.25">
      <c r="A4" s="68">
        <f>EUETS_period!C4</f>
        <v>2022</v>
      </c>
      <c r="B4" s="2">
        <f>EUETS_period!AD4</f>
        <v>20.465387339999946</v>
      </c>
    </row>
    <row r="5" spans="1:2" x14ac:dyDescent="0.25">
      <c r="A5" s="68">
        <f>EUETS_period!C5</f>
        <v>2023</v>
      </c>
      <c r="B5" s="2">
        <f>EUETS_period!AD5</f>
        <v>18.254318686792995</v>
      </c>
    </row>
    <row r="6" spans="1:2" x14ac:dyDescent="0.25">
      <c r="A6" s="68">
        <f>EUETS_period!C6</f>
        <v>2024</v>
      </c>
      <c r="B6" s="2">
        <f>EUETS_period!AD6</f>
        <v>17.760972130711448</v>
      </c>
    </row>
    <row r="7" spans="1:2" x14ac:dyDescent="0.25">
      <c r="A7" s="68">
        <f>EUETS_period!C7</f>
        <v>2025</v>
      </c>
      <c r="B7" s="2">
        <f>EUETS_period!AD7</f>
        <v>17.828116507678246</v>
      </c>
    </row>
    <row r="8" spans="1:2" x14ac:dyDescent="0.25">
      <c r="A8" s="68">
        <f>EUETS_period!C8</f>
        <v>2026</v>
      </c>
      <c r="B8" s="2">
        <f>EUETS_period!AD8</f>
        <v>17.692457680893437</v>
      </c>
    </row>
    <row r="9" spans="1:2" x14ac:dyDescent="0.25">
      <c r="A9" s="68">
        <f>EUETS_period!C9</f>
        <v>2027</v>
      </c>
      <c r="B9" s="2">
        <f>EUETS_period!AD9</f>
        <v>17.569141311264794</v>
      </c>
    </row>
    <row r="10" spans="1:2" x14ac:dyDescent="0.25">
      <c r="A10" s="68">
        <f>EUETS_period!C10</f>
        <v>2028</v>
      </c>
      <c r="B10" s="2">
        <f>EUETS_period!AD10</f>
        <v>15.725982536744551</v>
      </c>
    </row>
    <row r="11" spans="1:2" x14ac:dyDescent="0.25">
      <c r="A11" s="68">
        <f>EUETS_period!C11</f>
        <v>2029</v>
      </c>
      <c r="B11" s="2">
        <f>EUETS_period!AD11</f>
        <v>13.973889023583977</v>
      </c>
    </row>
    <row r="12" spans="1:2" x14ac:dyDescent="0.25">
      <c r="A12" s="68">
        <f>EUETS_period!C12</f>
        <v>2030</v>
      </c>
      <c r="B12" s="2">
        <f>EUETS_period!AD12</f>
        <v>11.613937631311202</v>
      </c>
    </row>
    <row r="13" spans="1:2" x14ac:dyDescent="0.25">
      <c r="A13" s="68">
        <f>EUETS_period!C13</f>
        <v>2035</v>
      </c>
      <c r="B13" s="2">
        <f>EUETS_period!AD13</f>
        <v>7.1771654062048755</v>
      </c>
    </row>
    <row r="14" spans="1:2" x14ac:dyDescent="0.25">
      <c r="A14" s="68">
        <f>EUETS_period!C14</f>
        <v>2040</v>
      </c>
      <c r="B14" s="2">
        <f>EUETS_period!AD14</f>
        <v>5.9532678815125415</v>
      </c>
    </row>
    <row r="15" spans="1:2" x14ac:dyDescent="0.25">
      <c r="A15" s="68">
        <f>EUETS_period!C15</f>
        <v>2045</v>
      </c>
      <c r="B15" s="2">
        <f>EUETS_period!AD15</f>
        <v>5.2339527420947478</v>
      </c>
    </row>
    <row r="16" spans="1:2" x14ac:dyDescent="0.25">
      <c r="A16" s="68">
        <f>EUETS_period!C16</f>
        <v>2050</v>
      </c>
      <c r="B16" s="2">
        <f>EUETS_period!AD16</f>
        <v>3.8453030999999998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6"/>
  <sheetViews>
    <sheetView workbookViewId="0">
      <selection activeCell="B2" sqref="B2"/>
    </sheetView>
  </sheetViews>
  <sheetFormatPr baseColWidth="10" defaultRowHeight="13.5" x14ac:dyDescent="0.25"/>
  <sheetData>
    <row r="1" spans="1:2" x14ac:dyDescent="0.25">
      <c r="A1" s="67" t="s">
        <v>35</v>
      </c>
      <c r="B1" s="30" t="s">
        <v>74</v>
      </c>
    </row>
    <row r="2" spans="1:2" x14ac:dyDescent="0.25">
      <c r="A2" s="68">
        <f>EUETS_period!C2</f>
        <v>2020</v>
      </c>
      <c r="B2" s="2">
        <f>EUETS_period!AE2</f>
        <v>1</v>
      </c>
    </row>
    <row r="3" spans="1:2" x14ac:dyDescent="0.25">
      <c r="A3" s="68">
        <f>EUETS_period!C3</f>
        <v>2021</v>
      </c>
      <c r="B3" s="2">
        <f>EUETS_period!AE3</f>
        <v>1</v>
      </c>
    </row>
    <row r="4" spans="1:2" x14ac:dyDescent="0.25">
      <c r="A4" s="68">
        <f>EUETS_period!C4</f>
        <v>2022</v>
      </c>
      <c r="B4" s="2">
        <f>EUETS_period!AE4</f>
        <v>1</v>
      </c>
    </row>
    <row r="5" spans="1:2" x14ac:dyDescent="0.25">
      <c r="A5" s="68">
        <f>EUETS_period!C5</f>
        <v>2023</v>
      </c>
      <c r="B5" s="2">
        <f>EUETS_period!AE5</f>
        <v>0.25</v>
      </c>
    </row>
    <row r="6" spans="1:2" x14ac:dyDescent="0.25">
      <c r="A6" s="68">
        <f>EUETS_period!C6</f>
        <v>2024</v>
      </c>
      <c r="B6" s="2">
        <f>EUETS_period!AE6</f>
        <v>0.25</v>
      </c>
    </row>
    <row r="7" spans="1:2" x14ac:dyDescent="0.25">
      <c r="A7" s="68">
        <f>EUETS_period!C7</f>
        <v>2025</v>
      </c>
      <c r="B7" s="2">
        <f>EUETS_period!AE7</f>
        <v>0.25</v>
      </c>
    </row>
    <row r="8" spans="1:2" x14ac:dyDescent="0.25">
      <c r="A8" s="68">
        <f>EUETS_period!C8</f>
        <v>2026</v>
      </c>
      <c r="B8" s="2">
        <f>EUETS_period!AE8</f>
        <v>0.25</v>
      </c>
    </row>
    <row r="9" spans="1:2" x14ac:dyDescent="0.25">
      <c r="A9" s="68">
        <f>EUETS_period!C9</f>
        <v>2027</v>
      </c>
      <c r="B9" s="2">
        <f>EUETS_period!AE9</f>
        <v>0.25</v>
      </c>
    </row>
    <row r="10" spans="1:2" x14ac:dyDescent="0.25">
      <c r="A10" s="68">
        <f>EUETS_period!C10</f>
        <v>2028</v>
      </c>
      <c r="B10" s="2">
        <f>EUETS_period!AE10</f>
        <v>0.25</v>
      </c>
    </row>
    <row r="11" spans="1:2" x14ac:dyDescent="0.25">
      <c r="A11" s="68">
        <f>EUETS_period!C11</f>
        <v>2029</v>
      </c>
      <c r="B11" s="2">
        <f>EUETS_period!AE11</f>
        <v>0.25</v>
      </c>
    </row>
    <row r="12" spans="1:2" x14ac:dyDescent="0.25">
      <c r="A12" s="68">
        <f>EUETS_period!C12</f>
        <v>2030</v>
      </c>
      <c r="B12" s="2">
        <f>EUETS_period!AE12</f>
        <v>0.25</v>
      </c>
    </row>
    <row r="13" spans="1:2" x14ac:dyDescent="0.25">
      <c r="A13" s="68">
        <f>EUETS_period!C13</f>
        <v>2035</v>
      </c>
      <c r="B13" s="2">
        <f>EUETS_period!AE13</f>
        <v>0.25</v>
      </c>
    </row>
    <row r="14" spans="1:2" x14ac:dyDescent="0.25">
      <c r="A14" s="68">
        <f>EUETS_period!C14</f>
        <v>2040</v>
      </c>
      <c r="B14" s="2">
        <f>EUETS_period!AE14</f>
        <v>0.53739999999999999</v>
      </c>
    </row>
    <row r="15" spans="1:2" x14ac:dyDescent="0.25">
      <c r="A15" s="68">
        <f>EUETS_period!C15</f>
        <v>2045</v>
      </c>
      <c r="B15" s="2">
        <f>EUETS_period!AE15</f>
        <v>1</v>
      </c>
    </row>
    <row r="16" spans="1:2" x14ac:dyDescent="0.25">
      <c r="A16" s="68">
        <f>EUETS_period!C16</f>
        <v>2050</v>
      </c>
      <c r="B16" s="2">
        <f>EUETS_period!AE16</f>
        <v>1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6"/>
  <sheetViews>
    <sheetView workbookViewId="0">
      <selection activeCell="B9" sqref="B9"/>
    </sheetView>
  </sheetViews>
  <sheetFormatPr baseColWidth="10" defaultRowHeight="13.5" x14ac:dyDescent="0.25"/>
  <sheetData>
    <row r="1" spans="1:2" x14ac:dyDescent="0.25">
      <c r="A1" s="67" t="s">
        <v>35</v>
      </c>
      <c r="B1" s="30" t="s">
        <v>74</v>
      </c>
    </row>
    <row r="2" spans="1:2" x14ac:dyDescent="0.25">
      <c r="A2" s="68">
        <f>EUETS_period!C2</f>
        <v>2020</v>
      </c>
      <c r="B2" s="2">
        <f>co2elec_annual!L41</f>
        <v>633.64490000000001</v>
      </c>
    </row>
    <row r="3" spans="1:2" x14ac:dyDescent="0.25">
      <c r="A3" s="68">
        <f>EUETS_period!C3</f>
        <v>2021</v>
      </c>
      <c r="B3" s="2">
        <f>co2elec_annual!L42</f>
        <v>636.25559999999996</v>
      </c>
    </row>
    <row r="4" spans="1:2" x14ac:dyDescent="0.25">
      <c r="A4" s="68">
        <f>EUETS_period!C4</f>
        <v>2022</v>
      </c>
      <c r="B4" s="2">
        <f>co2elec_annual!L43</f>
        <v>682.17960000000005</v>
      </c>
    </row>
    <row r="5" spans="1:2" x14ac:dyDescent="0.25">
      <c r="A5" s="68">
        <f>EUETS_period!C5</f>
        <v>2023</v>
      </c>
      <c r="B5" s="2">
        <f>co2elec_annual!L44</f>
        <v>152.11930000000001</v>
      </c>
    </row>
    <row r="6" spans="1:2" x14ac:dyDescent="0.25">
      <c r="A6" s="68">
        <f>EUETS_period!C6</f>
        <v>2024</v>
      </c>
      <c r="B6" s="2">
        <f>co2elec_annual!L45</f>
        <v>148.00810000000001</v>
      </c>
    </row>
    <row r="7" spans="1:2" x14ac:dyDescent="0.25">
      <c r="A7" s="68">
        <f>EUETS_period!C7</f>
        <v>2025</v>
      </c>
      <c r="B7" s="2">
        <f>co2elec_annual!L46</f>
        <v>148.5676</v>
      </c>
    </row>
    <row r="8" spans="1:2" x14ac:dyDescent="0.25">
      <c r="A8" s="68">
        <f>EUETS_period!C8</f>
        <v>2026</v>
      </c>
      <c r="B8" s="2">
        <f>co2elec_annual!L47</f>
        <v>147.43709999999999</v>
      </c>
    </row>
    <row r="9" spans="1:2" x14ac:dyDescent="0.25">
      <c r="A9" s="68">
        <f>EUETS_period!C9</f>
        <v>2027</v>
      </c>
      <c r="B9" s="2">
        <f>co2elec_annual!L48</f>
        <v>146.40950000000001</v>
      </c>
    </row>
    <row r="10" spans="1:2" x14ac:dyDescent="0.25">
      <c r="A10" s="68">
        <f>EUETS_period!C10</f>
        <v>2028</v>
      </c>
      <c r="B10" s="2">
        <f>co2elec_annual!L49</f>
        <v>131.04990000000001</v>
      </c>
    </row>
    <row r="11" spans="1:2" x14ac:dyDescent="0.25">
      <c r="A11" s="68">
        <f>EUETS_period!C11</f>
        <v>2029</v>
      </c>
      <c r="B11" s="2">
        <f>co2elec_annual!L50</f>
        <v>116.4491</v>
      </c>
    </row>
    <row r="12" spans="1:2" x14ac:dyDescent="0.25">
      <c r="A12" s="68">
        <f>EUETS_period!C12</f>
        <v>2030</v>
      </c>
      <c r="B12" s="2">
        <f>co2elec_annual!L51</f>
        <v>96.782799999999995</v>
      </c>
    </row>
    <row r="13" spans="1:2" x14ac:dyDescent="0.25">
      <c r="A13" s="68">
        <f>EUETS_period!C13</f>
        <v>2035</v>
      </c>
      <c r="B13" s="2">
        <f>co2elec_annual!L52</f>
        <v>59.809699999999999</v>
      </c>
    </row>
    <row r="14" spans="1:2" x14ac:dyDescent="0.25">
      <c r="A14" s="68">
        <f>EUETS_period!C14</f>
        <v>2040</v>
      </c>
      <c r="B14" s="2">
        <f>co2elec_annual!L53</f>
        <v>106.645</v>
      </c>
    </row>
    <row r="15" spans="1:2" x14ac:dyDescent="0.25">
      <c r="A15" s="68">
        <f>EUETS_period!C15</f>
        <v>2045</v>
      </c>
      <c r="B15" s="2">
        <f>co2elec_annual!L54</f>
        <v>174.46510000000001</v>
      </c>
    </row>
    <row r="16" spans="1:2" x14ac:dyDescent="0.25">
      <c r="A16" s="68">
        <f>EUETS_period!C16</f>
        <v>2050</v>
      </c>
      <c r="B16" s="2">
        <f>co2elec_annual!L55</f>
        <v>128.17679999999999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6"/>
  <sheetViews>
    <sheetView workbookViewId="0">
      <selection activeCell="E18" sqref="E18"/>
    </sheetView>
  </sheetViews>
  <sheetFormatPr baseColWidth="10" defaultRowHeight="13.5" x14ac:dyDescent="0.25"/>
  <sheetData>
    <row r="1" spans="1:2" x14ac:dyDescent="0.25">
      <c r="A1" s="67" t="s">
        <v>35</v>
      </c>
      <c r="B1" s="30" t="s">
        <v>73</v>
      </c>
    </row>
    <row r="2" spans="1:2" x14ac:dyDescent="0.25">
      <c r="A2" s="68">
        <f>EUETS_period!C2</f>
        <v>2020</v>
      </c>
      <c r="B2" s="2">
        <f>co2elec_annual!N41</f>
        <v>0</v>
      </c>
    </row>
    <row r="3" spans="1:2" x14ac:dyDescent="0.25">
      <c r="A3" s="68">
        <f>EUETS_period!C3</f>
        <v>2021</v>
      </c>
      <c r="B3" s="2">
        <f>co2elec_annual!N42</f>
        <v>0</v>
      </c>
    </row>
    <row r="4" spans="1:2" x14ac:dyDescent="0.25">
      <c r="A4" s="68">
        <f>EUETS_period!C4</f>
        <v>2022</v>
      </c>
      <c r="B4" s="2">
        <f>co2elec_annual!N43</f>
        <v>0</v>
      </c>
    </row>
    <row r="5" spans="1:2" x14ac:dyDescent="0.25">
      <c r="A5" s="68">
        <f>EUETS_period!C5</f>
        <v>2023</v>
      </c>
      <c r="B5" s="2">
        <f>co2elec_annual!N44</f>
        <v>0.73550000000000004</v>
      </c>
    </row>
    <row r="6" spans="1:2" x14ac:dyDescent="0.25">
      <c r="A6" s="68">
        <f>EUETS_period!C6</f>
        <v>2024</v>
      </c>
      <c r="B6" s="2">
        <f>co2elec_annual!N45</f>
        <v>0.7944</v>
      </c>
    </row>
    <row r="7" spans="1:2" x14ac:dyDescent="0.25">
      <c r="A7" s="68">
        <f>EUETS_period!C7</f>
        <v>2025</v>
      </c>
      <c r="B7" s="2">
        <f>co2elec_annual!N46</f>
        <v>0.88729999999999998</v>
      </c>
    </row>
    <row r="8" spans="1:2" x14ac:dyDescent="0.25">
      <c r="A8" s="68">
        <f>EUETS_period!C8</f>
        <v>2026</v>
      </c>
      <c r="B8" s="2">
        <f>co2elec_annual!N47</f>
        <v>0.90769999999999995</v>
      </c>
    </row>
    <row r="9" spans="1:2" x14ac:dyDescent="0.25">
      <c r="A9" s="68">
        <f>EUETS_period!C9</f>
        <v>2027</v>
      </c>
      <c r="B9" s="2">
        <f>co2elec_annual!N48</f>
        <v>0.94399999999999995</v>
      </c>
    </row>
    <row r="10" spans="1:2" x14ac:dyDescent="0.25">
      <c r="A10" s="68">
        <f>EUETS_period!C10</f>
        <v>2028</v>
      </c>
      <c r="B10" s="2">
        <f>co2elec_annual!N49</f>
        <v>0.86060000000000003</v>
      </c>
    </row>
    <row r="11" spans="1:2" x14ac:dyDescent="0.25">
      <c r="A11" s="68">
        <f>EUETS_period!C11</f>
        <v>2029</v>
      </c>
      <c r="B11" s="2">
        <f>co2elec_annual!N50</f>
        <v>0.79769999999999996</v>
      </c>
    </row>
    <row r="12" spans="1:2" x14ac:dyDescent="0.25">
      <c r="A12" s="68">
        <f>EUETS_period!C12</f>
        <v>2030</v>
      </c>
      <c r="B12" s="2">
        <f>co2elec_annual!N51</f>
        <v>0.76639999999999997</v>
      </c>
    </row>
    <row r="13" spans="1:2" x14ac:dyDescent="0.25">
      <c r="A13" s="68">
        <f>EUETS_period!C13</f>
        <v>2035</v>
      </c>
      <c r="B13" s="2">
        <f>co2elec_annual!N52</f>
        <v>1.325</v>
      </c>
    </row>
    <row r="14" spans="1:2" x14ac:dyDescent="0.25">
      <c r="A14" s="68">
        <f>EUETS_period!C14</f>
        <v>2040</v>
      </c>
      <c r="B14" s="2">
        <f>co2elec_annual!N53</f>
        <v>1.3088</v>
      </c>
    </row>
    <row r="15" spans="1:2" x14ac:dyDescent="0.25">
      <c r="A15" s="68">
        <f>EUETS_period!C15</f>
        <v>2045</v>
      </c>
      <c r="B15" s="2">
        <f>co2elec_annual!N54</f>
        <v>0</v>
      </c>
    </row>
    <row r="16" spans="1:2" x14ac:dyDescent="0.25">
      <c r="A16" s="68">
        <f>EUETS_period!C16</f>
        <v>2050</v>
      </c>
      <c r="B16" s="2">
        <f>co2elec_annual!N55</f>
        <v>0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6"/>
  <sheetViews>
    <sheetView zoomScale="145" zoomScaleNormal="145" workbookViewId="0">
      <selection activeCell="O7" sqref="O7"/>
    </sheetView>
  </sheetViews>
  <sheetFormatPr baseColWidth="10" defaultRowHeight="13.5" x14ac:dyDescent="0.25"/>
  <sheetData>
    <row r="1" spans="1:2" x14ac:dyDescent="0.25">
      <c r="A1" s="67" t="s">
        <v>35</v>
      </c>
      <c r="B1" s="30" t="s">
        <v>59</v>
      </c>
    </row>
    <row r="2" spans="1:2" x14ac:dyDescent="0.25">
      <c r="A2" s="68">
        <f>EUETS_period!C2</f>
        <v>2020</v>
      </c>
      <c r="B2" s="2">
        <f>EUETS_period!K2</f>
        <v>1578.7724260000032</v>
      </c>
    </row>
    <row r="3" spans="1:2" x14ac:dyDescent="0.25">
      <c r="A3" s="68">
        <f>EUETS_period!C3</f>
        <v>2021</v>
      </c>
      <c r="B3" s="2">
        <f>EUETS_period!K3</f>
        <v>1449.2141820000052</v>
      </c>
    </row>
    <row r="4" spans="1:2" x14ac:dyDescent="0.25">
      <c r="A4" s="68">
        <f>EUETS_period!C4</f>
        <v>2022</v>
      </c>
      <c r="B4" s="2">
        <f>EUETS_period!K4</f>
        <v>1134.794738000001</v>
      </c>
    </row>
    <row r="5" spans="1:2" x14ac:dyDescent="0.25">
      <c r="A5" s="68">
        <f>EUETS_period!C5</f>
        <v>2023</v>
      </c>
      <c r="B5" s="2">
        <f>EUETS_period!K5</f>
        <v>1069.8665881552665</v>
      </c>
    </row>
    <row r="6" spans="1:2" x14ac:dyDescent="0.25">
      <c r="A6" s="68">
        <f>EUETS_period!C6</f>
        <v>2024</v>
      </c>
      <c r="B6" s="2">
        <f>EUETS_period!K6</f>
        <v>987.01609153208483</v>
      </c>
    </row>
    <row r="7" spans="1:2" x14ac:dyDescent="0.25">
      <c r="A7" s="68">
        <f>EUETS_period!C7</f>
        <v>2025</v>
      </c>
      <c r="B7" s="2">
        <f>EUETS_period!K7</f>
        <v>820.80106302989589</v>
      </c>
    </row>
    <row r="8" spans="1:2" x14ac:dyDescent="0.25">
      <c r="A8" s="68">
        <f>EUETS_period!C8</f>
        <v>2026</v>
      </c>
      <c r="B8" s="2">
        <f>EUETS_period!K8</f>
        <v>685.23908315516383</v>
      </c>
    </row>
    <row r="9" spans="1:2" x14ac:dyDescent="0.25">
      <c r="A9" s="68">
        <f>EUETS_period!C9</f>
        <v>2027</v>
      </c>
      <c r="B9" s="2">
        <f>EUETS_period!K9</f>
        <v>489.346334127109</v>
      </c>
    </row>
    <row r="10" spans="1:2" x14ac:dyDescent="0.25">
      <c r="A10" s="68">
        <f>EUETS_period!C10</f>
        <v>2028</v>
      </c>
      <c r="B10" s="2">
        <f>EUETS_period!K10</f>
        <v>277.97096170486475</v>
      </c>
    </row>
    <row r="11" spans="1:2" x14ac:dyDescent="0.25">
      <c r="A11" s="68">
        <f>EUETS_period!C11</f>
        <v>2029</v>
      </c>
      <c r="B11" s="2">
        <f>EUETS_period!K11</f>
        <v>259.39961427936578</v>
      </c>
    </row>
    <row r="12" spans="1:2" x14ac:dyDescent="0.25">
      <c r="A12" s="68">
        <f>EUETS_period!C12</f>
        <v>2030</v>
      </c>
      <c r="B12" s="2">
        <f>EUETS_period!K12</f>
        <v>299.99999999999636</v>
      </c>
    </row>
    <row r="13" spans="1:2" x14ac:dyDescent="0.25">
      <c r="A13" s="68">
        <f>EUETS_period!C13</f>
        <v>2035</v>
      </c>
      <c r="B13" s="2">
        <f>EUETS_period!K13</f>
        <v>810.93975711233361</v>
      </c>
    </row>
    <row r="14" spans="1:2" x14ac:dyDescent="0.25">
      <c r="A14" s="68">
        <f>EUETS_period!C14</f>
        <v>2040</v>
      </c>
      <c r="B14" s="2">
        <f>EUETS_period!K14</f>
        <v>467.10100237034203</v>
      </c>
    </row>
    <row r="15" spans="1:2" x14ac:dyDescent="0.25">
      <c r="A15" s="68">
        <f>EUETS_period!C15</f>
        <v>2045</v>
      </c>
      <c r="B15" s="2">
        <f>EUETS_period!K15</f>
        <v>8.3642546087503433E-5</v>
      </c>
    </row>
    <row r="16" spans="1:2" x14ac:dyDescent="0.25">
      <c r="A16" s="68">
        <f>EUETS_period!C16</f>
        <v>2050</v>
      </c>
      <c r="B16" s="2">
        <f>EUETS_period!K16</f>
        <v>-6.6357453761156648E-5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7"/>
  <sheetViews>
    <sheetView zoomScale="145" zoomScaleNormal="145" workbookViewId="0">
      <selection activeCell="A2" sqref="A2:O2"/>
    </sheetView>
  </sheetViews>
  <sheetFormatPr baseColWidth="10" defaultRowHeight="13.5" x14ac:dyDescent="0.25"/>
  <cols>
    <col min="1" max="1" width="6.83203125" style="69" customWidth="1"/>
    <col min="2" max="2" width="8.1640625" style="8" bestFit="1" customWidth="1"/>
    <col min="3" max="3" width="6.5" style="8" customWidth="1"/>
    <col min="4" max="15" width="6.83203125" style="8" customWidth="1"/>
    <col min="16" max="16384" width="12" style="8"/>
  </cols>
  <sheetData>
    <row r="1" spans="1:15" s="38" customFormat="1" x14ac:dyDescent="0.25">
      <c r="A1" s="97" t="s">
        <v>36</v>
      </c>
      <c r="B1" s="97" t="s">
        <v>92</v>
      </c>
      <c r="C1" s="97" t="s">
        <v>93</v>
      </c>
      <c r="D1" s="97" t="s">
        <v>94</v>
      </c>
      <c r="E1" s="97" t="s">
        <v>95</v>
      </c>
      <c r="F1" s="97" t="s">
        <v>96</v>
      </c>
      <c r="G1" s="97" t="s">
        <v>97</v>
      </c>
      <c r="H1" s="97" t="s">
        <v>98</v>
      </c>
      <c r="I1" s="97" t="s">
        <v>99</v>
      </c>
      <c r="J1" s="97" t="s">
        <v>100</v>
      </c>
      <c r="K1" s="97" t="s">
        <v>101</v>
      </c>
      <c r="L1" s="98" t="s">
        <v>37</v>
      </c>
      <c r="M1" s="98" t="s">
        <v>38</v>
      </c>
      <c r="N1" s="98" t="s">
        <v>39</v>
      </c>
      <c r="O1" s="98" t="s">
        <v>40</v>
      </c>
    </row>
    <row r="2" spans="1:15" x14ac:dyDescent="0.25">
      <c r="A2" s="78">
        <v>633.64486084220198</v>
      </c>
      <c r="B2" s="78">
        <v>636.25556802857386</v>
      </c>
      <c r="C2" s="78">
        <v>610.59496261538288</v>
      </c>
      <c r="D2" s="78">
        <v>608.49357243191093</v>
      </c>
      <c r="E2" s="78">
        <v>668.02787750643745</v>
      </c>
      <c r="F2" s="78">
        <v>670.56463832972554</v>
      </c>
      <c r="G2" s="78">
        <v>665.44696696227618</v>
      </c>
      <c r="H2" s="78">
        <v>660.81129253138045</v>
      </c>
      <c r="I2" s="78">
        <v>591.50042054846961</v>
      </c>
      <c r="J2" s="78">
        <v>525.60025535424393</v>
      </c>
      <c r="K2" s="79">
        <v>436.80303577852681</v>
      </c>
      <c r="L2" s="79">
        <v>470.5182603707143</v>
      </c>
      <c r="M2" s="79">
        <v>316.77346459302407</v>
      </c>
      <c r="N2" s="79">
        <v>174.46510000000004</v>
      </c>
      <c r="O2" s="79">
        <v>128.17679999999999</v>
      </c>
    </row>
    <row r="3" spans="1:15" x14ac:dyDescent="0.25">
      <c r="A3" s="95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</row>
    <row r="4" spans="1:15" x14ac:dyDescent="0.25">
      <c r="A4" s="68">
        <v>2020</v>
      </c>
      <c r="B4" s="80">
        <f>C4</f>
        <v>633.64486084220198</v>
      </c>
      <c r="C4" s="81">
        <f>A2</f>
        <v>633.64486084220198</v>
      </c>
      <c r="F4" s="154"/>
      <c r="G4" s="152"/>
    </row>
    <row r="5" spans="1:15" x14ac:dyDescent="0.25">
      <c r="A5" s="68">
        <v>2021</v>
      </c>
      <c r="B5" s="80">
        <f t="shared" ref="B5" si="0">C5</f>
        <v>636.25556802857386</v>
      </c>
      <c r="C5" s="81">
        <f>B2</f>
        <v>636.25556802857386</v>
      </c>
      <c r="F5" s="154"/>
      <c r="G5" s="152"/>
    </row>
    <row r="6" spans="1:15" x14ac:dyDescent="0.25">
      <c r="A6" s="68">
        <v>2022</v>
      </c>
      <c r="B6" s="80">
        <f>C6</f>
        <v>610.59496261538288</v>
      </c>
      <c r="C6" s="81">
        <f>C2</f>
        <v>610.59496261538288</v>
      </c>
      <c r="F6" s="154"/>
      <c r="G6" s="152"/>
    </row>
    <row r="7" spans="1:15" x14ac:dyDescent="0.25">
      <c r="A7" s="68">
        <v>2023</v>
      </c>
      <c r="B7" s="80">
        <f t="shared" ref="B7:B17" si="1">C7*D7</f>
        <v>608.49357243191093</v>
      </c>
      <c r="C7" s="81">
        <f>D2</f>
        <v>608.49357243191093</v>
      </c>
      <c r="D7" s="8">
        <v>1</v>
      </c>
      <c r="F7" s="154"/>
      <c r="G7" s="152"/>
    </row>
    <row r="8" spans="1:15" x14ac:dyDescent="0.25">
      <c r="A8" s="68">
        <v>2024</v>
      </c>
      <c r="B8" s="80">
        <f t="shared" si="1"/>
        <v>668.02787750643745</v>
      </c>
      <c r="C8" s="81">
        <f>E2</f>
        <v>668.02787750643745</v>
      </c>
      <c r="D8" s="8">
        <f t="shared" ref="D8:D17" si="2">D7</f>
        <v>1</v>
      </c>
      <c r="F8" s="154"/>
      <c r="G8" s="152"/>
    </row>
    <row r="9" spans="1:15" x14ac:dyDescent="0.25">
      <c r="A9" s="68">
        <v>2025</v>
      </c>
      <c r="B9" s="80">
        <f t="shared" si="1"/>
        <v>670.56463832972554</v>
      </c>
      <c r="C9" s="81">
        <f>F2</f>
        <v>670.56463832972554</v>
      </c>
      <c r="D9" s="8">
        <f t="shared" si="2"/>
        <v>1</v>
      </c>
      <c r="F9" s="154"/>
      <c r="G9" s="152"/>
    </row>
    <row r="10" spans="1:15" x14ac:dyDescent="0.25">
      <c r="A10" s="68">
        <v>2026</v>
      </c>
      <c r="B10" s="80">
        <f t="shared" si="1"/>
        <v>665.44696696227618</v>
      </c>
      <c r="C10" s="81">
        <f>G2</f>
        <v>665.44696696227618</v>
      </c>
      <c r="D10" s="8">
        <f t="shared" si="2"/>
        <v>1</v>
      </c>
      <c r="F10" s="154"/>
      <c r="G10" s="152"/>
    </row>
    <row r="11" spans="1:15" x14ac:dyDescent="0.25">
      <c r="A11" s="68">
        <v>2027</v>
      </c>
      <c r="B11" s="80">
        <f t="shared" si="1"/>
        <v>660.81129253138045</v>
      </c>
      <c r="C11" s="81">
        <f>H2</f>
        <v>660.81129253138045</v>
      </c>
      <c r="D11" s="8">
        <f t="shared" si="2"/>
        <v>1</v>
      </c>
      <c r="F11" s="154"/>
      <c r="G11" s="152"/>
    </row>
    <row r="12" spans="1:15" x14ac:dyDescent="0.25">
      <c r="A12" s="68">
        <v>2028</v>
      </c>
      <c r="B12" s="80">
        <f t="shared" si="1"/>
        <v>591.50042054846961</v>
      </c>
      <c r="C12" s="81">
        <f>I2</f>
        <v>591.50042054846961</v>
      </c>
      <c r="D12" s="8">
        <f t="shared" si="2"/>
        <v>1</v>
      </c>
      <c r="F12" s="154"/>
      <c r="G12" s="152"/>
    </row>
    <row r="13" spans="1:15" x14ac:dyDescent="0.25">
      <c r="A13" s="68">
        <v>2029</v>
      </c>
      <c r="B13" s="80">
        <f t="shared" si="1"/>
        <v>525.60025535424393</v>
      </c>
      <c r="C13" s="81">
        <f>J2</f>
        <v>525.60025535424393</v>
      </c>
      <c r="D13" s="8">
        <f t="shared" si="2"/>
        <v>1</v>
      </c>
      <c r="F13" s="154"/>
      <c r="G13" s="152"/>
    </row>
    <row r="14" spans="1:15" x14ac:dyDescent="0.25">
      <c r="A14" s="68">
        <v>2030</v>
      </c>
      <c r="B14" s="80">
        <f t="shared" si="1"/>
        <v>436.80303577852681</v>
      </c>
      <c r="C14" s="81">
        <f>K2</f>
        <v>436.80303577852681</v>
      </c>
      <c r="D14" s="8">
        <f t="shared" si="2"/>
        <v>1</v>
      </c>
      <c r="F14" s="154"/>
      <c r="G14" s="152"/>
    </row>
    <row r="15" spans="1:15" x14ac:dyDescent="0.25">
      <c r="A15" s="68">
        <f t="shared" ref="A15:A18" si="3">A14+5</f>
        <v>2035</v>
      </c>
      <c r="B15" s="80">
        <f t="shared" si="1"/>
        <v>470.5182603707143</v>
      </c>
      <c r="C15" s="81">
        <f>L2</f>
        <v>470.5182603707143</v>
      </c>
      <c r="D15" s="8">
        <f t="shared" si="2"/>
        <v>1</v>
      </c>
      <c r="F15" s="154"/>
      <c r="G15" s="152"/>
    </row>
    <row r="16" spans="1:15" x14ac:dyDescent="0.25">
      <c r="A16" s="68">
        <f t="shared" si="3"/>
        <v>2040</v>
      </c>
      <c r="B16" s="80">
        <f t="shared" si="1"/>
        <v>316.77346459302407</v>
      </c>
      <c r="C16" s="81">
        <f>M2</f>
        <v>316.77346459302407</v>
      </c>
      <c r="D16" s="8">
        <f t="shared" si="2"/>
        <v>1</v>
      </c>
      <c r="F16" s="154"/>
      <c r="G16" s="152"/>
    </row>
    <row r="17" spans="1:7" x14ac:dyDescent="0.25">
      <c r="A17" s="68">
        <f t="shared" si="3"/>
        <v>2045</v>
      </c>
      <c r="B17" s="80">
        <f t="shared" si="1"/>
        <v>174.46510000000004</v>
      </c>
      <c r="C17" s="81">
        <f>N2</f>
        <v>174.46510000000004</v>
      </c>
      <c r="D17" s="8">
        <f t="shared" si="2"/>
        <v>1</v>
      </c>
      <c r="F17" s="154"/>
      <c r="G17" s="152"/>
    </row>
    <row r="18" spans="1:7" x14ac:dyDescent="0.25">
      <c r="A18" s="68">
        <f t="shared" si="3"/>
        <v>2050</v>
      </c>
      <c r="B18" s="80">
        <f t="shared" ref="B18" si="4">C18</f>
        <v>128.17679999999999</v>
      </c>
      <c r="C18" s="81">
        <f>O2</f>
        <v>128.17679999999999</v>
      </c>
      <c r="F18" s="154"/>
      <c r="G18" s="152"/>
    </row>
    <row r="23" spans="1:7" x14ac:dyDescent="0.25">
      <c r="C23" s="152"/>
    </row>
    <row r="24" spans="1:7" x14ac:dyDescent="0.25">
      <c r="C24" s="152"/>
    </row>
    <row r="25" spans="1:7" x14ac:dyDescent="0.25">
      <c r="C25" s="152"/>
    </row>
    <row r="26" spans="1:7" x14ac:dyDescent="0.25">
      <c r="C26" s="152"/>
    </row>
    <row r="27" spans="1:7" x14ac:dyDescent="0.25">
      <c r="C27" s="152"/>
    </row>
    <row r="28" spans="1:7" x14ac:dyDescent="0.25">
      <c r="C28" s="152"/>
    </row>
    <row r="29" spans="1:7" x14ac:dyDescent="0.25">
      <c r="C29" s="152"/>
    </row>
    <row r="30" spans="1:7" x14ac:dyDescent="0.25">
      <c r="C30" s="152"/>
    </row>
    <row r="31" spans="1:7" x14ac:dyDescent="0.25">
      <c r="C31" s="152"/>
    </row>
    <row r="32" spans="1:7" x14ac:dyDescent="0.25">
      <c r="C32" s="152"/>
    </row>
    <row r="34" spans="3:3" x14ac:dyDescent="0.25">
      <c r="C34" s="152"/>
    </row>
    <row r="35" spans="3:3" x14ac:dyDescent="0.25">
      <c r="C35" s="152"/>
    </row>
    <row r="36" spans="3:3" x14ac:dyDescent="0.25">
      <c r="C36" s="152"/>
    </row>
    <row r="37" spans="3:3" x14ac:dyDescent="0.25">
      <c r="C37" s="152"/>
    </row>
  </sheetData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6"/>
  <sheetViews>
    <sheetView zoomScale="145" zoomScaleNormal="145" workbookViewId="0">
      <selection activeCell="O7" sqref="O7"/>
    </sheetView>
  </sheetViews>
  <sheetFormatPr baseColWidth="10" defaultRowHeight="13.5" x14ac:dyDescent="0.25"/>
  <sheetData>
    <row r="1" spans="1:2" x14ac:dyDescent="0.25">
      <c r="A1" s="67" t="s">
        <v>35</v>
      </c>
      <c r="B1" s="30" t="s">
        <v>58</v>
      </c>
    </row>
    <row r="2" spans="1:2" x14ac:dyDescent="0.25">
      <c r="A2" s="68">
        <f>EUETS_period!C2</f>
        <v>2020</v>
      </c>
      <c r="B2" s="2">
        <f>EUETS_period!L2</f>
        <v>-193.27626000000373</v>
      </c>
    </row>
    <row r="3" spans="1:2" x14ac:dyDescent="0.25">
      <c r="A3" s="68">
        <f>EUETS_period!C3</f>
        <v>2021</v>
      </c>
      <c r="B3" s="2">
        <f>EUETS_period!L3</f>
        <v>129.55824399999801</v>
      </c>
    </row>
    <row r="4" spans="1:2" x14ac:dyDescent="0.25">
      <c r="A4" s="68">
        <f>EUETS_period!C4</f>
        <v>2022</v>
      </c>
      <c r="B4" s="2">
        <f>EUETS_period!L4</f>
        <v>314.41944400000421</v>
      </c>
    </row>
    <row r="5" spans="1:2" x14ac:dyDescent="0.25">
      <c r="A5" s="68">
        <f>EUETS_period!C5</f>
        <v>2023</v>
      </c>
      <c r="B5" s="2">
        <f>EUETS_period!L5</f>
        <v>64.928149844734435</v>
      </c>
    </row>
    <row r="6" spans="1:2" x14ac:dyDescent="0.25">
      <c r="A6" s="68">
        <f>EUETS_period!C6</f>
        <v>2024</v>
      </c>
      <c r="B6" s="2">
        <f>EUETS_period!L6</f>
        <v>82.850496623181698</v>
      </c>
    </row>
    <row r="7" spans="1:2" x14ac:dyDescent="0.25">
      <c r="A7" s="68">
        <f>EUETS_period!C7</f>
        <v>2025</v>
      </c>
      <c r="B7" s="2">
        <f>EUETS_period!L7</f>
        <v>166.21502850218894</v>
      </c>
    </row>
    <row r="8" spans="1:2" x14ac:dyDescent="0.25">
      <c r="A8" s="68">
        <f>EUETS_period!C8</f>
        <v>2026</v>
      </c>
      <c r="B8" s="2">
        <f>EUETS_period!L8</f>
        <v>135.56197987473206</v>
      </c>
    </row>
    <row r="9" spans="1:2" x14ac:dyDescent="0.25">
      <c r="A9" s="68">
        <f>EUETS_period!C9</f>
        <v>2027</v>
      </c>
      <c r="B9" s="2">
        <f>EUETS_period!L9</f>
        <v>195.89274902805482</v>
      </c>
    </row>
    <row r="10" spans="1:2" x14ac:dyDescent="0.25">
      <c r="A10" s="68">
        <f>EUETS_period!C10</f>
        <v>2028</v>
      </c>
      <c r="B10" s="2">
        <f>EUETS_period!L10</f>
        <v>211.37537242224425</v>
      </c>
    </row>
    <row r="11" spans="1:2" x14ac:dyDescent="0.25">
      <c r="A11" s="68">
        <f>EUETS_period!C11</f>
        <v>2029</v>
      </c>
      <c r="B11" s="2">
        <f>EUETS_period!L11</f>
        <v>18.571347425498971</v>
      </c>
    </row>
    <row r="12" spans="1:2" x14ac:dyDescent="0.25">
      <c r="A12" s="68">
        <f>EUETS_period!C12</f>
        <v>2030</v>
      </c>
      <c r="B12" s="2">
        <f>EUETS_period!L12</f>
        <v>-40.600385720630584</v>
      </c>
    </row>
    <row r="13" spans="1:2" x14ac:dyDescent="0.25">
      <c r="A13" s="68">
        <f>EUETS_period!C13</f>
        <v>2035</v>
      </c>
      <c r="B13" s="2">
        <f>EUETS_period!L13</f>
        <v>-102.18795142246745</v>
      </c>
    </row>
    <row r="14" spans="1:2" x14ac:dyDescent="0.25">
      <c r="A14" s="68">
        <f>EUETS_period!C14</f>
        <v>2040</v>
      </c>
      <c r="B14" s="2">
        <f>EUETS_period!L14</f>
        <v>68.767750948398316</v>
      </c>
    </row>
    <row r="15" spans="1:2" x14ac:dyDescent="0.25">
      <c r="A15" s="68">
        <f>EUETS_period!C15</f>
        <v>2045</v>
      </c>
      <c r="B15" s="2">
        <f>EUETS_period!L15</f>
        <v>93.420183745559186</v>
      </c>
    </row>
    <row r="16" spans="1:2" x14ac:dyDescent="0.25">
      <c r="A16" s="68">
        <f>EUETS_period!C16</f>
        <v>2050</v>
      </c>
      <c r="B16" s="2">
        <f>EUETS_period!L16</f>
        <v>2.9999999969732017E-5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6"/>
  <sheetViews>
    <sheetView zoomScale="145" zoomScaleNormal="145" workbookViewId="0">
      <selection activeCell="B2" sqref="B2:B16"/>
    </sheetView>
  </sheetViews>
  <sheetFormatPr baseColWidth="10" defaultRowHeight="13.5" x14ac:dyDescent="0.25"/>
  <sheetData>
    <row r="1" spans="1:2" x14ac:dyDescent="0.25">
      <c r="A1" s="67" t="s">
        <v>35</v>
      </c>
      <c r="B1" s="30" t="s">
        <v>59</v>
      </c>
    </row>
    <row r="2" spans="1:2" x14ac:dyDescent="0.25">
      <c r="A2" s="68">
        <f>EUETS_period!C2</f>
        <v>2020</v>
      </c>
      <c r="B2" s="2">
        <f>EUETS_period!N2</f>
        <v>1078.7724260000032</v>
      </c>
    </row>
    <row r="3" spans="1:2" x14ac:dyDescent="0.25">
      <c r="A3" s="68">
        <f>EUETS_period!C3</f>
        <v>2021</v>
      </c>
      <c r="B3" s="2">
        <f>EUETS_period!N3</f>
        <v>949.21418200000517</v>
      </c>
    </row>
    <row r="4" spans="1:2" x14ac:dyDescent="0.25">
      <c r="A4" s="68">
        <f>EUETS_period!C4</f>
        <v>2022</v>
      </c>
      <c r="B4" s="2">
        <f>EUETS_period!N4</f>
        <v>634.79473800000096</v>
      </c>
    </row>
    <row r="5" spans="1:2" x14ac:dyDescent="0.25">
      <c r="A5" s="68">
        <f>EUETS_period!C5</f>
        <v>2023</v>
      </c>
      <c r="B5" s="2">
        <f>EUETS_period!N5</f>
        <v>591.60571859004915</v>
      </c>
    </row>
    <row r="6" spans="1:2" x14ac:dyDescent="0.25">
      <c r="A6" s="68">
        <f>EUETS_period!C6</f>
        <v>2024</v>
      </c>
      <c r="B6" s="2">
        <f>EUETS_period!N6</f>
        <v>530.49435240165008</v>
      </c>
    </row>
    <row r="7" spans="1:2" x14ac:dyDescent="0.25">
      <c r="A7" s="68">
        <f>EUETS_period!C7</f>
        <v>2025</v>
      </c>
      <c r="B7" s="2">
        <f>EUETS_period!N7</f>
        <v>386.0184543342437</v>
      </c>
    </row>
    <row r="8" spans="1:2" x14ac:dyDescent="0.25">
      <c r="A8" s="68">
        <f>EUETS_period!C8</f>
        <v>2026</v>
      </c>
      <c r="B8" s="2">
        <f>EUETS_period!N8</f>
        <v>272.19560489429426</v>
      </c>
    </row>
    <row r="9" spans="1:2" x14ac:dyDescent="0.25">
      <c r="A9" s="68">
        <f>EUETS_period!C9</f>
        <v>2027</v>
      </c>
      <c r="B9" s="2">
        <f>EUETS_period!N9</f>
        <v>98.041986301022064</v>
      </c>
    </row>
    <row r="10" spans="1:2" x14ac:dyDescent="0.25">
      <c r="A10" s="68">
        <f>EUETS_period!C10</f>
        <v>2028</v>
      </c>
      <c r="B10" s="2">
        <f>EUETS_period!N10</f>
        <v>0</v>
      </c>
    </row>
    <row r="11" spans="1:2" x14ac:dyDescent="0.25">
      <c r="A11" s="68">
        <f>EUETS_period!C11</f>
        <v>2029</v>
      </c>
      <c r="B11" s="2">
        <f>EUETS_period!N11</f>
        <v>0</v>
      </c>
    </row>
    <row r="12" spans="1:2" x14ac:dyDescent="0.25">
      <c r="A12" s="68">
        <f>EUETS_period!C12</f>
        <v>2030</v>
      </c>
      <c r="B12" s="2">
        <f>EUETS_period!N12</f>
        <v>0</v>
      </c>
    </row>
    <row r="13" spans="1:2" x14ac:dyDescent="0.25">
      <c r="A13" s="68">
        <f>EUETS_period!C13</f>
        <v>2035</v>
      </c>
      <c r="B13" s="2">
        <f>EUETS_period!N13</f>
        <v>593.54845276450749</v>
      </c>
    </row>
    <row r="14" spans="1:2" x14ac:dyDescent="0.25">
      <c r="A14" s="68">
        <f>EUETS_period!C14</f>
        <v>2040</v>
      </c>
      <c r="B14" s="2">
        <f>EUETS_period!N14</f>
        <v>358.40535019642897</v>
      </c>
    </row>
    <row r="15" spans="1:2" x14ac:dyDescent="0.25">
      <c r="A15" s="68">
        <f>EUETS_period!C15</f>
        <v>2045</v>
      </c>
      <c r="B15" s="2">
        <f>EUETS_period!N15</f>
        <v>8.3642546087503433E-5</v>
      </c>
    </row>
    <row r="16" spans="1:2" x14ac:dyDescent="0.25">
      <c r="A16" s="68">
        <f>EUETS_period!C16</f>
        <v>2050</v>
      </c>
      <c r="B16" s="2">
        <f>EUETS_period!N16</f>
        <v>-6.6357453761156648E-5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6"/>
  <sheetViews>
    <sheetView zoomScale="145" zoomScaleNormal="145" workbookViewId="0">
      <selection activeCell="E16" sqref="E16"/>
    </sheetView>
  </sheetViews>
  <sheetFormatPr baseColWidth="10" defaultRowHeight="13.5" x14ac:dyDescent="0.25"/>
  <sheetData>
    <row r="1" spans="1:2" x14ac:dyDescent="0.25">
      <c r="A1" s="67" t="s">
        <v>35</v>
      </c>
      <c r="B1" s="30" t="s">
        <v>58</v>
      </c>
    </row>
    <row r="2" spans="1:2" x14ac:dyDescent="0.25">
      <c r="A2" s="68">
        <f>EUETS_period!C2</f>
        <v>2020</v>
      </c>
      <c r="B2" s="2">
        <f>EUETS_period!O2</f>
        <v>-193.27626000000373</v>
      </c>
    </row>
    <row r="3" spans="1:2" x14ac:dyDescent="0.25">
      <c r="A3" s="68">
        <f>EUETS_period!C3</f>
        <v>2021</v>
      </c>
      <c r="B3" s="2">
        <f>EUETS_period!O3</f>
        <v>129.55824399999801</v>
      </c>
    </row>
    <row r="4" spans="1:2" x14ac:dyDescent="0.25">
      <c r="A4" s="68">
        <f>EUETS_period!C4</f>
        <v>2022</v>
      </c>
      <c r="B4" s="2">
        <f>EUETS_period!O4</f>
        <v>314.41944400000421</v>
      </c>
    </row>
    <row r="5" spans="1:2" x14ac:dyDescent="0.25">
      <c r="A5" s="68">
        <f>EUETS_period!C5</f>
        <v>2023</v>
      </c>
      <c r="B5" s="2">
        <f>EUETS_period!O5</f>
        <v>43.189019409951811</v>
      </c>
    </row>
    <row r="6" spans="1:2" x14ac:dyDescent="0.25">
      <c r="A6" s="68">
        <f>EUETS_period!C6</f>
        <v>2024</v>
      </c>
      <c r="B6" s="2">
        <f>EUETS_period!O6</f>
        <v>61.111366188399074</v>
      </c>
    </row>
    <row r="7" spans="1:2" x14ac:dyDescent="0.25">
      <c r="A7" s="68">
        <f>EUETS_period!C7</f>
        <v>2025</v>
      </c>
      <c r="B7" s="2">
        <f>EUETS_period!O7</f>
        <v>144.47589806740638</v>
      </c>
    </row>
    <row r="8" spans="1:2" x14ac:dyDescent="0.25">
      <c r="A8" s="68">
        <f>EUETS_period!C8</f>
        <v>2026</v>
      </c>
      <c r="B8" s="2">
        <f>EUETS_period!O8</f>
        <v>113.82284943994944</v>
      </c>
    </row>
    <row r="9" spans="1:2" x14ac:dyDescent="0.25">
      <c r="A9" s="68">
        <f>EUETS_period!C9</f>
        <v>2027</v>
      </c>
      <c r="B9" s="2">
        <f>EUETS_period!O9</f>
        <v>174.1536185932722</v>
      </c>
    </row>
    <row r="10" spans="1:2" x14ac:dyDescent="0.25">
      <c r="A10" s="68">
        <f>EUETS_period!C10</f>
        <v>2028</v>
      </c>
      <c r="B10" s="2">
        <f>EUETS_period!O10</f>
        <v>98.041986301022064</v>
      </c>
    </row>
    <row r="11" spans="1:2" x14ac:dyDescent="0.25">
      <c r="A11" s="68">
        <f>EUETS_period!C11</f>
        <v>2029</v>
      </c>
      <c r="B11" s="2">
        <f>EUETS_period!O11</f>
        <v>0</v>
      </c>
    </row>
    <row r="12" spans="1:2" x14ac:dyDescent="0.25">
      <c r="A12" s="68">
        <f>EUETS_period!C12</f>
        <v>2030</v>
      </c>
      <c r="B12" s="2">
        <f>EUETS_period!O12</f>
        <v>0</v>
      </c>
    </row>
    <row r="13" spans="1:2" x14ac:dyDescent="0.25">
      <c r="A13" s="68">
        <f>EUETS_period!C13</f>
        <v>2035</v>
      </c>
      <c r="B13" s="2">
        <f>EUETS_period!O13</f>
        <v>-118.70969055290149</v>
      </c>
    </row>
    <row r="14" spans="1:2" x14ac:dyDescent="0.25">
      <c r="A14" s="68">
        <f>EUETS_period!C14</f>
        <v>2040</v>
      </c>
      <c r="B14" s="2">
        <f>EUETS_period!O14</f>
        <v>47.028620513615706</v>
      </c>
    </row>
    <row r="15" spans="1:2" x14ac:dyDescent="0.25">
      <c r="A15" s="68">
        <f>EUETS_period!C15</f>
        <v>2045</v>
      </c>
      <c r="B15" s="2">
        <f>EUETS_period!O15</f>
        <v>71.681053310776576</v>
      </c>
    </row>
    <row r="16" spans="1:2" x14ac:dyDescent="0.25">
      <c r="A16" s="68">
        <f>EUETS_period!C16</f>
        <v>2050</v>
      </c>
      <c r="B16" s="2">
        <f>EUETS_period!O16</f>
        <v>2.9999999969732017E-5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6"/>
  <sheetViews>
    <sheetView workbookViewId="0">
      <selection activeCell="A3" sqref="A3"/>
    </sheetView>
  </sheetViews>
  <sheetFormatPr baseColWidth="10" defaultRowHeight="13.5" x14ac:dyDescent="0.25"/>
  <sheetData>
    <row r="1" spans="1:2" x14ac:dyDescent="0.25">
      <c r="A1" s="67" t="s">
        <v>35</v>
      </c>
      <c r="B1" s="30" t="s">
        <v>69</v>
      </c>
    </row>
    <row r="2" spans="1:2" x14ac:dyDescent="0.25">
      <c r="A2" s="68">
        <f>EUETS_period!C2</f>
        <v>2020</v>
      </c>
      <c r="B2" s="2">
        <f>EUETS_period!F2</f>
        <v>28.623086000000001</v>
      </c>
    </row>
    <row r="3" spans="1:2" x14ac:dyDescent="0.25">
      <c r="A3" s="68">
        <f>EUETS_period!C3</f>
        <v>2021</v>
      </c>
      <c r="B3" s="2">
        <f>EUETS_period!F3</f>
        <v>25.616902000000014</v>
      </c>
    </row>
    <row r="4" spans="1:2" x14ac:dyDescent="0.25">
      <c r="A4" s="68">
        <f>EUETS_period!C4</f>
        <v>2022</v>
      </c>
      <c r="B4" s="2">
        <f>EUETS_period!F4</f>
        <v>7.2137890000000002</v>
      </c>
    </row>
    <row r="5" spans="1:2" x14ac:dyDescent="0.25">
      <c r="A5" s="68">
        <f>EUETS_period!C5</f>
        <v>2023</v>
      </c>
      <c r="B5" s="2">
        <f>EUETS_period!F5</f>
        <v>0</v>
      </c>
    </row>
    <row r="6" spans="1:2" x14ac:dyDescent="0.25">
      <c r="A6" s="68">
        <f>EUETS_period!C6</f>
        <v>2024</v>
      </c>
      <c r="B6" s="2">
        <f>EUETS_period!F6</f>
        <v>0</v>
      </c>
    </row>
    <row r="7" spans="1:2" x14ac:dyDescent="0.25">
      <c r="A7" s="68">
        <f>EUETS_period!C7</f>
        <v>2025</v>
      </c>
      <c r="B7" s="2">
        <f>EUETS_period!F7</f>
        <v>0</v>
      </c>
    </row>
    <row r="8" spans="1:2" x14ac:dyDescent="0.25">
      <c r="A8" s="68">
        <f>EUETS_period!C8</f>
        <v>2026</v>
      </c>
      <c r="B8" s="2">
        <f>EUETS_period!F8</f>
        <v>0</v>
      </c>
    </row>
    <row r="9" spans="1:2" x14ac:dyDescent="0.25">
      <c r="A9" s="68">
        <f>EUETS_period!C9</f>
        <v>2027</v>
      </c>
      <c r="B9" s="2">
        <f>EUETS_period!F9</f>
        <v>0</v>
      </c>
    </row>
    <row r="10" spans="1:2" x14ac:dyDescent="0.25">
      <c r="A10" s="68">
        <f>EUETS_period!C10</f>
        <v>2028</v>
      </c>
      <c r="B10" s="2">
        <f>EUETS_period!F10</f>
        <v>0</v>
      </c>
    </row>
    <row r="11" spans="1:2" x14ac:dyDescent="0.25">
      <c r="A11" s="68">
        <f>EUETS_period!C11</f>
        <v>2029</v>
      </c>
      <c r="B11" s="2">
        <f>EUETS_period!F11</f>
        <v>0</v>
      </c>
    </row>
    <row r="12" spans="1:2" x14ac:dyDescent="0.25">
      <c r="A12" s="68">
        <f>EUETS_period!C12</f>
        <v>2030</v>
      </c>
      <c r="B12" s="2">
        <f>EUETS_period!F12</f>
        <v>0</v>
      </c>
    </row>
    <row r="13" spans="1:2" x14ac:dyDescent="0.25">
      <c r="A13" s="68">
        <f>EUETS_period!C13</f>
        <v>2035</v>
      </c>
      <c r="B13" s="2">
        <f>EUETS_period!F13</f>
        <v>0</v>
      </c>
    </row>
    <row r="14" spans="1:2" x14ac:dyDescent="0.25">
      <c r="A14" s="68">
        <f>EUETS_period!C14</f>
        <v>2040</v>
      </c>
      <c r="B14" s="2">
        <f>EUETS_period!F14</f>
        <v>0</v>
      </c>
    </row>
    <row r="15" spans="1:2" x14ac:dyDescent="0.25">
      <c r="A15" s="68">
        <f>EUETS_period!C15</f>
        <v>2045</v>
      </c>
      <c r="B15" s="2">
        <f>EUETS_period!F15</f>
        <v>0</v>
      </c>
    </row>
    <row r="16" spans="1:2" x14ac:dyDescent="0.25">
      <c r="A16" s="68">
        <f>EUETS_period!C16</f>
        <v>2050</v>
      </c>
      <c r="B16" s="2">
        <f>EUETS_period!F16</f>
        <v>0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6"/>
  <sheetViews>
    <sheetView zoomScale="145" zoomScaleNormal="145" workbookViewId="0">
      <selection activeCell="A3" sqref="A3"/>
    </sheetView>
  </sheetViews>
  <sheetFormatPr baseColWidth="10" defaultRowHeight="13.5" x14ac:dyDescent="0.25"/>
  <sheetData>
    <row r="1" spans="1:2" x14ac:dyDescent="0.25">
      <c r="A1" s="67" t="s">
        <v>35</v>
      </c>
      <c r="B1" s="30" t="s">
        <v>70</v>
      </c>
    </row>
    <row r="2" spans="1:2" x14ac:dyDescent="0.25">
      <c r="A2" s="68">
        <f>EUETS_period!C2</f>
        <v>2020</v>
      </c>
      <c r="B2" s="2">
        <f>EUETS_period!E2</f>
        <v>990.44226700000308</v>
      </c>
    </row>
    <row r="3" spans="1:2" x14ac:dyDescent="0.25">
      <c r="A3" s="68">
        <f>EUETS_period!C3</f>
        <v>2021</v>
      </c>
      <c r="B3" s="2">
        <f>EUETS_period!E3</f>
        <v>937.29631900000254</v>
      </c>
    </row>
    <row r="4" spans="1:2" x14ac:dyDescent="0.25">
      <c r="A4" s="68">
        <f>EUETS_period!C4</f>
        <v>2022</v>
      </c>
      <c r="B4" s="2">
        <f>EUETS_period!E4</f>
        <v>714.18518310000013</v>
      </c>
    </row>
    <row r="5" spans="1:2" x14ac:dyDescent="0.25">
      <c r="A5" s="68">
        <f>EUETS_period!C5</f>
        <v>2023</v>
      </c>
      <c r="B5" s="2">
        <f>EUETS_period!E5</f>
        <v>593.17559433080078</v>
      </c>
    </row>
    <row r="6" spans="1:2" x14ac:dyDescent="0.25">
      <c r="A6" s="68">
        <f>EUETS_period!C6</f>
        <v>2024</v>
      </c>
      <c r="B6" s="2">
        <f>EUETS_period!E6</f>
        <v>594.32570921612717</v>
      </c>
    </row>
    <row r="7" spans="1:2" x14ac:dyDescent="0.25">
      <c r="A7" s="68">
        <f>EUETS_period!C7</f>
        <v>2025</v>
      </c>
      <c r="B7" s="2">
        <f>EUETS_period!E7</f>
        <v>568.17377223431333</v>
      </c>
    </row>
    <row r="8" spans="1:2" x14ac:dyDescent="0.25">
      <c r="A8" s="68">
        <f>EUETS_period!C8</f>
        <v>2026</v>
      </c>
      <c r="B8" s="2">
        <f>EUETS_period!E8</f>
        <v>535.64581831381088</v>
      </c>
    </row>
    <row r="9" spans="1:2" x14ac:dyDescent="0.25">
      <c r="A9" s="68">
        <f>EUETS_period!C9</f>
        <v>2027</v>
      </c>
      <c r="B9" s="2">
        <f>EUETS_period!E9</f>
        <v>503.91885557301458</v>
      </c>
    </row>
    <row r="10" spans="1:2" x14ac:dyDescent="0.25">
      <c r="A10" s="68">
        <f>EUETS_period!C10</f>
        <v>2028</v>
      </c>
      <c r="B10" s="2">
        <f>EUETS_period!E10</f>
        <v>426.00480167393778</v>
      </c>
    </row>
    <row r="11" spans="1:2" x14ac:dyDescent="0.25">
      <c r="A11" s="68">
        <f>EUETS_period!C11</f>
        <v>2029</v>
      </c>
      <c r="B11" s="2">
        <f>EUETS_period!E11</f>
        <v>356.27557640076742</v>
      </c>
    </row>
    <row r="12" spans="1:2" x14ac:dyDescent="0.25">
      <c r="A12" s="68">
        <f>EUETS_period!C12</f>
        <v>2030</v>
      </c>
      <c r="B12" s="2">
        <f>EUETS_period!E12</f>
        <v>277.57977920051371</v>
      </c>
    </row>
    <row r="13" spans="1:2" x14ac:dyDescent="0.25">
      <c r="A13" s="68">
        <f>EUETS_period!C13</f>
        <v>2035</v>
      </c>
      <c r="B13" s="2">
        <f>EUETS_period!E13</f>
        <v>137.71137119777924</v>
      </c>
    </row>
    <row r="14" spans="1:2" x14ac:dyDescent="0.25">
      <c r="A14" s="68">
        <f>EUETS_period!C14</f>
        <v>2040</v>
      </c>
      <c r="B14" s="2">
        <f>EUETS_period!E14</f>
        <v>64.61961543987627</v>
      </c>
    </row>
    <row r="15" spans="1:2" x14ac:dyDescent="0.25">
      <c r="A15" s="68">
        <f>EUETS_period!C15</f>
        <v>2045</v>
      </c>
      <c r="B15" s="2">
        <f>EUETS_period!E15</f>
        <v>16.456210912169219</v>
      </c>
    </row>
    <row r="16" spans="1:2" x14ac:dyDescent="0.25">
      <c r="A16" s="68">
        <f>EUETS_period!C16</f>
        <v>2050</v>
      </c>
      <c r="B16" s="2">
        <f>EUETS_period!E16</f>
        <v>0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6"/>
  <sheetViews>
    <sheetView zoomScale="145" zoomScaleNormal="145" workbookViewId="0">
      <selection activeCell="C2" sqref="C2:C16"/>
    </sheetView>
  </sheetViews>
  <sheetFormatPr baseColWidth="10" defaultRowHeight="13.5" x14ac:dyDescent="0.25"/>
  <sheetData>
    <row r="1" spans="1:3" x14ac:dyDescent="0.25">
      <c r="A1" s="67" t="s">
        <v>35</v>
      </c>
      <c r="B1" s="30" t="s">
        <v>71</v>
      </c>
    </row>
    <row r="2" spans="1:3" x14ac:dyDescent="0.25">
      <c r="A2" s="68">
        <f>EUETS_period!C2</f>
        <v>2020</v>
      </c>
      <c r="B2" s="2">
        <f>EUETS_period!G2</f>
        <v>1154.1302700000001</v>
      </c>
      <c r="C2" s="75"/>
    </row>
    <row r="3" spans="1:3" x14ac:dyDescent="0.25">
      <c r="A3" s="68">
        <f>EUETS_period!C3</f>
        <v>2021</v>
      </c>
      <c r="B3" s="2">
        <f>EUETS_period!G3</f>
        <v>906.07811500000025</v>
      </c>
      <c r="C3" s="75"/>
    </row>
    <row r="4" spans="1:3" x14ac:dyDescent="0.25">
      <c r="A4" s="68">
        <f>EUETS_period!C4</f>
        <v>2022</v>
      </c>
      <c r="B4" s="2">
        <f>EUETS_period!G4</f>
        <v>838.39130189999969</v>
      </c>
      <c r="C4" s="75"/>
    </row>
    <row r="5" spans="1:3" x14ac:dyDescent="0.25">
      <c r="A5" s="68">
        <f>EUETS_period!C5</f>
        <v>2023</v>
      </c>
      <c r="B5" s="2">
        <f>EUETS_period!G5</f>
        <v>845.08086319999961</v>
      </c>
      <c r="C5" s="75"/>
    </row>
    <row r="6" spans="1:3" x14ac:dyDescent="0.25">
      <c r="A6" s="68">
        <f>EUETS_period!C6</f>
        <v>2024</v>
      </c>
      <c r="B6" s="2">
        <f>EUETS_period!G6</f>
        <v>835.21409289999986</v>
      </c>
      <c r="C6" s="75"/>
    </row>
    <row r="7" spans="1:3" x14ac:dyDescent="0.25">
      <c r="A7" s="68">
        <f>EUETS_period!C7</f>
        <v>2025</v>
      </c>
      <c r="B7" s="2">
        <f>EUETS_period!G7</f>
        <v>800.01732259999983</v>
      </c>
      <c r="C7" s="75"/>
    </row>
    <row r="8" spans="1:3" x14ac:dyDescent="0.25">
      <c r="A8" s="68">
        <f>EUETS_period!C8</f>
        <v>2026</v>
      </c>
      <c r="B8" s="2">
        <f>EUETS_period!G8</f>
        <v>698.1687137849998</v>
      </c>
      <c r="C8" s="75"/>
    </row>
    <row r="9" spans="1:3" x14ac:dyDescent="0.25">
      <c r="A9" s="68">
        <f>EUETS_period!C9</f>
        <v>2027</v>
      </c>
      <c r="B9" s="2">
        <f>EUETS_period!G9</f>
        <v>623.32010496999987</v>
      </c>
      <c r="C9" s="75"/>
    </row>
    <row r="10" spans="1:3" x14ac:dyDescent="0.25">
      <c r="A10" s="68">
        <f>EUETS_period!C10</f>
        <v>2028</v>
      </c>
      <c r="B10" s="2">
        <f>EUETS_period!G10</f>
        <v>559.62288733999981</v>
      </c>
      <c r="C10" s="75"/>
    </row>
    <row r="11" spans="1:3" x14ac:dyDescent="0.25">
      <c r="A11" s="68">
        <f>EUETS_period!C11</f>
        <v>2029</v>
      </c>
      <c r="B11" s="2">
        <f>EUETS_period!G11</f>
        <v>535.37984326499986</v>
      </c>
      <c r="C11" s="75"/>
    </row>
    <row r="12" spans="1:3" x14ac:dyDescent="0.25">
      <c r="A12" s="68">
        <f>EUETS_period!C12</f>
        <v>2030</v>
      </c>
      <c r="B12" s="2">
        <f>EUETS_period!G12</f>
        <v>582.1543115889998</v>
      </c>
      <c r="C12" s="75"/>
    </row>
    <row r="13" spans="1:3" x14ac:dyDescent="0.25">
      <c r="A13" s="68">
        <f>EUETS_period!C13</f>
        <v>2035</v>
      </c>
      <c r="B13" s="2">
        <f>EUETS_period!G13</f>
        <v>598.81552806339971</v>
      </c>
      <c r="C13" s="75"/>
    </row>
    <row r="14" spans="1:3" x14ac:dyDescent="0.25">
      <c r="A14" s="68">
        <f>EUETS_period!C14</f>
        <v>2040</v>
      </c>
      <c r="B14" s="2">
        <f>EUETS_period!G14</f>
        <v>398.10071933333307</v>
      </c>
      <c r="C14" s="75"/>
    </row>
    <row r="15" spans="1:3" x14ac:dyDescent="0.25">
      <c r="A15" s="68">
        <f>EUETS_period!C15</f>
        <v>2045</v>
      </c>
      <c r="B15" s="2">
        <f>EUETS_period!G15</f>
        <v>113.74306266666642</v>
      </c>
      <c r="C15" s="75"/>
    </row>
    <row r="16" spans="1:3" x14ac:dyDescent="0.25">
      <c r="A16" s="68">
        <f>EUETS_period!C16</f>
        <v>2050</v>
      </c>
      <c r="B16" s="2">
        <f>EUETS_period!G16</f>
        <v>-2.1316282072803006E-13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16"/>
  <sheetViews>
    <sheetView zoomScale="145" zoomScaleNormal="145" workbookViewId="0">
      <selection activeCell="A3" sqref="A3"/>
    </sheetView>
  </sheetViews>
  <sheetFormatPr baseColWidth="10" defaultRowHeight="13.5" x14ac:dyDescent="0.25"/>
  <sheetData>
    <row r="1" spans="1:3" x14ac:dyDescent="0.25">
      <c r="A1" s="67" t="s">
        <v>35</v>
      </c>
      <c r="B1" s="30" t="s">
        <v>60</v>
      </c>
    </row>
    <row r="2" spans="1:3" x14ac:dyDescent="0.25">
      <c r="A2" s="68">
        <f>EUETS_period!C2</f>
        <v>2020</v>
      </c>
      <c r="B2" s="2">
        <f>EUETS_period!Q2</f>
        <v>1924.551469</v>
      </c>
      <c r="C2" s="75"/>
    </row>
    <row r="3" spans="1:3" x14ac:dyDescent="0.25">
      <c r="A3" s="68">
        <f>EUETS_period!C3</f>
        <v>2021</v>
      </c>
      <c r="B3" s="2">
        <f>EUETS_period!Q3</f>
        <v>2632.6820619999999</v>
      </c>
      <c r="C3" s="75"/>
    </row>
    <row r="4" spans="1:3" x14ac:dyDescent="0.25">
      <c r="A4" s="68">
        <f>EUETS_period!C4</f>
        <v>2022</v>
      </c>
      <c r="B4" s="2">
        <f>EUETS_period!Q4</f>
        <v>3001.2227870000002</v>
      </c>
      <c r="C4" s="75"/>
    </row>
    <row r="5" spans="1:3" x14ac:dyDescent="0.25">
      <c r="A5" s="68">
        <f>EUETS_period!C5</f>
        <v>2023</v>
      </c>
      <c r="B5" s="2">
        <f>EUETS_period!Q5</f>
        <v>469.85057689999985</v>
      </c>
      <c r="C5" s="75"/>
    </row>
    <row r="6" spans="1:3" x14ac:dyDescent="0.25">
      <c r="A6" s="68">
        <f>EUETS_period!C6</f>
        <v>2024</v>
      </c>
      <c r="B6" s="2">
        <f>EUETS_period!Q6</f>
        <v>400</v>
      </c>
      <c r="C6" s="75"/>
    </row>
    <row r="7" spans="1:3" x14ac:dyDescent="0.25">
      <c r="A7" s="68">
        <f>EUETS_period!C7</f>
        <v>2025</v>
      </c>
      <c r="B7" s="2">
        <f>EUETS_period!Q7</f>
        <v>400</v>
      </c>
      <c r="C7" s="75"/>
    </row>
    <row r="8" spans="1:3" x14ac:dyDescent="0.25">
      <c r="A8" s="68">
        <f>EUETS_period!C8</f>
        <v>2026</v>
      </c>
      <c r="B8" s="2">
        <f>EUETS_period!Q8</f>
        <v>400</v>
      </c>
      <c r="C8" s="75"/>
    </row>
    <row r="9" spans="1:3" x14ac:dyDescent="0.25">
      <c r="A9" s="68">
        <f>EUETS_period!C9</f>
        <v>2027</v>
      </c>
      <c r="B9" s="2">
        <f>EUETS_period!Q9</f>
        <v>400</v>
      </c>
      <c r="C9" s="75"/>
    </row>
    <row r="10" spans="1:3" x14ac:dyDescent="0.25">
      <c r="A10" s="68">
        <f>EUETS_period!C10</f>
        <v>2028</v>
      </c>
      <c r="B10" s="2">
        <f>EUETS_period!Q10</f>
        <v>400</v>
      </c>
      <c r="C10" s="75"/>
    </row>
    <row r="11" spans="1:3" x14ac:dyDescent="0.25">
      <c r="A11" s="68">
        <f>EUETS_period!C11</f>
        <v>2029</v>
      </c>
      <c r="B11" s="2">
        <f>EUETS_period!Q11</f>
        <v>200</v>
      </c>
      <c r="C11" s="75"/>
    </row>
    <row r="12" spans="1:3" x14ac:dyDescent="0.25">
      <c r="A12" s="68">
        <f>EUETS_period!C12</f>
        <v>2030</v>
      </c>
      <c r="B12" s="2">
        <f>EUETS_period!Q12</f>
        <v>0</v>
      </c>
      <c r="C12" s="75"/>
    </row>
    <row r="13" spans="1:3" x14ac:dyDescent="0.25">
      <c r="A13" s="68">
        <f>EUETS_period!C13</f>
        <v>2035</v>
      </c>
      <c r="B13" s="2">
        <f>EUETS_period!Q13</f>
        <v>0</v>
      </c>
      <c r="C13" s="75"/>
    </row>
    <row r="14" spans="1:3" x14ac:dyDescent="0.25">
      <c r="A14" s="68">
        <f>EUETS_period!C14</f>
        <v>2040</v>
      </c>
      <c r="B14" s="2">
        <f>EUETS_period!Q14</f>
        <v>0</v>
      </c>
      <c r="C14" s="75"/>
    </row>
    <row r="15" spans="1:3" x14ac:dyDescent="0.25">
      <c r="A15" s="68">
        <f>EUETS_period!C15</f>
        <v>2045</v>
      </c>
      <c r="B15" s="2">
        <f>EUETS_period!Q15</f>
        <v>0</v>
      </c>
      <c r="C15" s="75"/>
    </row>
    <row r="16" spans="1:3" x14ac:dyDescent="0.25">
      <c r="A16" s="68">
        <f>EUETS_period!C16</f>
        <v>2050</v>
      </c>
      <c r="B16" s="2">
        <f>EUETS_period!Q16</f>
        <v>0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6"/>
  <sheetViews>
    <sheetView zoomScale="145" zoomScaleNormal="145" workbookViewId="0">
      <selection activeCell="M26" sqref="M26"/>
    </sheetView>
  </sheetViews>
  <sheetFormatPr baseColWidth="10" defaultRowHeight="13.5" x14ac:dyDescent="0.25"/>
  <sheetData>
    <row r="1" spans="1:4" x14ac:dyDescent="0.25">
      <c r="A1" s="67" t="s">
        <v>35</v>
      </c>
      <c r="B1" s="30" t="s">
        <v>57</v>
      </c>
    </row>
    <row r="2" spans="1:4" x14ac:dyDescent="0.25">
      <c r="A2" s="68">
        <f>EUETS_period!C2</f>
        <v>2020</v>
      </c>
      <c r="B2" s="2">
        <f>EUETS_period!R2</f>
        <v>627.42674699999998</v>
      </c>
      <c r="D2" s="75"/>
    </row>
    <row r="3" spans="1:4" x14ac:dyDescent="0.25">
      <c r="A3" s="68">
        <f>EUETS_period!C3</f>
        <v>2021</v>
      </c>
      <c r="B3" s="2">
        <f>EUETS_period!R3</f>
        <v>708.13059299999986</v>
      </c>
      <c r="D3" s="75"/>
    </row>
    <row r="4" spans="1:4" x14ac:dyDescent="0.25">
      <c r="A4" s="68">
        <f>EUETS_period!C4</f>
        <v>2022</v>
      </c>
      <c r="B4" s="2">
        <f>EUETS_period!R4</f>
        <v>368.54072500000029</v>
      </c>
      <c r="D4" s="75"/>
    </row>
    <row r="5" spans="1:4" x14ac:dyDescent="0.25">
      <c r="A5" s="68">
        <f>EUETS_period!C5</f>
        <v>2023</v>
      </c>
      <c r="B5" s="2">
        <f>EUETS_period!R5</f>
        <v>272.3507371200003</v>
      </c>
      <c r="D5" s="75"/>
    </row>
    <row r="6" spans="1:4" x14ac:dyDescent="0.25">
      <c r="A6" s="68">
        <f>EUETS_period!C6</f>
        <v>2024</v>
      </c>
      <c r="B6" s="2">
        <f>EUETS_period!R6</f>
        <v>128.38399057863217</v>
      </c>
      <c r="D6" s="75"/>
    </row>
    <row r="7" spans="1:4" x14ac:dyDescent="0.25">
      <c r="A7" s="68">
        <f>EUETS_period!C7</f>
        <v>2025</v>
      </c>
      <c r="B7" s="2">
        <f>EUETS_period!R7</f>
        <v>154.01609153208483</v>
      </c>
      <c r="D7" s="75"/>
    </row>
    <row r="8" spans="1:4" x14ac:dyDescent="0.25">
      <c r="A8" s="68">
        <f>EUETS_period!C8</f>
        <v>2026</v>
      </c>
      <c r="B8" s="2">
        <f>EUETS_period!R8</f>
        <v>0</v>
      </c>
      <c r="D8" s="75"/>
    </row>
    <row r="9" spans="1:4" x14ac:dyDescent="0.25">
      <c r="A9" s="68">
        <f>EUETS_period!C9</f>
        <v>2027</v>
      </c>
      <c r="B9" s="2">
        <f>EUETS_period!R9</f>
        <v>0</v>
      </c>
      <c r="D9" s="75"/>
    </row>
    <row r="10" spans="1:4" x14ac:dyDescent="0.25">
      <c r="A10" s="68">
        <f>EUETS_period!C10</f>
        <v>2028</v>
      </c>
      <c r="B10" s="2">
        <f>EUETS_period!R10</f>
        <v>0</v>
      </c>
      <c r="D10" s="75"/>
    </row>
    <row r="11" spans="1:4" x14ac:dyDescent="0.25">
      <c r="A11" s="68">
        <f>EUETS_period!C11</f>
        <v>2029</v>
      </c>
      <c r="B11" s="2">
        <f>EUETS_period!R11</f>
        <v>-200</v>
      </c>
      <c r="D11" s="75"/>
    </row>
    <row r="12" spans="1:4" x14ac:dyDescent="0.25">
      <c r="A12" s="68">
        <f>EUETS_period!C12</f>
        <v>2030</v>
      </c>
      <c r="B12" s="2">
        <f>EUETS_period!R12</f>
        <v>-200</v>
      </c>
      <c r="D12" s="75"/>
    </row>
    <row r="13" spans="1:4" x14ac:dyDescent="0.25">
      <c r="A13" s="68">
        <f>EUETS_period!C13</f>
        <v>2035</v>
      </c>
      <c r="B13" s="2">
        <f>EUETS_period!R13</f>
        <v>0</v>
      </c>
      <c r="D13" s="75"/>
    </row>
    <row r="14" spans="1:4" x14ac:dyDescent="0.25">
      <c r="A14" s="68">
        <f>EUETS_period!C14</f>
        <v>2040</v>
      </c>
      <c r="B14" s="2">
        <f>EUETS_period!R14</f>
        <v>0</v>
      </c>
      <c r="D14" s="75"/>
    </row>
    <row r="15" spans="1:4" x14ac:dyDescent="0.25">
      <c r="A15" s="68">
        <f>EUETS_period!C15</f>
        <v>2045</v>
      </c>
      <c r="B15" s="2">
        <f>EUETS_period!R15</f>
        <v>0</v>
      </c>
      <c r="D15" s="75"/>
    </row>
    <row r="16" spans="1:4" x14ac:dyDescent="0.25">
      <c r="A16" s="68">
        <f>EUETS_period!C16</f>
        <v>2050</v>
      </c>
      <c r="B16" s="2">
        <f>EUETS_period!R16</f>
        <v>0</v>
      </c>
      <c r="D16" s="75"/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6"/>
  <sheetViews>
    <sheetView zoomScale="145" zoomScaleNormal="145" workbookViewId="0">
      <selection activeCell="A3" sqref="A3"/>
    </sheetView>
  </sheetViews>
  <sheetFormatPr baseColWidth="10" defaultRowHeight="13.5" x14ac:dyDescent="0.25"/>
  <sheetData>
    <row r="1" spans="1:2" x14ac:dyDescent="0.25">
      <c r="A1" s="67" t="s">
        <v>35</v>
      </c>
      <c r="B1" s="30" t="s">
        <v>56</v>
      </c>
    </row>
    <row r="2" spans="1:2" x14ac:dyDescent="0.25">
      <c r="A2" s="68">
        <f>EUETS_period!C2</f>
        <v>2020</v>
      </c>
      <c r="B2" s="2">
        <f>EUETS_period!U2</f>
        <v>0</v>
      </c>
    </row>
    <row r="3" spans="1:2" x14ac:dyDescent="0.25">
      <c r="A3" s="68">
        <f>EUETS_period!C3</f>
        <v>2021</v>
      </c>
      <c r="B3" s="2">
        <f>EUETS_period!U3</f>
        <v>0</v>
      </c>
    </row>
    <row r="4" spans="1:2" x14ac:dyDescent="0.25">
      <c r="A4" s="68">
        <f>EUETS_period!C4</f>
        <v>2022</v>
      </c>
      <c r="B4" s="2">
        <f>EUETS_period!U4</f>
        <v>0</v>
      </c>
    </row>
    <row r="5" spans="1:2" x14ac:dyDescent="0.25">
      <c r="A5" s="68">
        <f>EUETS_period!C5</f>
        <v>2023</v>
      </c>
      <c r="B5" s="2">
        <f>EUETS_period!U5</f>
        <v>2803.7229472200006</v>
      </c>
    </row>
    <row r="6" spans="1:2" x14ac:dyDescent="0.25">
      <c r="A6" s="68">
        <f>EUETS_period!C6</f>
        <v>2024</v>
      </c>
      <c r="B6" s="2">
        <f>EUETS_period!U6</f>
        <v>198.23456747863202</v>
      </c>
    </row>
    <row r="7" spans="1:2" x14ac:dyDescent="0.25">
      <c r="A7" s="68">
        <f>EUETS_period!C7</f>
        <v>2025</v>
      </c>
      <c r="B7" s="2">
        <f>EUETS_period!U7</f>
        <v>154.01609153208483</v>
      </c>
    </row>
    <row r="8" spans="1:2" x14ac:dyDescent="0.25">
      <c r="A8" s="68">
        <f>EUETS_period!C8</f>
        <v>2026</v>
      </c>
      <c r="B8" s="2">
        <f>EUETS_period!U8</f>
        <v>0</v>
      </c>
    </row>
    <row r="9" spans="1:2" x14ac:dyDescent="0.25">
      <c r="A9" s="68">
        <f>EUETS_period!C9</f>
        <v>2027</v>
      </c>
      <c r="B9" s="2">
        <f>EUETS_period!U9</f>
        <v>0</v>
      </c>
    </row>
    <row r="10" spans="1:2" x14ac:dyDescent="0.25">
      <c r="A10" s="68">
        <f>EUETS_period!C10</f>
        <v>2028</v>
      </c>
      <c r="B10" s="2">
        <f>EUETS_period!U10</f>
        <v>0</v>
      </c>
    </row>
    <row r="11" spans="1:2" x14ac:dyDescent="0.25">
      <c r="A11" s="68">
        <f>EUETS_period!C11</f>
        <v>2029</v>
      </c>
      <c r="B11" s="2">
        <f>EUETS_period!U11</f>
        <v>0</v>
      </c>
    </row>
    <row r="12" spans="1:2" x14ac:dyDescent="0.25">
      <c r="A12" s="68">
        <f>EUETS_period!C12</f>
        <v>2030</v>
      </c>
      <c r="B12" s="2">
        <f>EUETS_period!U12</f>
        <v>0</v>
      </c>
    </row>
    <row r="13" spans="1:2" x14ac:dyDescent="0.25">
      <c r="A13" s="68">
        <f>EUETS_period!C13</f>
        <v>2035</v>
      </c>
      <c r="B13" s="2">
        <f>EUETS_period!U13</f>
        <v>0</v>
      </c>
    </row>
    <row r="14" spans="1:2" x14ac:dyDescent="0.25">
      <c r="A14" s="68">
        <f>EUETS_period!C14</f>
        <v>2040</v>
      </c>
      <c r="B14" s="2">
        <f>EUETS_period!U14</f>
        <v>0</v>
      </c>
    </row>
    <row r="15" spans="1:2" x14ac:dyDescent="0.25">
      <c r="A15" s="68">
        <f>EUETS_period!C15</f>
        <v>2045</v>
      </c>
      <c r="B15" s="2">
        <f>EUETS_period!U15</f>
        <v>0</v>
      </c>
    </row>
    <row r="16" spans="1:2" x14ac:dyDescent="0.25">
      <c r="A16" s="68">
        <f>EUETS_period!C16</f>
        <v>2050</v>
      </c>
      <c r="B16" s="2">
        <f>EUETS_period!U16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3"/>
  <sheetViews>
    <sheetView topLeftCell="A13" zoomScale="115" zoomScaleNormal="115" workbookViewId="0">
      <selection activeCell="P55" sqref="P55"/>
    </sheetView>
  </sheetViews>
  <sheetFormatPr baseColWidth="10" defaultRowHeight="13.5" x14ac:dyDescent="0.25"/>
  <cols>
    <col min="8" max="9" width="11.5" bestFit="1" customWidth="1"/>
    <col min="10" max="10" width="18" bestFit="1" customWidth="1"/>
    <col min="17" max="17" width="12.83203125" bestFit="1" customWidth="1"/>
    <col min="18" max="19" width="11.5" bestFit="1" customWidth="1"/>
    <col min="20" max="20" width="1.6640625" customWidth="1"/>
    <col min="21" max="22" width="11.5" bestFit="1" customWidth="1"/>
  </cols>
  <sheetData>
    <row r="1" spans="1:22" ht="54" x14ac:dyDescent="0.25">
      <c r="A1" s="130" t="s">
        <v>0</v>
      </c>
      <c r="B1" s="129" t="s">
        <v>76</v>
      </c>
      <c r="C1" s="129" t="s">
        <v>75</v>
      </c>
      <c r="D1" s="129" t="s">
        <v>77</v>
      </c>
      <c r="E1" s="129" t="s">
        <v>86</v>
      </c>
      <c r="F1" s="129" t="s">
        <v>87</v>
      </c>
      <c r="G1" s="129" t="s">
        <v>78</v>
      </c>
      <c r="H1" s="131" t="s">
        <v>43</v>
      </c>
      <c r="I1" s="128" t="s">
        <v>47</v>
      </c>
      <c r="J1" s="117"/>
      <c r="K1" s="127" t="s">
        <v>80</v>
      </c>
      <c r="L1" s="129" t="s">
        <v>79</v>
      </c>
      <c r="M1" s="129" t="s">
        <v>81</v>
      </c>
      <c r="N1" s="221" t="s">
        <v>125</v>
      </c>
      <c r="O1" s="141" t="s">
        <v>82</v>
      </c>
      <c r="P1" s="135" t="s">
        <v>83</v>
      </c>
      <c r="Q1" s="117"/>
      <c r="R1" s="127" t="s">
        <v>103</v>
      </c>
      <c r="S1" s="128" t="s">
        <v>106</v>
      </c>
      <c r="T1" s="117"/>
      <c r="U1" s="127" t="s">
        <v>107</v>
      </c>
      <c r="V1" s="128" t="s">
        <v>107</v>
      </c>
    </row>
    <row r="2" spans="1:22" x14ac:dyDescent="0.25">
      <c r="A2" s="45">
        <v>2013</v>
      </c>
      <c r="B2" s="2">
        <f t="shared" ref="B2:B9" si="0">H2</f>
        <v>1190.9000000000001</v>
      </c>
      <c r="C2" s="2">
        <f>H2</f>
        <v>1190.9000000000001</v>
      </c>
      <c r="D2" s="2">
        <f t="shared" ref="D2:D9" si="1">H2</f>
        <v>1190.9000000000001</v>
      </c>
      <c r="E2" s="2">
        <f t="shared" ref="E2:E8" si="2">I2</f>
        <v>717.28</v>
      </c>
      <c r="F2" s="2">
        <f>E2</f>
        <v>717.28</v>
      </c>
      <c r="G2" s="2">
        <f>F2</f>
        <v>717.28</v>
      </c>
      <c r="H2" s="133">
        <v>1190.9000000000001</v>
      </c>
      <c r="I2" s="115">
        <v>717.28</v>
      </c>
      <c r="J2" s="117" t="s">
        <v>123</v>
      </c>
      <c r="K2" s="150">
        <v>1</v>
      </c>
      <c r="L2" s="31">
        <f>K2*I2</f>
        <v>717.28</v>
      </c>
      <c r="M2" s="31">
        <f>I2/D2</f>
        <v>0.60230078092199169</v>
      </c>
      <c r="N2" s="84">
        <f>(1-K2)*M2</f>
        <v>0</v>
      </c>
      <c r="O2" s="110">
        <f>D2*M2*(1-K2)</f>
        <v>0</v>
      </c>
      <c r="P2" s="114">
        <f>L2+O2</f>
        <v>717.28</v>
      </c>
      <c r="Q2" s="119" t="s">
        <v>105</v>
      </c>
      <c r="R2" s="120">
        <f t="shared" ref="R2:R39" si="3">H2*12.2%</f>
        <v>145.28980000000001</v>
      </c>
      <c r="S2" s="115">
        <f t="shared" ref="S2:S39" si="4">I2*3%</f>
        <v>21.5184</v>
      </c>
      <c r="T2" s="119"/>
      <c r="U2" s="179"/>
      <c r="V2" s="183"/>
    </row>
    <row r="3" spans="1:22" x14ac:dyDescent="0.25">
      <c r="A3" s="41">
        <f>A2+1</f>
        <v>2014</v>
      </c>
      <c r="B3" s="2">
        <f t="shared" si="0"/>
        <v>1099.8</v>
      </c>
      <c r="C3" s="2">
        <f t="shared" ref="C3:C9" si="5">H3</f>
        <v>1099.8</v>
      </c>
      <c r="D3" s="2">
        <f t="shared" si="1"/>
        <v>1099.8</v>
      </c>
      <c r="E3" s="2">
        <f t="shared" si="2"/>
        <v>714.03</v>
      </c>
      <c r="F3" s="2">
        <f>E3</f>
        <v>714.03</v>
      </c>
      <c r="G3" s="2">
        <f t="shared" ref="G3:G39" si="6">F3</f>
        <v>714.03</v>
      </c>
      <c r="H3" s="133">
        <v>1099.8</v>
      </c>
      <c r="I3" s="115">
        <v>714.03</v>
      </c>
      <c r="J3" s="117" t="s">
        <v>123</v>
      </c>
      <c r="K3" s="151">
        <v>1</v>
      </c>
      <c r="L3" s="2">
        <f t="shared" ref="L3:L10" si="7">K3*I3</f>
        <v>714.03</v>
      </c>
      <c r="M3" s="2">
        <f t="shared" ref="M3:M8" si="8">I3/H3</f>
        <v>0.64923622476813969</v>
      </c>
      <c r="N3" s="85">
        <f t="shared" ref="N3:N39" si="9">(1-K3)*M3</f>
        <v>0</v>
      </c>
      <c r="O3" s="17">
        <f t="shared" ref="O3:O10" si="10">D3*M3*(1-K3)</f>
        <v>0</v>
      </c>
      <c r="P3" s="136">
        <f>L3+O3</f>
        <v>714.03</v>
      </c>
      <c r="Q3" s="119" t="s">
        <v>105</v>
      </c>
      <c r="R3" s="120">
        <f t="shared" si="3"/>
        <v>134.1756</v>
      </c>
      <c r="S3" s="115">
        <f t="shared" si="4"/>
        <v>21.4209</v>
      </c>
      <c r="T3" s="119"/>
      <c r="U3" s="179"/>
      <c r="V3" s="183"/>
    </row>
    <row r="4" spans="1:22" x14ac:dyDescent="0.25">
      <c r="A4" s="41">
        <f t="shared" ref="A4:A39" si="11">A3+1</f>
        <v>2015</v>
      </c>
      <c r="B4" s="2">
        <f t="shared" si="0"/>
        <v>1090.3</v>
      </c>
      <c r="C4" s="2">
        <f t="shared" si="5"/>
        <v>1090.3</v>
      </c>
      <c r="D4" s="2">
        <f t="shared" si="1"/>
        <v>1090.3</v>
      </c>
      <c r="E4" s="2">
        <f t="shared" si="2"/>
        <v>712.63</v>
      </c>
      <c r="F4" s="2">
        <f t="shared" ref="F4" si="12">E4</f>
        <v>712.63</v>
      </c>
      <c r="G4" s="2">
        <f t="shared" si="6"/>
        <v>712.63</v>
      </c>
      <c r="H4" s="133">
        <v>1090.3</v>
      </c>
      <c r="I4" s="115">
        <v>712.63</v>
      </c>
      <c r="J4" s="117" t="s">
        <v>123</v>
      </c>
      <c r="K4" s="151">
        <v>1</v>
      </c>
      <c r="L4" s="2">
        <f t="shared" si="7"/>
        <v>712.63</v>
      </c>
      <c r="M4" s="2">
        <f t="shared" si="8"/>
        <v>0.65360909841328074</v>
      </c>
      <c r="N4" s="85">
        <f t="shared" si="9"/>
        <v>0</v>
      </c>
      <c r="O4" s="17">
        <f t="shared" si="10"/>
        <v>0</v>
      </c>
      <c r="P4" s="136">
        <f>L4+O4</f>
        <v>712.63</v>
      </c>
      <c r="Q4" s="119" t="s">
        <v>105</v>
      </c>
      <c r="R4" s="120">
        <f t="shared" si="3"/>
        <v>133.01659999999998</v>
      </c>
      <c r="S4" s="115">
        <f t="shared" si="4"/>
        <v>21.378899999999998</v>
      </c>
      <c r="T4" s="119"/>
      <c r="U4" s="179"/>
      <c r="V4" s="183"/>
    </row>
    <row r="5" spans="1:22" x14ac:dyDescent="0.25">
      <c r="A5" s="41">
        <f t="shared" si="11"/>
        <v>2016</v>
      </c>
      <c r="B5" s="2">
        <f t="shared" si="0"/>
        <v>1045.2</v>
      </c>
      <c r="C5" s="2">
        <f t="shared" si="5"/>
        <v>1045.2</v>
      </c>
      <c r="D5" s="2">
        <f t="shared" si="1"/>
        <v>1045.2</v>
      </c>
      <c r="E5" s="2">
        <f t="shared" si="2"/>
        <v>705.28</v>
      </c>
      <c r="F5" s="2">
        <f>E5</f>
        <v>705.28</v>
      </c>
      <c r="G5" s="2">
        <f t="shared" si="6"/>
        <v>705.28</v>
      </c>
      <c r="H5" s="133">
        <v>1045.2</v>
      </c>
      <c r="I5" s="115">
        <v>705.28</v>
      </c>
      <c r="J5" s="117" t="s">
        <v>123</v>
      </c>
      <c r="K5" s="151">
        <v>1</v>
      </c>
      <c r="L5" s="2">
        <f t="shared" si="7"/>
        <v>705.28</v>
      </c>
      <c r="M5" s="2">
        <f t="shared" si="8"/>
        <v>0.67477994642173744</v>
      </c>
      <c r="N5" s="85">
        <f t="shared" si="9"/>
        <v>0</v>
      </c>
      <c r="O5" s="17">
        <f t="shared" si="10"/>
        <v>0</v>
      </c>
      <c r="P5" s="136">
        <f t="shared" ref="P5:P10" si="13">L5+O5</f>
        <v>705.28</v>
      </c>
      <c r="Q5" s="119" t="s">
        <v>105</v>
      </c>
      <c r="R5" s="120">
        <f t="shared" si="3"/>
        <v>127.51440000000001</v>
      </c>
      <c r="S5" s="115">
        <f t="shared" si="4"/>
        <v>21.158399999999997</v>
      </c>
      <c r="T5" s="119"/>
      <c r="U5" s="179"/>
      <c r="V5" s="183"/>
    </row>
    <row r="6" spans="1:22" x14ac:dyDescent="0.25">
      <c r="A6" s="41">
        <f t="shared" si="11"/>
        <v>2017</v>
      </c>
      <c r="B6" s="2">
        <f t="shared" si="0"/>
        <v>1039.7</v>
      </c>
      <c r="C6" s="2">
        <f t="shared" si="5"/>
        <v>1039.7</v>
      </c>
      <c r="D6" s="2">
        <f t="shared" si="1"/>
        <v>1039.7</v>
      </c>
      <c r="E6" s="2">
        <f t="shared" si="2"/>
        <v>763.22201200000086</v>
      </c>
      <c r="F6" s="2">
        <f>E6</f>
        <v>763.22201200000086</v>
      </c>
      <c r="G6" s="2">
        <f t="shared" si="6"/>
        <v>763.22201200000086</v>
      </c>
      <c r="H6" s="133">
        <v>1039.7</v>
      </c>
      <c r="I6" s="115">
        <v>763.22201200000086</v>
      </c>
      <c r="J6" s="117" t="s">
        <v>123</v>
      </c>
      <c r="K6" s="151">
        <v>1</v>
      </c>
      <c r="L6" s="2">
        <f t="shared" si="7"/>
        <v>763.22201200000086</v>
      </c>
      <c r="M6" s="2">
        <f t="shared" si="8"/>
        <v>0.73407907280946505</v>
      </c>
      <c r="N6" s="85">
        <f t="shared" si="9"/>
        <v>0</v>
      </c>
      <c r="O6" s="17">
        <f t="shared" si="10"/>
        <v>0</v>
      </c>
      <c r="P6" s="136">
        <f t="shared" si="13"/>
        <v>763.22201200000086</v>
      </c>
      <c r="Q6" s="119" t="s">
        <v>105</v>
      </c>
      <c r="R6" s="120">
        <f t="shared" si="3"/>
        <v>126.8434</v>
      </c>
      <c r="S6" s="115">
        <f t="shared" si="4"/>
        <v>22.896660360000023</v>
      </c>
      <c r="T6" s="119"/>
      <c r="U6" s="179"/>
      <c r="V6" s="115">
        <v>66.2</v>
      </c>
    </row>
    <row r="7" spans="1:22" x14ac:dyDescent="0.25">
      <c r="A7" s="41">
        <f t="shared" si="11"/>
        <v>2018</v>
      </c>
      <c r="B7" s="2">
        <f t="shared" si="0"/>
        <v>973.67</v>
      </c>
      <c r="C7" s="2">
        <f t="shared" si="5"/>
        <v>973.67</v>
      </c>
      <c r="D7" s="2">
        <f t="shared" si="1"/>
        <v>973.67</v>
      </c>
      <c r="E7" s="2">
        <f t="shared" si="2"/>
        <v>715.68782599999952</v>
      </c>
      <c r="F7" s="2">
        <f t="shared" ref="F7" si="14">E7</f>
        <v>715.68782599999952</v>
      </c>
      <c r="G7" s="2">
        <f t="shared" si="6"/>
        <v>715.68782599999952</v>
      </c>
      <c r="H7" s="133">
        <v>973.67</v>
      </c>
      <c r="I7" s="115">
        <v>715.68782599999952</v>
      </c>
      <c r="J7" s="117" t="s">
        <v>123</v>
      </c>
      <c r="K7" s="151">
        <v>1</v>
      </c>
      <c r="L7" s="2">
        <f t="shared" si="7"/>
        <v>715.68782599999952</v>
      </c>
      <c r="M7" s="2">
        <f t="shared" si="8"/>
        <v>0.73504146784844926</v>
      </c>
      <c r="N7" s="85">
        <f t="shared" si="9"/>
        <v>0</v>
      </c>
      <c r="O7" s="17">
        <f t="shared" si="10"/>
        <v>0</v>
      </c>
      <c r="P7" s="136">
        <f t="shared" si="13"/>
        <v>715.68782599999952</v>
      </c>
      <c r="Q7" s="119" t="s">
        <v>105</v>
      </c>
      <c r="R7" s="120">
        <f t="shared" si="3"/>
        <v>118.78774</v>
      </c>
      <c r="S7" s="115">
        <f t="shared" si="4"/>
        <v>21.470634779999983</v>
      </c>
      <c r="T7" s="119"/>
      <c r="U7" s="179"/>
      <c r="V7" s="115">
        <f t="shared" ref="V7:V18" si="15">$V$6+($V$19-$V$6)*(A7-$A$6)/($A$19-$A$6)</f>
        <v>67.276923076923083</v>
      </c>
    </row>
    <row r="8" spans="1:22" x14ac:dyDescent="0.25">
      <c r="A8" s="41">
        <f t="shared" si="11"/>
        <v>2019</v>
      </c>
      <c r="B8" s="2">
        <f t="shared" si="0"/>
        <v>844</v>
      </c>
      <c r="C8" s="2">
        <f t="shared" si="5"/>
        <v>844</v>
      </c>
      <c r="D8" s="2">
        <f t="shared" si="1"/>
        <v>844</v>
      </c>
      <c r="E8" s="2">
        <f t="shared" si="2"/>
        <v>718.33216999999968</v>
      </c>
      <c r="F8" s="2">
        <f>E8</f>
        <v>718.33216999999968</v>
      </c>
      <c r="G8" s="2">
        <f t="shared" si="6"/>
        <v>718.33216999999968</v>
      </c>
      <c r="H8" s="133">
        <v>844</v>
      </c>
      <c r="I8" s="115">
        <v>718.33216999999968</v>
      </c>
      <c r="J8" s="117" t="s">
        <v>123</v>
      </c>
      <c r="K8" s="151">
        <v>1</v>
      </c>
      <c r="L8" s="2">
        <f t="shared" si="7"/>
        <v>718.33216999999968</v>
      </c>
      <c r="M8" s="2">
        <f t="shared" si="8"/>
        <v>0.85110446682464413</v>
      </c>
      <c r="N8" s="85">
        <f t="shared" si="9"/>
        <v>0</v>
      </c>
      <c r="O8" s="17">
        <f t="shared" si="10"/>
        <v>0</v>
      </c>
      <c r="P8" s="136">
        <f t="shared" si="13"/>
        <v>718.33216999999968</v>
      </c>
      <c r="Q8" s="119" t="s">
        <v>105</v>
      </c>
      <c r="R8" s="120">
        <f t="shared" si="3"/>
        <v>102.968</v>
      </c>
      <c r="S8" s="115">
        <f t="shared" si="4"/>
        <v>21.549965099999991</v>
      </c>
      <c r="T8" s="119"/>
      <c r="U8" s="179"/>
      <c r="V8" s="115">
        <f t="shared" si="15"/>
        <v>68.353846153846163</v>
      </c>
    </row>
    <row r="9" spans="1:22" x14ac:dyDescent="0.25">
      <c r="A9" s="41">
        <f t="shared" si="11"/>
        <v>2020</v>
      </c>
      <c r="B9" s="2">
        <f t="shared" si="0"/>
        <v>718.75494315779861</v>
      </c>
      <c r="C9" s="2">
        <f t="shared" si="5"/>
        <v>718.75494315779861</v>
      </c>
      <c r="D9" s="2">
        <f t="shared" si="1"/>
        <v>718.75494315779861</v>
      </c>
      <c r="E9" s="2">
        <f>I9</f>
        <v>633.64486084220198</v>
      </c>
      <c r="F9" s="2">
        <f>E9</f>
        <v>633.64486084220198</v>
      </c>
      <c r="G9" s="2">
        <f t="shared" si="6"/>
        <v>633.64486084220198</v>
      </c>
      <c r="H9" s="133">
        <v>718.75494315779861</v>
      </c>
      <c r="I9" s="115">
        <v>633.64486084220198</v>
      </c>
      <c r="J9" s="117" t="s">
        <v>123</v>
      </c>
      <c r="K9" s="151">
        <v>1</v>
      </c>
      <c r="L9" s="2">
        <f t="shared" si="7"/>
        <v>633.64486084220198</v>
      </c>
      <c r="M9" s="2">
        <f>I9/H9</f>
        <v>0.88158678680988045</v>
      </c>
      <c r="N9" s="85">
        <f t="shared" si="9"/>
        <v>0</v>
      </c>
      <c r="O9" s="17">
        <f>D9*M9*(1-K9)</f>
        <v>0</v>
      </c>
      <c r="P9" s="136">
        <f>L9+O9</f>
        <v>633.64486084220198</v>
      </c>
      <c r="Q9" s="119" t="s">
        <v>105</v>
      </c>
      <c r="R9" s="120">
        <f t="shared" si="3"/>
        <v>87.688103065251426</v>
      </c>
      <c r="S9" s="115">
        <f t="shared" si="4"/>
        <v>19.00934582526606</v>
      </c>
      <c r="T9" s="119"/>
      <c r="U9" s="179"/>
      <c r="V9" s="115">
        <f t="shared" si="15"/>
        <v>69.430769230769229</v>
      </c>
    </row>
    <row r="10" spans="1:22" x14ac:dyDescent="0.25">
      <c r="A10" s="171">
        <f t="shared" si="11"/>
        <v>2021</v>
      </c>
      <c r="B10" s="172">
        <f>H10</f>
        <v>653.98292997142676</v>
      </c>
      <c r="C10" s="172">
        <f>H10</f>
        <v>653.98292997142676</v>
      </c>
      <c r="D10" s="172">
        <f>H10</f>
        <v>653.98292997142676</v>
      </c>
      <c r="E10" s="172">
        <f>I10</f>
        <v>636.25556802857386</v>
      </c>
      <c r="F10" s="172">
        <f t="shared" ref="F10:F18" si="16">E10</f>
        <v>636.25556802857386</v>
      </c>
      <c r="G10" s="172">
        <f>F10</f>
        <v>636.25556802857386</v>
      </c>
      <c r="H10" s="173">
        <v>653.98292997142676</v>
      </c>
      <c r="I10" s="174">
        <v>636.25556802857386</v>
      </c>
      <c r="J10" s="117" t="s">
        <v>123</v>
      </c>
      <c r="K10" s="175">
        <v>1</v>
      </c>
      <c r="L10" s="172">
        <f t="shared" si="7"/>
        <v>636.25556802857386</v>
      </c>
      <c r="M10" s="172">
        <f>I10/H10</f>
        <v>0.97289323447077214</v>
      </c>
      <c r="N10" s="103">
        <f t="shared" si="9"/>
        <v>0</v>
      </c>
      <c r="O10" s="176">
        <f t="shared" si="10"/>
        <v>0</v>
      </c>
      <c r="P10" s="177">
        <f t="shared" si="13"/>
        <v>636.25556802857386</v>
      </c>
      <c r="Q10" s="119"/>
      <c r="R10" s="178">
        <f t="shared" si="3"/>
        <v>79.785917456514056</v>
      </c>
      <c r="S10" s="174">
        <f t="shared" si="4"/>
        <v>19.087667040857216</v>
      </c>
      <c r="T10" s="119"/>
      <c r="U10" s="180"/>
      <c r="V10" s="174">
        <f t="shared" si="15"/>
        <v>70.507692307692309</v>
      </c>
    </row>
    <row r="11" spans="1:22" x14ac:dyDescent="0.25">
      <c r="A11" s="161">
        <f t="shared" si="11"/>
        <v>2022</v>
      </c>
      <c r="B11" s="162">
        <f>H11</f>
        <v>664.21799999999996</v>
      </c>
      <c r="C11" s="162">
        <f>H11</f>
        <v>664.21799999999996</v>
      </c>
      <c r="D11" s="162">
        <f>H11</f>
        <v>664.21799999999996</v>
      </c>
      <c r="E11" s="162">
        <f>I11</f>
        <v>682.17957799999829</v>
      </c>
      <c r="F11" s="162">
        <f t="shared" ref="F11" si="17">E11</f>
        <v>682.17957799999829</v>
      </c>
      <c r="G11" s="162">
        <f>F11</f>
        <v>682.17957799999829</v>
      </c>
      <c r="H11" s="163">
        <v>664.21799999999996</v>
      </c>
      <c r="I11" s="164">
        <f>EUETS_annual!AJ11-EUETS_annual!AJ10-H11</f>
        <v>682.17957799999829</v>
      </c>
      <c r="J11" s="117" t="s">
        <v>123</v>
      </c>
      <c r="K11" s="170">
        <v>1</v>
      </c>
      <c r="L11" s="162">
        <f>I11*K11</f>
        <v>682.17957799999829</v>
      </c>
      <c r="M11" s="162">
        <f>I11/H11</f>
        <v>1.0270416911315237</v>
      </c>
      <c r="N11" s="200">
        <f t="shared" si="9"/>
        <v>0</v>
      </c>
      <c r="O11" s="165">
        <f>D11*M11*(1-K11)</f>
        <v>0</v>
      </c>
      <c r="P11" s="166">
        <f>L11+O11</f>
        <v>682.17957799999829</v>
      </c>
      <c r="Q11" s="119"/>
      <c r="R11" s="168">
        <f t="shared" si="3"/>
        <v>81.034595999999993</v>
      </c>
      <c r="S11" s="169">
        <f t="shared" si="4"/>
        <v>20.465387339999946</v>
      </c>
      <c r="T11" s="119"/>
      <c r="U11" s="181"/>
      <c r="V11" s="164">
        <f t="shared" si="15"/>
        <v>71.58461538461539</v>
      </c>
    </row>
    <row r="12" spans="1:22" x14ac:dyDescent="0.25">
      <c r="A12" s="45">
        <f t="shared" si="11"/>
        <v>2023</v>
      </c>
      <c r="B12" s="31">
        <f>B44</f>
        <v>620.495271831286</v>
      </c>
      <c r="C12" s="31">
        <f t="shared" ref="C12:C19" si="18">B12</f>
        <v>620.495271831286</v>
      </c>
      <c r="D12" s="31">
        <f t="shared" ref="D12:D39" si="19">C12</f>
        <v>620.495271831286</v>
      </c>
      <c r="E12" s="31">
        <f t="shared" ref="E12:E17" si="20">E44</f>
        <v>608.49357243191093</v>
      </c>
      <c r="F12" s="31">
        <f>E12</f>
        <v>608.49357243191093</v>
      </c>
      <c r="G12" s="31">
        <f>F12</f>
        <v>608.49357243191093</v>
      </c>
      <c r="H12" s="132">
        <v>620.495271831286</v>
      </c>
      <c r="I12" s="126">
        <v>608.47728955976652</v>
      </c>
      <c r="J12" s="160" t="s">
        <v>124</v>
      </c>
      <c r="K12" s="150">
        <v>0.25</v>
      </c>
      <c r="L12" s="31">
        <f t="shared" ref="L12:L39" si="21">I12*K12</f>
        <v>152.11932238994163</v>
      </c>
      <c r="M12" s="31">
        <f>I12/H12</f>
        <v>0.98063162957543504</v>
      </c>
      <c r="N12" s="84">
        <f t="shared" si="9"/>
        <v>0.73547372218157625</v>
      </c>
      <c r="O12" s="110">
        <f>D12*N12</f>
        <v>456.35796716982486</v>
      </c>
      <c r="P12" s="114">
        <f t="shared" ref="P12:P39" si="22">L12+O12</f>
        <v>608.47728955976652</v>
      </c>
      <c r="Q12" s="117"/>
      <c r="R12" s="94">
        <f t="shared" si="3"/>
        <v>75.700423163416886</v>
      </c>
      <c r="S12" s="71">
        <f t="shared" si="4"/>
        <v>18.254318686792995</v>
      </c>
      <c r="T12" s="117"/>
      <c r="U12" s="182"/>
      <c r="V12" s="126">
        <f t="shared" si="15"/>
        <v>72.66153846153847</v>
      </c>
    </row>
    <row r="13" spans="1:22" x14ac:dyDescent="0.25">
      <c r="A13" s="41">
        <f t="shared" si="11"/>
        <v>2024</v>
      </c>
      <c r="B13" s="2">
        <f t="shared" ref="B13:B18" si="23">B45</f>
        <v>617.6955609151197</v>
      </c>
      <c r="C13" s="2">
        <f t="shared" si="18"/>
        <v>617.6955609151197</v>
      </c>
      <c r="D13" s="31">
        <f t="shared" si="19"/>
        <v>617.6955609151197</v>
      </c>
      <c r="E13" s="2">
        <f t="shared" si="20"/>
        <v>638.70545359097105</v>
      </c>
      <c r="F13" s="2">
        <f>E13</f>
        <v>638.70545359097105</v>
      </c>
      <c r="G13" s="2">
        <f t="shared" si="6"/>
        <v>638.70545359097105</v>
      </c>
      <c r="H13" s="133">
        <v>558.94777160375986</v>
      </c>
      <c r="I13" s="126">
        <v>592.03240435704822</v>
      </c>
      <c r="J13" s="118"/>
      <c r="K13" s="150">
        <v>0.25</v>
      </c>
      <c r="L13" s="2">
        <f t="shared" si="21"/>
        <v>148.00810108926206</v>
      </c>
      <c r="M13" s="31">
        <f t="shared" ref="M13:M39" si="24">I13/H13</f>
        <v>1.0591909198570741</v>
      </c>
      <c r="N13" s="84">
        <f t="shared" si="9"/>
        <v>0.79439318989280561</v>
      </c>
      <c r="O13" s="17">
        <f t="shared" ref="O13:O39" si="25">D13*N13</f>
        <v>490.69314701798777</v>
      </c>
      <c r="P13" s="136">
        <f t="shared" si="22"/>
        <v>638.70124810724985</v>
      </c>
      <c r="Q13" s="119"/>
      <c r="R13" s="92">
        <f t="shared" si="3"/>
        <v>68.191628135658704</v>
      </c>
      <c r="S13" s="71">
        <f t="shared" si="4"/>
        <v>17.760972130711448</v>
      </c>
      <c r="T13" s="119"/>
      <c r="U13" s="120">
        <f>96*40%</f>
        <v>38.400000000000006</v>
      </c>
      <c r="V13" s="126">
        <f t="shared" si="15"/>
        <v>73.738461538461536</v>
      </c>
    </row>
    <row r="14" spans="1:22" x14ac:dyDescent="0.25">
      <c r="A14" s="41">
        <f t="shared" si="11"/>
        <v>2025</v>
      </c>
      <c r="B14" s="2">
        <f t="shared" si="23"/>
        <v>555.12580000779815</v>
      </c>
      <c r="C14" s="2">
        <f t="shared" si="18"/>
        <v>555.12580000779815</v>
      </c>
      <c r="D14" s="31">
        <f t="shared" si="19"/>
        <v>555.12580000779815</v>
      </c>
      <c r="E14" s="2">
        <f t="shared" si="20"/>
        <v>641.13072234691924</v>
      </c>
      <c r="F14" s="2">
        <f>E14</f>
        <v>641.13072234691924</v>
      </c>
      <c r="G14" s="2">
        <f t="shared" si="6"/>
        <v>641.13072234691924</v>
      </c>
      <c r="H14" s="133">
        <v>502.32889550707165</v>
      </c>
      <c r="I14" s="126">
        <v>594.27055025594154</v>
      </c>
      <c r="J14" s="118"/>
      <c r="K14" s="150">
        <v>0.25</v>
      </c>
      <c r="L14" s="2">
        <f>I14*K14</f>
        <v>148.56763756398539</v>
      </c>
      <c r="M14" s="31">
        <f t="shared" si="24"/>
        <v>1.1830307903272421</v>
      </c>
      <c r="N14" s="84">
        <f t="shared" si="9"/>
        <v>0.88727309274543154</v>
      </c>
      <c r="O14" s="17">
        <f t="shared" si="25"/>
        <v>492.54818543570099</v>
      </c>
      <c r="P14" s="136">
        <f t="shared" si="22"/>
        <v>641.11582299968632</v>
      </c>
      <c r="Q14" s="119"/>
      <c r="R14" s="92">
        <f t="shared" si="3"/>
        <v>61.28412525186274</v>
      </c>
      <c r="S14" s="71">
        <f t="shared" si="4"/>
        <v>17.828116507678246</v>
      </c>
      <c r="T14" s="119"/>
      <c r="U14" s="120">
        <f>96*70%</f>
        <v>67.199999999999989</v>
      </c>
      <c r="V14" s="126">
        <f t="shared" si="15"/>
        <v>74.815384615384616</v>
      </c>
    </row>
    <row r="15" spans="1:22" x14ac:dyDescent="0.25">
      <c r="A15" s="41">
        <f t="shared" si="11"/>
        <v>2026</v>
      </c>
      <c r="B15" s="2">
        <f t="shared" si="23"/>
        <v>538.50476604415064</v>
      </c>
      <c r="C15" s="2">
        <f t="shared" si="18"/>
        <v>538.50476604415064</v>
      </c>
      <c r="D15" s="31">
        <f t="shared" si="19"/>
        <v>538.50476604415064</v>
      </c>
      <c r="E15" s="2">
        <f>E47</f>
        <v>636.23787613827551</v>
      </c>
      <c r="F15" s="2">
        <f t="shared" si="16"/>
        <v>636.23787613827551</v>
      </c>
      <c r="G15" s="2">
        <f t="shared" si="6"/>
        <v>636.23787613827551</v>
      </c>
      <c r="H15" s="133">
        <v>487.28865483905139</v>
      </c>
      <c r="I15" s="126">
        <v>589.74858936311455</v>
      </c>
      <c r="J15" s="118"/>
      <c r="K15" s="150">
        <v>0.25</v>
      </c>
      <c r="L15" s="2">
        <f>I15*K15</f>
        <v>147.43714734077864</v>
      </c>
      <c r="M15" s="31">
        <f t="shared" si="24"/>
        <v>1.210265380707263</v>
      </c>
      <c r="N15" s="84">
        <f t="shared" si="9"/>
        <v>0.90769903553044728</v>
      </c>
      <c r="O15" s="17">
        <f t="shared" si="25"/>
        <v>488.8002567668247</v>
      </c>
      <c r="P15" s="136">
        <f t="shared" si="22"/>
        <v>636.23740410760331</v>
      </c>
      <c r="Q15" s="119"/>
      <c r="R15" s="92">
        <f t="shared" si="3"/>
        <v>59.449215890364265</v>
      </c>
      <c r="S15" s="71">
        <f t="shared" si="4"/>
        <v>17.692457680893437</v>
      </c>
      <c r="T15" s="119"/>
      <c r="U15" s="120">
        <f t="shared" ref="U15:U39" si="26">144*2/3</f>
        <v>96</v>
      </c>
      <c r="V15" s="126">
        <f t="shared" si="15"/>
        <v>75.892307692307696</v>
      </c>
    </row>
    <row r="16" spans="1:22" x14ac:dyDescent="0.25">
      <c r="A16" s="41">
        <f t="shared" si="11"/>
        <v>2027</v>
      </c>
      <c r="B16" s="2">
        <f t="shared" si="23"/>
        <v>514.1908375817012</v>
      </c>
      <c r="C16" s="2">
        <f t="shared" si="18"/>
        <v>514.1908375817012</v>
      </c>
      <c r="D16" s="31">
        <f t="shared" si="19"/>
        <v>514.1908375817012</v>
      </c>
      <c r="E16" s="2">
        <f t="shared" si="20"/>
        <v>631.80565067712587</v>
      </c>
      <c r="F16" s="2">
        <f t="shared" si="16"/>
        <v>631.80565067712587</v>
      </c>
      <c r="G16" s="2">
        <f t="shared" si="6"/>
        <v>631.80565067712587</v>
      </c>
      <c r="H16" s="133">
        <v>465.28717548102372</v>
      </c>
      <c r="I16" s="126">
        <v>585.63804370882644</v>
      </c>
      <c r="J16" s="118"/>
      <c r="K16" s="150">
        <v>0.25</v>
      </c>
      <c r="L16" s="2">
        <f t="shared" si="21"/>
        <v>146.40951092720661</v>
      </c>
      <c r="M16" s="31">
        <f t="shared" si="24"/>
        <v>1.2586593281952838</v>
      </c>
      <c r="N16" s="84">
        <f t="shared" si="9"/>
        <v>0.9439944961464628</v>
      </c>
      <c r="O16" s="17">
        <f t="shared" si="25"/>
        <v>485.39332064606572</v>
      </c>
      <c r="P16" s="136">
        <f t="shared" si="22"/>
        <v>631.80283157327233</v>
      </c>
      <c r="Q16" s="119"/>
      <c r="R16" s="92">
        <f t="shared" si="3"/>
        <v>56.765035408684895</v>
      </c>
      <c r="S16" s="71">
        <f t="shared" si="4"/>
        <v>17.569141311264794</v>
      </c>
      <c r="T16" s="119"/>
      <c r="U16" s="120">
        <f t="shared" si="26"/>
        <v>96</v>
      </c>
      <c r="V16" s="126">
        <f t="shared" si="15"/>
        <v>76.969230769230776</v>
      </c>
    </row>
    <row r="17" spans="1:22" x14ac:dyDescent="0.25">
      <c r="A17" s="41">
        <f t="shared" si="11"/>
        <v>2028</v>
      </c>
      <c r="B17" s="2">
        <f t="shared" si="23"/>
        <v>504.86525237884962</v>
      </c>
      <c r="C17" s="2">
        <f t="shared" si="18"/>
        <v>504.86525237884962</v>
      </c>
      <c r="D17" s="31">
        <f t="shared" si="19"/>
        <v>504.86525237884962</v>
      </c>
      <c r="E17" s="2">
        <f t="shared" si="20"/>
        <v>565.53693619723799</v>
      </c>
      <c r="F17" s="2">
        <f t="shared" si="16"/>
        <v>565.53693619723799</v>
      </c>
      <c r="G17" s="2">
        <f t="shared" si="6"/>
        <v>565.53693619723799</v>
      </c>
      <c r="H17" s="133">
        <v>456.84852803419324</v>
      </c>
      <c r="I17" s="126">
        <v>524.19941789148504</v>
      </c>
      <c r="J17" s="118"/>
      <c r="K17" s="150">
        <v>0.25</v>
      </c>
      <c r="L17" s="2">
        <f>I17*K17</f>
        <v>131.04985447287126</v>
      </c>
      <c r="M17" s="31">
        <f t="shared" si="24"/>
        <v>1.1474249903947396</v>
      </c>
      <c r="N17" s="84">
        <f t="shared" si="9"/>
        <v>0.86056874279605466</v>
      </c>
      <c r="O17" s="17">
        <f t="shared" si="25"/>
        <v>434.47125552107946</v>
      </c>
      <c r="P17" s="136">
        <f t="shared" si="22"/>
        <v>565.52110999395074</v>
      </c>
      <c r="Q17" s="119"/>
      <c r="R17" s="92">
        <f t="shared" si="3"/>
        <v>55.735520420171575</v>
      </c>
      <c r="S17" s="71">
        <f t="shared" si="4"/>
        <v>15.725982536744551</v>
      </c>
      <c r="T17" s="119"/>
      <c r="U17" s="120">
        <f t="shared" si="26"/>
        <v>96</v>
      </c>
      <c r="V17" s="126">
        <f t="shared" si="15"/>
        <v>78.046153846153857</v>
      </c>
    </row>
    <row r="18" spans="1:22" x14ac:dyDescent="0.25">
      <c r="A18" s="41">
        <f t="shared" si="11"/>
        <v>2029</v>
      </c>
      <c r="B18" s="2">
        <f t="shared" si="23"/>
        <v>483.99184541492934</v>
      </c>
      <c r="C18" s="2">
        <f t="shared" si="18"/>
        <v>483.99184541492934</v>
      </c>
      <c r="D18" s="31">
        <f t="shared" si="19"/>
        <v>483.99184541492934</v>
      </c>
      <c r="E18" s="2">
        <f t="shared" ref="E18:E19" si="27">E50</f>
        <v>502.52939508748909</v>
      </c>
      <c r="F18" s="2">
        <f t="shared" si="16"/>
        <v>502.52939508748909</v>
      </c>
      <c r="G18" s="2">
        <f t="shared" si="6"/>
        <v>502.52939508748909</v>
      </c>
      <c r="H18" s="133">
        <v>437.96034905654824</v>
      </c>
      <c r="I18" s="126">
        <v>465.79630078613258</v>
      </c>
      <c r="J18" s="118"/>
      <c r="K18" s="150">
        <v>0.25</v>
      </c>
      <c r="L18" s="2">
        <f>I18*K18</f>
        <v>116.44907519653314</v>
      </c>
      <c r="M18" s="31">
        <f t="shared" si="24"/>
        <v>1.0635581549552338</v>
      </c>
      <c r="N18" s="84">
        <f t="shared" si="9"/>
        <v>0.79766861621642526</v>
      </c>
      <c r="O18" s="17">
        <f t="shared" si="25"/>
        <v>386.06510559216071</v>
      </c>
      <c r="P18" s="136">
        <f t="shared" si="22"/>
        <v>502.51418078869386</v>
      </c>
      <c r="Q18" s="119"/>
      <c r="R18" s="92">
        <f t="shared" si="3"/>
        <v>53.431162584898885</v>
      </c>
      <c r="S18" s="71">
        <f t="shared" si="4"/>
        <v>13.973889023583977</v>
      </c>
      <c r="T18" s="119"/>
      <c r="U18" s="120">
        <f t="shared" si="26"/>
        <v>96</v>
      </c>
      <c r="V18" s="126">
        <f t="shared" si="15"/>
        <v>79.123076923076923</v>
      </c>
    </row>
    <row r="19" spans="1:22" x14ac:dyDescent="0.25">
      <c r="A19" s="41">
        <f t="shared" si="11"/>
        <v>2030</v>
      </c>
      <c r="B19" s="2">
        <f>B51</f>
        <v>418.64231446975253</v>
      </c>
      <c r="C19" s="2">
        <f t="shared" si="18"/>
        <v>418.64231446975253</v>
      </c>
      <c r="D19" s="31">
        <f t="shared" si="19"/>
        <v>418.64231446975253</v>
      </c>
      <c r="E19" s="2">
        <f t="shared" si="27"/>
        <v>417.63026980961831</v>
      </c>
      <c r="F19" s="2">
        <f>E19</f>
        <v>417.63026980961831</v>
      </c>
      <c r="G19" s="2">
        <f t="shared" si="6"/>
        <v>417.63026980961831</v>
      </c>
      <c r="H19" s="133">
        <v>378.82608129033247</v>
      </c>
      <c r="I19" s="126">
        <v>387.13125437704008</v>
      </c>
      <c r="J19" s="118"/>
      <c r="K19" s="150">
        <v>0.25</v>
      </c>
      <c r="L19" s="2">
        <f>I19*K19</f>
        <v>96.78281359426002</v>
      </c>
      <c r="M19" s="31">
        <f t="shared" si="24"/>
        <v>1.0219234458684023</v>
      </c>
      <c r="N19" s="84">
        <f t="shared" si="9"/>
        <v>0.76644258440130175</v>
      </c>
      <c r="O19" s="17">
        <f t="shared" si="25"/>
        <v>320.86529744193962</v>
      </c>
      <c r="P19" s="136">
        <f t="shared" si="22"/>
        <v>417.64811103619962</v>
      </c>
      <c r="Q19" s="119"/>
      <c r="R19" s="92">
        <f t="shared" si="3"/>
        <v>46.216781917420562</v>
      </c>
      <c r="S19" s="71">
        <f t="shared" si="4"/>
        <v>11.613937631311202</v>
      </c>
      <c r="T19" s="119"/>
      <c r="U19" s="120">
        <f t="shared" si="26"/>
        <v>96</v>
      </c>
      <c r="V19" s="126">
        <v>80.2</v>
      </c>
    </row>
    <row r="20" spans="1:22" x14ac:dyDescent="0.25">
      <c r="A20" s="41">
        <f t="shared" si="11"/>
        <v>2031</v>
      </c>
      <c r="B20" s="2">
        <f>B19-(B19-B22)*(A20-A19)/(A22-A19)</f>
        <v>327.98805987542829</v>
      </c>
      <c r="C20" s="2">
        <f>B20*B52/(SUM(B20:B24)/5)</f>
        <v>249.80419706022772</v>
      </c>
      <c r="D20" s="31">
        <f t="shared" si="19"/>
        <v>249.80419706022772</v>
      </c>
      <c r="E20" s="2">
        <f>E19-(E19-E22)*(A20-A19)/(A22-A19)</f>
        <v>363.14021475973993</v>
      </c>
      <c r="F20" s="2">
        <f>E20*E52/(SUM(E20:E24)/5)</f>
        <v>328.35596080701123</v>
      </c>
      <c r="G20" s="2">
        <f t="shared" si="6"/>
        <v>328.35596080701123</v>
      </c>
      <c r="H20" s="133">
        <v>228.69757417488282</v>
      </c>
      <c r="I20" s="126">
        <v>306.87905162737889</v>
      </c>
      <c r="J20" s="118"/>
      <c r="K20" s="150">
        <v>0.25</v>
      </c>
      <c r="L20" s="2">
        <f>I20*K20</f>
        <v>76.719762906844721</v>
      </c>
      <c r="M20" s="31">
        <f t="shared" si="24"/>
        <v>1.3418552983544612</v>
      </c>
      <c r="N20" s="84">
        <f t="shared" si="9"/>
        <v>1.0063914737658459</v>
      </c>
      <c r="O20" s="17">
        <f t="shared" si="25"/>
        <v>251.40081403233637</v>
      </c>
      <c r="P20" s="136">
        <f t="shared" si="22"/>
        <v>328.12057693918109</v>
      </c>
      <c r="Q20" s="119"/>
      <c r="R20" s="92">
        <f t="shared" si="3"/>
        <v>27.901104049335704</v>
      </c>
      <c r="S20" s="71">
        <f t="shared" si="4"/>
        <v>9.206371548821366</v>
      </c>
      <c r="T20" s="119"/>
      <c r="U20" s="120">
        <f t="shared" si="26"/>
        <v>96</v>
      </c>
      <c r="V20" s="126">
        <f>V19+(V19-V18)</f>
        <v>81.276923076923083</v>
      </c>
    </row>
    <row r="21" spans="1:22" x14ac:dyDescent="0.25">
      <c r="A21" s="41">
        <f t="shared" si="11"/>
        <v>2032</v>
      </c>
      <c r="B21" s="2">
        <f>B19-(B19-B22)*(A21-A19)/(A22-A19)</f>
        <v>237.33380528110405</v>
      </c>
      <c r="C21" s="2">
        <f>B21*B52/(SUM(B20:B24)/5)</f>
        <v>180.75956998560301</v>
      </c>
      <c r="D21" s="31">
        <f t="shared" si="19"/>
        <v>180.75956998560301</v>
      </c>
      <c r="E21" s="2">
        <f>E19-(E19-E22)*(A21-A19)/(A22-A19)</f>
        <v>308.65015970986161</v>
      </c>
      <c r="F21" s="2">
        <f>E21*E52/(SUM(E20:E24)/5)</f>
        <v>279.08536599787539</v>
      </c>
      <c r="G21" s="2">
        <f t="shared" si="6"/>
        <v>279.08536599787539</v>
      </c>
      <c r="H21" s="133">
        <v>166.36387926137294</v>
      </c>
      <c r="I21" s="126">
        <v>261.69563349210949</v>
      </c>
      <c r="J21" s="118"/>
      <c r="K21" s="150">
        <v>0.25</v>
      </c>
      <c r="L21" s="2">
        <f t="shared" si="21"/>
        <v>65.423908373027373</v>
      </c>
      <c r="M21" s="31">
        <f t="shared" si="24"/>
        <v>1.5730315658302341</v>
      </c>
      <c r="N21" s="84">
        <f t="shared" si="9"/>
        <v>1.1797736743726754</v>
      </c>
      <c r="O21" s="17">
        <f t="shared" si="25"/>
        <v>213.25538205993965</v>
      </c>
      <c r="P21" s="136">
        <f t="shared" si="22"/>
        <v>278.67929043296704</v>
      </c>
      <c r="Q21" s="119"/>
      <c r="R21" s="92">
        <f t="shared" si="3"/>
        <v>20.296393269887499</v>
      </c>
      <c r="S21" s="71">
        <f t="shared" si="4"/>
        <v>7.8508690047632843</v>
      </c>
      <c r="T21" s="119"/>
      <c r="U21" s="120">
        <f t="shared" si="26"/>
        <v>96</v>
      </c>
      <c r="V21" s="126">
        <f t="shared" ref="V21:V35" si="28">V20+(V20-V19)</f>
        <v>82.353846153846163</v>
      </c>
    </row>
    <row r="22" spans="1:22" x14ac:dyDescent="0.25">
      <c r="A22" s="41">
        <f t="shared" si="11"/>
        <v>2033</v>
      </c>
      <c r="B22" s="2">
        <f>B52</f>
        <v>146.67955068677983</v>
      </c>
      <c r="C22" s="2">
        <f>B22*B52/(SUM(B20:B24)/5)</f>
        <v>111.71494291097832</v>
      </c>
      <c r="D22" s="31">
        <f t="shared" si="19"/>
        <v>111.71494291097832</v>
      </c>
      <c r="E22" s="2">
        <f>E52</f>
        <v>254.16010465998326</v>
      </c>
      <c r="F22" s="2">
        <f>E22*E52/(SUM(E20:E24)/5)</f>
        <v>229.81477118873948</v>
      </c>
      <c r="G22" s="2">
        <f t="shared" si="6"/>
        <v>229.81477118873948</v>
      </c>
      <c r="H22" s="133">
        <v>104.0301843478631</v>
      </c>
      <c r="I22" s="126">
        <v>216.61011745474224</v>
      </c>
      <c r="J22" s="118"/>
      <c r="K22" s="150">
        <v>0.25</v>
      </c>
      <c r="L22" s="2">
        <f t="shared" si="21"/>
        <v>54.152529363685559</v>
      </c>
      <c r="M22" s="31">
        <f t="shared" si="24"/>
        <v>2.0821852697139018</v>
      </c>
      <c r="N22" s="84">
        <f t="shared" si="9"/>
        <v>1.5616389522854264</v>
      </c>
      <c r="O22" s="17">
        <f t="shared" si="25"/>
        <v>174.4584064021264</v>
      </c>
      <c r="P22" s="136">
        <f>L22+O22</f>
        <v>228.61093576581197</v>
      </c>
      <c r="Q22" s="119"/>
      <c r="R22" s="92">
        <f t="shared" si="3"/>
        <v>12.691682490439298</v>
      </c>
      <c r="S22" s="71">
        <f t="shared" si="4"/>
        <v>6.4983035236422673</v>
      </c>
      <c r="T22" s="119"/>
      <c r="U22" s="120">
        <f t="shared" si="26"/>
        <v>96</v>
      </c>
      <c r="V22" s="126">
        <f t="shared" si="28"/>
        <v>83.430769230769243</v>
      </c>
    </row>
    <row r="23" spans="1:22" x14ac:dyDescent="0.25">
      <c r="A23" s="41">
        <f t="shared" si="11"/>
        <v>2034</v>
      </c>
      <c r="B23" s="2">
        <f>B22-(B22-B27)*(A23-A22)/(A27-A22)</f>
        <v>132.53838116501163</v>
      </c>
      <c r="C23" s="2">
        <f>B23*B52/(SUM(B20:B24)/5)</f>
        <v>100.94466212935613</v>
      </c>
      <c r="D23" s="31">
        <f t="shared" si="19"/>
        <v>100.94466212935613</v>
      </c>
      <c r="E23" s="2">
        <f>E22-(E22-E27)*(A23-A22)/(A27-A22)</f>
        <v>244.54396024566788</v>
      </c>
      <c r="F23" s="2">
        <f>E23*E52/(SUM(E20:E24)/5)</f>
        <v>221.11973216500982</v>
      </c>
      <c r="G23" s="2">
        <f>F23</f>
        <v>221.11973216500982</v>
      </c>
      <c r="H23" s="133">
        <v>94.00078034876482</v>
      </c>
      <c r="I23" s="126">
        <v>209.17388238336292</v>
      </c>
      <c r="J23" s="118"/>
      <c r="K23" s="150">
        <v>0.25</v>
      </c>
      <c r="L23" s="2">
        <f t="shared" si="21"/>
        <v>52.293470595840731</v>
      </c>
      <c r="M23" s="31">
        <f t="shared" si="24"/>
        <v>2.2252355949310103</v>
      </c>
      <c r="N23" s="84">
        <f t="shared" si="9"/>
        <v>1.6689266961982576</v>
      </c>
      <c r="O23" s="17">
        <f t="shared" si="25"/>
        <v>168.46924146639572</v>
      </c>
      <c r="P23" s="136">
        <f t="shared" si="22"/>
        <v>220.76271206223646</v>
      </c>
      <c r="Q23" s="119"/>
      <c r="R23" s="92">
        <f t="shared" si="3"/>
        <v>11.468095202549307</v>
      </c>
      <c r="S23" s="71">
        <f t="shared" si="4"/>
        <v>6.2752164715008876</v>
      </c>
      <c r="T23" s="119"/>
      <c r="U23" s="120">
        <f t="shared" si="26"/>
        <v>96</v>
      </c>
      <c r="V23" s="126">
        <f t="shared" si="28"/>
        <v>84.507692307692324</v>
      </c>
    </row>
    <row r="24" spans="1:22" x14ac:dyDescent="0.25">
      <c r="A24" s="41">
        <f t="shared" si="11"/>
        <v>2035</v>
      </c>
      <c r="B24" s="2">
        <f>B22-(B22-B27)*(A24-A22)/(A27-A22)</f>
        <v>118.39721164324344</v>
      </c>
      <c r="C24" s="2">
        <f>B24*B52/(SUM(B20:B24)/5)</f>
        <v>90.17438134773397</v>
      </c>
      <c r="D24" s="31">
        <f t="shared" si="19"/>
        <v>90.17438134773397</v>
      </c>
      <c r="E24" s="2">
        <f>E22-(E22-E27)*(A24-A22)/(A27-A22)</f>
        <v>234.92781583135249</v>
      </c>
      <c r="F24" s="2">
        <f>E24*E52/(SUM(E20:E24)/5)</f>
        <v>212.42469314128019</v>
      </c>
      <c r="G24" s="2">
        <f t="shared" si="6"/>
        <v>212.42469314128019</v>
      </c>
      <c r="H24" s="133">
        <v>83.971376349666556</v>
      </c>
      <c r="I24" s="126">
        <v>201.83554940988586</v>
      </c>
      <c r="J24" s="118"/>
      <c r="K24" s="150">
        <v>0.25</v>
      </c>
      <c r="L24" s="2">
        <f t="shared" si="21"/>
        <v>50.458887352471464</v>
      </c>
      <c r="M24" s="31">
        <f t="shared" si="24"/>
        <v>2.4036232128602872</v>
      </c>
      <c r="N24" s="84">
        <f t="shared" si="9"/>
        <v>1.8027174096452154</v>
      </c>
      <c r="O24" s="17">
        <f t="shared" si="25"/>
        <v>162.55892715954681</v>
      </c>
      <c r="P24" s="136">
        <f>L24+O24</f>
        <v>213.01781451201828</v>
      </c>
      <c r="Q24" s="119"/>
      <c r="R24" s="92">
        <f t="shared" si="3"/>
        <v>10.244507914659319</v>
      </c>
      <c r="S24" s="71">
        <f t="shared" si="4"/>
        <v>6.0550664822965752</v>
      </c>
      <c r="T24" s="119"/>
      <c r="U24" s="120">
        <f t="shared" si="26"/>
        <v>96</v>
      </c>
      <c r="V24" s="126">
        <f t="shared" si="28"/>
        <v>85.584615384615404</v>
      </c>
    </row>
    <row r="25" spans="1:22" x14ac:dyDescent="0.25">
      <c r="A25" s="41">
        <f t="shared" si="11"/>
        <v>2036</v>
      </c>
      <c r="B25" s="2">
        <f>B22-(B22-B27)*(A25-A22)/(A27-A22)</f>
        <v>104.25604212147525</v>
      </c>
      <c r="C25" s="2">
        <f>B25+(AVERAGE($B$25:$B$29)-$B$53)</f>
        <v>84.723677034650535</v>
      </c>
      <c r="D25" s="31">
        <f t="shared" si="19"/>
        <v>84.723677034650535</v>
      </c>
      <c r="E25" s="2">
        <f>E22-(E22-E27)*(A25-A22)/(A27-A22)</f>
        <v>225.31167141703713</v>
      </c>
      <c r="F25" s="2">
        <f>E25*E53/(SUM(E25:E29)/5)</f>
        <v>223.1718095539745</v>
      </c>
      <c r="G25" s="2">
        <f t="shared" si="6"/>
        <v>223.1718095539745</v>
      </c>
      <c r="H25" s="133">
        <v>75.191526946624322</v>
      </c>
      <c r="I25" s="126">
        <v>212.48232024015746</v>
      </c>
      <c r="J25" s="118"/>
      <c r="K25" s="150">
        <v>0.25</v>
      </c>
      <c r="L25" s="2">
        <f t="shared" si="21"/>
        <v>53.120580060039366</v>
      </c>
      <c r="M25" s="31">
        <f t="shared" si="24"/>
        <v>2.8258811713052561</v>
      </c>
      <c r="N25" s="84">
        <f t="shared" si="9"/>
        <v>2.1194108784789423</v>
      </c>
      <c r="O25" s="17">
        <f t="shared" si="25"/>
        <v>179.56428277197489</v>
      </c>
      <c r="P25" s="136">
        <f>L25+O25</f>
        <v>232.68486283201426</v>
      </c>
      <c r="Q25" s="119"/>
      <c r="R25" s="92">
        <f t="shared" si="3"/>
        <v>9.1733662874881663</v>
      </c>
      <c r="S25" s="71">
        <f t="shared" si="4"/>
        <v>6.3744696072047233</v>
      </c>
      <c r="T25" s="119"/>
      <c r="U25" s="120">
        <f t="shared" si="26"/>
        <v>96</v>
      </c>
      <c r="V25" s="126">
        <f t="shared" si="28"/>
        <v>86.661538461538484</v>
      </c>
    </row>
    <row r="26" spans="1:22" x14ac:dyDescent="0.25">
      <c r="A26" s="41">
        <f t="shared" si="11"/>
        <v>2037</v>
      </c>
      <c r="B26" s="2">
        <f>B22-(B22-B27)*(A26-A22)/(A27-A22)</f>
        <v>90.114872599707041</v>
      </c>
      <c r="C26" s="2">
        <f>B26+0.5*(AVERAGE($B$25:$B$29)-$B$53)</f>
        <v>80.348690056294686</v>
      </c>
      <c r="D26" s="31">
        <f t="shared" si="19"/>
        <v>80.348690056294686</v>
      </c>
      <c r="E26" s="2">
        <f>E22-(E22-E27)*(A26-A22)/(A27-A22)</f>
        <v>215.69552700272175</v>
      </c>
      <c r="F26" s="2">
        <f>E26*E53/(SUM(E25:E29)/5)</f>
        <v>213.64699294603719</v>
      </c>
      <c r="G26" s="2">
        <f t="shared" si="6"/>
        <v>213.64699294603719</v>
      </c>
      <c r="H26" s="133">
        <v>72.66475805776048</v>
      </c>
      <c r="I26" s="126">
        <v>204.50859101824517</v>
      </c>
      <c r="J26" s="118"/>
      <c r="K26" s="150">
        <v>0.25</v>
      </c>
      <c r="L26" s="2">
        <f t="shared" si="21"/>
        <v>51.127147754561292</v>
      </c>
      <c r="M26" s="31">
        <f t="shared" si="24"/>
        <v>2.8144123297800476</v>
      </c>
      <c r="N26" s="84">
        <f t="shared" si="9"/>
        <v>2.1108092473350357</v>
      </c>
      <c r="O26" s="17">
        <f t="shared" si="25"/>
        <v>169.60075798208345</v>
      </c>
      <c r="P26" s="136">
        <f>L26+O26</f>
        <v>220.72790573664474</v>
      </c>
      <c r="Q26" s="119"/>
      <c r="R26" s="92">
        <f t="shared" si="3"/>
        <v>8.8651004830467777</v>
      </c>
      <c r="S26" s="71">
        <f t="shared" si="4"/>
        <v>6.1352577305473552</v>
      </c>
      <c r="T26" s="119"/>
      <c r="U26" s="120">
        <f t="shared" si="26"/>
        <v>96</v>
      </c>
      <c r="V26" s="126">
        <f t="shared" si="28"/>
        <v>87.738461538461564</v>
      </c>
    </row>
    <row r="27" spans="1:22" x14ac:dyDescent="0.25">
      <c r="A27" s="41">
        <f t="shared" si="11"/>
        <v>2038</v>
      </c>
      <c r="B27" s="2">
        <f>B53</f>
        <v>75.97370307793885</v>
      </c>
      <c r="C27" s="2">
        <f>B27</f>
        <v>75.97370307793885</v>
      </c>
      <c r="D27" s="31">
        <f t="shared" si="19"/>
        <v>75.97370307793885</v>
      </c>
      <c r="E27" s="2">
        <f>E53</f>
        <v>206.07938258840636</v>
      </c>
      <c r="F27" s="2">
        <f>E27*E53/(SUM(E25:E29)/5)</f>
        <v>204.12217633809988</v>
      </c>
      <c r="G27" s="2">
        <f t="shared" si="6"/>
        <v>204.12217633809988</v>
      </c>
      <c r="H27" s="133">
        <v>70.137989168896638</v>
      </c>
      <c r="I27" s="126">
        <v>196.63276389423501</v>
      </c>
      <c r="J27" s="118"/>
      <c r="K27" s="150">
        <v>0.5</v>
      </c>
      <c r="L27" s="2">
        <f t="shared" si="21"/>
        <v>98.316381947117506</v>
      </c>
      <c r="M27" s="31">
        <f t="shared" si="24"/>
        <v>2.8035129923775131</v>
      </c>
      <c r="N27" s="84">
        <f t="shared" si="9"/>
        <v>1.4017564961887565</v>
      </c>
      <c r="O27" s="17">
        <f t="shared" si="25"/>
        <v>106.49663182901651</v>
      </c>
      <c r="P27" s="136">
        <f t="shared" si="22"/>
        <v>204.81301377613403</v>
      </c>
      <c r="Q27" s="119"/>
      <c r="R27" s="92">
        <f t="shared" si="3"/>
        <v>8.556834678605389</v>
      </c>
      <c r="S27" s="71">
        <f t="shared" si="4"/>
        <v>5.89898291682705</v>
      </c>
      <c r="T27" s="119"/>
      <c r="U27" s="120">
        <f t="shared" si="26"/>
        <v>96</v>
      </c>
      <c r="V27" s="126">
        <f t="shared" si="28"/>
        <v>88.815384615384644</v>
      </c>
    </row>
    <row r="28" spans="1:22" x14ac:dyDescent="0.25">
      <c r="A28" s="41">
        <f t="shared" si="11"/>
        <v>2039</v>
      </c>
      <c r="B28" s="2">
        <f>B27-(B27-B32)*(A28-A27)/(A32-A27)</f>
        <v>29.278591744796138</v>
      </c>
      <c r="C28" s="2">
        <f>B28-2.25*(AVERAGE($B$25:$B$29)-$B$53)</f>
        <v>73.226413190151732</v>
      </c>
      <c r="D28" s="31">
        <f t="shared" si="19"/>
        <v>73.226413190151732</v>
      </c>
      <c r="E28" s="2">
        <f>E27-(E27-E32)*(A28-A27)/(A32-A27)</f>
        <v>199.7565260707251</v>
      </c>
      <c r="F28" s="2">
        <f>E28*E53/(SUM(E25:E29)/5)</f>
        <v>197.85937014734006</v>
      </c>
      <c r="G28" s="2">
        <f>F28</f>
        <v>197.85937014734006</v>
      </c>
      <c r="H28" s="133">
        <v>69.36591778947593</v>
      </c>
      <c r="I28" s="126">
        <v>191.70750007637298</v>
      </c>
      <c r="J28" s="118"/>
      <c r="K28" s="150">
        <v>0.75</v>
      </c>
      <c r="L28" s="2">
        <f t="shared" si="21"/>
        <v>143.78062505727974</v>
      </c>
      <c r="M28" s="31">
        <f t="shared" si="24"/>
        <v>2.7637131632598178</v>
      </c>
      <c r="N28" s="84">
        <f t="shared" si="9"/>
        <v>0.69092829081495444</v>
      </c>
      <c r="O28" s="17">
        <f t="shared" si="25"/>
        <v>50.594200507981171</v>
      </c>
      <c r="P28" s="136">
        <f t="shared" si="22"/>
        <v>194.37482556526089</v>
      </c>
      <c r="Q28" s="119"/>
      <c r="R28" s="92">
        <f t="shared" si="3"/>
        <v>8.4626419703160636</v>
      </c>
      <c r="S28" s="71">
        <f t="shared" si="4"/>
        <v>5.7512250022911893</v>
      </c>
      <c r="T28" s="119"/>
      <c r="U28" s="120">
        <f t="shared" si="26"/>
        <v>96</v>
      </c>
      <c r="V28" s="126">
        <f t="shared" si="28"/>
        <v>89.892307692307725</v>
      </c>
    </row>
    <row r="29" spans="1:22" x14ac:dyDescent="0.25">
      <c r="A29" s="41">
        <f t="shared" si="11"/>
        <v>2040</v>
      </c>
      <c r="B29" s="2">
        <f>B27-(B27-B32)*(A29-A27)/(A32-A27)</f>
        <v>-17.416519588346574</v>
      </c>
      <c r="C29" s="2">
        <f>B29-4.25*(AVERAGE($B$25:$B$29)-$B$53)</f>
        <v>65.596032030658449</v>
      </c>
      <c r="D29" s="31">
        <f t="shared" si="19"/>
        <v>65.596032030658449</v>
      </c>
      <c r="E29" s="2">
        <f>E27-(E27-E32)*(A29-A27)/(A32-A27)</f>
        <v>193.43366955304381</v>
      </c>
      <c r="F29" s="2">
        <f>E29*E53/(SUM(E25:E29)/5)</f>
        <v>191.59656395658016</v>
      </c>
      <c r="G29" s="2">
        <f>F29</f>
        <v>191.59656395658016</v>
      </c>
      <c r="H29" s="133">
        <v>63.329753881725807</v>
      </c>
      <c r="I29" s="126">
        <v>186.88013835641306</v>
      </c>
      <c r="J29" s="118"/>
      <c r="K29" s="150">
        <v>1</v>
      </c>
      <c r="L29" s="2">
        <f t="shared" si="21"/>
        <v>186.88013835641306</v>
      </c>
      <c r="M29" s="31">
        <f>I29/H29</f>
        <v>2.9509058049622152</v>
      </c>
      <c r="N29" s="84">
        <f t="shared" si="9"/>
        <v>0</v>
      </c>
      <c r="O29" s="17">
        <f t="shared" si="25"/>
        <v>0</v>
      </c>
      <c r="P29" s="136">
        <f t="shared" si="22"/>
        <v>186.88013835641306</v>
      </c>
      <c r="Q29" s="119"/>
      <c r="R29" s="92">
        <f t="shared" si="3"/>
        <v>7.7262299735705486</v>
      </c>
      <c r="S29" s="71">
        <f t="shared" si="4"/>
        <v>5.6064041506923914</v>
      </c>
      <c r="T29" s="119"/>
      <c r="U29" s="120">
        <f t="shared" si="26"/>
        <v>96</v>
      </c>
      <c r="V29" s="126">
        <f t="shared" si="28"/>
        <v>90.969230769230805</v>
      </c>
    </row>
    <row r="30" spans="1:22" x14ac:dyDescent="0.25">
      <c r="A30" s="41">
        <f t="shared" si="11"/>
        <v>2041</v>
      </c>
      <c r="B30" s="2">
        <f>B27-(B27-B32)*(A30-A27)/(A32-A27)</f>
        <v>-64.111630921489265</v>
      </c>
      <c r="C30" s="2">
        <f>B30*B54/(SUM(B30:B34)/5)</f>
        <v>-62.213999729704689</v>
      </c>
      <c r="D30" s="31">
        <f t="shared" si="19"/>
        <v>-62.213999729704689</v>
      </c>
      <c r="E30" s="2">
        <f>E27-(E27-E32)*(A30-A27)/(A32-A27)</f>
        <v>187.11081303536255</v>
      </c>
      <c r="F30" s="2">
        <f>E30*E54/(SUM(E30:E34)/5)</f>
        <v>193.16025927587847</v>
      </c>
      <c r="G30" s="2">
        <f>F30</f>
        <v>193.16025927587847</v>
      </c>
      <c r="H30" s="133">
        <v>-73.742123990680085</v>
      </c>
      <c r="I30" s="115">
        <v>190.12124096649518</v>
      </c>
      <c r="J30" s="118"/>
      <c r="K30" s="150">
        <v>1</v>
      </c>
      <c r="L30" s="2">
        <f t="shared" si="21"/>
        <v>190.12124096649518</v>
      </c>
      <c r="M30" s="31">
        <f t="shared" si="24"/>
        <v>-2.5781904653373382</v>
      </c>
      <c r="N30" s="84">
        <f t="shared" si="9"/>
        <v>0</v>
      </c>
      <c r="O30" s="17">
        <f t="shared" si="25"/>
        <v>0</v>
      </c>
      <c r="P30" s="136">
        <f t="shared" si="22"/>
        <v>190.12124096649518</v>
      </c>
      <c r="Q30" s="119"/>
      <c r="R30" s="92">
        <f t="shared" si="3"/>
        <v>-8.9965391268629702</v>
      </c>
      <c r="S30" s="46">
        <f t="shared" si="4"/>
        <v>5.7036372289948556</v>
      </c>
      <c r="T30" s="119"/>
      <c r="U30" s="120">
        <f t="shared" si="26"/>
        <v>96</v>
      </c>
      <c r="V30" s="115">
        <f t="shared" si="28"/>
        <v>92.046153846153885</v>
      </c>
    </row>
    <row r="31" spans="1:22" x14ac:dyDescent="0.25">
      <c r="A31" s="41">
        <f t="shared" si="11"/>
        <v>2042</v>
      </c>
      <c r="B31" s="2">
        <f>B27-(B27-B32)*(A31-A27)/(A32-A27)</f>
        <v>-110.806742254632</v>
      </c>
      <c r="C31" s="2">
        <f>B31*B54/(SUM(B30:B34)/5)</f>
        <v>-107.5269889970691</v>
      </c>
      <c r="D31" s="31">
        <f t="shared" si="19"/>
        <v>-107.5269889970691</v>
      </c>
      <c r="E31" s="2">
        <f>E27-(E27-E32)*(A31-A27)/(A32-A27)</f>
        <v>180.78795651768127</v>
      </c>
      <c r="F31" s="2">
        <f>E31*E54/(SUM(E30:E34)/5)</f>
        <v>186.63297961466151</v>
      </c>
      <c r="G31" s="2">
        <f t="shared" si="6"/>
        <v>186.63297961466151</v>
      </c>
      <c r="H31" s="133">
        <v>-121.52389582249954</v>
      </c>
      <c r="I31" s="115">
        <v>185.14228010741758</v>
      </c>
      <c r="J31" s="118"/>
      <c r="K31" s="150">
        <v>1</v>
      </c>
      <c r="L31" s="2">
        <f t="shared" si="21"/>
        <v>185.14228010741758</v>
      </c>
      <c r="M31" s="31">
        <f t="shared" si="24"/>
        <v>-1.5235051415553731</v>
      </c>
      <c r="N31" s="84">
        <f t="shared" si="9"/>
        <v>0</v>
      </c>
      <c r="O31" s="17">
        <f t="shared" si="25"/>
        <v>0</v>
      </c>
      <c r="P31" s="136">
        <f t="shared" si="22"/>
        <v>185.14228010741758</v>
      </c>
      <c r="Q31" s="119"/>
      <c r="R31" s="92">
        <f t="shared" si="3"/>
        <v>-14.825915290344943</v>
      </c>
      <c r="S31" s="46">
        <f t="shared" si="4"/>
        <v>5.5542684032225269</v>
      </c>
      <c r="T31" s="119"/>
      <c r="U31" s="120">
        <f t="shared" si="26"/>
        <v>96</v>
      </c>
      <c r="V31" s="115">
        <f t="shared" si="28"/>
        <v>93.123076923076965</v>
      </c>
    </row>
    <row r="32" spans="1:22" x14ac:dyDescent="0.25">
      <c r="A32" s="41">
        <f t="shared" si="11"/>
        <v>2043</v>
      </c>
      <c r="B32" s="2">
        <f>B54</f>
        <v>-157.50185358777472</v>
      </c>
      <c r="C32" s="2">
        <f>B32*B54/(SUM(B30:B34)/5)</f>
        <v>-152.83997826443351</v>
      </c>
      <c r="D32" s="31">
        <f t="shared" si="19"/>
        <v>-152.83997826443351</v>
      </c>
      <c r="E32" s="2">
        <f>E54</f>
        <v>174.46510000000001</v>
      </c>
      <c r="F32" s="2">
        <f>E32*E54/(SUM(E30:E34)/5)</f>
        <v>180.10569995344454</v>
      </c>
      <c r="G32" s="2">
        <f t="shared" si="6"/>
        <v>180.10569995344454</v>
      </c>
      <c r="H32" s="133">
        <v>-169.305667654319</v>
      </c>
      <c r="I32" s="115">
        <v>180.26122134624205</v>
      </c>
      <c r="J32" s="118"/>
      <c r="K32" s="150">
        <v>1</v>
      </c>
      <c r="L32" s="2">
        <f t="shared" si="21"/>
        <v>180.26122134624205</v>
      </c>
      <c r="M32" s="31">
        <f t="shared" si="24"/>
        <v>-1.0647087238348785</v>
      </c>
      <c r="N32" s="84">
        <f t="shared" si="9"/>
        <v>0</v>
      </c>
      <c r="O32" s="17">
        <f t="shared" si="25"/>
        <v>0</v>
      </c>
      <c r="P32" s="136">
        <f t="shared" si="22"/>
        <v>180.26122134624205</v>
      </c>
      <c r="Q32" s="119"/>
      <c r="R32" s="92">
        <f t="shared" si="3"/>
        <v>-20.655291453826916</v>
      </c>
      <c r="S32" s="46">
        <f t="shared" si="4"/>
        <v>5.4078366403872611</v>
      </c>
      <c r="T32" s="119"/>
      <c r="U32" s="120">
        <f t="shared" si="26"/>
        <v>96</v>
      </c>
      <c r="V32" s="115">
        <f t="shared" si="28"/>
        <v>94.200000000000045</v>
      </c>
    </row>
    <row r="33" spans="1:22" x14ac:dyDescent="0.25">
      <c r="A33" s="41">
        <f t="shared" si="11"/>
        <v>2044</v>
      </c>
      <c r="B33" s="2">
        <f>B32-(B32-B35)*(A33-A32)/(A35-A32)</f>
        <v>-212.20374880210622</v>
      </c>
      <c r="C33" s="2">
        <f>B33*B54/(SUM(B30:B34)/5)</f>
        <v>-205.92275973736659</v>
      </c>
      <c r="D33" s="31">
        <f t="shared" si="19"/>
        <v>-205.92275973736659</v>
      </c>
      <c r="E33" s="2">
        <f>E32-(E32-E35)*(A33-A32)/(A35-A32)</f>
        <v>159.03566666666666</v>
      </c>
      <c r="F33" s="2">
        <f>E33*E54/(SUM(E30:E34)/5)</f>
        <v>164.17742036982003</v>
      </c>
      <c r="G33" s="2">
        <f t="shared" si="6"/>
        <v>164.17742036982003</v>
      </c>
      <c r="H33" s="133">
        <v>-219.25554590065803</v>
      </c>
      <c r="I33" s="115">
        <v>165.65467794799213</v>
      </c>
      <c r="J33" s="118"/>
      <c r="K33" s="150">
        <v>1</v>
      </c>
      <c r="L33" s="2">
        <f t="shared" si="21"/>
        <v>165.65467794799213</v>
      </c>
      <c r="M33" s="31">
        <f t="shared" si="24"/>
        <v>-0.7555324416881487</v>
      </c>
      <c r="N33" s="84">
        <f t="shared" si="9"/>
        <v>0</v>
      </c>
      <c r="O33" s="17">
        <f t="shared" si="25"/>
        <v>0</v>
      </c>
      <c r="P33" s="136">
        <f t="shared" si="22"/>
        <v>165.65467794799213</v>
      </c>
      <c r="Q33" s="119"/>
      <c r="R33" s="92">
        <f t="shared" si="3"/>
        <v>-26.749176599880279</v>
      </c>
      <c r="S33" s="46">
        <f t="shared" si="4"/>
        <v>4.9696403384397634</v>
      </c>
      <c r="T33" s="119"/>
      <c r="U33" s="120">
        <f t="shared" si="26"/>
        <v>96</v>
      </c>
      <c r="V33" s="115">
        <f t="shared" si="28"/>
        <v>95.276923076923126</v>
      </c>
    </row>
    <row r="34" spans="1:22" x14ac:dyDescent="0.25">
      <c r="A34" s="41">
        <f t="shared" si="11"/>
        <v>2045</v>
      </c>
      <c r="B34" s="2">
        <f>B32-(B32-B35)*(A34-A32)/(A35-A32)</f>
        <v>-266.90564401643775</v>
      </c>
      <c r="C34" s="2">
        <f>B34*B54/(SUM(B30:B34)/5)</f>
        <v>-259.00554121029973</v>
      </c>
      <c r="D34" s="31">
        <f t="shared" si="19"/>
        <v>-259.00554121029973</v>
      </c>
      <c r="E34" s="2">
        <f>E32-(E32-E35)*(A34-A32)/(A35-A32)</f>
        <v>143.60623333333334</v>
      </c>
      <c r="F34" s="2">
        <f>E34*E54/(SUM(E30:E34)/5)</f>
        <v>148.24914078619551</v>
      </c>
      <c r="G34" s="2">
        <f>F34</f>
        <v>148.24914078619551</v>
      </c>
      <c r="H34" s="133">
        <v>-269.20542414699702</v>
      </c>
      <c r="I34" s="115">
        <v>151.14603664764434</v>
      </c>
      <c r="J34" s="118"/>
      <c r="K34" s="150">
        <v>1</v>
      </c>
      <c r="L34" s="2">
        <f t="shared" si="21"/>
        <v>151.14603664764434</v>
      </c>
      <c r="M34" s="31">
        <f t="shared" si="24"/>
        <v>-0.56145241919461664</v>
      </c>
      <c r="N34" s="84">
        <f t="shared" si="9"/>
        <v>0</v>
      </c>
      <c r="O34" s="17">
        <f t="shared" si="25"/>
        <v>0</v>
      </c>
      <c r="P34" s="136">
        <f t="shared" si="22"/>
        <v>151.14603664764434</v>
      </c>
      <c r="Q34" s="119"/>
      <c r="R34" s="92">
        <f t="shared" si="3"/>
        <v>-32.843061745933639</v>
      </c>
      <c r="S34" s="46">
        <f t="shared" si="4"/>
        <v>4.5343810994293303</v>
      </c>
      <c r="T34" s="119"/>
      <c r="U34" s="120">
        <f t="shared" si="26"/>
        <v>96</v>
      </c>
      <c r="V34" s="115">
        <f t="shared" si="28"/>
        <v>96.353846153846206</v>
      </c>
    </row>
    <row r="35" spans="1:22" x14ac:dyDescent="0.25">
      <c r="A35" s="41">
        <f t="shared" si="11"/>
        <v>2046</v>
      </c>
      <c r="B35" s="2">
        <f>B55</f>
        <v>-321.60753923076925</v>
      </c>
      <c r="C35" s="2">
        <f>B35*B55/(SUM(B35:B39)/5)</f>
        <v>-321.60753923076925</v>
      </c>
      <c r="D35" s="31">
        <f t="shared" si="19"/>
        <v>-321.60753923076925</v>
      </c>
      <c r="E35" s="2">
        <f>E55</f>
        <v>128.17679999999999</v>
      </c>
      <c r="F35" s="2">
        <f>E35*E55/(SUM(E35:E39)/5)</f>
        <v>128.17679999999999</v>
      </c>
      <c r="G35" s="2">
        <f t="shared" si="6"/>
        <v>128.17679999999999</v>
      </c>
      <c r="H35" s="133">
        <v>-321.60753923076925</v>
      </c>
      <c r="I35" s="115">
        <v>128.17676999999998</v>
      </c>
      <c r="J35" s="118"/>
      <c r="K35" s="150">
        <v>1</v>
      </c>
      <c r="L35" s="2">
        <f t="shared" si="21"/>
        <v>128.17676999999998</v>
      </c>
      <c r="M35" s="31">
        <f t="shared" si="24"/>
        <v>-0.39855026504222224</v>
      </c>
      <c r="N35" s="84">
        <f t="shared" si="9"/>
        <v>0</v>
      </c>
      <c r="O35" s="17">
        <f t="shared" si="25"/>
        <v>0</v>
      </c>
      <c r="P35" s="136">
        <f t="shared" si="22"/>
        <v>128.17676999999998</v>
      </c>
      <c r="Q35" s="119"/>
      <c r="R35" s="92">
        <f t="shared" si="3"/>
        <v>-39.23611978615385</v>
      </c>
      <c r="S35" s="46">
        <f t="shared" si="4"/>
        <v>3.8453030999999993</v>
      </c>
      <c r="T35" s="119"/>
      <c r="U35" s="120">
        <f t="shared" si="26"/>
        <v>96</v>
      </c>
      <c r="V35" s="115">
        <f t="shared" si="28"/>
        <v>97.430769230769286</v>
      </c>
    </row>
    <row r="36" spans="1:22" x14ac:dyDescent="0.25">
      <c r="A36" s="41">
        <f t="shared" si="11"/>
        <v>2047</v>
      </c>
      <c r="B36" s="2">
        <f>B35</f>
        <v>-321.60753923076925</v>
      </c>
      <c r="C36" s="2">
        <f>B36*B55/(SUM(B35:B39)/5)</f>
        <v>-321.60753923076925</v>
      </c>
      <c r="D36" s="2">
        <f t="shared" si="19"/>
        <v>-321.60753923076925</v>
      </c>
      <c r="E36" s="2">
        <f>E35</f>
        <v>128.17679999999999</v>
      </c>
      <c r="F36" s="2">
        <f>E36*E55/(SUM(E35:E39)/5)</f>
        <v>128.17679999999999</v>
      </c>
      <c r="G36" s="2">
        <f t="shared" si="6"/>
        <v>128.17679999999999</v>
      </c>
      <c r="H36" s="133">
        <v>-321.60753923076925</v>
      </c>
      <c r="I36" s="115">
        <v>128.17676999999998</v>
      </c>
      <c r="J36" s="118"/>
      <c r="K36" s="150">
        <v>1</v>
      </c>
      <c r="L36" s="2">
        <f t="shared" si="21"/>
        <v>128.17676999999998</v>
      </c>
      <c r="M36" s="31">
        <f t="shared" si="24"/>
        <v>-0.39855026504222224</v>
      </c>
      <c r="N36" s="84">
        <f t="shared" si="9"/>
        <v>0</v>
      </c>
      <c r="O36" s="17">
        <f t="shared" si="25"/>
        <v>0</v>
      </c>
      <c r="P36" s="136">
        <f t="shared" si="22"/>
        <v>128.17676999999998</v>
      </c>
      <c r="Q36" s="119"/>
      <c r="R36" s="92">
        <f t="shared" si="3"/>
        <v>-39.23611978615385</v>
      </c>
      <c r="S36" s="46">
        <f t="shared" si="4"/>
        <v>3.8453030999999993</v>
      </c>
      <c r="T36" s="119"/>
      <c r="U36" s="120">
        <f t="shared" si="26"/>
        <v>96</v>
      </c>
      <c r="V36" s="115">
        <f>V35</f>
        <v>97.430769230769286</v>
      </c>
    </row>
    <row r="37" spans="1:22" x14ac:dyDescent="0.25">
      <c r="A37" s="41">
        <f t="shared" si="11"/>
        <v>2048</v>
      </c>
      <c r="B37" s="2">
        <f t="shared" ref="B37:B39" si="29">B36</f>
        <v>-321.60753923076925</v>
      </c>
      <c r="C37" s="2">
        <f>B37*B55/(SUM(B35:B39)/5)</f>
        <v>-321.60753923076925</v>
      </c>
      <c r="D37" s="2">
        <f t="shared" si="19"/>
        <v>-321.60753923076925</v>
      </c>
      <c r="E37" s="2">
        <f t="shared" ref="E37:E39" si="30">E36</f>
        <v>128.17679999999999</v>
      </c>
      <c r="F37" s="2">
        <f>E37*E55/(SUM(E35:E39)/5)</f>
        <v>128.17679999999999</v>
      </c>
      <c r="G37" s="2">
        <f t="shared" si="6"/>
        <v>128.17679999999999</v>
      </c>
      <c r="H37" s="133">
        <v>-321.60753923076925</v>
      </c>
      <c r="I37" s="115">
        <v>128.17676999999998</v>
      </c>
      <c r="J37" s="118"/>
      <c r="K37" s="150">
        <v>1</v>
      </c>
      <c r="L37" s="2">
        <f t="shared" si="21"/>
        <v>128.17676999999998</v>
      </c>
      <c r="M37" s="2">
        <f t="shared" si="24"/>
        <v>-0.39855026504222224</v>
      </c>
      <c r="N37" s="85">
        <f t="shared" si="9"/>
        <v>0</v>
      </c>
      <c r="O37" s="17">
        <f t="shared" si="25"/>
        <v>0</v>
      </c>
      <c r="P37" s="136">
        <f t="shared" si="22"/>
        <v>128.17676999999998</v>
      </c>
      <c r="Q37" s="119"/>
      <c r="R37" s="92">
        <f t="shared" si="3"/>
        <v>-39.23611978615385</v>
      </c>
      <c r="S37" s="46">
        <f t="shared" si="4"/>
        <v>3.8453030999999993</v>
      </c>
      <c r="T37" s="119"/>
      <c r="U37" s="120">
        <f t="shared" si="26"/>
        <v>96</v>
      </c>
      <c r="V37" s="115">
        <f t="shared" ref="V37:V39" si="31">V36</f>
        <v>97.430769230769286</v>
      </c>
    </row>
    <row r="38" spans="1:22" x14ac:dyDescent="0.25">
      <c r="A38" s="41">
        <f t="shared" si="11"/>
        <v>2049</v>
      </c>
      <c r="B38" s="2">
        <f t="shared" si="29"/>
        <v>-321.60753923076925</v>
      </c>
      <c r="C38" s="2">
        <f>B38*B55/(SUM(B35:B39)/5)</f>
        <v>-321.60753923076925</v>
      </c>
      <c r="D38" s="2">
        <f t="shared" si="19"/>
        <v>-321.60753923076925</v>
      </c>
      <c r="E38" s="2">
        <f t="shared" si="30"/>
        <v>128.17679999999999</v>
      </c>
      <c r="F38" s="2">
        <f>E38*E55/(SUM(E35:E39)/5)</f>
        <v>128.17679999999999</v>
      </c>
      <c r="G38" s="2">
        <f t="shared" si="6"/>
        <v>128.17679999999999</v>
      </c>
      <c r="H38" s="133">
        <v>-321.60753923076925</v>
      </c>
      <c r="I38" s="115">
        <v>128.17676999999998</v>
      </c>
      <c r="J38" s="118"/>
      <c r="K38" s="150">
        <v>1</v>
      </c>
      <c r="L38" s="2">
        <f t="shared" si="21"/>
        <v>128.17676999999998</v>
      </c>
      <c r="M38" s="2">
        <f t="shared" si="24"/>
        <v>-0.39855026504222224</v>
      </c>
      <c r="N38" s="85">
        <f t="shared" si="9"/>
        <v>0</v>
      </c>
      <c r="O38" s="17">
        <f t="shared" si="25"/>
        <v>0</v>
      </c>
      <c r="P38" s="136">
        <f t="shared" si="22"/>
        <v>128.17676999999998</v>
      </c>
      <c r="Q38" s="119"/>
      <c r="R38" s="92">
        <f t="shared" si="3"/>
        <v>-39.23611978615385</v>
      </c>
      <c r="S38" s="46">
        <f t="shared" si="4"/>
        <v>3.8453030999999993</v>
      </c>
      <c r="T38" s="119"/>
      <c r="U38" s="120">
        <f t="shared" si="26"/>
        <v>96</v>
      </c>
      <c r="V38" s="115">
        <f t="shared" si="31"/>
        <v>97.430769230769286</v>
      </c>
    </row>
    <row r="39" spans="1:22" ht="14.25" thickBot="1" x14ac:dyDescent="0.3">
      <c r="A39" s="47">
        <f t="shared" si="11"/>
        <v>2050</v>
      </c>
      <c r="B39" s="4">
        <f t="shared" si="29"/>
        <v>-321.60753923076925</v>
      </c>
      <c r="C39" s="4">
        <f>B39*B55/(SUM(B35:B39)/5)</f>
        <v>-321.60753923076925</v>
      </c>
      <c r="D39" s="4">
        <f t="shared" si="19"/>
        <v>-321.60753923076925</v>
      </c>
      <c r="E39" s="4">
        <f t="shared" si="30"/>
        <v>128.17679999999999</v>
      </c>
      <c r="F39" s="4">
        <f>E39*E55/(SUM(E35:E39)/5)</f>
        <v>128.17679999999999</v>
      </c>
      <c r="G39" s="4">
        <f t="shared" si="6"/>
        <v>128.17679999999999</v>
      </c>
      <c r="H39" s="134">
        <v>-321.60753923076925</v>
      </c>
      <c r="I39" s="116">
        <v>128.17676999999998</v>
      </c>
      <c r="J39" s="118"/>
      <c r="K39" s="205">
        <v>1</v>
      </c>
      <c r="L39" s="4">
        <f t="shared" si="21"/>
        <v>128.17676999999998</v>
      </c>
      <c r="M39" s="4">
        <f t="shared" si="24"/>
        <v>-0.39855026504222224</v>
      </c>
      <c r="N39" s="86">
        <f t="shared" si="9"/>
        <v>0</v>
      </c>
      <c r="O39" s="51">
        <f t="shared" si="25"/>
        <v>0</v>
      </c>
      <c r="P39" s="138">
        <f t="shared" si="22"/>
        <v>128.17676999999998</v>
      </c>
      <c r="Q39" s="119"/>
      <c r="R39" s="93">
        <f t="shared" si="3"/>
        <v>-39.23611978615385</v>
      </c>
      <c r="S39" s="53">
        <f t="shared" si="4"/>
        <v>3.8453030999999993</v>
      </c>
      <c r="T39" s="119"/>
      <c r="U39" s="156">
        <f t="shared" si="26"/>
        <v>96</v>
      </c>
      <c r="V39" s="116">
        <f t="shared" si="31"/>
        <v>97.430769230769286</v>
      </c>
    </row>
    <row r="40" spans="1:22" ht="6" customHeight="1" thickBot="1" x14ac:dyDescent="0.3">
      <c r="A40" s="121"/>
      <c r="B40" s="122"/>
      <c r="C40" s="122"/>
      <c r="D40" s="122"/>
      <c r="E40" s="122"/>
      <c r="F40" s="122"/>
      <c r="G40" s="122"/>
      <c r="H40" s="122"/>
      <c r="I40" s="122"/>
      <c r="J40" s="8"/>
      <c r="K40" s="122"/>
      <c r="L40" s="122"/>
      <c r="M40" s="122"/>
      <c r="N40" s="122"/>
      <c r="O40" s="122"/>
      <c r="P40" s="122"/>
      <c r="Q40" s="119"/>
      <c r="R40" s="119"/>
      <c r="S40" s="119"/>
      <c r="T40" s="119"/>
      <c r="U40" s="119"/>
      <c r="V40" s="119"/>
    </row>
    <row r="41" spans="1:22" x14ac:dyDescent="0.25">
      <c r="A41" s="123">
        <v>2020</v>
      </c>
      <c r="B41" s="3">
        <f>co2elec_out!B4</f>
        <v>718.75494315779861</v>
      </c>
      <c r="C41" s="3">
        <f>C9</f>
        <v>718.75494315779861</v>
      </c>
      <c r="D41" s="3">
        <f t="shared" ref="D41:H41" si="32">D9</f>
        <v>718.75494315779861</v>
      </c>
      <c r="E41" s="206">
        <f>P41</f>
        <v>633.64490000000001</v>
      </c>
      <c r="F41" s="3">
        <f>F9</f>
        <v>633.64486084220198</v>
      </c>
      <c r="G41" s="3">
        <f>G9</f>
        <v>633.64486084220198</v>
      </c>
      <c r="H41" s="139">
        <f t="shared" si="32"/>
        <v>718.75494315779861</v>
      </c>
      <c r="I41" s="124">
        <f>I9</f>
        <v>633.64486084220198</v>
      </c>
      <c r="J41" s="119"/>
      <c r="K41" s="144">
        <f>ROUND(L41/I41,4)</f>
        <v>1</v>
      </c>
      <c r="L41" s="3">
        <f t="shared" ref="L41:L42" si="33">ROUND(L9,4)</f>
        <v>633.64490000000001</v>
      </c>
      <c r="M41" s="3">
        <f>ROUND(I41/H41,4)</f>
        <v>0.88160000000000005</v>
      </c>
      <c r="N41" s="3">
        <f>ROUND((1-K41)*M41,4)</f>
        <v>0</v>
      </c>
      <c r="O41" s="3">
        <f>N41*D41</f>
        <v>0</v>
      </c>
      <c r="P41" s="140">
        <f>L41+O41</f>
        <v>633.64490000000001</v>
      </c>
      <c r="Q41" s="119"/>
      <c r="R41" s="125">
        <f t="shared" ref="R41" si="34">R9</f>
        <v>87.688103065251426</v>
      </c>
      <c r="S41" s="124">
        <f>S9</f>
        <v>19.00934582526606</v>
      </c>
      <c r="T41" s="119"/>
      <c r="U41" s="125">
        <f t="shared" ref="U41" si="35">U9</f>
        <v>0</v>
      </c>
      <c r="V41" s="124">
        <f>V9</f>
        <v>69.430769230769229</v>
      </c>
    </row>
    <row r="42" spans="1:22" x14ac:dyDescent="0.25">
      <c r="A42" s="41">
        <v>2021</v>
      </c>
      <c r="B42" s="2">
        <f>co2elec_out!B5</f>
        <v>653.98292997142676</v>
      </c>
      <c r="C42" s="2">
        <f t="shared" ref="C42:D42" si="36">C10</f>
        <v>653.98292997142676</v>
      </c>
      <c r="D42" s="2">
        <f t="shared" si="36"/>
        <v>653.98292997142676</v>
      </c>
      <c r="E42" s="207">
        <f>P42</f>
        <v>636.25559999999996</v>
      </c>
      <c r="F42" s="2">
        <f t="shared" ref="F42:I42" si="37">F10</f>
        <v>636.25556802857386</v>
      </c>
      <c r="G42" s="2">
        <f t="shared" si="37"/>
        <v>636.25556802857386</v>
      </c>
      <c r="H42" s="12">
        <f t="shared" si="37"/>
        <v>653.98292997142676</v>
      </c>
      <c r="I42" s="46">
        <f t="shared" si="37"/>
        <v>636.25556802857386</v>
      </c>
      <c r="J42" s="119"/>
      <c r="K42" s="145">
        <f t="shared" ref="K42:K55" si="38">ROUND(L42/I42,4)</f>
        <v>1</v>
      </c>
      <c r="L42" s="2">
        <f t="shared" si="33"/>
        <v>636.25559999999996</v>
      </c>
      <c r="M42" s="2">
        <f>ROUND(I42/H42,4)</f>
        <v>0.97289999999999999</v>
      </c>
      <c r="N42" s="2">
        <f t="shared" ref="N42:N55" si="39">ROUND((1-K42)*M42,4)</f>
        <v>0</v>
      </c>
      <c r="O42" s="2">
        <f t="shared" ref="O42:O55" si="40">N42*D42</f>
        <v>0</v>
      </c>
      <c r="P42" s="136">
        <f t="shared" ref="P42:P55" si="41">L42+O42</f>
        <v>636.25559999999996</v>
      </c>
      <c r="Q42" s="119"/>
      <c r="R42" s="92">
        <f t="shared" ref="R42:S42" si="42">R10</f>
        <v>79.785917456514056</v>
      </c>
      <c r="S42" s="46">
        <f t="shared" si="42"/>
        <v>19.087667040857216</v>
      </c>
      <c r="T42" s="119"/>
      <c r="U42" s="92">
        <f t="shared" ref="U42:V42" si="43">U10</f>
        <v>0</v>
      </c>
      <c r="V42" s="46">
        <f t="shared" si="43"/>
        <v>70.507692307692309</v>
      </c>
    </row>
    <row r="43" spans="1:22" x14ac:dyDescent="0.25">
      <c r="A43" s="43">
        <v>2022</v>
      </c>
      <c r="B43" s="35">
        <f>co2elec_out!B6</f>
        <v>664.21799999999996</v>
      </c>
      <c r="C43" s="35">
        <f t="shared" ref="C43:D43" si="44">C11</f>
        <v>664.21799999999996</v>
      </c>
      <c r="D43" s="35">
        <f t="shared" si="44"/>
        <v>664.21799999999996</v>
      </c>
      <c r="E43" s="211">
        <f>P43</f>
        <v>682.17960000000005</v>
      </c>
      <c r="F43" s="35">
        <f t="shared" ref="F43:I43" si="45">F11</f>
        <v>682.17957799999829</v>
      </c>
      <c r="G43" s="35">
        <f t="shared" si="45"/>
        <v>682.17957799999829</v>
      </c>
      <c r="H43" s="36">
        <f t="shared" si="45"/>
        <v>664.21799999999996</v>
      </c>
      <c r="I43" s="212">
        <f t="shared" si="45"/>
        <v>682.17957799999829</v>
      </c>
      <c r="J43" s="167"/>
      <c r="K43" s="213">
        <f t="shared" si="38"/>
        <v>1</v>
      </c>
      <c r="L43" s="35">
        <f>ROUND(L11,4)</f>
        <v>682.17960000000005</v>
      </c>
      <c r="M43" s="35">
        <f>ROUND(I43/H43,4)</f>
        <v>1.0269999999999999</v>
      </c>
      <c r="N43" s="35">
        <f>ROUND((1-K43)*M43,4)</f>
        <v>0</v>
      </c>
      <c r="O43" s="35">
        <f t="shared" si="40"/>
        <v>0</v>
      </c>
      <c r="P43" s="137">
        <f t="shared" si="41"/>
        <v>682.17960000000005</v>
      </c>
      <c r="Q43" s="119"/>
      <c r="R43" s="159">
        <f t="shared" ref="R43:S43" si="46">R11</f>
        <v>81.034595999999993</v>
      </c>
      <c r="S43" s="212">
        <f t="shared" si="46"/>
        <v>20.465387339999946</v>
      </c>
      <c r="T43" s="119"/>
      <c r="U43" s="159">
        <f t="shared" ref="U43:V43" si="47">U11</f>
        <v>0</v>
      </c>
      <c r="V43" s="212">
        <f t="shared" si="47"/>
        <v>71.58461538461539</v>
      </c>
    </row>
    <row r="44" spans="1:22" x14ac:dyDescent="0.25">
      <c r="A44" s="45">
        <v>2023</v>
      </c>
      <c r="B44" s="31">
        <f>co2elec_out!B7</f>
        <v>620.495271831286</v>
      </c>
      <c r="C44" s="31">
        <f t="shared" ref="C44" si="48">C12</f>
        <v>620.495271831286</v>
      </c>
      <c r="D44" s="31">
        <f>D12</f>
        <v>620.495271831286</v>
      </c>
      <c r="E44" s="209">
        <f t="shared" ref="E44:E55" si="49">P44</f>
        <v>608.49357243191093</v>
      </c>
      <c r="F44" s="31">
        <f>F12</f>
        <v>608.49357243191093</v>
      </c>
      <c r="G44" s="31">
        <f t="shared" ref="G44:I44" si="50">G12</f>
        <v>608.49357243191093</v>
      </c>
      <c r="H44" s="111">
        <f t="shared" si="50"/>
        <v>620.495271831286</v>
      </c>
      <c r="I44" s="71">
        <f t="shared" si="50"/>
        <v>608.47728955976652</v>
      </c>
      <c r="J44" s="117"/>
      <c r="K44" s="210">
        <f t="shared" si="38"/>
        <v>0.25</v>
      </c>
      <c r="L44" s="31">
        <f>ROUND(L12,4)</f>
        <v>152.11930000000001</v>
      </c>
      <c r="M44" s="31">
        <f t="shared" ref="M44:M55" si="51">ROUND(I44/H44,4)</f>
        <v>0.98060000000000003</v>
      </c>
      <c r="N44" s="31">
        <f>ROUND((1-K44)*M44,4)</f>
        <v>0.73550000000000004</v>
      </c>
      <c r="O44" s="31">
        <f t="shared" si="40"/>
        <v>456.37427243191087</v>
      </c>
      <c r="P44" s="114">
        <f>L44+O44</f>
        <v>608.49357243191093</v>
      </c>
      <c r="Q44" s="119"/>
      <c r="R44" s="94">
        <f t="shared" ref="R44:S44" si="52">R12</f>
        <v>75.700423163416886</v>
      </c>
      <c r="S44" s="71">
        <f t="shared" si="52"/>
        <v>18.254318686792995</v>
      </c>
      <c r="T44" s="119"/>
      <c r="U44" s="94">
        <f t="shared" ref="U44:V44" si="53">U12</f>
        <v>0</v>
      </c>
      <c r="V44" s="71">
        <f t="shared" si="53"/>
        <v>72.66153846153847</v>
      </c>
    </row>
    <row r="45" spans="1:22" x14ac:dyDescent="0.25">
      <c r="A45" s="41">
        <v>2024</v>
      </c>
      <c r="B45" s="2">
        <f>co2elec_out!B8</f>
        <v>617.6955609151197</v>
      </c>
      <c r="C45" s="2">
        <f t="shared" ref="C45:D45" si="54">C13</f>
        <v>617.6955609151197</v>
      </c>
      <c r="D45" s="2">
        <f t="shared" si="54"/>
        <v>617.6955609151197</v>
      </c>
      <c r="E45" s="207">
        <f>P45</f>
        <v>638.70545359097105</v>
      </c>
      <c r="F45" s="2">
        <f>F13</f>
        <v>638.70545359097105</v>
      </c>
      <c r="G45" s="2">
        <f>G13</f>
        <v>638.70545359097105</v>
      </c>
      <c r="H45" s="12">
        <f t="shared" ref="H45:I45" si="55">H13</f>
        <v>558.94777160375986</v>
      </c>
      <c r="I45" s="46">
        <f t="shared" si="55"/>
        <v>592.03240435704822</v>
      </c>
      <c r="J45" s="119"/>
      <c r="K45" s="145">
        <f t="shared" si="38"/>
        <v>0.25</v>
      </c>
      <c r="L45" s="2">
        <f t="shared" ref="L45:L51" si="56">ROUND(L13,4)</f>
        <v>148.00810000000001</v>
      </c>
      <c r="M45" s="2">
        <f t="shared" si="51"/>
        <v>1.0591999999999999</v>
      </c>
      <c r="N45" s="2">
        <f>ROUND((1-K45)*M45,4)</f>
        <v>0.7944</v>
      </c>
      <c r="O45" s="2">
        <f t="shared" si="40"/>
        <v>490.69735359097109</v>
      </c>
      <c r="P45" s="136">
        <f t="shared" si="41"/>
        <v>638.70545359097105</v>
      </c>
      <c r="Q45" s="119"/>
      <c r="R45" s="92">
        <f t="shared" ref="R45:S45" si="57">R13</f>
        <v>68.191628135658704</v>
      </c>
      <c r="S45" s="46">
        <f t="shared" si="57"/>
        <v>17.760972130711448</v>
      </c>
      <c r="T45" s="119"/>
      <c r="U45" s="92">
        <f t="shared" ref="U45:V45" si="58">U13</f>
        <v>38.400000000000006</v>
      </c>
      <c r="V45" s="46">
        <f t="shared" si="58"/>
        <v>73.738461538461536</v>
      </c>
    </row>
    <row r="46" spans="1:22" x14ac:dyDescent="0.25">
      <c r="A46" s="41">
        <v>2025</v>
      </c>
      <c r="B46" s="2">
        <f>co2elec_out!B9</f>
        <v>555.12580000779815</v>
      </c>
      <c r="C46" s="2">
        <f t="shared" ref="C46:D46" si="59">C14</f>
        <v>555.12580000779815</v>
      </c>
      <c r="D46" s="2">
        <f t="shared" si="59"/>
        <v>555.12580000779815</v>
      </c>
      <c r="E46" s="207">
        <f>P46</f>
        <v>641.13072234691924</v>
      </c>
      <c r="F46" s="2">
        <f t="shared" ref="F46" si="60">F14</f>
        <v>641.13072234691924</v>
      </c>
      <c r="G46" s="2">
        <f>G14</f>
        <v>641.13072234691924</v>
      </c>
      <c r="H46" s="12">
        <f>H14</f>
        <v>502.32889550707165</v>
      </c>
      <c r="I46" s="46">
        <f>I14</f>
        <v>594.27055025594154</v>
      </c>
      <c r="J46" s="119"/>
      <c r="K46" s="145">
        <f t="shared" si="38"/>
        <v>0.25</v>
      </c>
      <c r="L46" s="2">
        <f t="shared" si="56"/>
        <v>148.5676</v>
      </c>
      <c r="M46" s="2">
        <f t="shared" si="51"/>
        <v>1.1830000000000001</v>
      </c>
      <c r="N46" s="2">
        <f t="shared" si="39"/>
        <v>0.88729999999999998</v>
      </c>
      <c r="O46" s="2">
        <f t="shared" si="40"/>
        <v>492.56312234691927</v>
      </c>
      <c r="P46" s="136">
        <f t="shared" si="41"/>
        <v>641.13072234691924</v>
      </c>
      <c r="Q46" s="119"/>
      <c r="R46" s="92">
        <f t="shared" ref="R46:S46" si="61">R14</f>
        <v>61.28412525186274</v>
      </c>
      <c r="S46" s="46">
        <f t="shared" si="61"/>
        <v>17.828116507678246</v>
      </c>
      <c r="T46" s="119"/>
      <c r="U46" s="92">
        <f t="shared" ref="U46:V46" si="62">U14</f>
        <v>67.199999999999989</v>
      </c>
      <c r="V46" s="46">
        <f t="shared" si="62"/>
        <v>74.815384615384616</v>
      </c>
    </row>
    <row r="47" spans="1:22" x14ac:dyDescent="0.25">
      <c r="A47" s="41">
        <v>2026</v>
      </c>
      <c r="B47" s="2">
        <f>co2elec_out!B10</f>
        <v>538.50476604415064</v>
      </c>
      <c r="C47" s="2">
        <f t="shared" ref="C47:D47" si="63">C15</f>
        <v>538.50476604415064</v>
      </c>
      <c r="D47" s="2">
        <f t="shared" si="63"/>
        <v>538.50476604415064</v>
      </c>
      <c r="E47" s="207">
        <f t="shared" si="49"/>
        <v>636.23787613827551</v>
      </c>
      <c r="F47" s="2">
        <f t="shared" ref="F47:I47" si="64">F15</f>
        <v>636.23787613827551</v>
      </c>
      <c r="G47" s="2">
        <f t="shared" si="64"/>
        <v>636.23787613827551</v>
      </c>
      <c r="H47" s="12">
        <f>H15</f>
        <v>487.28865483905139</v>
      </c>
      <c r="I47" s="46">
        <f t="shared" si="64"/>
        <v>589.74858936311455</v>
      </c>
      <c r="J47" s="119"/>
      <c r="K47" s="145">
        <f t="shared" si="38"/>
        <v>0.25</v>
      </c>
      <c r="L47" s="2">
        <f>ROUND(L15,4)</f>
        <v>147.43709999999999</v>
      </c>
      <c r="M47" s="2">
        <f t="shared" si="51"/>
        <v>1.2102999999999999</v>
      </c>
      <c r="N47" s="2">
        <f>ROUND((1-K47)*M47,4)</f>
        <v>0.90769999999999995</v>
      </c>
      <c r="O47" s="2">
        <f t="shared" si="40"/>
        <v>488.80077613827552</v>
      </c>
      <c r="P47" s="136">
        <f t="shared" si="41"/>
        <v>636.23787613827551</v>
      </c>
      <c r="Q47" s="119"/>
      <c r="R47" s="92">
        <f t="shared" ref="R47:S47" si="65">R15</f>
        <v>59.449215890364265</v>
      </c>
      <c r="S47" s="46">
        <f t="shared" si="65"/>
        <v>17.692457680893437</v>
      </c>
      <c r="T47" s="119"/>
      <c r="U47" s="92">
        <f t="shared" ref="U47:V47" si="66">U15</f>
        <v>96</v>
      </c>
      <c r="V47" s="46">
        <f t="shared" si="66"/>
        <v>75.892307692307696</v>
      </c>
    </row>
    <row r="48" spans="1:22" x14ac:dyDescent="0.25">
      <c r="A48" s="41">
        <v>2027</v>
      </c>
      <c r="B48" s="2">
        <f>co2elec_out!B11</f>
        <v>514.1908375817012</v>
      </c>
      <c r="C48" s="2">
        <f t="shared" ref="C48:D48" si="67">C16</f>
        <v>514.1908375817012</v>
      </c>
      <c r="D48" s="2">
        <f t="shared" si="67"/>
        <v>514.1908375817012</v>
      </c>
      <c r="E48" s="207">
        <f t="shared" si="49"/>
        <v>631.80565067712587</v>
      </c>
      <c r="F48" s="2">
        <f>F16</f>
        <v>631.80565067712587</v>
      </c>
      <c r="G48" s="2">
        <f t="shared" ref="G48:H48" si="68">G16</f>
        <v>631.80565067712587</v>
      </c>
      <c r="H48" s="12">
        <f t="shared" si="68"/>
        <v>465.28717548102372</v>
      </c>
      <c r="I48" s="46">
        <f>I16</f>
        <v>585.63804370882644</v>
      </c>
      <c r="J48" s="119"/>
      <c r="K48" s="145">
        <f t="shared" si="38"/>
        <v>0.25</v>
      </c>
      <c r="L48" s="2">
        <f>ROUND(L16,4)</f>
        <v>146.40950000000001</v>
      </c>
      <c r="M48" s="2">
        <f t="shared" si="51"/>
        <v>1.2586999999999999</v>
      </c>
      <c r="N48" s="2">
        <f>ROUND((1-K48)*M48,4)</f>
        <v>0.94399999999999995</v>
      </c>
      <c r="O48" s="2">
        <f t="shared" si="40"/>
        <v>485.39615067712589</v>
      </c>
      <c r="P48" s="136">
        <f t="shared" si="41"/>
        <v>631.80565067712587</v>
      </c>
      <c r="Q48" s="119"/>
      <c r="R48" s="92">
        <f t="shared" ref="R48:S48" si="69">R16</f>
        <v>56.765035408684895</v>
      </c>
      <c r="S48" s="46">
        <f t="shared" si="69"/>
        <v>17.569141311264794</v>
      </c>
      <c r="T48" s="119"/>
      <c r="U48" s="92">
        <f t="shared" ref="U48:V48" si="70">U16</f>
        <v>96</v>
      </c>
      <c r="V48" s="46">
        <f t="shared" si="70"/>
        <v>76.969230769230776</v>
      </c>
    </row>
    <row r="49" spans="1:22" x14ac:dyDescent="0.25">
      <c r="A49" s="41">
        <v>2028</v>
      </c>
      <c r="B49" s="2">
        <f>co2elec_out!B12</f>
        <v>504.86525237884962</v>
      </c>
      <c r="C49" s="2">
        <f t="shared" ref="C49" si="71">C17</f>
        <v>504.86525237884962</v>
      </c>
      <c r="D49" s="2">
        <f>D17</f>
        <v>504.86525237884962</v>
      </c>
      <c r="E49" s="207">
        <f t="shared" si="49"/>
        <v>565.53693619723799</v>
      </c>
      <c r="F49" s="2">
        <f t="shared" ref="F49:I49" si="72">F17</f>
        <v>565.53693619723799</v>
      </c>
      <c r="G49" s="2">
        <f t="shared" si="72"/>
        <v>565.53693619723799</v>
      </c>
      <c r="H49" s="12">
        <f t="shared" si="72"/>
        <v>456.84852803419324</v>
      </c>
      <c r="I49" s="46">
        <f t="shared" si="72"/>
        <v>524.19941789148504</v>
      </c>
      <c r="J49" s="119"/>
      <c r="K49" s="145">
        <f t="shared" si="38"/>
        <v>0.25</v>
      </c>
      <c r="L49" s="2">
        <f>ROUND(L17,4)</f>
        <v>131.04990000000001</v>
      </c>
      <c r="M49" s="2">
        <f t="shared" si="51"/>
        <v>1.1474</v>
      </c>
      <c r="N49" s="2">
        <f t="shared" si="39"/>
        <v>0.86060000000000003</v>
      </c>
      <c r="O49" s="2">
        <f t="shared" si="40"/>
        <v>434.48703619723801</v>
      </c>
      <c r="P49" s="136">
        <f t="shared" si="41"/>
        <v>565.53693619723799</v>
      </c>
      <c r="Q49" s="119"/>
      <c r="R49" s="92">
        <f t="shared" ref="R49:S49" si="73">R17</f>
        <v>55.735520420171575</v>
      </c>
      <c r="S49" s="46">
        <f t="shared" si="73"/>
        <v>15.725982536744551</v>
      </c>
      <c r="T49" s="119"/>
      <c r="U49" s="92">
        <f t="shared" ref="U49:V49" si="74">U17</f>
        <v>96</v>
      </c>
      <c r="V49" s="46">
        <f t="shared" si="74"/>
        <v>78.046153846153857</v>
      </c>
    </row>
    <row r="50" spans="1:22" x14ac:dyDescent="0.25">
      <c r="A50" s="41">
        <v>2029</v>
      </c>
      <c r="B50" s="2">
        <f>co2elec_out!B13</f>
        <v>483.99184541492934</v>
      </c>
      <c r="C50" s="2">
        <f t="shared" ref="C50" si="75">C18</f>
        <v>483.99184541492934</v>
      </c>
      <c r="D50" s="2">
        <f>D18</f>
        <v>483.99184541492934</v>
      </c>
      <c r="E50" s="207">
        <f t="shared" si="49"/>
        <v>502.52939508748909</v>
      </c>
      <c r="F50" s="2">
        <f>F18</f>
        <v>502.52939508748909</v>
      </c>
      <c r="G50" s="2">
        <f t="shared" ref="G50:I50" si="76">G18</f>
        <v>502.52939508748909</v>
      </c>
      <c r="H50" s="12">
        <f t="shared" si="76"/>
        <v>437.96034905654824</v>
      </c>
      <c r="I50" s="46">
        <f t="shared" si="76"/>
        <v>465.79630078613258</v>
      </c>
      <c r="J50" s="119"/>
      <c r="K50" s="145">
        <f t="shared" si="38"/>
        <v>0.25</v>
      </c>
      <c r="L50" s="2">
        <f t="shared" si="56"/>
        <v>116.4491</v>
      </c>
      <c r="M50" s="2">
        <f t="shared" si="51"/>
        <v>1.0636000000000001</v>
      </c>
      <c r="N50" s="2">
        <f t="shared" si="39"/>
        <v>0.79769999999999996</v>
      </c>
      <c r="O50" s="2">
        <f t="shared" si="40"/>
        <v>386.08029508748911</v>
      </c>
      <c r="P50" s="136">
        <f t="shared" si="41"/>
        <v>502.52939508748909</v>
      </c>
      <c r="Q50" s="119"/>
      <c r="R50" s="92">
        <f t="shared" ref="R50:S50" si="77">R18</f>
        <v>53.431162584898885</v>
      </c>
      <c r="S50" s="46">
        <f t="shared" si="77"/>
        <v>13.973889023583977</v>
      </c>
      <c r="T50" s="119"/>
      <c r="U50" s="92">
        <f t="shared" ref="U50:V50" si="78">U18</f>
        <v>96</v>
      </c>
      <c r="V50" s="46">
        <f t="shared" si="78"/>
        <v>79.123076923076923</v>
      </c>
    </row>
    <row r="51" spans="1:22" x14ac:dyDescent="0.25">
      <c r="A51" s="41">
        <v>2030</v>
      </c>
      <c r="B51" s="2">
        <f>co2elec_out!B14</f>
        <v>418.64231446975253</v>
      </c>
      <c r="C51" s="2">
        <f t="shared" ref="C51:D51" si="79">C19</f>
        <v>418.64231446975253</v>
      </c>
      <c r="D51" s="2">
        <f t="shared" si="79"/>
        <v>418.64231446975253</v>
      </c>
      <c r="E51" s="207">
        <f t="shared" si="49"/>
        <v>417.63026980961831</v>
      </c>
      <c r="F51" s="2">
        <f t="shared" ref="F51:I51" si="80">F19</f>
        <v>417.63026980961831</v>
      </c>
      <c r="G51" s="2">
        <f t="shared" si="80"/>
        <v>417.63026980961831</v>
      </c>
      <c r="H51" s="12">
        <f>H19</f>
        <v>378.82608129033247</v>
      </c>
      <c r="I51" s="46">
        <f t="shared" si="80"/>
        <v>387.13125437704008</v>
      </c>
      <c r="J51" s="119"/>
      <c r="K51" s="145">
        <f t="shared" si="38"/>
        <v>0.25</v>
      </c>
      <c r="L51" s="2">
        <f t="shared" si="56"/>
        <v>96.782799999999995</v>
      </c>
      <c r="M51" s="2">
        <f t="shared" si="51"/>
        <v>1.0219</v>
      </c>
      <c r="N51" s="2">
        <f t="shared" si="39"/>
        <v>0.76639999999999997</v>
      </c>
      <c r="O51" s="2">
        <f t="shared" si="40"/>
        <v>320.8474698096183</v>
      </c>
      <c r="P51" s="136">
        <f t="shared" si="41"/>
        <v>417.63026980961831</v>
      </c>
      <c r="Q51" s="119"/>
      <c r="R51" s="92">
        <f t="shared" ref="R51:S51" si="81">R19</f>
        <v>46.216781917420562</v>
      </c>
      <c r="S51" s="46">
        <f t="shared" si="81"/>
        <v>11.613937631311202</v>
      </c>
      <c r="T51" s="119"/>
      <c r="U51" s="92">
        <f t="shared" ref="U51:V51" si="82">U19</f>
        <v>96</v>
      </c>
      <c r="V51" s="46">
        <f t="shared" si="82"/>
        <v>80.2</v>
      </c>
    </row>
    <row r="52" spans="1:22" x14ac:dyDescent="0.25">
      <c r="A52" s="41">
        <f t="shared" ref="A52:A55" si="83">A51+5</f>
        <v>2035</v>
      </c>
      <c r="B52" s="2">
        <f>co2elec_out!B15</f>
        <v>146.67955068677983</v>
      </c>
      <c r="C52" s="2">
        <f>AVERAGE(C20:C24)</f>
        <v>146.67955068677983</v>
      </c>
      <c r="D52" s="2">
        <f>AVERAGE(D20:D24)</f>
        <v>146.67955068677983</v>
      </c>
      <c r="E52" s="207">
        <f t="shared" si="49"/>
        <v>254.16010465998326</v>
      </c>
      <c r="F52" s="2">
        <f>AVERAGE(F20:F24)</f>
        <v>254.1601046599832</v>
      </c>
      <c r="G52" s="2">
        <f>AVERAGE(G20:G24)</f>
        <v>254.1601046599832</v>
      </c>
      <c r="H52" s="12">
        <f>AVERAGE(H20:H24)</f>
        <v>135.41275889651007</v>
      </c>
      <c r="I52" s="46">
        <f>AVERAGE(I20:I24)</f>
        <v>239.2388468734959</v>
      </c>
      <c r="J52" s="119"/>
      <c r="K52" s="145">
        <f t="shared" si="38"/>
        <v>0.25</v>
      </c>
      <c r="L52" s="2">
        <f>ROUND(AVERAGE(L20:L24),4)</f>
        <v>59.809699999999999</v>
      </c>
      <c r="M52" s="2">
        <f t="shared" si="51"/>
        <v>1.7666999999999999</v>
      </c>
      <c r="N52" s="2">
        <f t="shared" si="39"/>
        <v>1.325</v>
      </c>
      <c r="O52" s="2">
        <f t="shared" si="40"/>
        <v>194.35040465998327</v>
      </c>
      <c r="P52" s="136">
        <f t="shared" si="41"/>
        <v>254.16010465998326</v>
      </c>
      <c r="Q52" s="119"/>
      <c r="R52" s="92">
        <f t="shared" ref="R52" si="84">AVERAGE(R20:R24)</f>
        <v>16.520356585374223</v>
      </c>
      <c r="S52" s="46">
        <f>AVERAGE(S20:S24)</f>
        <v>7.1771654062048755</v>
      </c>
      <c r="T52" s="119"/>
      <c r="U52" s="92">
        <f t="shared" ref="U52" si="85">AVERAGE(U20:U24)</f>
        <v>96</v>
      </c>
      <c r="V52" s="46">
        <f>AVERAGE(V20:V24)</f>
        <v>83.430769230769243</v>
      </c>
    </row>
    <row r="53" spans="1:22" x14ac:dyDescent="0.25">
      <c r="A53" s="41">
        <f t="shared" si="83"/>
        <v>2040</v>
      </c>
      <c r="B53" s="2">
        <f>co2elec_out!B16</f>
        <v>75.97370307793885</v>
      </c>
      <c r="C53" s="2">
        <f>AVERAGE(C25:C29)</f>
        <v>75.97370307793885</v>
      </c>
      <c r="D53" s="2">
        <f>AVERAGE(D25:D29)</f>
        <v>75.97370307793885</v>
      </c>
      <c r="E53" s="207">
        <f>P53</f>
        <v>206.07938258840636</v>
      </c>
      <c r="F53" s="2">
        <f>AVERAGE(F25:F29)</f>
        <v>206.07938258840636</v>
      </c>
      <c r="G53" s="2">
        <f>AVERAGE(G25:G29)</f>
        <v>206.07938258840636</v>
      </c>
      <c r="H53" s="12">
        <f>AVERAGE(H25:H29)</f>
        <v>70.137989168896638</v>
      </c>
      <c r="I53" s="46">
        <f>AVERAGE(I25:I29)</f>
        <v>198.44226271708476</v>
      </c>
      <c r="J53" s="119"/>
      <c r="K53" s="145">
        <f t="shared" si="38"/>
        <v>0.53739999999999999</v>
      </c>
      <c r="L53" s="2">
        <f>ROUND(AVERAGE(L25:L29),4)</f>
        <v>106.645</v>
      </c>
      <c r="M53" s="2">
        <f t="shared" si="51"/>
        <v>2.8292999999999999</v>
      </c>
      <c r="N53" s="2">
        <f t="shared" si="39"/>
        <v>1.3088</v>
      </c>
      <c r="O53" s="2">
        <f t="shared" si="40"/>
        <v>99.434382588406365</v>
      </c>
      <c r="P53" s="136">
        <f t="shared" si="41"/>
        <v>206.07938258840636</v>
      </c>
      <c r="Q53" s="119"/>
      <c r="R53" s="92">
        <f t="shared" ref="R53" si="86">AVERAGE(R25:R29)</f>
        <v>8.556834678605389</v>
      </c>
      <c r="S53" s="46">
        <f>AVERAGE(S25:S29)</f>
        <v>5.9532678815125415</v>
      </c>
      <c r="T53" s="119"/>
      <c r="U53" s="92">
        <f t="shared" ref="U53" si="87">AVERAGE(U25:U29)</f>
        <v>96</v>
      </c>
      <c r="V53" s="46">
        <f>AVERAGE(V25:V29)</f>
        <v>88.815384615384644</v>
      </c>
    </row>
    <row r="54" spans="1:22" x14ac:dyDescent="0.25">
      <c r="A54" s="41">
        <f t="shared" si="83"/>
        <v>2045</v>
      </c>
      <c r="B54" s="2">
        <f>co2elec_out!B17</f>
        <v>-157.50185358777472</v>
      </c>
      <c r="C54" s="2">
        <f>AVERAGE(C30:C34)</f>
        <v>-157.50185358777475</v>
      </c>
      <c r="D54" s="2">
        <f>AVERAGE(D30:D34)</f>
        <v>-157.50185358777475</v>
      </c>
      <c r="E54" s="207">
        <f t="shared" si="49"/>
        <v>174.46510000000001</v>
      </c>
      <c r="F54" s="2">
        <f>AVERAGE(F30:F34)</f>
        <v>174.46510000000004</v>
      </c>
      <c r="G54" s="2">
        <f>AVERAGE(G30:G34)</f>
        <v>174.46510000000004</v>
      </c>
      <c r="H54" s="12">
        <f>AVERAGE(H30:H34)</f>
        <v>-170.60653150303074</v>
      </c>
      <c r="I54" s="46">
        <f>AVERAGE(I30:I34)</f>
        <v>174.46509140315825</v>
      </c>
      <c r="J54" s="119"/>
      <c r="K54" s="145">
        <f t="shared" si="38"/>
        <v>1</v>
      </c>
      <c r="L54" s="2">
        <f>ROUND(AVERAGE(L30:L34),4)</f>
        <v>174.46510000000001</v>
      </c>
      <c r="M54" s="2">
        <f t="shared" si="51"/>
        <v>-1.0226</v>
      </c>
      <c r="N54" s="2">
        <f t="shared" si="39"/>
        <v>0</v>
      </c>
      <c r="O54" s="2">
        <f t="shared" si="40"/>
        <v>0</v>
      </c>
      <c r="P54" s="136">
        <f t="shared" si="41"/>
        <v>174.46510000000001</v>
      </c>
      <c r="Q54" s="119"/>
      <c r="R54" s="92">
        <f t="shared" ref="R54" si="88">AVERAGE(R30:R34)</f>
        <v>-20.813996843369747</v>
      </c>
      <c r="S54" s="46">
        <f>AVERAGE(S30:S34)</f>
        <v>5.2339527420947478</v>
      </c>
      <c r="T54" s="119"/>
      <c r="U54" s="92">
        <f t="shared" ref="U54" si="89">AVERAGE(U30:U34)</f>
        <v>96</v>
      </c>
      <c r="V54" s="46">
        <f>AVERAGE(V30:V34)</f>
        <v>94.200000000000045</v>
      </c>
    </row>
    <row r="55" spans="1:22" ht="14.25" thickBot="1" x14ac:dyDescent="0.3">
      <c r="A55" s="47">
        <f t="shared" si="83"/>
        <v>2050</v>
      </c>
      <c r="B55" s="4">
        <f>co2elec_out!B18</f>
        <v>-321.60753923076925</v>
      </c>
      <c r="C55" s="4">
        <f>AVERAGE(C35:C39)</f>
        <v>-321.60753923076925</v>
      </c>
      <c r="D55" s="4">
        <f t="shared" ref="D55:H55" si="90">AVERAGE(D35:D39)</f>
        <v>-321.60753923076925</v>
      </c>
      <c r="E55" s="208">
        <f t="shared" si="49"/>
        <v>128.17679999999999</v>
      </c>
      <c r="F55" s="4">
        <f>AVERAGE(F35:F39)</f>
        <v>128.17679999999999</v>
      </c>
      <c r="G55" s="4">
        <f>AVERAGE(G35:G39)</f>
        <v>128.17679999999999</v>
      </c>
      <c r="H55" s="52">
        <f t="shared" si="90"/>
        <v>-321.60753923076925</v>
      </c>
      <c r="I55" s="53">
        <f>AVERAGE(I35:I39)</f>
        <v>128.17676999999998</v>
      </c>
      <c r="J55" s="119"/>
      <c r="K55" s="146">
        <f t="shared" si="38"/>
        <v>1</v>
      </c>
      <c r="L55" s="4">
        <f>ROUND(AVERAGE(L35:L39),4)</f>
        <v>128.17679999999999</v>
      </c>
      <c r="M55" s="4">
        <f t="shared" si="51"/>
        <v>-0.39860000000000001</v>
      </c>
      <c r="N55" s="4">
        <f t="shared" si="39"/>
        <v>0</v>
      </c>
      <c r="O55" s="4">
        <f t="shared" si="40"/>
        <v>0</v>
      </c>
      <c r="P55" s="138">
        <f t="shared" si="41"/>
        <v>128.17679999999999</v>
      </c>
      <c r="Q55" s="119"/>
      <c r="R55" s="93">
        <f t="shared" ref="R55" si="91">AVERAGE(R35:R39)</f>
        <v>-39.23611978615385</v>
      </c>
      <c r="S55" s="53">
        <f>AVERAGE(S35:S39)</f>
        <v>3.8453030999999998</v>
      </c>
      <c r="T55" s="119"/>
      <c r="U55" s="93">
        <f t="shared" ref="U55" si="92">AVERAGE(U35:U39)</f>
        <v>96</v>
      </c>
      <c r="V55" s="53">
        <f>AVERAGE(V35:V39)</f>
        <v>97.430769230769286</v>
      </c>
    </row>
    <row r="56" spans="1:22" x14ac:dyDescent="0.25">
      <c r="B56" s="142"/>
      <c r="E56" s="142"/>
    </row>
    <row r="57" spans="1:22" x14ac:dyDescent="0.25">
      <c r="A57" s="142"/>
      <c r="B57" s="142"/>
      <c r="C57" s="142"/>
      <c r="D57" s="142">
        <v>664.21799999999996</v>
      </c>
      <c r="E57" s="142">
        <v>664.21799999999996</v>
      </c>
      <c r="F57" s="142">
        <v>664.21799999999996</v>
      </c>
      <c r="G57" s="142">
        <v>664.21799999999996</v>
      </c>
      <c r="H57" s="142"/>
      <c r="I57" s="142"/>
      <c r="J57" s="142"/>
      <c r="K57" s="142"/>
      <c r="L57" s="222"/>
      <c r="M57" s="142"/>
      <c r="N57" s="142"/>
      <c r="O57" s="142"/>
      <c r="P57" s="142"/>
      <c r="Q57" s="142"/>
      <c r="R57" s="142"/>
      <c r="S57" s="142"/>
      <c r="T57" s="142"/>
      <c r="U57" s="142"/>
      <c r="V57" s="142"/>
    </row>
    <row r="58" spans="1:22" x14ac:dyDescent="0.25">
      <c r="B58" s="142"/>
      <c r="C58" s="142"/>
      <c r="D58" s="142">
        <v>664.21799999999996</v>
      </c>
      <c r="E58" s="142">
        <v>664.21799999999996</v>
      </c>
      <c r="F58" s="142">
        <v>664.21799999999996</v>
      </c>
      <c r="L58" s="222"/>
    </row>
    <row r="59" spans="1:22" x14ac:dyDescent="0.25">
      <c r="B59" s="142"/>
      <c r="C59" s="142"/>
      <c r="D59" s="142">
        <v>664.21799999999996</v>
      </c>
      <c r="E59" s="142">
        <v>664.21799999999996</v>
      </c>
      <c r="F59" s="142">
        <v>664.21799999999996</v>
      </c>
      <c r="L59" s="222"/>
    </row>
    <row r="60" spans="1:22" x14ac:dyDescent="0.25">
      <c r="B60" s="142"/>
      <c r="C60" s="142"/>
      <c r="D60" s="142">
        <v>664.21799999999996</v>
      </c>
      <c r="E60" s="142">
        <v>664.21799999999996</v>
      </c>
      <c r="F60" s="142">
        <v>664.21799999999996</v>
      </c>
      <c r="G60" s="147"/>
      <c r="H60" s="147"/>
      <c r="I60" s="147"/>
      <c r="J60" s="147"/>
      <c r="K60" s="147"/>
      <c r="L60" s="222"/>
    </row>
    <row r="61" spans="1:22" x14ac:dyDescent="0.25">
      <c r="B61" s="142"/>
      <c r="C61" s="142"/>
      <c r="D61" s="142">
        <v>664.21799999999996</v>
      </c>
      <c r="E61" s="142">
        <v>664.21799999999996</v>
      </c>
      <c r="F61" s="142">
        <v>664.21799999999996</v>
      </c>
      <c r="L61" s="222"/>
    </row>
    <row r="62" spans="1:22" x14ac:dyDescent="0.25">
      <c r="B62" s="142"/>
      <c r="C62" s="142"/>
      <c r="D62" s="142">
        <v>664.21799999999996</v>
      </c>
      <c r="E62" s="142">
        <v>664.21799999999996</v>
      </c>
      <c r="F62" s="142">
        <v>664.21799999999996</v>
      </c>
      <c r="L62" s="222"/>
    </row>
    <row r="63" spans="1:22" x14ac:dyDescent="0.25">
      <c r="B63" s="142"/>
      <c r="C63" s="142"/>
      <c r="D63" s="142">
        <v>664.21799999999996</v>
      </c>
      <c r="E63" s="142">
        <v>664.21799999999996</v>
      </c>
      <c r="F63" s="142">
        <v>664.21799999999996</v>
      </c>
      <c r="L63" s="222"/>
    </row>
    <row r="64" spans="1:22" x14ac:dyDescent="0.25">
      <c r="B64" s="142"/>
      <c r="C64" s="142"/>
      <c r="D64" s="142">
        <v>664.21799999999996</v>
      </c>
      <c r="E64" s="142">
        <v>664.21799999999996</v>
      </c>
      <c r="F64" s="142">
        <v>664.21799999999996</v>
      </c>
      <c r="L64" s="222"/>
    </row>
    <row r="65" spans="2:12" x14ac:dyDescent="0.25">
      <c r="B65" s="142"/>
      <c r="C65" s="142"/>
      <c r="D65" s="142">
        <v>664.21799999999996</v>
      </c>
      <c r="E65" s="142">
        <v>664.21799999999996</v>
      </c>
      <c r="F65" s="142">
        <v>664.21799999999996</v>
      </c>
      <c r="L65" s="222"/>
    </row>
    <row r="66" spans="2:12" x14ac:dyDescent="0.25">
      <c r="B66" s="142"/>
      <c r="C66" s="142"/>
      <c r="D66" s="142">
        <v>664.21799999999996</v>
      </c>
      <c r="E66" s="142">
        <v>664.21799999999996</v>
      </c>
      <c r="F66" s="142">
        <v>664.21799999999996</v>
      </c>
      <c r="L66" s="222"/>
    </row>
    <row r="67" spans="2:12" x14ac:dyDescent="0.25">
      <c r="B67" s="142"/>
      <c r="C67" s="142"/>
      <c r="D67" s="142">
        <v>664.21799999999996</v>
      </c>
      <c r="E67" s="142">
        <v>664.21799999999996</v>
      </c>
      <c r="F67" s="142">
        <v>664.21799999999996</v>
      </c>
      <c r="L67" s="222"/>
    </row>
    <row r="68" spans="2:12" x14ac:dyDescent="0.25">
      <c r="B68" s="142"/>
      <c r="C68" s="142"/>
      <c r="D68" s="142">
        <v>664.21799999999996</v>
      </c>
      <c r="E68" s="142">
        <v>664.21799999999996</v>
      </c>
      <c r="F68" s="142">
        <v>664.21799999999996</v>
      </c>
      <c r="L68" s="222"/>
    </row>
    <row r="69" spans="2:12" x14ac:dyDescent="0.25">
      <c r="B69" s="142"/>
      <c r="C69" s="142"/>
      <c r="D69" s="142">
        <v>664.21799999999996</v>
      </c>
      <c r="E69" s="142">
        <v>664.21799999999996</v>
      </c>
      <c r="F69" s="142">
        <v>664.21799999999996</v>
      </c>
      <c r="L69" s="222"/>
    </row>
    <row r="70" spans="2:12" x14ac:dyDescent="0.25">
      <c r="B70" s="142"/>
      <c r="C70" s="142"/>
      <c r="D70" s="142">
        <v>664.21799999999996</v>
      </c>
      <c r="E70" s="142">
        <v>664.21799999999996</v>
      </c>
      <c r="F70" s="142">
        <v>664.21799999999996</v>
      </c>
      <c r="L70" s="222"/>
    </row>
    <row r="71" spans="2:12" x14ac:dyDescent="0.25">
      <c r="B71" s="142"/>
      <c r="C71" s="142"/>
      <c r="D71" s="142">
        <v>664.21799999999996</v>
      </c>
      <c r="E71" s="142">
        <v>664.21799999999996</v>
      </c>
      <c r="F71" s="142">
        <v>664.21799999999996</v>
      </c>
      <c r="L71" s="222"/>
    </row>
    <row r="72" spans="2:12" x14ac:dyDescent="0.25">
      <c r="B72" s="142"/>
      <c r="C72" s="142"/>
      <c r="D72" s="142">
        <v>664.21799999999996</v>
      </c>
      <c r="E72" s="142">
        <v>664.21799999999996</v>
      </c>
      <c r="F72" s="142">
        <v>664.21799999999996</v>
      </c>
      <c r="L72" s="222"/>
    </row>
    <row r="73" spans="2:12" x14ac:dyDescent="0.25">
      <c r="B73" s="142"/>
      <c r="C73" s="142"/>
      <c r="D73" s="142">
        <v>664.21799999999996</v>
      </c>
      <c r="E73" s="142">
        <v>664.21799999999996</v>
      </c>
      <c r="F73" s="142">
        <v>664.21799999999996</v>
      </c>
      <c r="L73" s="223"/>
    </row>
    <row r="74" spans="2:12" x14ac:dyDescent="0.25">
      <c r="B74" s="142"/>
      <c r="C74" s="142"/>
      <c r="D74" s="142">
        <v>664.21799999999996</v>
      </c>
      <c r="E74" s="142">
        <v>664.21799999999996</v>
      </c>
      <c r="F74" s="142">
        <v>664.21799999999996</v>
      </c>
      <c r="L74" s="223"/>
    </row>
    <row r="75" spans="2:12" x14ac:dyDescent="0.25">
      <c r="B75" s="142"/>
      <c r="C75" s="142"/>
      <c r="D75" s="142">
        <v>664.21799999999996</v>
      </c>
      <c r="E75" s="142">
        <v>664.21799999999996</v>
      </c>
      <c r="F75" s="142">
        <v>664.21799999999996</v>
      </c>
      <c r="L75" s="223"/>
    </row>
    <row r="76" spans="2:12" x14ac:dyDescent="0.25">
      <c r="B76" s="142"/>
      <c r="C76" s="142"/>
      <c r="D76" s="142">
        <v>664.21799999999996</v>
      </c>
      <c r="E76" s="142">
        <v>664.21799999999996</v>
      </c>
      <c r="F76" s="142">
        <v>664.21799999999996</v>
      </c>
      <c r="L76" s="223"/>
    </row>
    <row r="77" spans="2:12" x14ac:dyDescent="0.25">
      <c r="B77" s="142"/>
      <c r="C77" s="142"/>
      <c r="D77" s="142">
        <v>664.21799999999996</v>
      </c>
      <c r="E77" s="142">
        <v>664.21799999999996</v>
      </c>
      <c r="F77" s="142">
        <v>664.21799999999996</v>
      </c>
      <c r="L77" s="223"/>
    </row>
    <row r="78" spans="2:12" x14ac:dyDescent="0.25">
      <c r="B78" s="142"/>
      <c r="C78" s="142"/>
      <c r="D78" s="142">
        <v>664.21799999999996</v>
      </c>
      <c r="E78" s="142">
        <v>664.21799999999996</v>
      </c>
      <c r="F78" s="142">
        <v>664.21799999999996</v>
      </c>
      <c r="L78" s="223"/>
    </row>
    <row r="79" spans="2:12" x14ac:dyDescent="0.25">
      <c r="B79" s="142"/>
      <c r="C79" s="142"/>
      <c r="D79" s="142">
        <v>664.21799999999996</v>
      </c>
      <c r="E79" s="142">
        <v>664.21799999999996</v>
      </c>
      <c r="F79" s="142">
        <v>664.21799999999996</v>
      </c>
      <c r="L79" s="223"/>
    </row>
    <row r="80" spans="2:12" x14ac:dyDescent="0.25">
      <c r="B80" s="142"/>
      <c r="C80" s="142"/>
      <c r="D80" s="142">
        <v>664.21799999999996</v>
      </c>
      <c r="E80" s="142">
        <v>664.21799999999996</v>
      </c>
      <c r="F80" s="142">
        <v>664.21799999999996</v>
      </c>
      <c r="L80" s="223"/>
    </row>
    <row r="81" spans="2:12" x14ac:dyDescent="0.25">
      <c r="B81" s="142"/>
      <c r="C81" s="142"/>
      <c r="D81" s="142">
        <v>664.21799999999996</v>
      </c>
      <c r="E81" s="142">
        <v>664.21799999999996</v>
      </c>
      <c r="F81" s="142">
        <v>664.21799999999996</v>
      </c>
      <c r="L81" s="223"/>
    </row>
    <row r="82" spans="2:12" x14ac:dyDescent="0.25">
      <c r="B82" s="142"/>
      <c r="C82" s="142"/>
      <c r="D82" s="142">
        <v>664.21799999999996</v>
      </c>
      <c r="E82" s="142">
        <v>664.21799999999996</v>
      </c>
      <c r="F82" s="142">
        <v>664.21799999999996</v>
      </c>
      <c r="L82" s="223"/>
    </row>
    <row r="83" spans="2:12" x14ac:dyDescent="0.25">
      <c r="B83" s="142"/>
      <c r="C83" s="142"/>
      <c r="D83" s="142">
        <v>664.21799999999996</v>
      </c>
      <c r="E83" s="142">
        <v>664.21799999999996</v>
      </c>
      <c r="F83" s="142">
        <v>664.21799999999996</v>
      </c>
      <c r="L83" s="223"/>
    </row>
    <row r="84" spans="2:12" x14ac:dyDescent="0.25">
      <c r="B84" s="142"/>
      <c r="C84" s="142"/>
      <c r="D84" s="142">
        <v>664.21799999999996</v>
      </c>
      <c r="E84" s="142">
        <v>664.21799999999996</v>
      </c>
      <c r="F84" s="142">
        <v>664.21799999999996</v>
      </c>
      <c r="L84" s="223"/>
    </row>
    <row r="85" spans="2:12" x14ac:dyDescent="0.25">
      <c r="B85" s="142"/>
      <c r="C85" s="142"/>
      <c r="D85" s="142">
        <v>664.21799999999996</v>
      </c>
      <c r="E85" s="142">
        <v>664.21799999999996</v>
      </c>
      <c r="F85" s="142">
        <v>664.21799999999996</v>
      </c>
      <c r="L85" s="223"/>
    </row>
    <row r="86" spans="2:12" x14ac:dyDescent="0.25">
      <c r="B86" s="142"/>
      <c r="C86" s="142"/>
      <c r="D86" s="142">
        <v>664.21799999999996</v>
      </c>
      <c r="E86" s="142">
        <v>664.21799999999996</v>
      </c>
      <c r="F86" s="142">
        <v>664.21799999999996</v>
      </c>
      <c r="L86" s="223"/>
    </row>
    <row r="87" spans="2:12" x14ac:dyDescent="0.25">
      <c r="B87" s="142"/>
      <c r="C87" s="142"/>
      <c r="D87" s="142">
        <v>664.21799999999996</v>
      </c>
      <c r="E87" s="142">
        <v>664.21799999999996</v>
      </c>
      <c r="F87" s="142">
        <v>664.21799999999996</v>
      </c>
      <c r="L87" s="223"/>
    </row>
    <row r="88" spans="2:12" x14ac:dyDescent="0.25">
      <c r="B88" s="142"/>
      <c r="C88" s="142"/>
      <c r="D88" s="142">
        <v>664.21799999999996</v>
      </c>
      <c r="E88" s="142">
        <v>664.21799999999996</v>
      </c>
      <c r="F88" s="142">
        <v>664.21799999999996</v>
      </c>
      <c r="L88" s="223"/>
    </row>
    <row r="89" spans="2:12" x14ac:dyDescent="0.25">
      <c r="B89" s="142"/>
      <c r="C89" s="142"/>
      <c r="D89" s="142">
        <v>664.21799999999996</v>
      </c>
      <c r="E89" s="142">
        <v>664.21799999999996</v>
      </c>
      <c r="F89" s="142">
        <v>664.21799999999996</v>
      </c>
      <c r="L89" s="223"/>
    </row>
    <row r="90" spans="2:12" x14ac:dyDescent="0.25">
      <c r="B90" s="142"/>
      <c r="C90" s="142"/>
      <c r="D90" s="142">
        <v>664.21799999999996</v>
      </c>
      <c r="E90" s="142">
        <v>664.21799999999996</v>
      </c>
      <c r="F90" s="142">
        <v>664.21799999999996</v>
      </c>
      <c r="L90" s="223"/>
    </row>
    <row r="91" spans="2:12" x14ac:dyDescent="0.25">
      <c r="B91" s="142"/>
      <c r="C91" s="142"/>
      <c r="D91" s="142">
        <v>664.21799999999996</v>
      </c>
      <c r="E91" s="142">
        <v>664.21799999999996</v>
      </c>
      <c r="F91" s="142">
        <v>664.21799999999996</v>
      </c>
      <c r="L91" s="223"/>
    </row>
    <row r="92" spans="2:12" x14ac:dyDescent="0.25">
      <c r="B92" s="142"/>
      <c r="C92" s="142"/>
      <c r="D92" s="142">
        <v>664.21799999999996</v>
      </c>
      <c r="E92" s="142">
        <v>664.21799999999996</v>
      </c>
      <c r="F92" s="142">
        <v>664.21799999999996</v>
      </c>
      <c r="L92" s="223"/>
    </row>
    <row r="93" spans="2:12" x14ac:dyDescent="0.25">
      <c r="B93" s="142"/>
      <c r="C93" s="142"/>
      <c r="D93" s="142">
        <v>664.21799999999996</v>
      </c>
      <c r="E93" s="142">
        <v>664.21799999999996</v>
      </c>
      <c r="F93" s="142">
        <v>664.21799999999996</v>
      </c>
      <c r="L93" s="223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1"/>
  <sheetViews>
    <sheetView zoomScale="130" zoomScaleNormal="130" workbookViewId="0">
      <pane xSplit="2" ySplit="2" topLeftCell="X6" activePane="bottomRight" state="frozen"/>
      <selection pane="topRight" activeCell="C1" sqref="C1"/>
      <selection pane="bottomLeft" activeCell="A3" sqref="A3"/>
      <selection pane="bottomRight" activeCell="AN34" sqref="AN34"/>
    </sheetView>
  </sheetViews>
  <sheetFormatPr baseColWidth="10" defaultRowHeight="13.5" x14ac:dyDescent="0.25"/>
  <cols>
    <col min="1" max="1" width="11.5" style="8" bestFit="1" customWidth="1"/>
    <col min="2" max="2" width="12" style="8" hidden="1" customWidth="1"/>
    <col min="3" max="9" width="12" style="10"/>
    <col min="10" max="10" width="11.1640625" style="10" bestFit="1" customWidth="1"/>
    <col min="11" max="14" width="12" style="10"/>
    <col min="15" max="15" width="11.83203125" style="10" customWidth="1"/>
    <col min="16" max="36" width="12" style="10"/>
    <col min="37" max="38" width="12.83203125" style="10" customWidth="1"/>
    <col min="39" max="47" width="12" style="10"/>
    <col min="48" max="48" width="12" style="10" customWidth="1"/>
    <col min="49" max="50" width="12" style="10"/>
    <col min="51" max="16384" width="12" style="8"/>
  </cols>
  <sheetData>
    <row r="1" spans="1:53" s="6" customFormat="1" ht="94.5" x14ac:dyDescent="0.25">
      <c r="A1" s="60" t="s">
        <v>0</v>
      </c>
      <c r="B1" s="61" t="s">
        <v>1</v>
      </c>
      <c r="C1" s="62" t="s">
        <v>2</v>
      </c>
      <c r="D1" s="63" t="s">
        <v>3</v>
      </c>
      <c r="E1" s="64" t="s">
        <v>15</v>
      </c>
      <c r="F1" s="62" t="s">
        <v>16</v>
      </c>
      <c r="G1" s="62" t="s">
        <v>88</v>
      </c>
      <c r="H1" s="62" t="s">
        <v>18</v>
      </c>
      <c r="I1" s="62" t="s">
        <v>61</v>
      </c>
      <c r="J1" s="62" t="s">
        <v>102</v>
      </c>
      <c r="K1" s="62" t="s">
        <v>17</v>
      </c>
      <c r="L1" s="62" t="s">
        <v>12</v>
      </c>
      <c r="M1" s="64" t="s">
        <v>6</v>
      </c>
      <c r="N1" s="62" t="s">
        <v>48</v>
      </c>
      <c r="O1" s="62" t="s">
        <v>26</v>
      </c>
      <c r="P1" s="62" t="s">
        <v>25</v>
      </c>
      <c r="Q1" s="62" t="s">
        <v>63</v>
      </c>
      <c r="R1" s="62" t="s">
        <v>62</v>
      </c>
      <c r="S1" s="62" t="s">
        <v>64</v>
      </c>
      <c r="T1" s="62" t="s">
        <v>65</v>
      </c>
      <c r="U1" s="62" t="s">
        <v>10</v>
      </c>
      <c r="V1" s="62" t="s">
        <v>11</v>
      </c>
      <c r="W1" s="62" t="s">
        <v>4</v>
      </c>
      <c r="X1" s="63" t="s">
        <v>5</v>
      </c>
      <c r="Y1" s="64" t="s">
        <v>13</v>
      </c>
      <c r="Z1" s="65" t="s">
        <v>103</v>
      </c>
      <c r="AA1" s="62" t="s">
        <v>116</v>
      </c>
      <c r="AB1" s="99" t="s">
        <v>109</v>
      </c>
      <c r="AC1" s="99" t="s">
        <v>110</v>
      </c>
      <c r="AD1" s="99" t="s">
        <v>111</v>
      </c>
      <c r="AE1" s="99" t="s">
        <v>104</v>
      </c>
      <c r="AF1" s="99" t="str">
        <f>co2elec_annual!K1</f>
        <v>CO2 ind fix share relative</v>
      </c>
      <c r="AG1" s="99" t="str">
        <f>co2elec_annual!M1</f>
        <v>CO2 ind elec share relative</v>
      </c>
      <c r="AH1" s="63" t="s">
        <v>14</v>
      </c>
      <c r="AI1" s="65" t="s">
        <v>7</v>
      </c>
      <c r="AJ1" s="62" t="s">
        <v>27</v>
      </c>
      <c r="AK1" s="99" t="s">
        <v>28</v>
      </c>
      <c r="AL1" s="99" t="s">
        <v>91</v>
      </c>
      <c r="AM1" s="104" t="s">
        <v>66</v>
      </c>
      <c r="AN1" s="65" t="s">
        <v>46</v>
      </c>
      <c r="AO1" s="99" t="s">
        <v>108</v>
      </c>
      <c r="AP1" s="202" t="s">
        <v>122</v>
      </c>
      <c r="AQ1" s="65" t="s">
        <v>45</v>
      </c>
      <c r="AR1" s="62" t="s">
        <v>9</v>
      </c>
      <c r="AS1" s="62" t="s">
        <v>19</v>
      </c>
      <c r="AT1" s="62" t="s">
        <v>8</v>
      </c>
      <c r="AU1" s="62" t="s">
        <v>20</v>
      </c>
      <c r="AV1" s="66" t="s">
        <v>21</v>
      </c>
      <c r="AW1" s="37"/>
      <c r="AX1" s="5"/>
    </row>
    <row r="2" spans="1:53" x14ac:dyDescent="0.25">
      <c r="A2" s="39">
        <v>2013</v>
      </c>
      <c r="B2" s="20"/>
      <c r="C2" s="21">
        <f>2084301856/10^6</f>
        <v>2084.301856</v>
      </c>
      <c r="D2" s="22"/>
      <c r="E2" s="23">
        <v>2050.027</v>
      </c>
      <c r="F2" s="24">
        <f t="shared" ref="F2:F8" si="0">H2+K2+G2</f>
        <v>2050.027</v>
      </c>
      <c r="G2" s="27"/>
      <c r="H2" s="25">
        <v>1013.427</v>
      </c>
      <c r="I2" s="70">
        <f t="shared" ref="I2:I4" si="1">H2</f>
        <v>1013.427</v>
      </c>
      <c r="J2" s="155">
        <f>H2/co2elec_annual!I2</f>
        <v>1.4128750278831141</v>
      </c>
      <c r="K2" s="25">
        <v>1036.5999999999999</v>
      </c>
      <c r="L2" s="24">
        <f>E2-H2</f>
        <v>1036.5999999999999</v>
      </c>
      <c r="M2" s="27"/>
      <c r="N2" s="28"/>
      <c r="O2" s="28"/>
      <c r="P2" s="28"/>
      <c r="Q2" s="28"/>
      <c r="R2" s="28"/>
      <c r="S2" s="28"/>
      <c r="T2" s="28"/>
      <c r="U2" s="28"/>
      <c r="V2" s="28"/>
      <c r="W2" s="28"/>
      <c r="X2" s="22"/>
      <c r="Y2" s="70">
        <f>co2elec_annual!D2</f>
        <v>1190.9000000000001</v>
      </c>
      <c r="Z2" s="29"/>
      <c r="AA2" s="31">
        <f>co2elec_annual!G2-AB2-AC2</f>
        <v>717.28</v>
      </c>
      <c r="AB2" s="218"/>
      <c r="AC2" s="218"/>
      <c r="AD2" s="100"/>
      <c r="AE2" s="100"/>
      <c r="AF2" s="113">
        <f>co2elec_annual!K2</f>
        <v>1</v>
      </c>
      <c r="AG2" s="113">
        <f>co2elec_annual!M2</f>
        <v>0.60230078092199169</v>
      </c>
      <c r="AH2" s="26">
        <f t="shared" ref="AH2:AH10" si="2">Y2+AA2+AB2+AC2</f>
        <v>1908.18</v>
      </c>
      <c r="AI2" s="29"/>
      <c r="AJ2" s="28"/>
      <c r="AK2" s="100"/>
      <c r="AL2" s="100"/>
      <c r="AM2" s="105"/>
      <c r="AN2" s="29"/>
      <c r="AO2" s="29"/>
      <c r="AP2" s="29"/>
      <c r="AQ2" s="29"/>
      <c r="AR2" s="28"/>
      <c r="AS2" s="28"/>
      <c r="AT2" s="28"/>
      <c r="AU2" s="28"/>
      <c r="AV2" s="40"/>
      <c r="AW2" s="15"/>
    </row>
    <row r="3" spans="1:53" x14ac:dyDescent="0.25">
      <c r="A3" s="41">
        <f>A2+1</f>
        <v>2014</v>
      </c>
      <c r="C3" s="2">
        <f>C2-D3</f>
        <v>2046.0376100000001</v>
      </c>
      <c r="D3" s="14">
        <v>38.264246</v>
      </c>
      <c r="E3" s="16">
        <v>1957.318</v>
      </c>
      <c r="F3" s="2">
        <f>H3+K3+G3</f>
        <v>1557.318</v>
      </c>
      <c r="G3" s="19"/>
      <c r="H3" s="1">
        <v>939.46799999999996</v>
      </c>
      <c r="I3" s="18">
        <f t="shared" si="1"/>
        <v>939.46799999999996</v>
      </c>
      <c r="J3" s="11">
        <f>H3/co2elec_annual!I3</f>
        <v>1.3157262299903365</v>
      </c>
      <c r="K3" s="1">
        <v>617.85</v>
      </c>
      <c r="L3" s="2">
        <f>E3-H3</f>
        <v>1017.85</v>
      </c>
      <c r="M3" s="19"/>
      <c r="U3" s="9">
        <v>400</v>
      </c>
      <c r="X3" s="13"/>
      <c r="Y3" s="18">
        <f>co2elec_annual!D3</f>
        <v>1099.8</v>
      </c>
      <c r="Z3" s="15"/>
      <c r="AA3" s="2">
        <f>co2elec_annual!G3-AB3-AC3</f>
        <v>714.03</v>
      </c>
      <c r="AB3" s="218"/>
      <c r="AC3" s="218"/>
      <c r="AD3" s="101"/>
      <c r="AE3" s="101"/>
      <c r="AF3" s="85">
        <f>co2elec_annual!K3</f>
        <v>1</v>
      </c>
      <c r="AG3" s="85">
        <f>co2elec_annual!M3</f>
        <v>0.64923622476813969</v>
      </c>
      <c r="AH3" s="17">
        <f t="shared" si="2"/>
        <v>1813.83</v>
      </c>
      <c r="AI3" s="15"/>
      <c r="AJ3" s="15"/>
      <c r="AK3" s="15"/>
      <c r="AL3" s="15"/>
      <c r="AM3" s="106"/>
      <c r="AN3" s="15"/>
      <c r="AO3" s="15"/>
      <c r="AP3" s="15"/>
      <c r="AQ3" s="15"/>
      <c r="AV3" s="42"/>
      <c r="AW3" s="15"/>
    </row>
    <row r="4" spans="1:53" x14ac:dyDescent="0.25">
      <c r="A4" s="41">
        <f t="shared" ref="A4:A39" si="3">A3+1</f>
        <v>2015</v>
      </c>
      <c r="C4" s="2">
        <f t="shared" ref="C4:C39" si="4">C3-D4</f>
        <v>2007.7733640000001</v>
      </c>
      <c r="D4" s="14">
        <v>38.264246</v>
      </c>
      <c r="E4" s="16">
        <v>1811.9939999999999</v>
      </c>
      <c r="F4" s="2">
        <f t="shared" si="0"/>
        <v>1511.9940000000001</v>
      </c>
      <c r="G4" s="19"/>
      <c r="H4" s="1">
        <v>879.26400000000001</v>
      </c>
      <c r="I4" s="18">
        <f t="shared" si="1"/>
        <v>879.26400000000001</v>
      </c>
      <c r="J4" s="11">
        <f>H4/co2elec_annual!I4</f>
        <v>1.2338296170523273</v>
      </c>
      <c r="K4" s="1">
        <v>632.73</v>
      </c>
      <c r="L4" s="2">
        <f>E4-H4</f>
        <v>932.7299999999999</v>
      </c>
      <c r="M4" s="19"/>
      <c r="U4" s="9">
        <v>700</v>
      </c>
      <c r="X4" s="13"/>
      <c r="Y4" s="18">
        <f>co2elec_annual!D4</f>
        <v>1090.3</v>
      </c>
      <c r="Z4" s="15"/>
      <c r="AA4" s="2">
        <f>co2elec_annual!G4-AB4-AC4</f>
        <v>712.63</v>
      </c>
      <c r="AB4" s="218"/>
      <c r="AC4" s="218"/>
      <c r="AD4" s="101"/>
      <c r="AE4" s="101"/>
      <c r="AF4" s="85">
        <f>co2elec_annual!K4</f>
        <v>1</v>
      </c>
      <c r="AG4" s="85">
        <f>co2elec_annual!M4</f>
        <v>0.65360909841328074</v>
      </c>
      <c r="AH4" s="17">
        <f t="shared" si="2"/>
        <v>1802.9299999999998</v>
      </c>
      <c r="AI4" s="15"/>
      <c r="AJ4" s="15"/>
      <c r="AK4" s="15"/>
      <c r="AL4" s="15"/>
      <c r="AM4" s="106"/>
      <c r="AN4" s="15"/>
      <c r="AO4" s="15"/>
      <c r="AP4" s="15"/>
      <c r="AQ4" s="15"/>
      <c r="AV4" s="42"/>
      <c r="AW4" s="15"/>
    </row>
    <row r="5" spans="1:53" x14ac:dyDescent="0.25">
      <c r="A5" s="41">
        <f t="shared" si="3"/>
        <v>2016</v>
      </c>
      <c r="C5" s="2">
        <f t="shared" si="4"/>
        <v>1969.5091180000002</v>
      </c>
      <c r="D5" s="14">
        <v>38.264246</v>
      </c>
      <c r="E5" s="16">
        <v>1754.8610000000001</v>
      </c>
      <c r="F5" s="2">
        <f>H5+K5+G5</f>
        <v>1554.8609999999999</v>
      </c>
      <c r="G5" s="19"/>
      <c r="H5" s="1">
        <v>839.57100000000003</v>
      </c>
      <c r="I5" s="18">
        <f>H5</f>
        <v>839.57100000000003</v>
      </c>
      <c r="J5" s="11">
        <f>H5/co2elec_annual!I5</f>
        <v>1.1904080648820328</v>
      </c>
      <c r="K5" s="1">
        <v>715.29</v>
      </c>
      <c r="L5" s="2">
        <f>E5-H5</f>
        <v>915.29000000000008</v>
      </c>
      <c r="M5" s="18">
        <f t="shared" ref="M5:M14" si="5">SUM(N5:X5)</f>
        <v>9733.4157889999988</v>
      </c>
      <c r="N5" s="9">
        <f t="shared" ref="N5:N11" si="6">1749540826/10^6</f>
        <v>1749.5408259999999</v>
      </c>
      <c r="O5" s="9">
        <f>3600800263/10^6</f>
        <v>3600.8002630000001</v>
      </c>
      <c r="P5" s="9">
        <f>2774262500/10^6</f>
        <v>2774.2624999999998</v>
      </c>
      <c r="U5" s="9">
        <v>900</v>
      </c>
      <c r="W5" s="9">
        <f t="shared" ref="W5:W10" si="7">300000000/10^6</f>
        <v>300</v>
      </c>
      <c r="X5" s="14">
        <f>408812200/10^6</f>
        <v>408.81220000000002</v>
      </c>
      <c r="Y5" s="18">
        <f>co2elec_annual!D5</f>
        <v>1045.2</v>
      </c>
      <c r="Z5" s="15"/>
      <c r="AA5" s="2">
        <f>co2elec_annual!G5-AB5-AC5</f>
        <v>705.28</v>
      </c>
      <c r="AB5" s="218"/>
      <c r="AC5" s="218"/>
      <c r="AD5" s="101"/>
      <c r="AE5" s="101"/>
      <c r="AF5" s="85">
        <f>co2elec_annual!K5</f>
        <v>1</v>
      </c>
      <c r="AG5" s="85">
        <f>co2elec_annual!M5</f>
        <v>0.67477994642173744</v>
      </c>
      <c r="AH5" s="17">
        <f t="shared" si="2"/>
        <v>1750.48</v>
      </c>
      <c r="AI5" s="12">
        <f>SUM(AJ5:AK5)</f>
        <v>7139.5108919999993</v>
      </c>
      <c r="AJ5" s="9">
        <f>7139317195/10^6</f>
        <v>7139.3171949999996</v>
      </c>
      <c r="AK5" s="102">
        <f>0.193697</f>
        <v>0.19369700000000001</v>
      </c>
      <c r="AL5" s="85">
        <f>AK5</f>
        <v>0.19369700000000001</v>
      </c>
      <c r="AM5" s="106"/>
      <c r="AN5" s="12">
        <f t="shared" ref="AN5:AN39" si="8">M5-AI5-AT5</f>
        <v>2593.9048969999994</v>
      </c>
      <c r="AO5" s="15"/>
      <c r="AP5" s="15"/>
      <c r="AQ5" s="15"/>
      <c r="AV5" s="42"/>
      <c r="AW5" s="15"/>
    </row>
    <row r="6" spans="1:53" x14ac:dyDescent="0.25">
      <c r="A6" s="41">
        <f t="shared" si="3"/>
        <v>2017</v>
      </c>
      <c r="C6" s="2">
        <f t="shared" si="4"/>
        <v>1931.2448720000002</v>
      </c>
      <c r="D6" s="14">
        <v>38.264246</v>
      </c>
      <c r="E6" s="18">
        <f>M6-M5</f>
        <v>1763.6765400000022</v>
      </c>
      <c r="F6" s="2">
        <f t="shared" si="0"/>
        <v>1763.6765400000004</v>
      </c>
      <c r="G6" s="11">
        <f t="shared" ref="G6:G39" si="9">X6-X5+T6-T5</f>
        <v>10.526267999999959</v>
      </c>
      <c r="H6" s="11">
        <f>O6-O5</f>
        <v>801.95477200000005</v>
      </c>
      <c r="I6" s="11">
        <f t="shared" ref="I6:I7" si="10">E6-L6-G6</f>
        <v>801.95477200000198</v>
      </c>
      <c r="J6" s="11">
        <f>H6/co2elec_annual!I6</f>
        <v>1.0507490080094797</v>
      </c>
      <c r="K6" s="11">
        <f>P6-P5-R6</f>
        <v>951.19550000000027</v>
      </c>
      <c r="L6" s="2">
        <f t="shared" ref="L6:L8" si="11">K6+R6-R5+V6-V5</f>
        <v>951.19550000000027</v>
      </c>
      <c r="M6" s="18">
        <f t="shared" si="5"/>
        <v>11497.092329000001</v>
      </c>
      <c r="N6" s="9">
        <f t="shared" si="6"/>
        <v>1749.5408259999999</v>
      </c>
      <c r="O6" s="9">
        <f>4402755035/10^6</f>
        <v>4402.7550350000001</v>
      </c>
      <c r="P6" s="9">
        <f>3725458000/10^6</f>
        <v>3725.4580000000001</v>
      </c>
      <c r="U6" s="9">
        <v>900</v>
      </c>
      <c r="W6" s="9">
        <f t="shared" si="7"/>
        <v>300</v>
      </c>
      <c r="X6" s="14">
        <f>419338468/10^6</f>
        <v>419.33846799999998</v>
      </c>
      <c r="Y6" s="18">
        <f>co2elec_annual!D6</f>
        <v>1039.7</v>
      </c>
      <c r="Z6" s="15"/>
      <c r="AA6" s="2">
        <f>co2elec_annual!G6-AB6-AC6</f>
        <v>763.22201200000086</v>
      </c>
      <c r="AB6" s="218"/>
      <c r="AC6" s="218"/>
      <c r="AD6" s="101"/>
      <c r="AE6" s="101"/>
      <c r="AF6" s="85">
        <f>co2elec_annual!K6</f>
        <v>1</v>
      </c>
      <c r="AG6" s="85">
        <f>co2elec_annual!M6</f>
        <v>0.73407907280946505</v>
      </c>
      <c r="AH6" s="17">
        <f t="shared" si="2"/>
        <v>1802.9220120000009</v>
      </c>
      <c r="AI6" s="12">
        <f t="shared" ref="AI6:AI9" si="12">SUM(AJ6:AK6)</f>
        <v>8942.5177309999999</v>
      </c>
      <c r="AJ6" s="9">
        <f>8942239207/10^6</f>
        <v>8942.2392070000005</v>
      </c>
      <c r="AK6" s="102">
        <v>0.27852399999999999</v>
      </c>
      <c r="AL6" s="85">
        <f>AK6-AK5</f>
        <v>8.4826999999999986E-2</v>
      </c>
      <c r="AM6" s="106"/>
      <c r="AN6" s="12">
        <f t="shared" si="8"/>
        <v>2554.5745980000011</v>
      </c>
      <c r="AO6" s="133">
        <v>500</v>
      </c>
      <c r="AP6" s="12">
        <f t="shared" ref="AP6:AP10" si="13">AN6-AO6</f>
        <v>2054.5745980000011</v>
      </c>
      <c r="AQ6" s="12">
        <f>AN5-AN6</f>
        <v>39.330298999998377</v>
      </c>
      <c r="AV6" s="42"/>
      <c r="AW6" s="15"/>
    </row>
    <row r="7" spans="1:53" x14ac:dyDescent="0.25">
      <c r="A7" s="41">
        <f t="shared" si="3"/>
        <v>2018</v>
      </c>
      <c r="C7" s="2">
        <f t="shared" si="4"/>
        <v>1892.9806260000003</v>
      </c>
      <c r="D7" s="14">
        <v>38.264246</v>
      </c>
      <c r="E7" s="18">
        <f t="shared" ref="E7" si="14">M7-M6</f>
        <v>1689.729610999997</v>
      </c>
      <c r="F7" s="2">
        <f t="shared" si="0"/>
        <v>1689.7296109999991</v>
      </c>
      <c r="G7" s="11">
        <f t="shared" si="9"/>
        <v>14.711148000000037</v>
      </c>
      <c r="H7" s="11">
        <f>O7-O6</f>
        <v>759.26846299999943</v>
      </c>
      <c r="I7" s="11">
        <f t="shared" si="10"/>
        <v>759.26846299999738</v>
      </c>
      <c r="J7" s="11">
        <f>H7/co2elec_annual!I7</f>
        <v>1.0608933607877242</v>
      </c>
      <c r="K7" s="11">
        <f t="shared" ref="K7:K8" si="15">P7-P6-R7</f>
        <v>915.74999999999955</v>
      </c>
      <c r="L7" s="2">
        <f t="shared" si="11"/>
        <v>915.74999999999955</v>
      </c>
      <c r="M7" s="18">
        <f t="shared" si="5"/>
        <v>13186.821939999998</v>
      </c>
      <c r="N7" s="9">
        <f t="shared" si="6"/>
        <v>1749.5408259999999</v>
      </c>
      <c r="O7" s="9">
        <f>5162023498/10^6</f>
        <v>5162.0234979999996</v>
      </c>
      <c r="P7" s="9">
        <f>4641208000/10^6</f>
        <v>4641.2079999999996</v>
      </c>
      <c r="U7" s="9">
        <v>900</v>
      </c>
      <c r="W7" s="9">
        <f t="shared" si="7"/>
        <v>300</v>
      </c>
      <c r="X7" s="14">
        <f>434049616/10^6</f>
        <v>434.04961600000001</v>
      </c>
      <c r="Y7" s="18">
        <f>co2elec_annual!D7</f>
        <v>973.67</v>
      </c>
      <c r="Z7" s="15"/>
      <c r="AA7" s="2">
        <f>co2elec_annual!G7-AB7-AC7</f>
        <v>715.68782599999952</v>
      </c>
      <c r="AB7" s="218"/>
      <c r="AC7" s="218"/>
      <c r="AD7" s="101"/>
      <c r="AE7" s="101"/>
      <c r="AF7" s="85">
        <f>co2elec_annual!K7</f>
        <v>1</v>
      </c>
      <c r="AG7" s="85">
        <f>co2elec_annual!M7</f>
        <v>0.73504146784844926</v>
      </c>
      <c r="AH7" s="17">
        <f t="shared" si="2"/>
        <v>1689.3578259999995</v>
      </c>
      <c r="AI7" s="12">
        <f t="shared" si="12"/>
        <v>10631.912116</v>
      </c>
      <c r="AJ7" s="9">
        <f>10631597033/10^6</f>
        <v>10631.597033</v>
      </c>
      <c r="AK7" s="102">
        <f>0.315083</f>
        <v>0.315083</v>
      </c>
      <c r="AL7" s="85">
        <f t="shared" ref="AL7:AL39" si="16">AK7-AK6</f>
        <v>3.6559000000000008E-2</v>
      </c>
      <c r="AM7" s="106"/>
      <c r="AN7" s="12">
        <f t="shared" si="8"/>
        <v>2554.9098239999985</v>
      </c>
      <c r="AO7" s="133">
        <v>500</v>
      </c>
      <c r="AP7" s="12">
        <f t="shared" si="13"/>
        <v>2054.9098239999985</v>
      </c>
      <c r="AQ7" s="12">
        <f>AN6-AN7</f>
        <v>-0.33522599999741942</v>
      </c>
      <c r="AR7" s="2">
        <f>V8+U8</f>
        <v>1297.124722</v>
      </c>
      <c r="AS7" s="2">
        <f t="shared" ref="AS7:AS13" si="17">-MIN(-AR7,+AU7)</f>
        <v>1297.124722</v>
      </c>
      <c r="AV7" s="42"/>
      <c r="AW7" s="15"/>
    </row>
    <row r="8" spans="1:53" x14ac:dyDescent="0.25">
      <c r="A8" s="41">
        <f t="shared" si="3"/>
        <v>2019</v>
      </c>
      <c r="C8" s="2">
        <f t="shared" si="4"/>
        <v>1854.7163800000003</v>
      </c>
      <c r="D8" s="14">
        <v>38.264246</v>
      </c>
      <c r="E8" s="18">
        <f>M8-M7</f>
        <v>1690.0767320000014</v>
      </c>
      <c r="F8" s="2">
        <f t="shared" si="0"/>
        <v>1292.95201</v>
      </c>
      <c r="G8" s="11">
        <f t="shared" si="9"/>
        <v>16.172199999999975</v>
      </c>
      <c r="H8" s="11">
        <f>O8-O7</f>
        <v>688.23981000000003</v>
      </c>
      <c r="I8" s="11">
        <f t="shared" ref="I8:I9" si="18">E8-L8-G8</f>
        <v>688.2398100000014</v>
      </c>
      <c r="J8" s="11">
        <f>H8/co2elec_annual!I8</f>
        <v>0.95810801568305137</v>
      </c>
      <c r="K8" s="11">
        <f t="shared" si="15"/>
        <v>588.54</v>
      </c>
      <c r="L8" s="2">
        <f t="shared" si="11"/>
        <v>985.66472199999998</v>
      </c>
      <c r="M8" s="18">
        <f t="shared" si="5"/>
        <v>14876.898671999999</v>
      </c>
      <c r="N8" s="9">
        <f t="shared" si="6"/>
        <v>1749.5408259999999</v>
      </c>
      <c r="O8" s="9">
        <f>5850263308/10^6</f>
        <v>5850.2633079999996</v>
      </c>
      <c r="P8" s="9">
        <f>5229748000/10^6</f>
        <v>5229.7479999999996</v>
      </c>
      <c r="U8" s="9">
        <v>900</v>
      </c>
      <c r="V8" s="9">
        <f>397124722/10^6</f>
        <v>397.12472200000002</v>
      </c>
      <c r="W8" s="9">
        <f t="shared" si="7"/>
        <v>300</v>
      </c>
      <c r="X8" s="14">
        <f>450221816/10^6</f>
        <v>450.22181599999999</v>
      </c>
      <c r="Y8" s="18">
        <f>co2elec_annual!D8</f>
        <v>844</v>
      </c>
      <c r="Z8" s="15"/>
      <c r="AA8" s="2">
        <f>co2elec_annual!G8-AB8-AC8</f>
        <v>718.33216999999968</v>
      </c>
      <c r="AB8" s="218"/>
      <c r="AC8" s="218"/>
      <c r="AD8" s="101"/>
      <c r="AE8" s="101"/>
      <c r="AF8" s="85">
        <f>co2elec_annual!K8</f>
        <v>1</v>
      </c>
      <c r="AG8" s="85">
        <f>co2elec_annual!M8</f>
        <v>0.85110446682464413</v>
      </c>
      <c r="AH8" s="17">
        <f t="shared" si="2"/>
        <v>1562.3321699999997</v>
      </c>
      <c r="AI8" s="12">
        <f t="shared" si="12"/>
        <v>12194.277784</v>
      </c>
      <c r="AJ8" s="9">
        <f>12193929203/10^6</f>
        <v>12193.929203</v>
      </c>
      <c r="AK8" s="102">
        <f>0.348581</f>
        <v>0.34858099999999997</v>
      </c>
      <c r="AL8" s="85">
        <f t="shared" si="16"/>
        <v>3.3497999999999972E-2</v>
      </c>
      <c r="AM8" s="106"/>
      <c r="AN8" s="12">
        <f t="shared" si="8"/>
        <v>1385.4961659999994</v>
      </c>
      <c r="AO8" s="133">
        <v>500</v>
      </c>
      <c r="AP8" s="12">
        <f t="shared" si="13"/>
        <v>885.49616599999945</v>
      </c>
      <c r="AQ8" s="12">
        <f>AN7-AN8</f>
        <v>1169.413657999999</v>
      </c>
      <c r="AR8" s="2">
        <f>V9-V8+Q9</f>
        <v>677.42674699999998</v>
      </c>
      <c r="AS8" s="2">
        <f>-MIN(-AR8,+AU8)</f>
        <v>677.42674699999998</v>
      </c>
      <c r="AT8" s="2">
        <f>U8+V8</f>
        <v>1297.124722</v>
      </c>
      <c r="AV8" s="42"/>
      <c r="AW8" s="15"/>
    </row>
    <row r="9" spans="1:53" x14ac:dyDescent="0.25">
      <c r="A9" s="41">
        <f t="shared" si="3"/>
        <v>2020</v>
      </c>
      <c r="B9" s="34">
        <v>2020</v>
      </c>
      <c r="C9" s="2">
        <f>C8-D9</f>
        <v>1816.4521340000003</v>
      </c>
      <c r="D9" s="14">
        <v>38.264246</v>
      </c>
      <c r="E9" s="18">
        <f>M9-M8</f>
        <v>2173.1956230000033</v>
      </c>
      <c r="F9" s="2">
        <f>H9+K9+G9</f>
        <v>1545.7688760000005</v>
      </c>
      <c r="G9" s="11">
        <f t="shared" si="9"/>
        <v>28.623086000000001</v>
      </c>
      <c r="H9" s="11">
        <f>O9-O8</f>
        <v>738.64079000000038</v>
      </c>
      <c r="I9" s="11">
        <f t="shared" si="18"/>
        <v>990.44226700000308</v>
      </c>
      <c r="J9" s="11">
        <f>H9/co2elec_annual!I9</f>
        <v>1.1657015398471697</v>
      </c>
      <c r="K9" s="11">
        <f>P9-P8</f>
        <v>778.50500000000011</v>
      </c>
      <c r="L9" s="2">
        <f>K9+V9-V8</f>
        <v>1154.1302700000001</v>
      </c>
      <c r="M9" s="18">
        <f t="shared" si="5"/>
        <v>17050.094295000003</v>
      </c>
      <c r="N9" s="9">
        <f t="shared" si="6"/>
        <v>1749.5408259999999</v>
      </c>
      <c r="O9" s="9">
        <f>6588904098/10^6</f>
        <v>6588.904098</v>
      </c>
      <c r="P9" s="9">
        <f>6008253000/10^6</f>
        <v>6008.2529999999997</v>
      </c>
      <c r="Q9" s="9">
        <v>301.80147699999998</v>
      </c>
      <c r="R9" s="9">
        <v>-50</v>
      </c>
      <c r="U9" s="9">
        <v>900</v>
      </c>
      <c r="V9" s="9">
        <f>772749992/10^6</f>
        <v>772.74999200000002</v>
      </c>
      <c r="W9" s="9">
        <f t="shared" si="7"/>
        <v>300</v>
      </c>
      <c r="X9" s="14">
        <f>478844902/10^6</f>
        <v>478.84490199999999</v>
      </c>
      <c r="Y9" s="18">
        <f>co2elec_annual!D9</f>
        <v>718.75494315779861</v>
      </c>
      <c r="Z9" s="15"/>
      <c r="AA9" s="2">
        <f>co2elec_annual!G9-AB9-AC9</f>
        <v>633.64486084220198</v>
      </c>
      <c r="AB9" s="218"/>
      <c r="AC9" s="218"/>
      <c r="AD9" s="101"/>
      <c r="AE9" s="101"/>
      <c r="AF9" s="85">
        <f>co2elec_annual!K9</f>
        <v>1</v>
      </c>
      <c r="AG9" s="85">
        <f>co2elec_annual!M9</f>
        <v>0.88158678680988045</v>
      </c>
      <c r="AH9" s="17">
        <f t="shared" si="2"/>
        <v>1352.3998040000006</v>
      </c>
      <c r="AI9" s="12">
        <f t="shared" si="12"/>
        <v>13546.770399999999</v>
      </c>
      <c r="AJ9" s="9">
        <f>13546329007/10^6</f>
        <v>13546.329007</v>
      </c>
      <c r="AK9" s="102">
        <f>0.441393</f>
        <v>0.44139299999999998</v>
      </c>
      <c r="AL9" s="85">
        <f t="shared" si="16"/>
        <v>9.2812000000000006E-2</v>
      </c>
      <c r="AM9" s="106"/>
      <c r="AN9" s="12">
        <f t="shared" si="8"/>
        <v>1578.7724260000032</v>
      </c>
      <c r="AO9" s="133">
        <v>500</v>
      </c>
      <c r="AP9" s="12">
        <f t="shared" si="13"/>
        <v>1078.7724260000032</v>
      </c>
      <c r="AQ9" s="12">
        <f>AN8-AN9</f>
        <v>-193.27626000000373</v>
      </c>
      <c r="AR9" s="2">
        <f>IF(AN9&gt;833,AN9*0.24,IF(AN9&lt;400,-200,0))</f>
        <v>378.90538224000073</v>
      </c>
      <c r="AS9" s="2">
        <f>-MIN(-AR9,+AU9)</f>
        <v>378.90538224000073</v>
      </c>
      <c r="AT9" s="2">
        <f>U9+V9+Q9+R9+S9</f>
        <v>1924.551469</v>
      </c>
      <c r="AV9" s="42"/>
      <c r="AW9" s="15"/>
      <c r="AY9" s="96"/>
      <c r="AZ9" s="96"/>
      <c r="BA9" s="149"/>
    </row>
    <row r="10" spans="1:53" x14ac:dyDescent="0.25">
      <c r="A10" s="171">
        <f t="shared" si="3"/>
        <v>2021</v>
      </c>
      <c r="B10" s="184">
        <f>B9+5</f>
        <v>2025</v>
      </c>
      <c r="C10" s="185">
        <v>1596.08</v>
      </c>
      <c r="D10" s="186"/>
      <c r="E10" s="187">
        <f>M10-M9</f>
        <v>1868.9913360000028</v>
      </c>
      <c r="F10" s="172">
        <f>H10+K10+G10</f>
        <v>1160.5694020000003</v>
      </c>
      <c r="G10" s="188">
        <f>X10-X9+T10-T9</f>
        <v>25.616902000000014</v>
      </c>
      <c r="H10" s="189">
        <v>552</v>
      </c>
      <c r="I10" s="188">
        <f>E10-L10-G10</f>
        <v>937.29631900000254</v>
      </c>
      <c r="J10" s="188">
        <f>H10/co2elec_annual!I10</f>
        <v>0.86757590461701073</v>
      </c>
      <c r="K10" s="188">
        <f>P10-P9</f>
        <v>582.95250000000033</v>
      </c>
      <c r="L10" s="172">
        <f>K10+V10-V9</f>
        <v>906.07811500000025</v>
      </c>
      <c r="M10" s="187">
        <f>SUM(N10:X10)</f>
        <v>18919.085631000005</v>
      </c>
      <c r="N10" s="185">
        <f>1749540826/10^6</f>
        <v>1749.5408259999999</v>
      </c>
      <c r="O10" s="185">
        <f>7141195439/1000000</f>
        <v>7141.1954390000001</v>
      </c>
      <c r="P10" s="185">
        <f>6591.2055</f>
        <v>6591.2055</v>
      </c>
      <c r="Q10" s="185">
        <v>886.80645500000003</v>
      </c>
      <c r="R10" s="185">
        <v>-50</v>
      </c>
      <c r="S10" s="185">
        <v>-200</v>
      </c>
      <c r="T10" s="185">
        <v>7.2137869999999999</v>
      </c>
      <c r="U10" s="185">
        <v>900</v>
      </c>
      <c r="V10" s="185">
        <f>1095875607/10^6</f>
        <v>1095.8756069999999</v>
      </c>
      <c r="W10" s="185">
        <f t="shared" si="7"/>
        <v>300</v>
      </c>
      <c r="X10" s="190">
        <f>497248017/10^6</f>
        <v>497.248017</v>
      </c>
      <c r="Y10" s="187">
        <f>co2elec_annual!D10</f>
        <v>653.98292997142676</v>
      </c>
      <c r="Z10" s="191"/>
      <c r="AA10" s="172">
        <f>co2elec_annual!G10-AB10-AC10</f>
        <v>636.25556802857386</v>
      </c>
      <c r="AB10" s="218"/>
      <c r="AC10" s="218"/>
      <c r="AD10" s="192"/>
      <c r="AE10" s="192"/>
      <c r="AF10" s="103">
        <f>co2elec_annual!K10</f>
        <v>1</v>
      </c>
      <c r="AG10" s="103">
        <f>co2elec_annual!M10</f>
        <v>0.97289323447077214</v>
      </c>
      <c r="AH10" s="176">
        <f t="shared" si="2"/>
        <v>1290.2384980000006</v>
      </c>
      <c r="AI10" s="158">
        <f>SUM(AJ10:AK10)</f>
        <v>14837.189387</v>
      </c>
      <c r="AJ10" s="185">
        <f>14836567505/10^6</f>
        <v>14836.567505000001</v>
      </c>
      <c r="AK10" s="193">
        <f>621882/10^6</f>
        <v>0.62188200000000005</v>
      </c>
      <c r="AL10" s="103">
        <f t="shared" si="16"/>
        <v>0.18048900000000007</v>
      </c>
      <c r="AM10" s="106"/>
      <c r="AN10" s="194">
        <f t="shared" si="8"/>
        <v>1449.2141820000052</v>
      </c>
      <c r="AO10" s="173">
        <v>500</v>
      </c>
      <c r="AP10" s="158">
        <f t="shared" si="13"/>
        <v>949.21418200000517</v>
      </c>
      <c r="AQ10" s="158">
        <f>AN9-AN10</f>
        <v>129.55824399999801</v>
      </c>
      <c r="AR10" s="172">
        <f>IF(AN10&gt;833,AN10*0.24,IF(AN10&lt;400,-200,0))</f>
        <v>347.81140368000121</v>
      </c>
      <c r="AS10" s="172">
        <f>-MIN(-AR10,+AU10)</f>
        <v>347.81140368000121</v>
      </c>
      <c r="AT10" s="172">
        <f>U10+V10+Q10+R10+S10</f>
        <v>2632.6820619999999</v>
      </c>
      <c r="AU10" s="195"/>
      <c r="AV10" s="42"/>
      <c r="AW10" s="15"/>
      <c r="AY10" s="96"/>
      <c r="AZ10" s="96"/>
      <c r="BA10" s="149"/>
    </row>
    <row r="11" spans="1:53" x14ac:dyDescent="0.25">
      <c r="A11" s="161">
        <f t="shared" si="3"/>
        <v>2022</v>
      </c>
      <c r="B11" s="76">
        <f>B10</f>
        <v>2025</v>
      </c>
      <c r="C11" s="197">
        <v>1552.5764849999998</v>
      </c>
      <c r="D11" s="165">
        <f>C10-C11</f>
        <v>43.503515000000107</v>
      </c>
      <c r="E11" s="198">
        <f>C11</f>
        <v>1552.5764849999998</v>
      </c>
      <c r="F11" s="162">
        <f>H11+K11</f>
        <v>1184.0357599999998</v>
      </c>
      <c r="G11" s="162">
        <f t="shared" si="9"/>
        <v>7.2137890000000002</v>
      </c>
      <c r="H11" s="197">
        <v>714.18518310000013</v>
      </c>
      <c r="I11" s="162">
        <f>co2elec_annual!G11*J11</f>
        <v>714.18518310000013</v>
      </c>
      <c r="J11" s="162">
        <f>H11/co2elec_annual!I11</f>
        <v>1.0469166860635659</v>
      </c>
      <c r="K11" s="162">
        <f>L11-V11+V10</f>
        <v>469.85057689999962</v>
      </c>
      <c r="L11" s="162">
        <f>E11-H11</f>
        <v>838.39130189999969</v>
      </c>
      <c r="M11" s="198">
        <f t="shared" si="5"/>
        <v>20319.627205000001</v>
      </c>
      <c r="N11" s="197">
        <f t="shared" si="6"/>
        <v>1749.5408259999999</v>
      </c>
      <c r="O11" s="197">
        <v>7683.5934989999996</v>
      </c>
      <c r="P11" s="197">
        <v>7073.5945000000002</v>
      </c>
      <c r="Q11" s="197">
        <v>886.80645500000003</v>
      </c>
      <c r="R11" s="197">
        <v>-50</v>
      </c>
      <c r="S11" s="197">
        <v>-200</v>
      </c>
      <c r="T11" s="197">
        <v>14.427576</v>
      </c>
      <c r="U11" s="197">
        <v>900</v>
      </c>
      <c r="V11" s="197">
        <v>1464.416332</v>
      </c>
      <c r="W11" s="197">
        <v>300</v>
      </c>
      <c r="X11" s="197">
        <v>497.248017</v>
      </c>
      <c r="Y11" s="198">
        <f>co2elec_annual!D11</f>
        <v>664.21799999999996</v>
      </c>
      <c r="Z11" s="199">
        <f>co2elec_annual!R11</f>
        <v>81.034595999999993</v>
      </c>
      <c r="AA11" s="219">
        <f>co2elec_annual!G11-AB11-AC11</f>
        <v>682.17957799999829</v>
      </c>
      <c r="AB11" s="200">
        <f>co2elec_annual!U11</f>
        <v>0</v>
      </c>
      <c r="AC11" s="220"/>
      <c r="AD11" s="153"/>
      <c r="AE11" s="162">
        <f>co2elec_annual!S11</f>
        <v>20.465387339999946</v>
      </c>
      <c r="AF11" s="200">
        <f>co2elec_annual!K11</f>
        <v>1</v>
      </c>
      <c r="AG11" s="200">
        <f>co2elec_annual!M11</f>
        <v>1.0270416911315237</v>
      </c>
      <c r="AH11" s="165">
        <f t="shared" ref="AH11:AH17" si="19">Y11+AA11+AB11+AC11</f>
        <v>1346.3975779999982</v>
      </c>
      <c r="AI11" s="199">
        <f>SUM(AJ11:AK11)+AM11</f>
        <v>16183.60968</v>
      </c>
      <c r="AJ11" s="197">
        <v>16182.965082999999</v>
      </c>
      <c r="AK11" s="201">
        <v>0.64459699999999998</v>
      </c>
      <c r="AL11" s="200">
        <f t="shared" si="16"/>
        <v>2.271499999999993E-2</v>
      </c>
      <c r="AM11" s="112"/>
      <c r="AN11" s="199">
        <f t="shared" si="8"/>
        <v>1134.794738000001</v>
      </c>
      <c r="AO11" s="201">
        <v>500</v>
      </c>
      <c r="AP11" s="203">
        <f>AN11-AO11</f>
        <v>634.79473800000096</v>
      </c>
      <c r="AQ11" s="199">
        <f t="shared" ref="AQ11:AQ39" si="20">AN10-AN11</f>
        <v>314.41944400000421</v>
      </c>
      <c r="AR11" s="162">
        <f>IF(AN11&gt;833,AN11*0.24,IF(AN11&lt;400,-200,0))</f>
        <v>272.35073712000025</v>
      </c>
      <c r="AS11" s="162">
        <f t="shared" si="17"/>
        <v>272.35073712000025</v>
      </c>
      <c r="AT11" s="162">
        <f>MAX(0,AU11-AV11)</f>
        <v>3001.2227870000002</v>
      </c>
      <c r="AU11" s="197">
        <v>3001.2227870000002</v>
      </c>
      <c r="AV11" s="44"/>
      <c r="AW11" s="15"/>
      <c r="AY11" s="96"/>
      <c r="AZ11" s="96"/>
      <c r="BA11" s="149"/>
    </row>
    <row r="12" spans="1:53" x14ac:dyDescent="0.25">
      <c r="A12" s="45">
        <f t="shared" si="3"/>
        <v>2023</v>
      </c>
      <c r="B12" s="30">
        <f t="shared" ref="B12:B14" si="21">B11</f>
        <v>2025</v>
      </c>
      <c r="C12" s="109">
        <v>1509.0729699999997</v>
      </c>
      <c r="D12" s="110">
        <f t="shared" ref="D12:D19" si="22">C11-C12</f>
        <v>43.503515000000107</v>
      </c>
      <c r="E12" s="32">
        <f t="shared" ref="E12:E39" si="23">C12</f>
        <v>1509.0729699999997</v>
      </c>
      <c r="F12" s="31">
        <f>H12+K12</f>
        <v>1236.7222328799994</v>
      </c>
      <c r="G12" s="31">
        <f t="shared" si="9"/>
        <v>0</v>
      </c>
      <c r="H12" s="109">
        <v>663.9921068000001</v>
      </c>
      <c r="I12" s="31">
        <f>co2elec_annual!G12*J12</f>
        <v>593.17559433080078</v>
      </c>
      <c r="J12" s="109">
        <v>0.97482639292328077</v>
      </c>
      <c r="K12" s="31">
        <f>L12-V12+V11</f>
        <v>572.73012607999931</v>
      </c>
      <c r="L12" s="31">
        <f>E12-H12</f>
        <v>845.08086319999961</v>
      </c>
      <c r="M12" s="32">
        <f t="shared" si="5"/>
        <v>21828.700175000002</v>
      </c>
      <c r="N12" s="31">
        <f t="shared" ref="N12:N39" si="24">N11</f>
        <v>1749.5408259999999</v>
      </c>
      <c r="O12" s="31">
        <f t="shared" ref="O12:O39" si="25">O11+H12</f>
        <v>8347.585605799999</v>
      </c>
      <c r="P12" s="31">
        <f t="shared" ref="P12:P39" si="26">P11+K12</f>
        <v>7646.3246260799997</v>
      </c>
      <c r="Q12" s="31">
        <f t="shared" ref="Q12:Q39" si="27">Q11</f>
        <v>886.80645500000003</v>
      </c>
      <c r="R12" s="31">
        <f t="shared" ref="R12:R39" si="28">R11</f>
        <v>-50</v>
      </c>
      <c r="S12" s="31">
        <f t="shared" ref="S12:S39" si="29">S11</f>
        <v>-200</v>
      </c>
      <c r="T12" s="31">
        <f t="shared" ref="T12:T39" si="30">T11</f>
        <v>14.427576</v>
      </c>
      <c r="U12" s="31">
        <f t="shared" ref="U12:U39" si="31">U11</f>
        <v>900</v>
      </c>
      <c r="V12" s="31">
        <f t="shared" ref="V12:V39" si="32">V11+AS11</f>
        <v>1736.7670691200003</v>
      </c>
      <c r="W12" s="31">
        <f t="shared" ref="W12:W39" si="33">W11</f>
        <v>300</v>
      </c>
      <c r="X12" s="31">
        <f t="shared" ref="X12:X39" si="34">X11</f>
        <v>497.248017</v>
      </c>
      <c r="Y12" s="32">
        <f>co2elec_annual!D12</f>
        <v>620.495271831286</v>
      </c>
      <c r="Z12" s="111">
        <f>co2elec_annual!R12</f>
        <v>75.700423163416886</v>
      </c>
      <c r="AA12" s="31">
        <f>co2elec_annual!G12</f>
        <v>608.49357243191093</v>
      </c>
      <c r="AB12" s="84">
        <f>co2elec_annual!V12</f>
        <v>72.66153846153847</v>
      </c>
      <c r="AC12" s="84">
        <f>co2elec_annual!U12</f>
        <v>0</v>
      </c>
      <c r="AD12" s="84">
        <f>AO12-AO11</f>
        <v>-21.739130434782624</v>
      </c>
      <c r="AE12" s="84">
        <f>co2elec_annual!S12</f>
        <v>18.254318686792995</v>
      </c>
      <c r="AF12" s="84">
        <f>co2elec_annual!K12</f>
        <v>0.25</v>
      </c>
      <c r="AG12" s="84">
        <f>co2elec_annual!M12</f>
        <v>0.98063162957543504</v>
      </c>
      <c r="AH12" s="110">
        <f t="shared" si="19"/>
        <v>1301.6503827247352</v>
      </c>
      <c r="AI12" s="111">
        <f t="shared" ref="AI12:AI39" si="35">SUM(AJ12:AK12)+AM12</f>
        <v>20288.983009944735</v>
      </c>
      <c r="AJ12" s="31">
        <f t="shared" ref="AJ12:AJ38" si="36">AJ11+AH12</f>
        <v>17484.615465724735</v>
      </c>
      <c r="AK12" s="84">
        <f t="shared" ref="AK12:AK39" si="37">AK11</f>
        <v>0.64459699999999998</v>
      </c>
      <c r="AL12" s="84">
        <f t="shared" si="16"/>
        <v>0</v>
      </c>
      <c r="AM12" s="196">
        <f t="shared" ref="AM12:AM39" si="38">AM11+AV12</f>
        <v>2803.7229472200006</v>
      </c>
      <c r="AN12" s="111">
        <f t="shared" si="8"/>
        <v>1069.8665881552665</v>
      </c>
      <c r="AO12" s="84">
        <f>MIN(AN12,$AO$11*($A$34-A12)/($A$34-$A$11))</f>
        <v>478.26086956521738</v>
      </c>
      <c r="AP12" s="74">
        <f t="shared" ref="AP12:AP39" si="39">AN12-AO12</f>
        <v>591.60571859004915</v>
      </c>
      <c r="AQ12" s="111">
        <f>AN11-AN12</f>
        <v>64.928149844734435</v>
      </c>
      <c r="AR12" s="31">
        <f>IF(AN12&gt;833,AN12*0.12,IF(AN12&lt;400,-100,0))</f>
        <v>128.38399057863197</v>
      </c>
      <c r="AS12" s="31">
        <f t="shared" si="17"/>
        <v>128.38399057863197</v>
      </c>
      <c r="AT12" s="31">
        <f>MAX(0,AU12-AV12)</f>
        <v>469.85057689999985</v>
      </c>
      <c r="AU12" s="31">
        <f>MAX(0,AT11+AR11)</f>
        <v>3273.5735241200005</v>
      </c>
      <c r="AV12" s="71">
        <f>MAX(0,AU12-K11)</f>
        <v>2803.7229472200006</v>
      </c>
      <c r="AW12" s="15"/>
      <c r="AY12" s="96"/>
      <c r="AZ12" s="96"/>
      <c r="BA12" s="149"/>
    </row>
    <row r="13" spans="1:53" x14ac:dyDescent="0.25">
      <c r="A13" s="41">
        <f t="shared" si="3"/>
        <v>2024</v>
      </c>
      <c r="B13" s="7">
        <f t="shared" si="21"/>
        <v>2025</v>
      </c>
      <c r="C13" s="9">
        <v>1414.0729699999997</v>
      </c>
      <c r="D13" s="110">
        <f t="shared" si="22"/>
        <v>95</v>
      </c>
      <c r="E13" s="18">
        <f t="shared" si="23"/>
        <v>1414.0729699999997</v>
      </c>
      <c r="F13" s="2">
        <f t="shared" ref="F13:F39" si="40">H13+K13</f>
        <v>1285.6889794213675</v>
      </c>
      <c r="G13" s="2">
        <f t="shared" si="9"/>
        <v>0</v>
      </c>
      <c r="H13" s="109">
        <v>578.85887709999986</v>
      </c>
      <c r="I13" s="31">
        <f>co2elec_annual!G13*J13</f>
        <v>594.32570921612717</v>
      </c>
      <c r="J13" s="31">
        <f>$J$12-$J$12*(A13-$A$12)/($A$34-$A$12)</f>
        <v>0.93051610233585891</v>
      </c>
      <c r="K13" s="31">
        <f>L13-V13+V12</f>
        <v>706.8301023213678</v>
      </c>
      <c r="L13" s="2">
        <f>E13-H13</f>
        <v>835.21409289999986</v>
      </c>
      <c r="M13" s="18">
        <f t="shared" si="5"/>
        <v>23242.773145000003</v>
      </c>
      <c r="N13" s="2">
        <f t="shared" si="24"/>
        <v>1749.5408259999999</v>
      </c>
      <c r="O13" s="2">
        <f t="shared" si="25"/>
        <v>8926.4444828999985</v>
      </c>
      <c r="P13" s="2">
        <f t="shared" si="26"/>
        <v>8353.1547284013668</v>
      </c>
      <c r="Q13" s="31">
        <f t="shared" si="27"/>
        <v>886.80645500000003</v>
      </c>
      <c r="R13" s="2">
        <f t="shared" si="28"/>
        <v>-50</v>
      </c>
      <c r="S13" s="2">
        <f t="shared" si="29"/>
        <v>-200</v>
      </c>
      <c r="T13" s="2">
        <f t="shared" si="30"/>
        <v>14.427576</v>
      </c>
      <c r="U13" s="2">
        <f t="shared" si="31"/>
        <v>900</v>
      </c>
      <c r="V13" s="2">
        <f t="shared" si="32"/>
        <v>1865.1510596986323</v>
      </c>
      <c r="W13" s="2">
        <f t="shared" si="33"/>
        <v>300</v>
      </c>
      <c r="X13" s="2">
        <f t="shared" si="34"/>
        <v>497.248017</v>
      </c>
      <c r="Y13" s="32">
        <f>co2elec_annual!D13</f>
        <v>617.6955609151197</v>
      </c>
      <c r="Z13" s="111">
        <f>co2elec_annual!R13</f>
        <v>68.191628135658704</v>
      </c>
      <c r="AA13" s="31">
        <f>co2elec_annual!G13</f>
        <v>638.70545359097105</v>
      </c>
      <c r="AB13" s="84">
        <f>co2elec_annual!V13</f>
        <v>73.738461538461536</v>
      </c>
      <c r="AC13" s="84">
        <f>co2elec_annual!U13</f>
        <v>38.400000000000006</v>
      </c>
      <c r="AD13" s="84">
        <f t="shared" ref="AD13:AD39" si="41">AO13-AO12</f>
        <v>-21.739130434782567</v>
      </c>
      <c r="AE13" s="84">
        <f>co2elec_annual!S13</f>
        <v>17.760972130711448</v>
      </c>
      <c r="AF13" s="85">
        <f>co2elec_annual!K13</f>
        <v>0.25</v>
      </c>
      <c r="AG13" s="85">
        <f>co2elec_annual!M13</f>
        <v>1.0591909198570741</v>
      </c>
      <c r="AH13" s="17">
        <f t="shared" si="19"/>
        <v>1368.5394760445522</v>
      </c>
      <c r="AI13" s="111">
        <f t="shared" si="35"/>
        <v>21855.757053467918</v>
      </c>
      <c r="AJ13" s="2">
        <f t="shared" si="36"/>
        <v>18853.154941769288</v>
      </c>
      <c r="AK13" s="85">
        <f t="shared" si="37"/>
        <v>0.64459699999999998</v>
      </c>
      <c r="AL13" s="85">
        <f t="shared" si="16"/>
        <v>0</v>
      </c>
      <c r="AM13" s="107">
        <f t="shared" si="38"/>
        <v>3001.9575146986326</v>
      </c>
      <c r="AN13" s="12">
        <f t="shared" si="8"/>
        <v>987.01609153208483</v>
      </c>
      <c r="AO13" s="84">
        <f t="shared" ref="AO13:AO17" si="42">MIN(AN13,$AO$11*($A$34-A13)/($A$34-$A$11))</f>
        <v>456.52173913043481</v>
      </c>
      <c r="AP13" s="74">
        <f t="shared" si="39"/>
        <v>530.49435240165008</v>
      </c>
      <c r="AQ13" s="12">
        <f t="shared" si="20"/>
        <v>82.850496623181698</v>
      </c>
      <c r="AR13" s="2">
        <f>IF(AN13&gt;1096,AN13*0.24,IF(AN13&gt;833,AN13-833,IF(AN13&lt;400,-200,0)))</f>
        <v>154.01609153208483</v>
      </c>
      <c r="AS13" s="2">
        <f t="shared" si="17"/>
        <v>154.01609153208483</v>
      </c>
      <c r="AT13" s="2">
        <f t="shared" ref="AT13:AT39" si="43">MAX(0,AU13-AV13)</f>
        <v>400</v>
      </c>
      <c r="AU13" s="2">
        <f>MAX(0,AT12+AR12)</f>
        <v>598.23456747863179</v>
      </c>
      <c r="AV13" s="46">
        <f>MAX(0,AU13-400)</f>
        <v>198.23456747863179</v>
      </c>
      <c r="AW13" s="15"/>
      <c r="AY13" s="96"/>
      <c r="AZ13" s="96"/>
      <c r="BA13" s="149"/>
    </row>
    <row r="14" spans="1:53" x14ac:dyDescent="0.25">
      <c r="A14" s="41">
        <f t="shared" si="3"/>
        <v>2025</v>
      </c>
      <c r="B14" s="7">
        <f t="shared" si="21"/>
        <v>2025</v>
      </c>
      <c r="C14" s="9">
        <v>1326.0729699999997</v>
      </c>
      <c r="D14" s="110">
        <f t="shared" si="22"/>
        <v>88</v>
      </c>
      <c r="E14" s="18">
        <f t="shared" si="23"/>
        <v>1326.0729699999997</v>
      </c>
      <c r="F14" s="2">
        <f t="shared" si="40"/>
        <v>1172.0568784679149</v>
      </c>
      <c r="G14" s="2">
        <f t="shared" si="9"/>
        <v>0</v>
      </c>
      <c r="H14" s="109">
        <v>526.05564739999988</v>
      </c>
      <c r="I14" s="31">
        <f>co2elec_annual!G14*J14</f>
        <v>568.17377223431333</v>
      </c>
      <c r="J14" s="31">
        <f t="shared" ref="J14:J34" si="44">$J$12-$J$12*(A14-$A$12)/($A$34-$A$12)</f>
        <v>0.88620581174843704</v>
      </c>
      <c r="K14" s="31">
        <f>L14-V14+V13</f>
        <v>646.00123106791489</v>
      </c>
      <c r="L14" s="2">
        <f>E14-H14</f>
        <v>800.01732259999983</v>
      </c>
      <c r="M14" s="18">
        <f t="shared" si="5"/>
        <v>24568.846115</v>
      </c>
      <c r="N14" s="2">
        <f t="shared" si="24"/>
        <v>1749.5408259999999</v>
      </c>
      <c r="O14" s="2">
        <f>O13+H14</f>
        <v>9452.500130299999</v>
      </c>
      <c r="P14" s="2">
        <f t="shared" si="26"/>
        <v>8999.1559594692808</v>
      </c>
      <c r="Q14" s="31">
        <f t="shared" si="27"/>
        <v>886.80645500000003</v>
      </c>
      <c r="R14" s="2">
        <f t="shared" si="28"/>
        <v>-50</v>
      </c>
      <c r="S14" s="2">
        <f t="shared" si="29"/>
        <v>-200</v>
      </c>
      <c r="T14" s="2">
        <f t="shared" si="30"/>
        <v>14.427576</v>
      </c>
      <c r="U14" s="2">
        <f t="shared" si="31"/>
        <v>900</v>
      </c>
      <c r="V14" s="2">
        <f t="shared" si="32"/>
        <v>2019.1671512307171</v>
      </c>
      <c r="W14" s="2">
        <f t="shared" si="33"/>
        <v>300</v>
      </c>
      <c r="X14" s="2">
        <f t="shared" si="34"/>
        <v>497.248017</v>
      </c>
      <c r="Y14" s="32">
        <f>co2elec_annual!D14</f>
        <v>555.12580000779815</v>
      </c>
      <c r="Z14" s="111">
        <f>co2elec_annual!R14</f>
        <v>61.28412525186274</v>
      </c>
      <c r="AA14" s="31">
        <f>co2elec_annual!G14</f>
        <v>641.13072234691924</v>
      </c>
      <c r="AB14" s="84">
        <f>co2elec_annual!V14</f>
        <v>74.815384615384616</v>
      </c>
      <c r="AC14" s="84">
        <f>co2elec_annual!U14</f>
        <v>67.199999999999989</v>
      </c>
      <c r="AD14" s="84">
        <f t="shared" si="41"/>
        <v>-21.739130434782624</v>
      </c>
      <c r="AE14" s="84">
        <f>co2elec_annual!S14</f>
        <v>17.828116507678246</v>
      </c>
      <c r="AF14" s="85">
        <f>co2elec_annual!K14</f>
        <v>0.25</v>
      </c>
      <c r="AG14" s="85">
        <f>co2elec_annual!M14</f>
        <v>1.1830307903272421</v>
      </c>
      <c r="AH14" s="17">
        <f t="shared" si="19"/>
        <v>1338.271906970102</v>
      </c>
      <c r="AI14" s="111">
        <f t="shared" si="35"/>
        <v>23348.045051970104</v>
      </c>
      <c r="AJ14" s="2">
        <f t="shared" si="36"/>
        <v>20191.426848739389</v>
      </c>
      <c r="AK14" s="85">
        <f t="shared" si="37"/>
        <v>0.64459699999999998</v>
      </c>
      <c r="AL14" s="85">
        <f t="shared" si="16"/>
        <v>0</v>
      </c>
      <c r="AM14" s="107">
        <f t="shared" si="38"/>
        <v>3155.9736062307175</v>
      </c>
      <c r="AN14" s="12">
        <f t="shared" si="8"/>
        <v>820.80106302989589</v>
      </c>
      <c r="AO14" s="84">
        <f t="shared" si="42"/>
        <v>434.78260869565219</v>
      </c>
      <c r="AP14" s="74">
        <f t="shared" si="39"/>
        <v>386.0184543342437</v>
      </c>
      <c r="AQ14" s="12">
        <f t="shared" si="20"/>
        <v>166.21502850218894</v>
      </c>
      <c r="AR14" s="2">
        <f t="shared" ref="AR14:AR39" si="45">IF(AN14&gt;1096,AN14*0.24,IF(AN14&gt;833,AN14-833,IF(AN14&lt;400,-200,0)))</f>
        <v>0</v>
      </c>
      <c r="AS14" s="2">
        <f t="shared" ref="AS14:AS39" si="46">-MIN(-AR14,+AU14)</f>
        <v>0</v>
      </c>
      <c r="AT14" s="2">
        <f t="shared" si="43"/>
        <v>400</v>
      </c>
      <c r="AU14" s="2">
        <f>MAX(0,AT13+AR13)</f>
        <v>554.01609153208483</v>
      </c>
      <c r="AV14" s="46">
        <f>MAX(0,AU14-400)</f>
        <v>154.01609153208483</v>
      </c>
      <c r="AW14" s="15"/>
      <c r="AY14" s="96"/>
      <c r="AZ14" s="96"/>
      <c r="BA14" s="149"/>
    </row>
    <row r="15" spans="1:53" x14ac:dyDescent="0.25">
      <c r="A15" s="41">
        <f t="shared" si="3"/>
        <v>2026</v>
      </c>
      <c r="B15" s="7">
        <f>B14+5</f>
        <v>2030</v>
      </c>
      <c r="C15" s="9">
        <v>1211.0729699999997</v>
      </c>
      <c r="D15" s="110">
        <f t="shared" si="22"/>
        <v>115</v>
      </c>
      <c r="E15" s="18">
        <f t="shared" si="23"/>
        <v>1211.0729699999997</v>
      </c>
      <c r="F15" s="2">
        <f t="shared" si="40"/>
        <v>1211.0729699999997</v>
      </c>
      <c r="G15" s="2">
        <f t="shared" si="9"/>
        <v>0</v>
      </c>
      <c r="H15" s="109">
        <v>512.90425621499992</v>
      </c>
      <c r="I15" s="31">
        <f>co2elec_annual!G15*J15</f>
        <v>535.64581831381088</v>
      </c>
      <c r="J15" s="31">
        <f t="shared" si="44"/>
        <v>0.84189552116101518</v>
      </c>
      <c r="K15" s="31">
        <f t="shared" ref="K15:K39" si="47">L15-V15+V14</f>
        <v>698.16871378499991</v>
      </c>
      <c r="L15" s="2">
        <f t="shared" ref="L15:L39" si="48">E15-H15</f>
        <v>698.1687137849998</v>
      </c>
      <c r="M15" s="18">
        <f t="shared" ref="M15:M39" si="49">SUM(N15:X15)</f>
        <v>25779.919085000001</v>
      </c>
      <c r="N15" s="2">
        <f t="shared" si="24"/>
        <v>1749.5408259999999</v>
      </c>
      <c r="O15" s="2">
        <f t="shared" si="25"/>
        <v>9965.4043865149997</v>
      </c>
      <c r="P15" s="2">
        <f>P14+K15</f>
        <v>9697.3246732542812</v>
      </c>
      <c r="Q15" s="31">
        <f t="shared" si="27"/>
        <v>886.80645500000003</v>
      </c>
      <c r="R15" s="2">
        <f t="shared" si="28"/>
        <v>-50</v>
      </c>
      <c r="S15" s="2">
        <f t="shared" si="29"/>
        <v>-200</v>
      </c>
      <c r="T15" s="2">
        <f t="shared" si="30"/>
        <v>14.427576</v>
      </c>
      <c r="U15" s="2">
        <f t="shared" si="31"/>
        <v>900</v>
      </c>
      <c r="V15" s="2">
        <f t="shared" si="32"/>
        <v>2019.1671512307171</v>
      </c>
      <c r="W15" s="2">
        <f t="shared" si="33"/>
        <v>300</v>
      </c>
      <c r="X15" s="2">
        <f t="shared" si="34"/>
        <v>497.248017</v>
      </c>
      <c r="Y15" s="32">
        <f>co2elec_annual!D15</f>
        <v>538.50476604415064</v>
      </c>
      <c r="Z15" s="111">
        <f>co2elec_annual!R15</f>
        <v>59.449215890364265</v>
      </c>
      <c r="AA15" s="31">
        <f>co2elec_annual!G15</f>
        <v>636.23787613827551</v>
      </c>
      <c r="AB15" s="84">
        <f>co2elec_annual!V15</f>
        <v>75.892307692307696</v>
      </c>
      <c r="AC15" s="84">
        <f>co2elec_annual!U15</f>
        <v>96</v>
      </c>
      <c r="AD15" s="84">
        <f t="shared" si="41"/>
        <v>-21.739130434782624</v>
      </c>
      <c r="AE15" s="84">
        <f>co2elec_annual!S15</f>
        <v>17.692457680893437</v>
      </c>
      <c r="AF15" s="85">
        <f>co2elec_annual!K15</f>
        <v>0.25</v>
      </c>
      <c r="AG15" s="85">
        <f>co2elec_annual!M15</f>
        <v>1.210265380707263</v>
      </c>
      <c r="AH15" s="17">
        <f t="shared" si="19"/>
        <v>1346.6349498747338</v>
      </c>
      <c r="AI15" s="111">
        <f t="shared" si="35"/>
        <v>24694.680001844838</v>
      </c>
      <c r="AJ15" s="2">
        <f t="shared" si="36"/>
        <v>21538.061798614122</v>
      </c>
      <c r="AK15" s="85">
        <f t="shared" si="37"/>
        <v>0.64459699999999998</v>
      </c>
      <c r="AL15" s="85">
        <f t="shared" si="16"/>
        <v>0</v>
      </c>
      <c r="AM15" s="107">
        <f t="shared" si="38"/>
        <v>3155.9736062307175</v>
      </c>
      <c r="AN15" s="12">
        <f t="shared" si="8"/>
        <v>685.23908315516383</v>
      </c>
      <c r="AO15" s="84">
        <f t="shared" si="42"/>
        <v>413.04347826086956</v>
      </c>
      <c r="AP15" s="74">
        <f t="shared" si="39"/>
        <v>272.19560489429426</v>
      </c>
      <c r="AQ15" s="12">
        <f t="shared" si="20"/>
        <v>135.56197987473206</v>
      </c>
      <c r="AR15" s="2">
        <f t="shared" si="45"/>
        <v>0</v>
      </c>
      <c r="AS15" s="2">
        <f t="shared" si="46"/>
        <v>0</v>
      </c>
      <c r="AT15" s="2">
        <f t="shared" si="43"/>
        <v>400</v>
      </c>
      <c r="AU15" s="2">
        <f t="shared" ref="AU15:AU39" si="50">MAX(0,AT14+AR14)</f>
        <v>400</v>
      </c>
      <c r="AV15" s="46">
        <f t="shared" ref="AV15:AV39" si="51">MAX(0,AU15-400)</f>
        <v>0</v>
      </c>
      <c r="AW15" s="15"/>
      <c r="AY15" s="96"/>
      <c r="AZ15" s="96"/>
      <c r="BA15" s="149"/>
    </row>
    <row r="16" spans="1:53" x14ac:dyDescent="0.25">
      <c r="A16" s="41">
        <f t="shared" si="3"/>
        <v>2027</v>
      </c>
      <c r="B16" s="7">
        <f>B15</f>
        <v>2030</v>
      </c>
      <c r="C16" s="9">
        <v>1123.0729699999997</v>
      </c>
      <c r="D16" s="110">
        <f t="shared" si="22"/>
        <v>88</v>
      </c>
      <c r="E16" s="18">
        <f t="shared" si="23"/>
        <v>1123.0729699999997</v>
      </c>
      <c r="F16" s="2">
        <f t="shared" si="40"/>
        <v>1123.0729699999997</v>
      </c>
      <c r="G16" s="2">
        <f t="shared" si="9"/>
        <v>0</v>
      </c>
      <c r="H16" s="109">
        <v>499.7528650299999</v>
      </c>
      <c r="I16" s="31">
        <f>co2elec_annual!G16*J16</f>
        <v>503.91885557301458</v>
      </c>
      <c r="J16" s="31">
        <f t="shared" si="44"/>
        <v>0.79758523057359332</v>
      </c>
      <c r="K16" s="31">
        <f t="shared" si="47"/>
        <v>623.32010496999987</v>
      </c>
      <c r="L16" s="2">
        <f>E16-H16</f>
        <v>623.32010496999987</v>
      </c>
      <c r="M16" s="18">
        <f t="shared" si="49"/>
        <v>26902.992055000002</v>
      </c>
      <c r="N16" s="2">
        <f t="shared" si="24"/>
        <v>1749.5408259999999</v>
      </c>
      <c r="O16" s="2">
        <f t="shared" si="25"/>
        <v>10465.157251544999</v>
      </c>
      <c r="P16" s="2">
        <f t="shared" si="26"/>
        <v>10320.644778224281</v>
      </c>
      <c r="Q16" s="31">
        <f t="shared" si="27"/>
        <v>886.80645500000003</v>
      </c>
      <c r="R16" s="2">
        <f t="shared" si="28"/>
        <v>-50</v>
      </c>
      <c r="S16" s="2">
        <f t="shared" si="29"/>
        <v>-200</v>
      </c>
      <c r="T16" s="2">
        <f t="shared" si="30"/>
        <v>14.427576</v>
      </c>
      <c r="U16" s="2">
        <f t="shared" si="31"/>
        <v>900</v>
      </c>
      <c r="V16" s="2">
        <f t="shared" si="32"/>
        <v>2019.1671512307171</v>
      </c>
      <c r="W16" s="2">
        <f t="shared" si="33"/>
        <v>300</v>
      </c>
      <c r="X16" s="2">
        <f t="shared" si="34"/>
        <v>497.248017</v>
      </c>
      <c r="Y16" s="32">
        <f>co2elec_annual!D16</f>
        <v>514.1908375817012</v>
      </c>
      <c r="Z16" s="111">
        <f>co2elec_annual!R16</f>
        <v>56.765035408684895</v>
      </c>
      <c r="AA16" s="31">
        <f>co2elec_annual!G16</f>
        <v>631.80565067712587</v>
      </c>
      <c r="AB16" s="84">
        <f>co2elec_annual!V16</f>
        <v>76.969230769230776</v>
      </c>
      <c r="AC16" s="84">
        <f>co2elec_annual!U16</f>
        <v>96</v>
      </c>
      <c r="AD16" s="84">
        <f t="shared" si="41"/>
        <v>-21.739130434782624</v>
      </c>
      <c r="AE16" s="84">
        <f>co2elec_annual!S16</f>
        <v>17.569141311264794</v>
      </c>
      <c r="AF16" s="85">
        <f>co2elec_annual!K16</f>
        <v>0.25</v>
      </c>
      <c r="AG16" s="85">
        <f>co2elec_annual!M16</f>
        <v>1.2586593281952838</v>
      </c>
      <c r="AH16" s="17">
        <f t="shared" si="19"/>
        <v>1318.9657190280577</v>
      </c>
      <c r="AI16" s="111">
        <f t="shared" si="35"/>
        <v>26013.645720872893</v>
      </c>
      <c r="AJ16" s="2">
        <f t="shared" si="36"/>
        <v>22857.027517642178</v>
      </c>
      <c r="AK16" s="85">
        <f t="shared" si="37"/>
        <v>0.64459699999999998</v>
      </c>
      <c r="AL16" s="85">
        <f t="shared" si="16"/>
        <v>0</v>
      </c>
      <c r="AM16" s="107">
        <f t="shared" si="38"/>
        <v>3155.9736062307175</v>
      </c>
      <c r="AN16" s="12">
        <f t="shared" si="8"/>
        <v>489.346334127109</v>
      </c>
      <c r="AO16" s="84">
        <f>MIN(AN16,$AO$11*($A$34-A16)/($A$34-$A$11))</f>
        <v>391.30434782608694</v>
      </c>
      <c r="AP16" s="74">
        <f t="shared" si="39"/>
        <v>98.041986301022064</v>
      </c>
      <c r="AQ16" s="12">
        <f t="shared" si="20"/>
        <v>195.89274902805482</v>
      </c>
      <c r="AR16" s="2">
        <f t="shared" si="45"/>
        <v>0</v>
      </c>
      <c r="AS16" s="2">
        <f t="shared" si="46"/>
        <v>0</v>
      </c>
      <c r="AT16" s="2">
        <f t="shared" si="43"/>
        <v>400</v>
      </c>
      <c r="AU16" s="2">
        <f t="shared" si="50"/>
        <v>400</v>
      </c>
      <c r="AV16" s="46">
        <f t="shared" si="51"/>
        <v>0</v>
      </c>
      <c r="AW16" s="15"/>
      <c r="AY16" s="96"/>
      <c r="AZ16" s="96"/>
      <c r="BA16" s="149"/>
    </row>
    <row r="17" spans="1:53" x14ac:dyDescent="0.25">
      <c r="A17" s="41">
        <f t="shared" si="3"/>
        <v>2028</v>
      </c>
      <c r="B17" s="7">
        <f t="shared" ref="B17:B19" si="52">B16</f>
        <v>2030</v>
      </c>
      <c r="C17" s="9">
        <v>1033.0729699999997</v>
      </c>
      <c r="D17" s="110">
        <f t="shared" si="22"/>
        <v>90</v>
      </c>
      <c r="E17" s="18">
        <f t="shared" si="23"/>
        <v>1033.0729699999997</v>
      </c>
      <c r="F17" s="2">
        <f t="shared" si="40"/>
        <v>1033.0729699999997</v>
      </c>
      <c r="G17" s="2">
        <f t="shared" si="9"/>
        <v>0</v>
      </c>
      <c r="H17" s="109">
        <v>473.45008265999991</v>
      </c>
      <c r="I17" s="31">
        <f>co2elec_annual!G17*J17</f>
        <v>426.00480167393778</v>
      </c>
      <c r="J17" s="31">
        <f t="shared" si="44"/>
        <v>0.75327493998617157</v>
      </c>
      <c r="K17" s="31">
        <f t="shared" si="47"/>
        <v>559.62288733999981</v>
      </c>
      <c r="L17" s="2">
        <f t="shared" si="48"/>
        <v>559.62288733999981</v>
      </c>
      <c r="M17" s="18">
        <f t="shared" si="49"/>
        <v>27936.065025</v>
      </c>
      <c r="N17" s="2">
        <f t="shared" si="24"/>
        <v>1749.5408259999999</v>
      </c>
      <c r="O17" s="2">
        <f t="shared" si="25"/>
        <v>10938.607334204999</v>
      </c>
      <c r="P17" s="2">
        <f t="shared" si="26"/>
        <v>10880.267665564281</v>
      </c>
      <c r="Q17" s="31">
        <f t="shared" si="27"/>
        <v>886.80645500000003</v>
      </c>
      <c r="R17" s="2">
        <f t="shared" si="28"/>
        <v>-50</v>
      </c>
      <c r="S17" s="2">
        <f t="shared" si="29"/>
        <v>-200</v>
      </c>
      <c r="T17" s="2">
        <f t="shared" si="30"/>
        <v>14.427576</v>
      </c>
      <c r="U17" s="2">
        <f t="shared" si="31"/>
        <v>900</v>
      </c>
      <c r="V17" s="2">
        <f t="shared" si="32"/>
        <v>2019.1671512307171</v>
      </c>
      <c r="W17" s="2">
        <f t="shared" si="33"/>
        <v>300</v>
      </c>
      <c r="X17" s="2">
        <f t="shared" si="34"/>
        <v>497.248017</v>
      </c>
      <c r="Y17" s="32">
        <f>co2elec_annual!D17</f>
        <v>504.86525237884962</v>
      </c>
      <c r="Z17" s="111">
        <f>co2elec_annual!R17</f>
        <v>55.735520420171575</v>
      </c>
      <c r="AA17" s="31">
        <f>co2elec_annual!G17</f>
        <v>565.53693619723799</v>
      </c>
      <c r="AB17" s="84">
        <f>co2elec_annual!V17</f>
        <v>78.046153846153857</v>
      </c>
      <c r="AC17" s="84">
        <f>co2elec_annual!U17</f>
        <v>96</v>
      </c>
      <c r="AD17" s="84">
        <f t="shared" si="41"/>
        <v>-113.33338612122219</v>
      </c>
      <c r="AE17" s="84">
        <f>co2elec_annual!S17</f>
        <v>15.725982536744551</v>
      </c>
      <c r="AF17" s="85">
        <f>co2elec_annual!K17</f>
        <v>0.25</v>
      </c>
      <c r="AG17" s="85">
        <f>co2elec_annual!M17</f>
        <v>1.1474249903947396</v>
      </c>
      <c r="AH17" s="17">
        <f t="shared" si="19"/>
        <v>1244.4483424222415</v>
      </c>
      <c r="AI17" s="111">
        <f>SUM(AJ17:AK17)+AM17</f>
        <v>27258.094063295135</v>
      </c>
      <c r="AJ17" s="2">
        <f>AJ16+AH17</f>
        <v>24101.47586006442</v>
      </c>
      <c r="AK17" s="85">
        <f t="shared" si="37"/>
        <v>0.64459699999999998</v>
      </c>
      <c r="AL17" s="85">
        <f t="shared" si="16"/>
        <v>0</v>
      </c>
      <c r="AM17" s="107">
        <f t="shared" si="38"/>
        <v>3155.9736062307175</v>
      </c>
      <c r="AN17" s="12">
        <f t="shared" si="8"/>
        <v>277.97096170486475</v>
      </c>
      <c r="AO17" s="84">
        <f t="shared" si="42"/>
        <v>277.97096170486475</v>
      </c>
      <c r="AP17" s="74">
        <f t="shared" si="39"/>
        <v>0</v>
      </c>
      <c r="AQ17" s="12">
        <f t="shared" si="20"/>
        <v>211.37537242224425</v>
      </c>
      <c r="AR17" s="2">
        <f t="shared" si="45"/>
        <v>-200</v>
      </c>
      <c r="AS17" s="2">
        <f t="shared" si="46"/>
        <v>-200</v>
      </c>
      <c r="AT17" s="2">
        <f t="shared" si="43"/>
        <v>400</v>
      </c>
      <c r="AU17" s="2">
        <f t="shared" si="50"/>
        <v>400</v>
      </c>
      <c r="AV17" s="46">
        <f t="shared" si="51"/>
        <v>0</v>
      </c>
      <c r="AW17" s="15"/>
      <c r="AY17" s="96"/>
      <c r="AZ17" s="96"/>
      <c r="BA17" s="149"/>
    </row>
    <row r="18" spans="1:53" x14ac:dyDescent="0.25">
      <c r="A18" s="41">
        <f t="shared" si="3"/>
        <v>2029</v>
      </c>
      <c r="B18" s="7">
        <f t="shared" si="52"/>
        <v>2030</v>
      </c>
      <c r="C18" s="9">
        <v>943.07296999999971</v>
      </c>
      <c r="D18" s="110">
        <f t="shared" si="22"/>
        <v>90</v>
      </c>
      <c r="E18" s="18">
        <f t="shared" si="23"/>
        <v>943.07296999999971</v>
      </c>
      <c r="F18" s="2">
        <f t="shared" si="40"/>
        <v>1143.0729699999997</v>
      </c>
      <c r="G18" s="2">
        <f t="shared" si="9"/>
        <v>0</v>
      </c>
      <c r="H18" s="109">
        <v>407.69312673499991</v>
      </c>
      <c r="I18" s="31">
        <f>co2elec_annual!G18*J18</f>
        <v>356.27557640076742</v>
      </c>
      <c r="J18" s="31">
        <f t="shared" si="44"/>
        <v>0.70896464939874959</v>
      </c>
      <c r="K18" s="31">
        <f t="shared" si="47"/>
        <v>735.37984326499986</v>
      </c>
      <c r="L18" s="2">
        <f t="shared" si="48"/>
        <v>535.37984326499986</v>
      </c>
      <c r="M18" s="18">
        <f t="shared" si="49"/>
        <v>28879.137994999997</v>
      </c>
      <c r="N18" s="2">
        <f t="shared" si="24"/>
        <v>1749.5408259999999</v>
      </c>
      <c r="O18" s="2">
        <f t="shared" si="25"/>
        <v>11346.300460939998</v>
      </c>
      <c r="P18" s="2">
        <f t="shared" si="26"/>
        <v>11615.647508829281</v>
      </c>
      <c r="Q18" s="31">
        <f t="shared" si="27"/>
        <v>886.80645500000003</v>
      </c>
      <c r="R18" s="2">
        <f t="shared" si="28"/>
        <v>-50</v>
      </c>
      <c r="S18" s="2">
        <f t="shared" si="29"/>
        <v>-200</v>
      </c>
      <c r="T18" s="2">
        <f t="shared" si="30"/>
        <v>14.427576</v>
      </c>
      <c r="U18" s="2">
        <f t="shared" si="31"/>
        <v>900</v>
      </c>
      <c r="V18" s="2">
        <f t="shared" si="32"/>
        <v>1819.1671512307171</v>
      </c>
      <c r="W18" s="2">
        <f t="shared" si="33"/>
        <v>300</v>
      </c>
      <c r="X18" s="2">
        <f t="shared" si="34"/>
        <v>497.248017</v>
      </c>
      <c r="Y18" s="32">
        <f>co2elec_annual!D18</f>
        <v>483.99184541492934</v>
      </c>
      <c r="Z18" s="111">
        <f>co2elec_annual!R18</f>
        <v>53.431162584898885</v>
      </c>
      <c r="AA18" s="31">
        <f>co2elec_annual!G18</f>
        <v>502.52939508748909</v>
      </c>
      <c r="AB18" s="84">
        <f>co2elec_annual!V18</f>
        <v>79.123076923076923</v>
      </c>
      <c r="AC18" s="84">
        <f>co2elec_annual!U18</f>
        <v>96</v>
      </c>
      <c r="AD18" s="84">
        <f t="shared" si="41"/>
        <v>-18.571347425498971</v>
      </c>
      <c r="AE18" s="84">
        <f>co2elec_annual!S18</f>
        <v>13.973889023583977</v>
      </c>
      <c r="AF18" s="85">
        <f>co2elec_annual!K18</f>
        <v>0.25</v>
      </c>
      <c r="AG18" s="85">
        <f>co2elec_annual!M18</f>
        <v>1.0635581549552338</v>
      </c>
      <c r="AH18" s="17">
        <f t="shared" ref="AH18:AH39" si="53">Y18+AA18+AB18+AC18</f>
        <v>1161.6443174254953</v>
      </c>
      <c r="AI18" s="111">
        <f t="shared" si="35"/>
        <v>28419.738380720632</v>
      </c>
      <c r="AJ18" s="2">
        <f>AJ17+AH18</f>
        <v>25263.120177489916</v>
      </c>
      <c r="AK18" s="85">
        <f t="shared" si="37"/>
        <v>0.64459699999999998</v>
      </c>
      <c r="AL18" s="85">
        <f t="shared" si="16"/>
        <v>0</v>
      </c>
      <c r="AM18" s="107">
        <f t="shared" si="38"/>
        <v>3155.9736062307175</v>
      </c>
      <c r="AN18" s="12">
        <f t="shared" si="8"/>
        <v>259.39961427936578</v>
      </c>
      <c r="AO18" s="84">
        <f t="shared" ref="AO18:AO33" si="54">MIN(AN18,$AO$11*($A$34-A18)/($A$34-$A$11))</f>
        <v>259.39961427936578</v>
      </c>
      <c r="AP18" s="74">
        <f t="shared" si="39"/>
        <v>0</v>
      </c>
      <c r="AQ18" s="12">
        <f t="shared" si="20"/>
        <v>18.571347425498971</v>
      </c>
      <c r="AR18" s="2">
        <f t="shared" si="45"/>
        <v>-200</v>
      </c>
      <c r="AS18" s="2">
        <f t="shared" si="46"/>
        <v>-200</v>
      </c>
      <c r="AT18" s="2">
        <f t="shared" si="43"/>
        <v>200</v>
      </c>
      <c r="AU18" s="2">
        <f t="shared" si="50"/>
        <v>200</v>
      </c>
      <c r="AV18" s="46">
        <f t="shared" si="51"/>
        <v>0</v>
      </c>
      <c r="AW18" s="15"/>
      <c r="AY18" s="96"/>
      <c r="AZ18" s="96"/>
      <c r="BA18" s="149"/>
    </row>
    <row r="19" spans="1:53" x14ac:dyDescent="0.25">
      <c r="A19" s="41">
        <f t="shared" si="3"/>
        <v>2030</v>
      </c>
      <c r="B19" s="7">
        <f t="shared" si="52"/>
        <v>2030</v>
      </c>
      <c r="C19" s="9">
        <v>853.07296999999971</v>
      </c>
      <c r="D19" s="110">
        <f t="shared" si="22"/>
        <v>90</v>
      </c>
      <c r="E19" s="18">
        <f t="shared" si="23"/>
        <v>853.07296999999971</v>
      </c>
      <c r="F19" s="2">
        <f t="shared" si="40"/>
        <v>1053.0729699999997</v>
      </c>
      <c r="G19" s="2">
        <f t="shared" si="9"/>
        <v>0</v>
      </c>
      <c r="H19" s="109">
        <v>270.91865841099991</v>
      </c>
      <c r="I19" s="31">
        <f>co2elec_annual!G19*J19</f>
        <v>277.57977920051371</v>
      </c>
      <c r="J19" s="31">
        <f t="shared" si="44"/>
        <v>0.66465435881132784</v>
      </c>
      <c r="K19" s="31">
        <f t="shared" si="47"/>
        <v>782.15431158899992</v>
      </c>
      <c r="L19" s="2">
        <f t="shared" si="48"/>
        <v>582.1543115889998</v>
      </c>
      <c r="M19" s="18">
        <f t="shared" si="49"/>
        <v>29732.210964999998</v>
      </c>
      <c r="N19" s="2">
        <f t="shared" si="24"/>
        <v>1749.5408259999999</v>
      </c>
      <c r="O19" s="2">
        <f t="shared" si="25"/>
        <v>11617.219119350997</v>
      </c>
      <c r="P19" s="2">
        <f t="shared" si="26"/>
        <v>12397.801820418281</v>
      </c>
      <c r="Q19" s="31">
        <f t="shared" si="27"/>
        <v>886.80645500000003</v>
      </c>
      <c r="R19" s="2">
        <f t="shared" si="28"/>
        <v>-50</v>
      </c>
      <c r="S19" s="2">
        <f t="shared" si="29"/>
        <v>-200</v>
      </c>
      <c r="T19" s="2">
        <f t="shared" si="30"/>
        <v>14.427576</v>
      </c>
      <c r="U19" s="2">
        <f t="shared" si="31"/>
        <v>900</v>
      </c>
      <c r="V19" s="2">
        <f t="shared" si="32"/>
        <v>1619.1671512307171</v>
      </c>
      <c r="W19" s="2">
        <f t="shared" si="33"/>
        <v>300</v>
      </c>
      <c r="X19" s="2">
        <f t="shared" si="34"/>
        <v>497.248017</v>
      </c>
      <c r="Y19" s="32">
        <f>co2elec_annual!D19</f>
        <v>418.64231446975253</v>
      </c>
      <c r="Z19" s="111">
        <f>co2elec_annual!R19</f>
        <v>46.216781917420562</v>
      </c>
      <c r="AA19" s="31">
        <f>co2elec_annual!G19</f>
        <v>417.63026980961831</v>
      </c>
      <c r="AB19" s="84">
        <f>co2elec_annual!V19</f>
        <v>80.2</v>
      </c>
      <c r="AC19" s="84">
        <f>co2elec_annual!U19</f>
        <v>96</v>
      </c>
      <c r="AD19" s="84">
        <f t="shared" si="41"/>
        <v>40.600385720630584</v>
      </c>
      <c r="AE19" s="84">
        <f>co2elec_annual!S19</f>
        <v>11.613937631311202</v>
      </c>
      <c r="AF19" s="85">
        <f>co2elec_annual!K19</f>
        <v>0.25</v>
      </c>
      <c r="AG19" s="85">
        <f>co2elec_annual!M19</f>
        <v>1.0219234458684023</v>
      </c>
      <c r="AH19" s="17">
        <f t="shared" si="53"/>
        <v>1012.4725842793709</v>
      </c>
      <c r="AI19" s="111">
        <f>SUM(AJ19:AK19)+AM19</f>
        <v>29432.210965000002</v>
      </c>
      <c r="AJ19" s="2">
        <f t="shared" si="36"/>
        <v>26275.592761769287</v>
      </c>
      <c r="AK19" s="85">
        <f t="shared" si="37"/>
        <v>0.64459699999999998</v>
      </c>
      <c r="AL19" s="85">
        <f t="shared" si="16"/>
        <v>0</v>
      </c>
      <c r="AM19" s="107">
        <f t="shared" si="38"/>
        <v>3155.9736062307175</v>
      </c>
      <c r="AN19" s="217">
        <f t="shared" si="8"/>
        <v>299.99999999999636</v>
      </c>
      <c r="AO19" s="84">
        <f t="shared" si="54"/>
        <v>299.99999999999636</v>
      </c>
      <c r="AP19" s="74">
        <f t="shared" si="39"/>
        <v>0</v>
      </c>
      <c r="AQ19" s="12">
        <f t="shared" si="20"/>
        <v>-40.600385720630584</v>
      </c>
      <c r="AR19" s="2">
        <f t="shared" si="45"/>
        <v>-200</v>
      </c>
      <c r="AS19" s="2">
        <f t="shared" si="46"/>
        <v>0</v>
      </c>
      <c r="AT19" s="2">
        <f t="shared" si="43"/>
        <v>0</v>
      </c>
      <c r="AU19" s="2">
        <f t="shared" si="50"/>
        <v>0</v>
      </c>
      <c r="AV19" s="46">
        <f t="shared" si="51"/>
        <v>0</v>
      </c>
      <c r="AW19" s="15"/>
      <c r="AY19" s="96"/>
      <c r="AZ19" s="96"/>
      <c r="BA19" s="149"/>
    </row>
    <row r="20" spans="1:53" x14ac:dyDescent="0.25">
      <c r="A20" s="41">
        <f t="shared" si="3"/>
        <v>2031</v>
      </c>
      <c r="B20" s="7">
        <f>B19+5</f>
        <v>2035</v>
      </c>
      <c r="C20" s="2">
        <f>C19-D20</f>
        <v>796.20143866666638</v>
      </c>
      <c r="D20" s="14">
        <f>C19/15</f>
        <v>56.871531333333316</v>
      </c>
      <c r="E20" s="18">
        <f t="shared" si="23"/>
        <v>796.20143866666638</v>
      </c>
      <c r="F20" s="2">
        <f t="shared" si="40"/>
        <v>796.20143866666626</v>
      </c>
      <c r="G20" s="2">
        <f t="shared" si="9"/>
        <v>0</v>
      </c>
      <c r="H20" s="109">
        <v>205.16170248599997</v>
      </c>
      <c r="I20" s="31">
        <f>co2elec_annual!G20*J20</f>
        <v>203.69367255259073</v>
      </c>
      <c r="J20" s="31">
        <f t="shared" si="44"/>
        <v>0.62034406822390586</v>
      </c>
      <c r="K20" s="31">
        <f t="shared" si="47"/>
        <v>591.0397361806663</v>
      </c>
      <c r="L20" s="2">
        <f t="shared" si="48"/>
        <v>591.03973618066641</v>
      </c>
      <c r="M20" s="18">
        <f t="shared" ref="M20:M28" si="55">SUM(N20:X20)</f>
        <v>30528.412403666665</v>
      </c>
      <c r="N20" s="2">
        <f t="shared" si="24"/>
        <v>1749.5408259999999</v>
      </c>
      <c r="O20" s="2">
        <f t="shared" si="25"/>
        <v>11822.380821836998</v>
      </c>
      <c r="P20" s="2">
        <f t="shared" si="26"/>
        <v>12988.841556598947</v>
      </c>
      <c r="Q20" s="31">
        <f t="shared" si="27"/>
        <v>886.80645500000003</v>
      </c>
      <c r="R20" s="2">
        <f t="shared" si="28"/>
        <v>-50</v>
      </c>
      <c r="S20" s="2">
        <f t="shared" si="29"/>
        <v>-200</v>
      </c>
      <c r="T20" s="2">
        <f t="shared" si="30"/>
        <v>14.427576</v>
      </c>
      <c r="U20" s="2">
        <f t="shared" si="31"/>
        <v>900</v>
      </c>
      <c r="V20" s="2">
        <f t="shared" si="32"/>
        <v>1619.1671512307171</v>
      </c>
      <c r="W20" s="2">
        <f t="shared" si="33"/>
        <v>300</v>
      </c>
      <c r="X20" s="2">
        <f t="shared" si="34"/>
        <v>497.248017</v>
      </c>
      <c r="Y20" s="32">
        <f>co2elec_annual!D20</f>
        <v>249.80419706022772</v>
      </c>
      <c r="Z20" s="111">
        <f>co2elec_annual!R20</f>
        <v>27.901104049335704</v>
      </c>
      <c r="AA20" s="31">
        <f>co2elec_annual!G20</f>
        <v>328.35596080701123</v>
      </c>
      <c r="AB20" s="84">
        <f>co2elec_annual!V20</f>
        <v>81.276923076923083</v>
      </c>
      <c r="AC20" s="84">
        <f>co2elec_annual!U20</f>
        <v>96</v>
      </c>
      <c r="AD20" s="84">
        <f t="shared" si="41"/>
        <v>4.3478260869601399</v>
      </c>
      <c r="AE20" s="84">
        <f>co2elec_annual!S20</f>
        <v>9.206371548821366</v>
      </c>
      <c r="AF20" s="85">
        <f>co2elec_annual!K20</f>
        <v>0.25</v>
      </c>
      <c r="AG20" s="85">
        <f>co2elec_annual!M20</f>
        <v>1.3418552983544612</v>
      </c>
      <c r="AH20" s="17">
        <f t="shared" si="53"/>
        <v>755.43708094416206</v>
      </c>
      <c r="AI20" s="111">
        <f>SUM(AJ20:AK20)+AM20</f>
        <v>30187.648045944163</v>
      </c>
      <c r="AJ20" s="2">
        <f t="shared" si="36"/>
        <v>27031.029842713448</v>
      </c>
      <c r="AK20" s="85">
        <f t="shared" si="37"/>
        <v>0.64459699999999998</v>
      </c>
      <c r="AL20" s="85">
        <f t="shared" si="16"/>
        <v>0</v>
      </c>
      <c r="AM20" s="107">
        <f t="shared" si="38"/>
        <v>3155.9736062307175</v>
      </c>
      <c r="AN20" s="12">
        <f t="shared" si="8"/>
        <v>340.76435772250261</v>
      </c>
      <c r="AO20" s="84">
        <f t="shared" si="54"/>
        <v>304.3478260869565</v>
      </c>
      <c r="AP20" s="74">
        <f t="shared" si="39"/>
        <v>36.416531635546107</v>
      </c>
      <c r="AQ20" s="12">
        <f t="shared" si="20"/>
        <v>-40.764357722506247</v>
      </c>
      <c r="AR20" s="2">
        <f t="shared" si="45"/>
        <v>-200</v>
      </c>
      <c r="AS20" s="2">
        <f t="shared" si="46"/>
        <v>0</v>
      </c>
      <c r="AT20" s="2">
        <f t="shared" si="43"/>
        <v>0</v>
      </c>
      <c r="AU20" s="2">
        <f>MAX(0,AT19+AR19)</f>
        <v>0</v>
      </c>
      <c r="AV20" s="46">
        <f t="shared" si="51"/>
        <v>0</v>
      </c>
      <c r="AW20" s="15"/>
      <c r="AY20" s="96"/>
      <c r="AZ20" s="96"/>
      <c r="BA20" s="149"/>
    </row>
    <row r="21" spans="1:53" x14ac:dyDescent="0.25">
      <c r="A21" s="41">
        <f t="shared" si="3"/>
        <v>2032</v>
      </c>
      <c r="B21" s="7">
        <f>B20</f>
        <v>2035</v>
      </c>
      <c r="C21" s="2">
        <f t="shared" ref="C21:C39" si="56">C20-D21</f>
        <v>739.32990733333304</v>
      </c>
      <c r="D21" s="14">
        <f t="shared" ref="D21:D34" si="57">D20</f>
        <v>56.871531333333316</v>
      </c>
      <c r="E21" s="18">
        <f t="shared" si="23"/>
        <v>739.32990733333304</v>
      </c>
      <c r="F21" s="2">
        <f t="shared" si="40"/>
        <v>739.32990733333304</v>
      </c>
      <c r="G21" s="2">
        <f t="shared" si="9"/>
        <v>0</v>
      </c>
      <c r="H21" s="109">
        <v>139.40474656099997</v>
      </c>
      <c r="I21" s="31">
        <f>co2elec_annual!G21*J21</f>
        <v>160.76259765881693</v>
      </c>
      <c r="J21" s="31">
        <f t="shared" si="44"/>
        <v>0.57603377763648411</v>
      </c>
      <c r="K21" s="31">
        <f t="shared" si="47"/>
        <v>599.92516077233313</v>
      </c>
      <c r="L21" s="2">
        <f t="shared" si="48"/>
        <v>599.92516077233313</v>
      </c>
      <c r="M21" s="18">
        <f t="shared" si="55"/>
        <v>31267.742310999998</v>
      </c>
      <c r="N21" s="2">
        <f t="shared" si="24"/>
        <v>1749.5408259999999</v>
      </c>
      <c r="O21" s="2">
        <f t="shared" si="25"/>
        <v>11961.785568397998</v>
      </c>
      <c r="P21" s="2">
        <f t="shared" si="26"/>
        <v>13588.76671737128</v>
      </c>
      <c r="Q21" s="31">
        <f t="shared" si="27"/>
        <v>886.80645500000003</v>
      </c>
      <c r="R21" s="2">
        <f t="shared" si="28"/>
        <v>-50</v>
      </c>
      <c r="S21" s="2">
        <f t="shared" si="29"/>
        <v>-200</v>
      </c>
      <c r="T21" s="2">
        <f t="shared" si="30"/>
        <v>14.427576</v>
      </c>
      <c r="U21" s="2">
        <f t="shared" si="31"/>
        <v>900</v>
      </c>
      <c r="V21" s="2">
        <f t="shared" si="32"/>
        <v>1619.1671512307171</v>
      </c>
      <c r="W21" s="2">
        <f t="shared" si="33"/>
        <v>300</v>
      </c>
      <c r="X21" s="2">
        <f t="shared" si="34"/>
        <v>497.248017</v>
      </c>
      <c r="Y21" s="32">
        <f>co2elec_annual!D21</f>
        <v>180.75956998560301</v>
      </c>
      <c r="Z21" s="111">
        <f>co2elec_annual!R21</f>
        <v>20.296393269887499</v>
      </c>
      <c r="AA21" s="31">
        <f>co2elec_annual!G21</f>
        <v>279.08536599787539</v>
      </c>
      <c r="AB21" s="84">
        <f>co2elec_annual!V21</f>
        <v>82.353846153846163</v>
      </c>
      <c r="AC21" s="84">
        <f>co2elec_annual!U21</f>
        <v>96</v>
      </c>
      <c r="AD21" s="84">
        <f t="shared" si="41"/>
        <v>-21.739130434782567</v>
      </c>
      <c r="AE21" s="84">
        <f>co2elec_annual!S21</f>
        <v>7.8508690047632843</v>
      </c>
      <c r="AF21" s="85">
        <f>co2elec_annual!K21</f>
        <v>0.25</v>
      </c>
      <c r="AG21" s="85">
        <f>co2elec_annual!M21</f>
        <v>1.5730315658302341</v>
      </c>
      <c r="AH21" s="17">
        <f t="shared" si="53"/>
        <v>638.19878213732454</v>
      </c>
      <c r="AI21" s="111">
        <f t="shared" si="35"/>
        <v>30825.846828081489</v>
      </c>
      <c r="AJ21" s="2">
        <f t="shared" si="36"/>
        <v>27669.228624850773</v>
      </c>
      <c r="AK21" s="85">
        <f t="shared" si="37"/>
        <v>0.64459699999999998</v>
      </c>
      <c r="AL21" s="85">
        <f t="shared" si="16"/>
        <v>0</v>
      </c>
      <c r="AM21" s="107">
        <f t="shared" si="38"/>
        <v>3155.9736062307175</v>
      </c>
      <c r="AN21" s="12">
        <f t="shared" si="8"/>
        <v>441.89548291850952</v>
      </c>
      <c r="AO21" s="84">
        <f t="shared" si="54"/>
        <v>282.60869565217394</v>
      </c>
      <c r="AP21" s="74">
        <f t="shared" si="39"/>
        <v>159.28678726633558</v>
      </c>
      <c r="AQ21" s="12">
        <f t="shared" si="20"/>
        <v>-101.13112519600691</v>
      </c>
      <c r="AR21" s="2">
        <f t="shared" si="45"/>
        <v>0</v>
      </c>
      <c r="AS21" s="2">
        <f t="shared" si="46"/>
        <v>0</v>
      </c>
      <c r="AT21" s="2">
        <f>MAX(0,AU21-AV21)</f>
        <v>0</v>
      </c>
      <c r="AU21" s="2">
        <f>MAX(0,AT20+AR20)</f>
        <v>0</v>
      </c>
      <c r="AV21" s="46">
        <f t="shared" si="51"/>
        <v>0</v>
      </c>
      <c r="AW21" s="15"/>
      <c r="AY21" s="96"/>
      <c r="AZ21" s="96"/>
      <c r="BA21" s="149"/>
    </row>
    <row r="22" spans="1:53" x14ac:dyDescent="0.25">
      <c r="A22" s="41">
        <f t="shared" si="3"/>
        <v>2033</v>
      </c>
      <c r="B22" s="7">
        <f t="shared" ref="B22:B24" si="58">B21</f>
        <v>2035</v>
      </c>
      <c r="C22" s="2">
        <f t="shared" si="56"/>
        <v>682.4583759999997</v>
      </c>
      <c r="D22" s="14">
        <f t="shared" si="57"/>
        <v>56.871531333333316</v>
      </c>
      <c r="E22" s="18">
        <f t="shared" si="23"/>
        <v>682.4583759999997</v>
      </c>
      <c r="F22" s="2">
        <f t="shared" si="40"/>
        <v>682.4583759999997</v>
      </c>
      <c r="G22" s="2">
        <f t="shared" si="9"/>
        <v>0</v>
      </c>
      <c r="H22" s="109">
        <v>73.647790635999968</v>
      </c>
      <c r="I22" s="31">
        <f>co2elec_annual!G22*J22</f>
        <v>122.19791151185892</v>
      </c>
      <c r="J22" s="31">
        <f t="shared" si="44"/>
        <v>0.53172348704906225</v>
      </c>
      <c r="K22" s="31">
        <f t="shared" si="47"/>
        <v>608.81058536399973</v>
      </c>
      <c r="L22" s="2">
        <f t="shared" si="48"/>
        <v>608.81058536399973</v>
      </c>
      <c r="M22" s="18">
        <f t="shared" si="55"/>
        <v>31950.200686999997</v>
      </c>
      <c r="N22" s="2">
        <f t="shared" si="24"/>
        <v>1749.5408259999999</v>
      </c>
      <c r="O22" s="2">
        <f t="shared" si="25"/>
        <v>12035.433359033997</v>
      </c>
      <c r="P22" s="2">
        <f t="shared" si="26"/>
        <v>14197.577302735279</v>
      </c>
      <c r="Q22" s="31">
        <f t="shared" si="27"/>
        <v>886.80645500000003</v>
      </c>
      <c r="R22" s="2">
        <f t="shared" si="28"/>
        <v>-50</v>
      </c>
      <c r="S22" s="2">
        <f t="shared" si="29"/>
        <v>-200</v>
      </c>
      <c r="T22" s="2">
        <f t="shared" si="30"/>
        <v>14.427576</v>
      </c>
      <c r="U22" s="2">
        <f t="shared" si="31"/>
        <v>900</v>
      </c>
      <c r="V22" s="2">
        <f t="shared" si="32"/>
        <v>1619.1671512307171</v>
      </c>
      <c r="W22" s="2">
        <f t="shared" si="33"/>
        <v>300</v>
      </c>
      <c r="X22" s="2">
        <f t="shared" si="34"/>
        <v>497.248017</v>
      </c>
      <c r="Y22" s="32">
        <f>co2elec_annual!D22</f>
        <v>111.71494291097832</v>
      </c>
      <c r="Z22" s="111">
        <f>co2elec_annual!R22</f>
        <v>12.691682490439298</v>
      </c>
      <c r="AA22" s="31">
        <f>co2elec_annual!G22</f>
        <v>229.81477118873948</v>
      </c>
      <c r="AB22" s="84">
        <f>co2elec_annual!V22</f>
        <v>83.430769230769243</v>
      </c>
      <c r="AC22" s="84">
        <f>co2elec_annual!U22</f>
        <v>96</v>
      </c>
      <c r="AD22" s="84">
        <f t="shared" si="41"/>
        <v>-21.739130434782624</v>
      </c>
      <c r="AE22" s="84">
        <f>co2elec_annual!S22</f>
        <v>6.4983035236422673</v>
      </c>
      <c r="AF22" s="85">
        <f>co2elec_annual!K22</f>
        <v>0.25</v>
      </c>
      <c r="AG22" s="85">
        <f>co2elec_annual!M22</f>
        <v>2.0821852697139018</v>
      </c>
      <c r="AH22" s="17">
        <f t="shared" si="53"/>
        <v>520.96048333048702</v>
      </c>
      <c r="AI22" s="111">
        <f t="shared" si="35"/>
        <v>31346.807311411976</v>
      </c>
      <c r="AJ22" s="2">
        <f t="shared" si="36"/>
        <v>28190.189108181261</v>
      </c>
      <c r="AK22" s="85">
        <f>AK21</f>
        <v>0.64459699999999998</v>
      </c>
      <c r="AL22" s="85">
        <f t="shared" si="16"/>
        <v>0</v>
      </c>
      <c r="AM22" s="107">
        <f t="shared" si="38"/>
        <v>3155.9736062307175</v>
      </c>
      <c r="AN22" s="12">
        <f t="shared" si="8"/>
        <v>603.39337558802072</v>
      </c>
      <c r="AO22" s="84">
        <f t="shared" si="54"/>
        <v>260.86956521739131</v>
      </c>
      <c r="AP22" s="74">
        <f t="shared" si="39"/>
        <v>342.52381037062941</v>
      </c>
      <c r="AQ22" s="12">
        <f t="shared" si="20"/>
        <v>-161.4978926695112</v>
      </c>
      <c r="AR22" s="2">
        <f t="shared" si="45"/>
        <v>0</v>
      </c>
      <c r="AS22" s="2">
        <f t="shared" si="46"/>
        <v>0</v>
      </c>
      <c r="AT22" s="2">
        <f>MAX(0,AU22-AV22)</f>
        <v>0</v>
      </c>
      <c r="AU22" s="2">
        <f t="shared" si="50"/>
        <v>0</v>
      </c>
      <c r="AV22" s="46">
        <f t="shared" si="51"/>
        <v>0</v>
      </c>
      <c r="AW22" s="15"/>
      <c r="AY22" s="96"/>
      <c r="AZ22" s="96"/>
      <c r="BA22" s="149"/>
    </row>
    <row r="23" spans="1:53" x14ac:dyDescent="0.25">
      <c r="A23" s="41">
        <f t="shared" si="3"/>
        <v>2034</v>
      </c>
      <c r="B23" s="7">
        <f t="shared" si="58"/>
        <v>2035</v>
      </c>
      <c r="C23" s="2">
        <f t="shared" si="56"/>
        <v>625.58684466666637</v>
      </c>
      <c r="D23" s="14">
        <f t="shared" si="57"/>
        <v>56.871531333333316</v>
      </c>
      <c r="E23" s="18">
        <f t="shared" si="23"/>
        <v>625.58684466666637</v>
      </c>
      <c r="F23" s="2">
        <f t="shared" si="40"/>
        <v>625.58684466666637</v>
      </c>
      <c r="G23" s="2">
        <f t="shared" si="9"/>
        <v>0</v>
      </c>
      <c r="H23" s="109">
        <v>0</v>
      </c>
      <c r="I23" s="31">
        <f>co2elec_annual!G23*J23</f>
        <v>107.77667545528922</v>
      </c>
      <c r="J23" s="31">
        <f t="shared" si="44"/>
        <v>0.48741319646164033</v>
      </c>
      <c r="K23" s="31">
        <f t="shared" si="47"/>
        <v>625.58684466666637</v>
      </c>
      <c r="L23" s="2">
        <f t="shared" si="48"/>
        <v>625.58684466666637</v>
      </c>
      <c r="M23" s="18">
        <f t="shared" si="55"/>
        <v>32575.787531666661</v>
      </c>
      <c r="N23" s="2">
        <f t="shared" si="24"/>
        <v>1749.5408259999999</v>
      </c>
      <c r="O23" s="2">
        <f t="shared" si="25"/>
        <v>12035.433359033997</v>
      </c>
      <c r="P23" s="2">
        <f t="shared" si="26"/>
        <v>14823.164147401945</v>
      </c>
      <c r="Q23" s="31">
        <f t="shared" si="27"/>
        <v>886.80645500000003</v>
      </c>
      <c r="R23" s="2">
        <f t="shared" si="28"/>
        <v>-50</v>
      </c>
      <c r="S23" s="2">
        <f t="shared" si="29"/>
        <v>-200</v>
      </c>
      <c r="T23" s="2">
        <f t="shared" si="30"/>
        <v>14.427576</v>
      </c>
      <c r="U23" s="2">
        <f t="shared" si="31"/>
        <v>900</v>
      </c>
      <c r="V23" s="2">
        <f t="shared" si="32"/>
        <v>1619.1671512307171</v>
      </c>
      <c r="W23" s="2">
        <f t="shared" si="33"/>
        <v>300</v>
      </c>
      <c r="X23" s="2">
        <f t="shared" si="34"/>
        <v>497.248017</v>
      </c>
      <c r="Y23" s="32">
        <f>co2elec_annual!D23</f>
        <v>100.94466212935613</v>
      </c>
      <c r="Z23" s="111">
        <f>co2elec_annual!R23</f>
        <v>11.468095202549307</v>
      </c>
      <c r="AA23" s="31">
        <f>co2elec_annual!G23</f>
        <v>221.11973216500982</v>
      </c>
      <c r="AB23" s="84">
        <f>co2elec_annual!V23</f>
        <v>84.507692307692324</v>
      </c>
      <c r="AC23" s="84">
        <f>co2elec_annual!U23</f>
        <v>96</v>
      </c>
      <c r="AD23" s="84">
        <f t="shared" si="41"/>
        <v>-21.739130434782624</v>
      </c>
      <c r="AE23" s="84">
        <f>co2elec_annual!S23</f>
        <v>6.2752164715008876</v>
      </c>
      <c r="AF23" s="85">
        <f>co2elec_annual!K23</f>
        <v>0.25</v>
      </c>
      <c r="AG23" s="85">
        <f>co2elec_annual!M23</f>
        <v>2.2252355949310103</v>
      </c>
      <c r="AH23" s="17">
        <f t="shared" si="53"/>
        <v>502.57208660205828</v>
      </c>
      <c r="AI23" s="111">
        <f t="shared" si="35"/>
        <v>31849.379398014033</v>
      </c>
      <c r="AJ23" s="2">
        <f t="shared" si="36"/>
        <v>28692.761194783317</v>
      </c>
      <c r="AK23" s="85">
        <f>AK22</f>
        <v>0.64459699999999998</v>
      </c>
      <c r="AL23" s="85">
        <f t="shared" si="16"/>
        <v>0</v>
      </c>
      <c r="AM23" s="107">
        <f t="shared" si="38"/>
        <v>3155.9736062307175</v>
      </c>
      <c r="AN23" s="12">
        <f t="shared" si="8"/>
        <v>726.40813365262875</v>
      </c>
      <c r="AO23" s="84">
        <f t="shared" si="54"/>
        <v>239.13043478260869</v>
      </c>
      <c r="AP23" s="74">
        <f t="shared" si="39"/>
        <v>487.27769887002006</v>
      </c>
      <c r="AQ23" s="12">
        <f t="shared" si="20"/>
        <v>-123.01475806460803</v>
      </c>
      <c r="AR23" s="2">
        <f t="shared" si="45"/>
        <v>0</v>
      </c>
      <c r="AS23" s="2">
        <f t="shared" si="46"/>
        <v>0</v>
      </c>
      <c r="AT23" s="2">
        <f t="shared" si="43"/>
        <v>0</v>
      </c>
      <c r="AU23" s="2">
        <f t="shared" si="50"/>
        <v>0</v>
      </c>
      <c r="AV23" s="46">
        <f t="shared" si="51"/>
        <v>0</v>
      </c>
      <c r="AW23" s="15"/>
      <c r="AY23" s="96"/>
      <c r="AZ23" s="96"/>
      <c r="BA23" s="149"/>
    </row>
    <row r="24" spans="1:53" x14ac:dyDescent="0.25">
      <c r="A24" s="41">
        <f t="shared" si="3"/>
        <v>2035</v>
      </c>
      <c r="B24" s="7">
        <f t="shared" si="58"/>
        <v>2035</v>
      </c>
      <c r="C24" s="2">
        <f t="shared" si="56"/>
        <v>568.71531333333303</v>
      </c>
      <c r="D24" s="14">
        <f t="shared" si="57"/>
        <v>56.871531333333316</v>
      </c>
      <c r="E24" s="18">
        <f t="shared" si="23"/>
        <v>568.71531333333303</v>
      </c>
      <c r="F24" s="2">
        <f t="shared" si="40"/>
        <v>568.71531333333314</v>
      </c>
      <c r="G24" s="2">
        <f t="shared" si="9"/>
        <v>0</v>
      </c>
      <c r="H24" s="109">
        <v>0</v>
      </c>
      <c r="I24" s="31">
        <f>co2elec_annual!G24*J24</f>
        <v>94.125998810340434</v>
      </c>
      <c r="J24" s="31">
        <f t="shared" si="44"/>
        <v>0.44310290587421852</v>
      </c>
      <c r="K24" s="31">
        <f t="shared" si="47"/>
        <v>568.71531333333314</v>
      </c>
      <c r="L24" s="2">
        <f t="shared" si="48"/>
        <v>568.71531333333303</v>
      </c>
      <c r="M24" s="18">
        <f t="shared" si="55"/>
        <v>33144.502844999995</v>
      </c>
      <c r="N24" s="2">
        <f t="shared" si="24"/>
        <v>1749.5408259999999</v>
      </c>
      <c r="O24" s="2">
        <f t="shared" si="25"/>
        <v>12035.433359033997</v>
      </c>
      <c r="P24" s="2">
        <f t="shared" si="26"/>
        <v>15391.879460735279</v>
      </c>
      <c r="Q24" s="31">
        <f t="shared" si="27"/>
        <v>886.80645500000003</v>
      </c>
      <c r="R24" s="2">
        <f t="shared" si="28"/>
        <v>-50</v>
      </c>
      <c r="S24" s="2">
        <f t="shared" si="29"/>
        <v>-200</v>
      </c>
      <c r="T24" s="2">
        <f t="shared" si="30"/>
        <v>14.427576</v>
      </c>
      <c r="U24" s="2">
        <f t="shared" si="31"/>
        <v>900</v>
      </c>
      <c r="V24" s="2">
        <f t="shared" si="32"/>
        <v>1619.1671512307171</v>
      </c>
      <c r="W24" s="2">
        <f t="shared" si="33"/>
        <v>300</v>
      </c>
      <c r="X24" s="2">
        <f t="shared" si="34"/>
        <v>497.248017</v>
      </c>
      <c r="Y24" s="32">
        <f>co2elec_annual!D24</f>
        <v>90.17438134773397</v>
      </c>
      <c r="Z24" s="111">
        <f>co2elec_annual!R24</f>
        <v>10.244507914659319</v>
      </c>
      <c r="AA24" s="31">
        <f>co2elec_annual!G24</f>
        <v>212.42469314128019</v>
      </c>
      <c r="AB24" s="84">
        <f>co2elec_annual!V24</f>
        <v>85.584615384615404</v>
      </c>
      <c r="AC24" s="84">
        <f>co2elec_annual!U24</f>
        <v>96</v>
      </c>
      <c r="AD24" s="84">
        <f t="shared" si="41"/>
        <v>-21.739130434782595</v>
      </c>
      <c r="AE24" s="84">
        <f>co2elec_annual!S24</f>
        <v>6.0550664822965752</v>
      </c>
      <c r="AF24" s="85">
        <f>co2elec_annual!K24</f>
        <v>0.25</v>
      </c>
      <c r="AG24" s="85">
        <f>co2elec_annual!M24</f>
        <v>2.4036232128602872</v>
      </c>
      <c r="AH24" s="17">
        <f t="shared" si="53"/>
        <v>484.18368987362953</v>
      </c>
      <c r="AI24" s="111">
        <f t="shared" si="35"/>
        <v>32333.563087887662</v>
      </c>
      <c r="AJ24" s="2">
        <f t="shared" si="36"/>
        <v>29176.944884656947</v>
      </c>
      <c r="AK24" s="85">
        <f t="shared" si="37"/>
        <v>0.64459699999999998</v>
      </c>
      <c r="AL24" s="85">
        <f t="shared" si="16"/>
        <v>0</v>
      </c>
      <c r="AM24" s="107">
        <f t="shared" si="38"/>
        <v>3155.9736062307175</v>
      </c>
      <c r="AN24" s="12">
        <f t="shared" si="8"/>
        <v>810.93975711233361</v>
      </c>
      <c r="AO24" s="84">
        <f t="shared" si="54"/>
        <v>217.39130434782609</v>
      </c>
      <c r="AP24" s="74">
        <f t="shared" si="39"/>
        <v>593.54845276450749</v>
      </c>
      <c r="AQ24" s="12">
        <f t="shared" si="20"/>
        <v>-84.531623459704861</v>
      </c>
      <c r="AR24" s="2">
        <f t="shared" si="45"/>
        <v>0</v>
      </c>
      <c r="AS24" s="2">
        <f t="shared" si="46"/>
        <v>0</v>
      </c>
      <c r="AT24" s="2">
        <f t="shared" si="43"/>
        <v>0</v>
      </c>
      <c r="AU24" s="2">
        <f t="shared" si="50"/>
        <v>0</v>
      </c>
      <c r="AV24" s="46">
        <f t="shared" si="51"/>
        <v>0</v>
      </c>
      <c r="AW24" s="15"/>
      <c r="AY24" s="96"/>
      <c r="AZ24" s="96"/>
      <c r="BA24" s="149"/>
    </row>
    <row r="25" spans="1:53" x14ac:dyDescent="0.25">
      <c r="A25" s="41">
        <f t="shared" si="3"/>
        <v>2036</v>
      </c>
      <c r="B25" s="7">
        <f>B24+5</f>
        <v>2040</v>
      </c>
      <c r="C25" s="2">
        <f t="shared" si="56"/>
        <v>511.84378199999969</v>
      </c>
      <c r="D25" s="14">
        <f t="shared" si="57"/>
        <v>56.871531333333316</v>
      </c>
      <c r="E25" s="18">
        <f t="shared" si="23"/>
        <v>511.84378199999969</v>
      </c>
      <c r="F25" s="2">
        <f t="shared" si="40"/>
        <v>511.84378199999969</v>
      </c>
      <c r="G25" s="2">
        <f t="shared" si="9"/>
        <v>0</v>
      </c>
      <c r="H25" s="109">
        <v>0</v>
      </c>
      <c r="I25" s="31">
        <f>co2elec_annual!G25*J25</f>
        <v>88.99926959031643</v>
      </c>
      <c r="J25" s="31">
        <f t="shared" si="44"/>
        <v>0.39879261528679677</v>
      </c>
      <c r="K25" s="31">
        <f t="shared" si="47"/>
        <v>511.84378199999969</v>
      </c>
      <c r="L25" s="2">
        <f t="shared" si="48"/>
        <v>511.84378199999969</v>
      </c>
      <c r="M25" s="18">
        <f t="shared" si="55"/>
        <v>33656.346626999992</v>
      </c>
      <c r="N25" s="2">
        <f t="shared" si="24"/>
        <v>1749.5408259999999</v>
      </c>
      <c r="O25" s="2">
        <f t="shared" si="25"/>
        <v>12035.433359033997</v>
      </c>
      <c r="P25" s="2">
        <f t="shared" si="26"/>
        <v>15903.723242735279</v>
      </c>
      <c r="Q25" s="31">
        <f t="shared" si="27"/>
        <v>886.80645500000003</v>
      </c>
      <c r="R25" s="2">
        <f t="shared" si="28"/>
        <v>-50</v>
      </c>
      <c r="S25" s="2">
        <f t="shared" si="29"/>
        <v>-200</v>
      </c>
      <c r="T25" s="2">
        <f t="shared" si="30"/>
        <v>14.427576</v>
      </c>
      <c r="U25" s="2">
        <f t="shared" si="31"/>
        <v>900</v>
      </c>
      <c r="V25" s="2">
        <f t="shared" si="32"/>
        <v>1619.1671512307171</v>
      </c>
      <c r="W25" s="2">
        <f t="shared" si="33"/>
        <v>300</v>
      </c>
      <c r="X25" s="2">
        <f t="shared" si="34"/>
        <v>497.248017</v>
      </c>
      <c r="Y25" s="32">
        <f>co2elec_annual!D25</f>
        <v>84.723677034650535</v>
      </c>
      <c r="Z25" s="111">
        <f>co2elec_annual!R25</f>
        <v>9.1733662874881663</v>
      </c>
      <c r="AA25" s="31">
        <f>co2elec_annual!G25</f>
        <v>223.1718095539745</v>
      </c>
      <c r="AB25" s="84">
        <f>co2elec_annual!V25</f>
        <v>86.661538461538484</v>
      </c>
      <c r="AC25" s="84">
        <f>co2elec_annual!U25</f>
        <v>96</v>
      </c>
      <c r="AD25" s="84">
        <f t="shared" si="41"/>
        <v>-21.739130434782624</v>
      </c>
      <c r="AE25" s="84">
        <f>co2elec_annual!S25</f>
        <v>6.3744696072047233</v>
      </c>
      <c r="AF25" s="85">
        <f>co2elec_annual!K25</f>
        <v>0.25</v>
      </c>
      <c r="AG25" s="85">
        <f>co2elec_annual!M25</f>
        <v>2.8258811713052561</v>
      </c>
      <c r="AH25" s="17">
        <f t="shared" si="53"/>
        <v>490.55702505016353</v>
      </c>
      <c r="AI25" s="111">
        <f t="shared" si="35"/>
        <v>32824.120112937824</v>
      </c>
      <c r="AJ25" s="2">
        <f t="shared" si="36"/>
        <v>29667.501909707109</v>
      </c>
      <c r="AK25" s="85">
        <f t="shared" si="37"/>
        <v>0.64459699999999998</v>
      </c>
      <c r="AL25" s="85">
        <f t="shared" si="16"/>
        <v>0</v>
      </c>
      <c r="AM25" s="107">
        <f t="shared" si="38"/>
        <v>3155.9736062307175</v>
      </c>
      <c r="AN25" s="12">
        <f t="shared" si="8"/>
        <v>832.22651406216755</v>
      </c>
      <c r="AO25" s="84">
        <f t="shared" si="54"/>
        <v>195.65217391304347</v>
      </c>
      <c r="AP25" s="74">
        <f t="shared" si="39"/>
        <v>636.57434014912405</v>
      </c>
      <c r="AQ25" s="12">
        <f t="shared" si="20"/>
        <v>-21.286756949833944</v>
      </c>
      <c r="AR25" s="2">
        <f t="shared" si="45"/>
        <v>0</v>
      </c>
      <c r="AS25" s="2">
        <f t="shared" si="46"/>
        <v>0</v>
      </c>
      <c r="AT25" s="2">
        <f t="shared" si="43"/>
        <v>0</v>
      </c>
      <c r="AU25" s="2">
        <f>MAX(0,AT24+AR24)</f>
        <v>0</v>
      </c>
      <c r="AV25" s="46">
        <f t="shared" si="51"/>
        <v>0</v>
      </c>
      <c r="AW25" s="15"/>
      <c r="AY25" s="96"/>
      <c r="AZ25" s="96"/>
      <c r="BA25" s="149"/>
    </row>
    <row r="26" spans="1:53" x14ac:dyDescent="0.25">
      <c r="A26" s="41">
        <f t="shared" si="3"/>
        <v>2037</v>
      </c>
      <c r="B26" s="7">
        <f>B25</f>
        <v>2040</v>
      </c>
      <c r="C26" s="2">
        <f t="shared" si="56"/>
        <v>454.97225066666635</v>
      </c>
      <c r="D26" s="14">
        <f t="shared" si="57"/>
        <v>56.871531333333316</v>
      </c>
      <c r="E26" s="18">
        <f t="shared" si="23"/>
        <v>454.97225066666635</v>
      </c>
      <c r="F26" s="2">
        <f t="shared" si="40"/>
        <v>454.97225066666624</v>
      </c>
      <c r="G26" s="2">
        <f t="shared" si="9"/>
        <v>0</v>
      </c>
      <c r="H26" s="109">
        <v>0</v>
      </c>
      <c r="I26" s="31">
        <f>co2elec_annual!G26*J26</f>
        <v>75.734082724542191</v>
      </c>
      <c r="J26" s="31">
        <f t="shared" si="44"/>
        <v>0.3544823246993748</v>
      </c>
      <c r="K26" s="31">
        <f t="shared" si="47"/>
        <v>454.97225066666624</v>
      </c>
      <c r="L26" s="2">
        <f t="shared" si="48"/>
        <v>454.97225066666635</v>
      </c>
      <c r="M26" s="18">
        <f t="shared" si="55"/>
        <v>34111.318877666657</v>
      </c>
      <c r="N26" s="2">
        <f t="shared" si="24"/>
        <v>1749.5408259999999</v>
      </c>
      <c r="O26" s="2">
        <f t="shared" si="25"/>
        <v>12035.433359033997</v>
      </c>
      <c r="P26" s="2">
        <f t="shared" si="26"/>
        <v>16358.695493401945</v>
      </c>
      <c r="Q26" s="31">
        <f t="shared" si="27"/>
        <v>886.80645500000003</v>
      </c>
      <c r="R26" s="2">
        <f t="shared" si="28"/>
        <v>-50</v>
      </c>
      <c r="S26" s="2">
        <f t="shared" si="29"/>
        <v>-200</v>
      </c>
      <c r="T26" s="2">
        <f t="shared" si="30"/>
        <v>14.427576</v>
      </c>
      <c r="U26" s="2">
        <f t="shared" si="31"/>
        <v>900</v>
      </c>
      <c r="V26" s="2">
        <f t="shared" si="32"/>
        <v>1619.1671512307171</v>
      </c>
      <c r="W26" s="2">
        <f t="shared" si="33"/>
        <v>300</v>
      </c>
      <c r="X26" s="2">
        <f t="shared" si="34"/>
        <v>497.248017</v>
      </c>
      <c r="Y26" s="32">
        <f>co2elec_annual!D26</f>
        <v>80.348690056294686</v>
      </c>
      <c r="Z26" s="111">
        <f>co2elec_annual!R26</f>
        <v>8.8651004830467777</v>
      </c>
      <c r="AA26" s="31">
        <f>co2elec_annual!G26</f>
        <v>213.64699294603719</v>
      </c>
      <c r="AB26" s="84">
        <f>co2elec_annual!V26</f>
        <v>87.738461538461564</v>
      </c>
      <c r="AC26" s="84">
        <f>co2elec_annual!U26</f>
        <v>96</v>
      </c>
      <c r="AD26" s="84">
        <f t="shared" si="41"/>
        <v>-21.739130434782595</v>
      </c>
      <c r="AE26" s="84">
        <f>co2elec_annual!S26</f>
        <v>6.1352577305473552</v>
      </c>
      <c r="AF26" s="85">
        <f>co2elec_annual!K26</f>
        <v>0.25</v>
      </c>
      <c r="AG26" s="85">
        <f>co2elec_annual!M26</f>
        <v>2.8144123297800476</v>
      </c>
      <c r="AH26" s="17">
        <f t="shared" si="53"/>
        <v>477.73414454079341</v>
      </c>
      <c r="AI26" s="111">
        <f t="shared" si="35"/>
        <v>33301.854257478619</v>
      </c>
      <c r="AJ26" s="2">
        <f t="shared" si="36"/>
        <v>30145.236054247904</v>
      </c>
      <c r="AK26" s="85">
        <f t="shared" si="37"/>
        <v>0.64459699999999998</v>
      </c>
      <c r="AL26" s="85">
        <f t="shared" si="16"/>
        <v>0</v>
      </c>
      <c r="AM26" s="107">
        <f t="shared" si="38"/>
        <v>3155.9736062307175</v>
      </c>
      <c r="AN26" s="12">
        <f t="shared" si="8"/>
        <v>809.46462018803868</v>
      </c>
      <c r="AO26" s="84">
        <f t="shared" si="54"/>
        <v>173.91304347826087</v>
      </c>
      <c r="AP26" s="74">
        <f t="shared" si="39"/>
        <v>635.55157670977781</v>
      </c>
      <c r="AQ26" s="12">
        <f t="shared" si="20"/>
        <v>22.761893874128873</v>
      </c>
      <c r="AR26" s="2">
        <f t="shared" si="45"/>
        <v>0</v>
      </c>
      <c r="AS26" s="2">
        <f t="shared" si="46"/>
        <v>0</v>
      </c>
      <c r="AT26" s="2">
        <f t="shared" si="43"/>
        <v>0</v>
      </c>
      <c r="AU26" s="2">
        <f>MAX(0,AT25+AR25)</f>
        <v>0</v>
      </c>
      <c r="AV26" s="46">
        <f t="shared" si="51"/>
        <v>0</v>
      </c>
      <c r="AW26" s="15"/>
      <c r="AY26" s="96"/>
      <c r="AZ26" s="96"/>
      <c r="BA26" s="149"/>
    </row>
    <row r="27" spans="1:53" x14ac:dyDescent="0.25">
      <c r="A27" s="41">
        <f t="shared" si="3"/>
        <v>2038</v>
      </c>
      <c r="B27" s="7">
        <f t="shared" ref="B27:B29" si="59">B26</f>
        <v>2040</v>
      </c>
      <c r="C27" s="2">
        <f t="shared" si="56"/>
        <v>398.10071933333302</v>
      </c>
      <c r="D27" s="14">
        <f t="shared" si="57"/>
        <v>56.871531333333316</v>
      </c>
      <c r="E27" s="18">
        <f t="shared" si="23"/>
        <v>398.10071933333302</v>
      </c>
      <c r="F27" s="2">
        <f t="shared" si="40"/>
        <v>398.10071933333302</v>
      </c>
      <c r="G27" s="2">
        <f t="shared" si="9"/>
        <v>0</v>
      </c>
      <c r="H27" s="109">
        <v>0</v>
      </c>
      <c r="I27" s="31">
        <f>co2elec_annual!G27*J27</f>
        <v>63.312990642147184</v>
      </c>
      <c r="J27" s="31">
        <f t="shared" si="44"/>
        <v>0.31017203411195293</v>
      </c>
      <c r="K27" s="31">
        <f t="shared" si="47"/>
        <v>398.10071933333302</v>
      </c>
      <c r="L27" s="2">
        <f t="shared" si="48"/>
        <v>398.10071933333302</v>
      </c>
      <c r="M27" s="18">
        <f t="shared" si="55"/>
        <v>34509.419596999986</v>
      </c>
      <c r="N27" s="2">
        <f t="shared" si="24"/>
        <v>1749.5408259999999</v>
      </c>
      <c r="O27" s="2">
        <f t="shared" si="25"/>
        <v>12035.433359033997</v>
      </c>
      <c r="P27" s="2">
        <f t="shared" si="26"/>
        <v>16756.796212735277</v>
      </c>
      <c r="Q27" s="31">
        <f t="shared" si="27"/>
        <v>886.80645500000003</v>
      </c>
      <c r="R27" s="2">
        <f t="shared" si="28"/>
        <v>-50</v>
      </c>
      <c r="S27" s="2">
        <f t="shared" si="29"/>
        <v>-200</v>
      </c>
      <c r="T27" s="2">
        <f t="shared" si="30"/>
        <v>14.427576</v>
      </c>
      <c r="U27" s="2">
        <f t="shared" si="31"/>
        <v>900</v>
      </c>
      <c r="V27" s="2">
        <f t="shared" si="32"/>
        <v>1619.1671512307171</v>
      </c>
      <c r="W27" s="2">
        <f t="shared" si="33"/>
        <v>300</v>
      </c>
      <c r="X27" s="2">
        <f t="shared" si="34"/>
        <v>497.248017</v>
      </c>
      <c r="Y27" s="32">
        <f>co2elec_annual!D27</f>
        <v>75.97370307793885</v>
      </c>
      <c r="Z27" s="111">
        <f>co2elec_annual!R27</f>
        <v>8.556834678605389</v>
      </c>
      <c r="AA27" s="31">
        <f>co2elec_annual!G27</f>
        <v>204.12217633809988</v>
      </c>
      <c r="AB27" s="84">
        <f>co2elec_annual!V27</f>
        <v>88.815384615384644</v>
      </c>
      <c r="AC27" s="84">
        <f>co2elec_annual!U27</f>
        <v>96</v>
      </c>
      <c r="AD27" s="84">
        <f t="shared" si="41"/>
        <v>-21.739130434782624</v>
      </c>
      <c r="AE27" s="84">
        <f>co2elec_annual!S27</f>
        <v>5.89898291682705</v>
      </c>
      <c r="AF27" s="85">
        <f>co2elec_annual!K27</f>
        <v>0.5</v>
      </c>
      <c r="AG27" s="85">
        <f>co2elec_annual!M27</f>
        <v>2.8035129923775131</v>
      </c>
      <c r="AH27" s="17">
        <f t="shared" si="53"/>
        <v>464.91126403142334</v>
      </c>
      <c r="AI27" s="111">
        <f t="shared" si="35"/>
        <v>33766.765521510046</v>
      </c>
      <c r="AJ27" s="2">
        <f t="shared" si="36"/>
        <v>30610.147318279327</v>
      </c>
      <c r="AK27" s="85">
        <f t="shared" si="37"/>
        <v>0.64459699999999998</v>
      </c>
      <c r="AL27" s="85">
        <f t="shared" si="16"/>
        <v>0</v>
      </c>
      <c r="AM27" s="107">
        <f t="shared" si="38"/>
        <v>3155.9736062307175</v>
      </c>
      <c r="AN27" s="12">
        <f t="shared" si="8"/>
        <v>742.65407548993971</v>
      </c>
      <c r="AO27" s="84">
        <f t="shared" si="54"/>
        <v>152.17391304347825</v>
      </c>
      <c r="AP27" s="74">
        <f t="shared" si="39"/>
        <v>590.48016244646146</v>
      </c>
      <c r="AQ27" s="12">
        <f t="shared" si="20"/>
        <v>66.810544698098965</v>
      </c>
      <c r="AR27" s="2">
        <f t="shared" si="45"/>
        <v>0</v>
      </c>
      <c r="AS27" s="2">
        <f t="shared" si="46"/>
        <v>0</v>
      </c>
      <c r="AT27" s="2">
        <f t="shared" si="43"/>
        <v>0</v>
      </c>
      <c r="AU27" s="2">
        <f t="shared" si="50"/>
        <v>0</v>
      </c>
      <c r="AV27" s="46">
        <f t="shared" si="51"/>
        <v>0</v>
      </c>
      <c r="AW27" s="15"/>
      <c r="AY27" s="96"/>
      <c r="AZ27" s="96"/>
      <c r="BA27" s="149"/>
    </row>
    <row r="28" spans="1:53" x14ac:dyDescent="0.25">
      <c r="A28" s="41">
        <f t="shared" si="3"/>
        <v>2039</v>
      </c>
      <c r="B28" s="7">
        <f t="shared" si="59"/>
        <v>2040</v>
      </c>
      <c r="C28" s="2">
        <f t="shared" si="56"/>
        <v>341.22918799999968</v>
      </c>
      <c r="D28" s="14">
        <f t="shared" si="57"/>
        <v>56.871531333333316</v>
      </c>
      <c r="E28" s="18">
        <f t="shared" si="23"/>
        <v>341.22918799999968</v>
      </c>
      <c r="F28" s="2">
        <f t="shared" si="40"/>
        <v>341.22918799999979</v>
      </c>
      <c r="G28" s="2">
        <f t="shared" si="9"/>
        <v>0</v>
      </c>
      <c r="H28" s="109">
        <v>0</v>
      </c>
      <c r="I28" s="31">
        <f>co2elec_annual!G28*J28</f>
        <v>52.603237120037384</v>
      </c>
      <c r="J28" s="31">
        <f t="shared" si="44"/>
        <v>0.26586174352453107</v>
      </c>
      <c r="K28" s="31">
        <f t="shared" si="47"/>
        <v>341.22918799999979</v>
      </c>
      <c r="L28" s="2">
        <f t="shared" si="48"/>
        <v>341.22918799999968</v>
      </c>
      <c r="M28" s="18">
        <f t="shared" si="55"/>
        <v>34850.64878499999</v>
      </c>
      <c r="N28" s="2">
        <f t="shared" si="24"/>
        <v>1749.5408259999999</v>
      </c>
      <c r="O28" s="2">
        <f t="shared" si="25"/>
        <v>12035.433359033997</v>
      </c>
      <c r="P28" s="2">
        <f t="shared" si="26"/>
        <v>17098.025400735278</v>
      </c>
      <c r="Q28" s="31">
        <f t="shared" si="27"/>
        <v>886.80645500000003</v>
      </c>
      <c r="R28" s="2">
        <f t="shared" si="28"/>
        <v>-50</v>
      </c>
      <c r="S28" s="2">
        <f t="shared" si="29"/>
        <v>-200</v>
      </c>
      <c r="T28" s="2">
        <f t="shared" si="30"/>
        <v>14.427576</v>
      </c>
      <c r="U28" s="2">
        <f t="shared" si="31"/>
        <v>900</v>
      </c>
      <c r="V28" s="2">
        <f t="shared" si="32"/>
        <v>1619.1671512307171</v>
      </c>
      <c r="W28" s="2">
        <f t="shared" si="33"/>
        <v>300</v>
      </c>
      <c r="X28" s="2">
        <f t="shared" si="34"/>
        <v>497.248017</v>
      </c>
      <c r="Y28" s="32">
        <f>co2elec_annual!D28</f>
        <v>73.226413190151732</v>
      </c>
      <c r="Z28" s="111">
        <f>co2elec_annual!R28</f>
        <v>8.4626419703160636</v>
      </c>
      <c r="AA28" s="31">
        <f>co2elec_annual!G28</f>
        <v>197.85937014734006</v>
      </c>
      <c r="AB28" s="84">
        <f>co2elec_annual!V28</f>
        <v>89.892307692307725</v>
      </c>
      <c r="AC28" s="84">
        <f>co2elec_annual!U28</f>
        <v>96</v>
      </c>
      <c r="AD28" s="84">
        <f t="shared" si="41"/>
        <v>-21.739130434782595</v>
      </c>
      <c r="AE28" s="84">
        <f>co2elec_annual!S28</f>
        <v>5.7512250022911893</v>
      </c>
      <c r="AF28" s="85">
        <f>co2elec_annual!K28</f>
        <v>0.75</v>
      </c>
      <c r="AG28" s="85">
        <f>co2elec_annual!M28</f>
        <v>2.7637131632598178</v>
      </c>
      <c r="AH28" s="17">
        <f t="shared" si="53"/>
        <v>456.97809102979949</v>
      </c>
      <c r="AI28" s="111">
        <f t="shared" si="35"/>
        <v>34223.743612539845</v>
      </c>
      <c r="AJ28" s="2">
        <f t="shared" si="36"/>
        <v>31067.125409309127</v>
      </c>
      <c r="AK28" s="85">
        <f t="shared" si="37"/>
        <v>0.64459699999999998</v>
      </c>
      <c r="AL28" s="85">
        <f t="shared" si="16"/>
        <v>0</v>
      </c>
      <c r="AM28" s="107">
        <f t="shared" si="38"/>
        <v>3155.9736062307175</v>
      </c>
      <c r="AN28" s="12">
        <f t="shared" si="8"/>
        <v>626.90517246014497</v>
      </c>
      <c r="AO28" s="84">
        <f t="shared" si="54"/>
        <v>130.43478260869566</v>
      </c>
      <c r="AP28" s="74">
        <f t="shared" si="39"/>
        <v>496.47038985144934</v>
      </c>
      <c r="AQ28" s="12">
        <f t="shared" si="20"/>
        <v>115.74890302979475</v>
      </c>
      <c r="AR28" s="2">
        <f t="shared" si="45"/>
        <v>0</v>
      </c>
      <c r="AS28" s="2">
        <f t="shared" si="46"/>
        <v>0</v>
      </c>
      <c r="AT28" s="2">
        <f t="shared" si="43"/>
        <v>0</v>
      </c>
      <c r="AU28" s="2">
        <f t="shared" si="50"/>
        <v>0</v>
      </c>
      <c r="AV28" s="46">
        <f t="shared" si="51"/>
        <v>0</v>
      </c>
      <c r="AW28" s="15"/>
      <c r="AY28" s="96"/>
      <c r="AZ28" s="96"/>
      <c r="BA28" s="149"/>
    </row>
    <row r="29" spans="1:53" x14ac:dyDescent="0.25">
      <c r="A29" s="41">
        <f t="shared" si="3"/>
        <v>2040</v>
      </c>
      <c r="B29" s="7">
        <f t="shared" si="59"/>
        <v>2040</v>
      </c>
      <c r="C29" s="2">
        <f t="shared" si="56"/>
        <v>284.35765666666634</v>
      </c>
      <c r="D29" s="14">
        <f t="shared" si="57"/>
        <v>56.871531333333316</v>
      </c>
      <c r="E29" s="18">
        <f t="shared" si="23"/>
        <v>284.35765666666634</v>
      </c>
      <c r="F29" s="2">
        <f t="shared" si="40"/>
        <v>284.35765666666634</v>
      </c>
      <c r="G29" s="2">
        <f t="shared" si="9"/>
        <v>0</v>
      </c>
      <c r="H29" s="109">
        <v>0</v>
      </c>
      <c r="I29" s="31">
        <f>co2elec_annual!G29*J29</f>
        <v>42.448497122338125</v>
      </c>
      <c r="J29" s="31">
        <f t="shared" si="44"/>
        <v>0.22155145293710932</v>
      </c>
      <c r="K29" s="31">
        <f t="shared" si="47"/>
        <v>284.35765666666634</v>
      </c>
      <c r="L29" s="2">
        <f t="shared" si="48"/>
        <v>284.35765666666634</v>
      </c>
      <c r="M29" s="18">
        <f t="shared" si="49"/>
        <v>35135.006441666657</v>
      </c>
      <c r="N29" s="2">
        <f t="shared" si="24"/>
        <v>1749.5408259999999</v>
      </c>
      <c r="O29" s="2">
        <f t="shared" si="25"/>
        <v>12035.433359033997</v>
      </c>
      <c r="P29" s="2">
        <f t="shared" si="26"/>
        <v>17382.383057401945</v>
      </c>
      <c r="Q29" s="31">
        <f t="shared" si="27"/>
        <v>886.80645500000003</v>
      </c>
      <c r="R29" s="2">
        <f t="shared" si="28"/>
        <v>-50</v>
      </c>
      <c r="S29" s="2">
        <f t="shared" si="29"/>
        <v>-200</v>
      </c>
      <c r="T29" s="2">
        <f t="shared" si="30"/>
        <v>14.427576</v>
      </c>
      <c r="U29" s="2">
        <f t="shared" si="31"/>
        <v>900</v>
      </c>
      <c r="V29" s="2">
        <f t="shared" si="32"/>
        <v>1619.1671512307171</v>
      </c>
      <c r="W29" s="2">
        <f t="shared" si="33"/>
        <v>300</v>
      </c>
      <c r="X29" s="2">
        <f t="shared" si="34"/>
        <v>497.248017</v>
      </c>
      <c r="Y29" s="32">
        <f>co2elec_annual!D29</f>
        <v>65.596032030658449</v>
      </c>
      <c r="Z29" s="111">
        <f>co2elec_annual!R29</f>
        <v>7.7262299735705486</v>
      </c>
      <c r="AA29" s="31">
        <f>co2elec_annual!G29</f>
        <v>191.59656395658016</v>
      </c>
      <c r="AB29" s="84">
        <f>co2elec_annual!V29</f>
        <v>90.969230769230805</v>
      </c>
      <c r="AC29" s="84">
        <f>co2elec_annual!U29</f>
        <v>96</v>
      </c>
      <c r="AD29" s="84">
        <f t="shared" si="41"/>
        <v>-21.739130434782609</v>
      </c>
      <c r="AE29" s="84">
        <f>co2elec_annual!S29</f>
        <v>5.6064041506923914</v>
      </c>
      <c r="AF29" s="85">
        <f>co2elec_annual!K29</f>
        <v>1</v>
      </c>
      <c r="AG29" s="85">
        <f>co2elec_annual!M29</f>
        <v>2.9509058049622152</v>
      </c>
      <c r="AH29" s="17">
        <f t="shared" si="53"/>
        <v>444.16182675646945</v>
      </c>
      <c r="AI29" s="111">
        <f t="shared" si="35"/>
        <v>34667.905439296315</v>
      </c>
      <c r="AJ29" s="2">
        <f t="shared" si="36"/>
        <v>31511.287236065597</v>
      </c>
      <c r="AK29" s="85">
        <f t="shared" si="37"/>
        <v>0.64459699999999998</v>
      </c>
      <c r="AL29" s="85">
        <f t="shared" si="16"/>
        <v>0</v>
      </c>
      <c r="AM29" s="107">
        <f t="shared" si="38"/>
        <v>3155.9736062307175</v>
      </c>
      <c r="AN29" s="12">
        <f t="shared" si="8"/>
        <v>467.10100237034203</v>
      </c>
      <c r="AO29" s="84">
        <f t="shared" si="54"/>
        <v>108.69565217391305</v>
      </c>
      <c r="AP29" s="74">
        <f t="shared" si="39"/>
        <v>358.40535019642897</v>
      </c>
      <c r="AQ29" s="12">
        <f t="shared" si="20"/>
        <v>159.80417008980294</v>
      </c>
      <c r="AR29" s="2">
        <f t="shared" si="45"/>
        <v>0</v>
      </c>
      <c r="AS29" s="2">
        <f t="shared" si="46"/>
        <v>0</v>
      </c>
      <c r="AT29" s="2">
        <f t="shared" si="43"/>
        <v>0</v>
      </c>
      <c r="AU29" s="2">
        <f t="shared" si="50"/>
        <v>0</v>
      </c>
      <c r="AV29" s="46">
        <f t="shared" si="51"/>
        <v>0</v>
      </c>
      <c r="AW29" s="15"/>
      <c r="AY29" s="96"/>
      <c r="AZ29" s="96"/>
      <c r="BA29" s="149"/>
    </row>
    <row r="30" spans="1:53" x14ac:dyDescent="0.25">
      <c r="A30" s="41">
        <f t="shared" si="3"/>
        <v>2041</v>
      </c>
      <c r="B30" s="7">
        <f>B29+5</f>
        <v>2045</v>
      </c>
      <c r="C30" s="2">
        <f t="shared" si="56"/>
        <v>227.48612533333304</v>
      </c>
      <c r="D30" s="14">
        <f t="shared" si="57"/>
        <v>56.871531333333316</v>
      </c>
      <c r="E30" s="18">
        <f t="shared" si="23"/>
        <v>227.48612533333304</v>
      </c>
      <c r="F30" s="2">
        <f t="shared" si="40"/>
        <v>227.48612533333312</v>
      </c>
      <c r="G30" s="2">
        <f t="shared" si="9"/>
        <v>0</v>
      </c>
      <c r="H30" s="109">
        <v>0</v>
      </c>
      <c r="I30" s="31">
        <f>co2elec_annual!G30*J30</f>
        <v>34.235948873823702</v>
      </c>
      <c r="J30" s="31">
        <f t="shared" si="44"/>
        <v>0.17724116234968745</v>
      </c>
      <c r="K30" s="31">
        <f t="shared" si="47"/>
        <v>227.48612533333312</v>
      </c>
      <c r="L30" s="2">
        <f t="shared" si="48"/>
        <v>227.48612533333304</v>
      </c>
      <c r="M30" s="18">
        <f t="shared" si="49"/>
        <v>35362.492566999987</v>
      </c>
      <c r="N30" s="2">
        <f t="shared" si="24"/>
        <v>1749.5408259999999</v>
      </c>
      <c r="O30" s="2">
        <f t="shared" si="25"/>
        <v>12035.433359033997</v>
      </c>
      <c r="P30" s="2">
        <f t="shared" si="26"/>
        <v>17609.869182735278</v>
      </c>
      <c r="Q30" s="31">
        <f t="shared" si="27"/>
        <v>886.80645500000003</v>
      </c>
      <c r="R30" s="2">
        <f t="shared" si="28"/>
        <v>-50</v>
      </c>
      <c r="S30" s="2">
        <f t="shared" si="29"/>
        <v>-200</v>
      </c>
      <c r="T30" s="2">
        <f t="shared" si="30"/>
        <v>14.427576</v>
      </c>
      <c r="U30" s="2">
        <f t="shared" si="31"/>
        <v>900</v>
      </c>
      <c r="V30" s="2">
        <f t="shared" si="32"/>
        <v>1619.1671512307171</v>
      </c>
      <c r="W30" s="2">
        <f t="shared" si="33"/>
        <v>300</v>
      </c>
      <c r="X30" s="2">
        <f t="shared" si="34"/>
        <v>497.248017</v>
      </c>
      <c r="Y30" s="32">
        <f>co2elec_annual!D30</f>
        <v>-62.213999729704689</v>
      </c>
      <c r="Z30" s="111">
        <f>co2elec_annual!R30</f>
        <v>-8.9965391268629702</v>
      </c>
      <c r="AA30" s="31">
        <f>co2elec_annual!G30</f>
        <v>193.16025927587847</v>
      </c>
      <c r="AB30" s="84">
        <f>co2elec_annual!V30</f>
        <v>92.046153846153885</v>
      </c>
      <c r="AC30" s="84">
        <f>co2elec_annual!U30</f>
        <v>96</v>
      </c>
      <c r="AD30" s="84">
        <f t="shared" si="41"/>
        <v>-21.739130434782609</v>
      </c>
      <c r="AE30" s="84">
        <f>co2elec_annual!S30</f>
        <v>5.7036372289948556</v>
      </c>
      <c r="AF30" s="85">
        <f>co2elec_annual!K30</f>
        <v>1</v>
      </c>
      <c r="AG30" s="85">
        <f>co2elec_annual!M30</f>
        <v>-2.5781904653373382</v>
      </c>
      <c r="AH30" s="17">
        <f t="shared" si="53"/>
        <v>318.99241339232765</v>
      </c>
      <c r="AI30" s="111">
        <f t="shared" si="35"/>
        <v>34986.897852688642</v>
      </c>
      <c r="AJ30" s="2">
        <f t="shared" si="36"/>
        <v>31830.279649457923</v>
      </c>
      <c r="AK30" s="85">
        <f t="shared" si="37"/>
        <v>0.64459699999999998</v>
      </c>
      <c r="AL30" s="85">
        <f t="shared" si="16"/>
        <v>0</v>
      </c>
      <c r="AM30" s="107">
        <f t="shared" si="38"/>
        <v>3155.9736062307175</v>
      </c>
      <c r="AN30" s="12">
        <f t="shared" si="8"/>
        <v>375.59471431134443</v>
      </c>
      <c r="AO30" s="84">
        <f t="shared" si="54"/>
        <v>86.956521739130437</v>
      </c>
      <c r="AP30" s="74">
        <f t="shared" si="39"/>
        <v>288.638192572214</v>
      </c>
      <c r="AQ30" s="12">
        <f t="shared" si="20"/>
        <v>91.506288058997598</v>
      </c>
      <c r="AR30" s="2">
        <f t="shared" si="45"/>
        <v>-200</v>
      </c>
      <c r="AS30" s="2">
        <f t="shared" si="46"/>
        <v>0</v>
      </c>
      <c r="AT30" s="2">
        <f t="shared" si="43"/>
        <v>0</v>
      </c>
      <c r="AU30" s="2">
        <f t="shared" si="50"/>
        <v>0</v>
      </c>
      <c r="AV30" s="46">
        <f t="shared" si="51"/>
        <v>0</v>
      </c>
      <c r="AW30" s="15"/>
      <c r="AY30" s="96"/>
      <c r="AZ30" s="96"/>
      <c r="BA30" s="149"/>
    </row>
    <row r="31" spans="1:53" x14ac:dyDescent="0.25">
      <c r="A31" s="41">
        <f t="shared" si="3"/>
        <v>2042</v>
      </c>
      <c r="B31" s="7">
        <f>B30</f>
        <v>2045</v>
      </c>
      <c r="C31" s="2">
        <f t="shared" si="56"/>
        <v>170.61459399999973</v>
      </c>
      <c r="D31" s="14">
        <f t="shared" si="57"/>
        <v>56.871531333333316</v>
      </c>
      <c r="E31" s="18">
        <f t="shared" si="23"/>
        <v>170.61459399999973</v>
      </c>
      <c r="F31" s="2">
        <f t="shared" si="40"/>
        <v>170.61459399999967</v>
      </c>
      <c r="G31" s="2">
        <f t="shared" si="9"/>
        <v>0</v>
      </c>
      <c r="H31" s="109">
        <v>0</v>
      </c>
      <c r="I31" s="31">
        <f>co2elec_annual!G31*J31</f>
        <v>24.809284679766076</v>
      </c>
      <c r="J31" s="31">
        <f t="shared" si="44"/>
        <v>0.13293087176226548</v>
      </c>
      <c r="K31" s="31">
        <f t="shared" si="47"/>
        <v>170.61459399999967</v>
      </c>
      <c r="L31" s="2">
        <f t="shared" si="48"/>
        <v>170.61459399999973</v>
      </c>
      <c r="M31" s="18">
        <f t="shared" si="49"/>
        <v>35533.107160999985</v>
      </c>
      <c r="N31" s="2">
        <f t="shared" si="24"/>
        <v>1749.5408259999999</v>
      </c>
      <c r="O31" s="2">
        <f t="shared" si="25"/>
        <v>12035.433359033997</v>
      </c>
      <c r="P31" s="2">
        <f t="shared" si="26"/>
        <v>17780.483776735276</v>
      </c>
      <c r="Q31" s="31">
        <f t="shared" si="27"/>
        <v>886.80645500000003</v>
      </c>
      <c r="R31" s="2">
        <f t="shared" si="28"/>
        <v>-50</v>
      </c>
      <c r="S31" s="2">
        <f t="shared" si="29"/>
        <v>-200</v>
      </c>
      <c r="T31" s="2">
        <f t="shared" si="30"/>
        <v>14.427576</v>
      </c>
      <c r="U31" s="2">
        <f t="shared" si="31"/>
        <v>900</v>
      </c>
      <c r="V31" s="2">
        <f t="shared" si="32"/>
        <v>1619.1671512307171</v>
      </c>
      <c r="W31" s="2">
        <f t="shared" si="33"/>
        <v>300</v>
      </c>
      <c r="X31" s="2">
        <f t="shared" si="34"/>
        <v>497.248017</v>
      </c>
      <c r="Y31" s="32">
        <f>co2elec_annual!D31</f>
        <v>-107.5269889970691</v>
      </c>
      <c r="Z31" s="111">
        <f>co2elec_annual!R31</f>
        <v>-14.825915290344943</v>
      </c>
      <c r="AA31" s="31">
        <f>co2elec_annual!G31</f>
        <v>186.63297961466151</v>
      </c>
      <c r="AB31" s="84">
        <f>co2elec_annual!V31</f>
        <v>93.123076923076965</v>
      </c>
      <c r="AC31" s="84">
        <f>co2elec_annual!U31</f>
        <v>96</v>
      </c>
      <c r="AD31" s="84">
        <f t="shared" si="41"/>
        <v>-21.739130434782609</v>
      </c>
      <c r="AE31" s="84">
        <f>co2elec_annual!S31</f>
        <v>5.5542684032225269</v>
      </c>
      <c r="AF31" s="85">
        <f>co2elec_annual!K31</f>
        <v>1</v>
      </c>
      <c r="AG31" s="85">
        <f>co2elec_annual!M31</f>
        <v>-1.5235051415553731</v>
      </c>
      <c r="AH31" s="17">
        <f t="shared" si="53"/>
        <v>268.22906754066935</v>
      </c>
      <c r="AI31" s="111">
        <f t="shared" si="35"/>
        <v>35255.126920229312</v>
      </c>
      <c r="AJ31" s="2">
        <f t="shared" si="36"/>
        <v>32098.508716998593</v>
      </c>
      <c r="AK31" s="85">
        <f t="shared" si="37"/>
        <v>0.64459699999999998</v>
      </c>
      <c r="AL31" s="85">
        <f t="shared" si="16"/>
        <v>0</v>
      </c>
      <c r="AM31" s="107">
        <f t="shared" si="38"/>
        <v>3155.9736062307175</v>
      </c>
      <c r="AN31" s="12">
        <f t="shared" si="8"/>
        <v>277.98024077067384</v>
      </c>
      <c r="AO31" s="84">
        <f t="shared" si="54"/>
        <v>65.217391304347828</v>
      </c>
      <c r="AP31" s="74">
        <f t="shared" si="39"/>
        <v>212.76284946632603</v>
      </c>
      <c r="AQ31" s="12">
        <f t="shared" si="20"/>
        <v>97.614473540670588</v>
      </c>
      <c r="AR31" s="2">
        <f t="shared" si="45"/>
        <v>-200</v>
      </c>
      <c r="AS31" s="2">
        <f t="shared" si="46"/>
        <v>0</v>
      </c>
      <c r="AT31" s="2">
        <f t="shared" si="43"/>
        <v>0</v>
      </c>
      <c r="AU31" s="2">
        <f t="shared" si="50"/>
        <v>0</v>
      </c>
      <c r="AV31" s="46">
        <f t="shared" si="51"/>
        <v>0</v>
      </c>
      <c r="AW31" s="15"/>
      <c r="AY31" s="96"/>
      <c r="AZ31" s="96"/>
      <c r="BA31" s="149"/>
    </row>
    <row r="32" spans="1:53" x14ac:dyDescent="0.25">
      <c r="A32" s="41">
        <f t="shared" si="3"/>
        <v>2043</v>
      </c>
      <c r="B32" s="7">
        <f t="shared" ref="B32:B34" si="60">B31</f>
        <v>2045</v>
      </c>
      <c r="C32" s="2">
        <f t="shared" si="56"/>
        <v>113.74306266666642</v>
      </c>
      <c r="D32" s="14">
        <f t="shared" si="57"/>
        <v>56.871531333333316</v>
      </c>
      <c r="E32" s="18">
        <f t="shared" si="23"/>
        <v>113.74306266666642</v>
      </c>
      <c r="F32" s="2">
        <f t="shared" si="40"/>
        <v>113.74306266666645</v>
      </c>
      <c r="G32" s="2">
        <f t="shared" si="9"/>
        <v>0</v>
      </c>
      <c r="H32" s="109">
        <v>0</v>
      </c>
      <c r="I32" s="31">
        <f>co2elec_annual!G32*J32</f>
        <v>15.96107180277628</v>
      </c>
      <c r="J32" s="31">
        <f t="shared" si="44"/>
        <v>8.8620581174843727E-2</v>
      </c>
      <c r="K32" s="31">
        <f t="shared" si="47"/>
        <v>113.74306266666645</v>
      </c>
      <c r="L32" s="2">
        <f t="shared" si="48"/>
        <v>113.74306266666642</v>
      </c>
      <c r="M32" s="18">
        <f t="shared" si="49"/>
        <v>35646.850223666654</v>
      </c>
      <c r="N32" s="2">
        <f t="shared" si="24"/>
        <v>1749.5408259999999</v>
      </c>
      <c r="O32" s="2">
        <f t="shared" si="25"/>
        <v>12035.433359033997</v>
      </c>
      <c r="P32" s="2">
        <f t="shared" si="26"/>
        <v>17894.226839401941</v>
      </c>
      <c r="Q32" s="31">
        <f t="shared" si="27"/>
        <v>886.80645500000003</v>
      </c>
      <c r="R32" s="2">
        <f t="shared" si="28"/>
        <v>-50</v>
      </c>
      <c r="S32" s="2">
        <f t="shared" si="29"/>
        <v>-200</v>
      </c>
      <c r="T32" s="2">
        <f t="shared" si="30"/>
        <v>14.427576</v>
      </c>
      <c r="U32" s="2">
        <f t="shared" si="31"/>
        <v>900</v>
      </c>
      <c r="V32" s="2">
        <f t="shared" si="32"/>
        <v>1619.1671512307171</v>
      </c>
      <c r="W32" s="2">
        <f t="shared" si="33"/>
        <v>300</v>
      </c>
      <c r="X32" s="2">
        <f t="shared" si="34"/>
        <v>497.248017</v>
      </c>
      <c r="Y32" s="32">
        <f>co2elec_annual!D32</f>
        <v>-152.83997826443351</v>
      </c>
      <c r="Z32" s="111">
        <f>co2elec_annual!R32</f>
        <v>-20.655291453826916</v>
      </c>
      <c r="AA32" s="31">
        <f>co2elec_annual!G32</f>
        <v>180.10569995344454</v>
      </c>
      <c r="AB32" s="84">
        <f>co2elec_annual!V32</f>
        <v>94.200000000000045</v>
      </c>
      <c r="AC32" s="84">
        <f>co2elec_annual!U32</f>
        <v>96</v>
      </c>
      <c r="AD32" s="84">
        <f t="shared" si="41"/>
        <v>-21.739130434782609</v>
      </c>
      <c r="AE32" s="84">
        <f>co2elec_annual!S32</f>
        <v>5.4078366403872611</v>
      </c>
      <c r="AF32" s="85">
        <f>co2elec_annual!K32</f>
        <v>1</v>
      </c>
      <c r="AG32" s="85">
        <f>co2elec_annual!M32</f>
        <v>-1.0647087238348785</v>
      </c>
      <c r="AH32" s="17">
        <f t="shared" si="53"/>
        <v>217.46572168901108</v>
      </c>
      <c r="AI32" s="111">
        <f t="shared" si="35"/>
        <v>35472.592641918323</v>
      </c>
      <c r="AJ32" s="2">
        <f t="shared" si="36"/>
        <v>32315.974438687605</v>
      </c>
      <c r="AK32" s="85">
        <f t="shared" si="37"/>
        <v>0.64459699999999998</v>
      </c>
      <c r="AL32" s="85">
        <f t="shared" si="16"/>
        <v>0</v>
      </c>
      <c r="AM32" s="107">
        <f t="shared" si="38"/>
        <v>3155.9736062307175</v>
      </c>
      <c r="AN32" s="12">
        <f t="shared" si="8"/>
        <v>174.25758174833027</v>
      </c>
      <c r="AO32" s="84">
        <f t="shared" si="54"/>
        <v>43.478260869565219</v>
      </c>
      <c r="AP32" s="74">
        <f t="shared" si="39"/>
        <v>130.77932087876505</v>
      </c>
      <c r="AQ32" s="12">
        <f t="shared" si="20"/>
        <v>103.72265902234358</v>
      </c>
      <c r="AR32" s="2">
        <f t="shared" si="45"/>
        <v>-200</v>
      </c>
      <c r="AS32" s="2">
        <f t="shared" si="46"/>
        <v>0</v>
      </c>
      <c r="AT32" s="2">
        <f t="shared" si="43"/>
        <v>0</v>
      </c>
      <c r="AU32" s="2">
        <f t="shared" si="50"/>
        <v>0</v>
      </c>
      <c r="AV32" s="46">
        <f t="shared" si="51"/>
        <v>0</v>
      </c>
      <c r="AW32" s="15"/>
      <c r="AY32" s="96"/>
      <c r="AZ32" s="96"/>
      <c r="BA32" s="149"/>
    </row>
    <row r="33" spans="1:53" x14ac:dyDescent="0.25">
      <c r="A33" s="41">
        <f t="shared" si="3"/>
        <v>2044</v>
      </c>
      <c r="B33" s="7">
        <f t="shared" si="60"/>
        <v>2045</v>
      </c>
      <c r="C33" s="2">
        <f t="shared" si="56"/>
        <v>56.871531333333103</v>
      </c>
      <c r="D33" s="14">
        <f t="shared" si="57"/>
        <v>56.871531333333316</v>
      </c>
      <c r="E33" s="18">
        <f t="shared" si="23"/>
        <v>56.871531333333103</v>
      </c>
      <c r="F33" s="2">
        <f t="shared" si="40"/>
        <v>56.871531333332996</v>
      </c>
      <c r="G33" s="2">
        <f t="shared" si="9"/>
        <v>0</v>
      </c>
      <c r="H33" s="109">
        <v>0</v>
      </c>
      <c r="I33" s="31">
        <f>co2elec_annual!G33*J33</f>
        <v>7.274749204480039</v>
      </c>
      <c r="J33" s="31">
        <f t="shared" si="44"/>
        <v>4.4310290587421863E-2</v>
      </c>
      <c r="K33" s="31">
        <f t="shared" si="47"/>
        <v>56.871531333332996</v>
      </c>
      <c r="L33" s="2">
        <f t="shared" si="48"/>
        <v>56.871531333333103</v>
      </c>
      <c r="M33" s="18">
        <f t="shared" si="49"/>
        <v>35703.721754999984</v>
      </c>
      <c r="N33" s="2">
        <f t="shared" si="24"/>
        <v>1749.5408259999999</v>
      </c>
      <c r="O33" s="2">
        <f t="shared" si="25"/>
        <v>12035.433359033997</v>
      </c>
      <c r="P33" s="2">
        <f t="shared" si="26"/>
        <v>17951.098370735275</v>
      </c>
      <c r="Q33" s="31">
        <f t="shared" si="27"/>
        <v>886.80645500000003</v>
      </c>
      <c r="R33" s="2">
        <f t="shared" si="28"/>
        <v>-50</v>
      </c>
      <c r="S33" s="2">
        <f t="shared" si="29"/>
        <v>-200</v>
      </c>
      <c r="T33" s="2">
        <f t="shared" si="30"/>
        <v>14.427576</v>
      </c>
      <c r="U33" s="2">
        <f t="shared" si="31"/>
        <v>900</v>
      </c>
      <c r="V33" s="2">
        <f t="shared" si="32"/>
        <v>1619.1671512307171</v>
      </c>
      <c r="W33" s="2">
        <f t="shared" si="33"/>
        <v>300</v>
      </c>
      <c r="X33" s="2">
        <f t="shared" si="34"/>
        <v>497.248017</v>
      </c>
      <c r="Y33" s="32">
        <f>co2elec_annual!D33</f>
        <v>-205.92275973736659</v>
      </c>
      <c r="Z33" s="111">
        <f>co2elec_annual!R33</f>
        <v>-26.749176599880279</v>
      </c>
      <c r="AA33" s="31">
        <f>co2elec_annual!G33</f>
        <v>164.17742036982003</v>
      </c>
      <c r="AB33" s="84">
        <f>co2elec_annual!V33</f>
        <v>95.276923076923126</v>
      </c>
      <c r="AC33" s="84">
        <f>co2elec_annual!U33</f>
        <v>96</v>
      </c>
      <c r="AD33" s="84">
        <f t="shared" si="41"/>
        <v>-21.739130434782609</v>
      </c>
      <c r="AE33" s="84">
        <f>co2elec_annual!S33</f>
        <v>4.9696403384397634</v>
      </c>
      <c r="AF33" s="85">
        <f>co2elec_annual!K33</f>
        <v>1</v>
      </c>
      <c r="AG33" s="85">
        <f>co2elec_annual!M33</f>
        <v>-0.7555324416881487</v>
      </c>
      <c r="AH33" s="17">
        <f t="shared" si="53"/>
        <v>149.53158370937655</v>
      </c>
      <c r="AI33" s="111">
        <f t="shared" si="35"/>
        <v>35622.124225627696</v>
      </c>
      <c r="AJ33" s="2">
        <f t="shared" si="36"/>
        <v>32465.506022396981</v>
      </c>
      <c r="AK33" s="85">
        <f t="shared" si="37"/>
        <v>0.64459699999999998</v>
      </c>
      <c r="AL33" s="85">
        <f t="shared" si="16"/>
        <v>0</v>
      </c>
      <c r="AM33" s="107">
        <f t="shared" si="38"/>
        <v>3155.9736062307175</v>
      </c>
      <c r="AN33" s="12">
        <f t="shared" si="8"/>
        <v>81.597529372287681</v>
      </c>
      <c r="AO33" s="84">
        <f t="shared" si="54"/>
        <v>21.739130434782609</v>
      </c>
      <c r="AP33" s="74">
        <f t="shared" si="39"/>
        <v>59.858398937505072</v>
      </c>
      <c r="AQ33" s="12">
        <f t="shared" si="20"/>
        <v>92.660052376042586</v>
      </c>
      <c r="AR33" s="2">
        <f t="shared" si="45"/>
        <v>-200</v>
      </c>
      <c r="AS33" s="2">
        <f t="shared" si="46"/>
        <v>0</v>
      </c>
      <c r="AT33" s="2">
        <f t="shared" si="43"/>
        <v>0</v>
      </c>
      <c r="AU33" s="2">
        <f t="shared" si="50"/>
        <v>0</v>
      </c>
      <c r="AV33" s="46">
        <f t="shared" si="51"/>
        <v>0</v>
      </c>
      <c r="AW33" s="15"/>
      <c r="AY33" s="96"/>
      <c r="AZ33" s="96"/>
      <c r="BA33" s="149"/>
    </row>
    <row r="34" spans="1:53" x14ac:dyDescent="0.25">
      <c r="A34" s="41">
        <f t="shared" si="3"/>
        <v>2045</v>
      </c>
      <c r="B34" s="7">
        <f t="shared" si="60"/>
        <v>2045</v>
      </c>
      <c r="C34" s="2">
        <f t="shared" si="56"/>
        <v>-2.1316282072803006E-13</v>
      </c>
      <c r="D34" s="14">
        <f t="shared" si="57"/>
        <v>56.871531333333316</v>
      </c>
      <c r="E34" s="18">
        <f t="shared" si="23"/>
        <v>-2.1316282072803006E-13</v>
      </c>
      <c r="F34" s="2">
        <f t="shared" si="40"/>
        <v>0</v>
      </c>
      <c r="G34" s="2">
        <f t="shared" si="9"/>
        <v>0</v>
      </c>
      <c r="H34" s="109">
        <v>0</v>
      </c>
      <c r="I34" s="215">
        <f>co2elec_annual!G34*J34</f>
        <v>0</v>
      </c>
      <c r="J34" s="215">
        <f t="shared" si="44"/>
        <v>0</v>
      </c>
      <c r="K34" s="31">
        <f t="shared" si="47"/>
        <v>0</v>
      </c>
      <c r="L34" s="2">
        <f t="shared" si="48"/>
        <v>-2.1316282072803006E-13</v>
      </c>
      <c r="M34" s="18">
        <f t="shared" si="49"/>
        <v>35703.721754999984</v>
      </c>
      <c r="N34" s="2">
        <f t="shared" si="24"/>
        <v>1749.5408259999999</v>
      </c>
      <c r="O34" s="2">
        <f t="shared" si="25"/>
        <v>12035.433359033997</v>
      </c>
      <c r="P34" s="2">
        <f t="shared" si="26"/>
        <v>17951.098370735275</v>
      </c>
      <c r="Q34" s="31">
        <f t="shared" si="27"/>
        <v>886.80645500000003</v>
      </c>
      <c r="R34" s="2">
        <f t="shared" si="28"/>
        <v>-50</v>
      </c>
      <c r="S34" s="2">
        <f t="shared" si="29"/>
        <v>-200</v>
      </c>
      <c r="T34" s="2">
        <f t="shared" si="30"/>
        <v>14.427576</v>
      </c>
      <c r="U34" s="2">
        <f t="shared" si="31"/>
        <v>900</v>
      </c>
      <c r="V34" s="2">
        <f t="shared" si="32"/>
        <v>1619.1671512307171</v>
      </c>
      <c r="W34" s="2">
        <f t="shared" si="33"/>
        <v>300</v>
      </c>
      <c r="X34" s="2">
        <f t="shared" si="34"/>
        <v>497.248017</v>
      </c>
      <c r="Y34" s="32">
        <f>co2elec_annual!D34</f>
        <v>-259.00554121029973</v>
      </c>
      <c r="Z34" s="111">
        <f>co2elec_annual!R34</f>
        <v>-32.843061745933639</v>
      </c>
      <c r="AA34" s="31">
        <f>co2elec_annual!G34</f>
        <v>148.24914078619551</v>
      </c>
      <c r="AB34" s="84">
        <f>co2elec_annual!V34</f>
        <v>96.353846153846206</v>
      </c>
      <c r="AC34" s="84">
        <f>co2elec_annual!U34</f>
        <v>96</v>
      </c>
      <c r="AD34" s="84">
        <f t="shared" si="41"/>
        <v>-21.739130434782609</v>
      </c>
      <c r="AE34" s="84">
        <f>co2elec_annual!S34</f>
        <v>4.5343810994293303</v>
      </c>
      <c r="AF34" s="85">
        <f>co2elec_annual!K34</f>
        <v>1</v>
      </c>
      <c r="AG34" s="85">
        <f>co2elec_annual!M34</f>
        <v>-0.56145241919461664</v>
      </c>
      <c r="AH34" s="17">
        <f t="shared" si="53"/>
        <v>81.597445729741992</v>
      </c>
      <c r="AI34" s="111">
        <f t="shared" si="35"/>
        <v>35703.721671357438</v>
      </c>
      <c r="AJ34" s="2">
        <f t="shared" si="36"/>
        <v>32547.103468126723</v>
      </c>
      <c r="AK34" s="85">
        <f t="shared" si="37"/>
        <v>0.64459699999999998</v>
      </c>
      <c r="AL34" s="85">
        <f t="shared" si="16"/>
        <v>0</v>
      </c>
      <c r="AM34" s="107">
        <f t="shared" si="38"/>
        <v>3155.9736062307175</v>
      </c>
      <c r="AN34" s="217">
        <f t="shared" si="8"/>
        <v>8.3642546087503433E-5</v>
      </c>
      <c r="AO34" s="84">
        <f>MIN(AN34,$AO$11*($A$34-A34)/($A$34-$A$11))</f>
        <v>0</v>
      </c>
      <c r="AP34" s="74">
        <f t="shared" si="39"/>
        <v>8.3642546087503433E-5</v>
      </c>
      <c r="AQ34" s="12">
        <f t="shared" si="20"/>
        <v>81.597445729741594</v>
      </c>
      <c r="AR34" s="2">
        <f t="shared" si="45"/>
        <v>-200</v>
      </c>
      <c r="AS34" s="2">
        <f t="shared" si="46"/>
        <v>0</v>
      </c>
      <c r="AT34" s="2">
        <f t="shared" si="43"/>
        <v>0</v>
      </c>
      <c r="AU34" s="2">
        <f t="shared" si="50"/>
        <v>0</v>
      </c>
      <c r="AV34" s="46">
        <f t="shared" si="51"/>
        <v>0</v>
      </c>
      <c r="AW34" s="15"/>
      <c r="AY34" s="96"/>
      <c r="AZ34" s="96"/>
      <c r="BA34" s="149"/>
    </row>
    <row r="35" spans="1:53" x14ac:dyDescent="0.25">
      <c r="A35" s="41">
        <f t="shared" si="3"/>
        <v>2046</v>
      </c>
      <c r="B35" s="7">
        <f>B34+5</f>
        <v>2050</v>
      </c>
      <c r="C35" s="2">
        <f t="shared" si="56"/>
        <v>-2.1316282072803006E-13</v>
      </c>
      <c r="D35" s="14">
        <v>0</v>
      </c>
      <c r="E35" s="18">
        <f t="shared" si="23"/>
        <v>-2.1316282072803006E-13</v>
      </c>
      <c r="F35" s="2">
        <f t="shared" si="40"/>
        <v>0</v>
      </c>
      <c r="G35" s="2">
        <f t="shared" si="9"/>
        <v>0</v>
      </c>
      <c r="H35" s="109">
        <v>0</v>
      </c>
      <c r="I35" s="31">
        <f t="shared" ref="I35:I39" si="61">E35-L35-G35</f>
        <v>0</v>
      </c>
      <c r="J35" s="157">
        <v>0</v>
      </c>
      <c r="K35" s="111">
        <f t="shared" si="47"/>
        <v>0</v>
      </c>
      <c r="L35" s="2">
        <f t="shared" si="48"/>
        <v>-2.1316282072803006E-13</v>
      </c>
      <c r="M35" s="18">
        <f t="shared" si="49"/>
        <v>35703.721754999984</v>
      </c>
      <c r="N35" s="2">
        <f t="shared" si="24"/>
        <v>1749.5408259999999</v>
      </c>
      <c r="O35" s="2">
        <f t="shared" si="25"/>
        <v>12035.433359033997</v>
      </c>
      <c r="P35" s="2">
        <f t="shared" si="26"/>
        <v>17951.098370735275</v>
      </c>
      <c r="Q35" s="31">
        <f t="shared" si="27"/>
        <v>886.80645500000003</v>
      </c>
      <c r="R35" s="2">
        <f t="shared" si="28"/>
        <v>-50</v>
      </c>
      <c r="S35" s="2">
        <f t="shared" si="29"/>
        <v>-200</v>
      </c>
      <c r="T35" s="2">
        <f t="shared" si="30"/>
        <v>14.427576</v>
      </c>
      <c r="U35" s="2">
        <f t="shared" si="31"/>
        <v>900</v>
      </c>
      <c r="V35" s="2">
        <f t="shared" si="32"/>
        <v>1619.1671512307171</v>
      </c>
      <c r="W35" s="2">
        <f t="shared" si="33"/>
        <v>300</v>
      </c>
      <c r="X35" s="2">
        <f t="shared" si="34"/>
        <v>497.248017</v>
      </c>
      <c r="Y35" s="32">
        <f>co2elec_annual!D35</f>
        <v>-321.60753923076925</v>
      </c>
      <c r="Z35" s="111">
        <f>co2elec_annual!R35</f>
        <v>-39.23611978615385</v>
      </c>
      <c r="AA35" s="31">
        <f>co2elec_annual!G35</f>
        <v>128.17679999999999</v>
      </c>
      <c r="AB35" s="84">
        <f>co2elec_annual!V35</f>
        <v>97.430769230769286</v>
      </c>
      <c r="AC35" s="84">
        <f>co2elec_annual!U35</f>
        <v>96</v>
      </c>
      <c r="AD35" s="84">
        <f t="shared" si="41"/>
        <v>0</v>
      </c>
      <c r="AE35" s="84">
        <f>co2elec_annual!S35</f>
        <v>3.8453030999999993</v>
      </c>
      <c r="AF35" s="85">
        <f>co2elec_annual!K35</f>
        <v>1</v>
      </c>
      <c r="AG35" s="85">
        <f>co2elec_annual!M35</f>
        <v>-0.39855026504222224</v>
      </c>
      <c r="AH35" s="17">
        <f t="shared" si="53"/>
        <v>3.0000000023733264E-5</v>
      </c>
      <c r="AI35" s="111">
        <f t="shared" si="35"/>
        <v>35703.721701357441</v>
      </c>
      <c r="AJ35" s="2">
        <f t="shared" si="36"/>
        <v>32547.103498126722</v>
      </c>
      <c r="AK35" s="85">
        <f t="shared" si="37"/>
        <v>0.64459699999999998</v>
      </c>
      <c r="AL35" s="85">
        <f t="shared" si="16"/>
        <v>0</v>
      </c>
      <c r="AM35" s="107">
        <f t="shared" si="38"/>
        <v>3155.9736062307175</v>
      </c>
      <c r="AN35" s="12">
        <f t="shared" si="8"/>
        <v>5.3642543207388371E-5</v>
      </c>
      <c r="AO35" s="157">
        <v>0</v>
      </c>
      <c r="AP35" s="74">
        <f t="shared" si="39"/>
        <v>5.3642543207388371E-5</v>
      </c>
      <c r="AQ35" s="12">
        <f t="shared" si="20"/>
        <v>3.0000002880115062E-5</v>
      </c>
      <c r="AR35" s="2">
        <f t="shared" si="45"/>
        <v>-200</v>
      </c>
      <c r="AS35" s="2">
        <f t="shared" si="46"/>
        <v>0</v>
      </c>
      <c r="AT35" s="2">
        <f t="shared" si="43"/>
        <v>0</v>
      </c>
      <c r="AU35" s="2">
        <f t="shared" si="50"/>
        <v>0</v>
      </c>
      <c r="AV35" s="46">
        <f t="shared" si="51"/>
        <v>0</v>
      </c>
      <c r="AW35" s="15"/>
      <c r="AY35" s="96"/>
      <c r="AZ35" s="96"/>
      <c r="BA35" s="149"/>
    </row>
    <row r="36" spans="1:53" x14ac:dyDescent="0.25">
      <c r="A36" s="41">
        <f t="shared" si="3"/>
        <v>2047</v>
      </c>
      <c r="B36" s="7">
        <f>B35</f>
        <v>2050</v>
      </c>
      <c r="C36" s="2">
        <f t="shared" si="56"/>
        <v>-2.1316282072803006E-13</v>
      </c>
      <c r="D36" s="14">
        <v>0</v>
      </c>
      <c r="E36" s="18">
        <f t="shared" si="23"/>
        <v>-2.1316282072803006E-13</v>
      </c>
      <c r="F36" s="2">
        <f t="shared" si="40"/>
        <v>0</v>
      </c>
      <c r="G36" s="2">
        <f t="shared" si="9"/>
        <v>0</v>
      </c>
      <c r="H36" s="109">
        <v>0</v>
      </c>
      <c r="I36" s="2">
        <f t="shared" si="61"/>
        <v>0</v>
      </c>
      <c r="J36" s="102">
        <v>0</v>
      </c>
      <c r="K36" s="111">
        <f t="shared" si="47"/>
        <v>0</v>
      </c>
      <c r="L36" s="2">
        <f t="shared" si="48"/>
        <v>-2.1316282072803006E-13</v>
      </c>
      <c r="M36" s="18">
        <f t="shared" si="49"/>
        <v>35703.721754999984</v>
      </c>
      <c r="N36" s="2">
        <f t="shared" si="24"/>
        <v>1749.5408259999999</v>
      </c>
      <c r="O36" s="2">
        <f t="shared" si="25"/>
        <v>12035.433359033997</v>
      </c>
      <c r="P36" s="2">
        <f t="shared" si="26"/>
        <v>17951.098370735275</v>
      </c>
      <c r="Q36" s="31">
        <f t="shared" si="27"/>
        <v>886.80645500000003</v>
      </c>
      <c r="R36" s="2">
        <f t="shared" si="28"/>
        <v>-50</v>
      </c>
      <c r="S36" s="2">
        <f t="shared" si="29"/>
        <v>-200</v>
      </c>
      <c r="T36" s="2">
        <f t="shared" si="30"/>
        <v>14.427576</v>
      </c>
      <c r="U36" s="2">
        <f t="shared" si="31"/>
        <v>900</v>
      </c>
      <c r="V36" s="2">
        <f t="shared" si="32"/>
        <v>1619.1671512307171</v>
      </c>
      <c r="W36" s="2">
        <f t="shared" si="33"/>
        <v>300</v>
      </c>
      <c r="X36" s="2">
        <f t="shared" si="34"/>
        <v>497.248017</v>
      </c>
      <c r="Y36" s="32">
        <f>co2elec_annual!D36</f>
        <v>-321.60753923076925</v>
      </c>
      <c r="Z36" s="111">
        <f>co2elec_annual!R36</f>
        <v>-39.23611978615385</v>
      </c>
      <c r="AA36" s="31">
        <f>co2elec_annual!G36</f>
        <v>128.17679999999999</v>
      </c>
      <c r="AB36" s="84">
        <f>co2elec_annual!V36</f>
        <v>97.430769230769286</v>
      </c>
      <c r="AC36" s="84">
        <f>co2elec_annual!U36</f>
        <v>96</v>
      </c>
      <c r="AD36" s="84">
        <f t="shared" si="41"/>
        <v>0</v>
      </c>
      <c r="AE36" s="84">
        <f>co2elec_annual!S36</f>
        <v>3.8453030999999993</v>
      </c>
      <c r="AF36" s="85">
        <f>co2elec_annual!K36</f>
        <v>1</v>
      </c>
      <c r="AG36" s="85">
        <f>co2elec_annual!M36</f>
        <v>-0.39855026504222224</v>
      </c>
      <c r="AH36" s="17">
        <f t="shared" si="53"/>
        <v>3.0000000023733264E-5</v>
      </c>
      <c r="AI36" s="111">
        <f t="shared" si="35"/>
        <v>35703.721731357437</v>
      </c>
      <c r="AJ36" s="2">
        <f t="shared" si="36"/>
        <v>32547.103528126721</v>
      </c>
      <c r="AK36" s="85">
        <f t="shared" si="37"/>
        <v>0.64459699999999998</v>
      </c>
      <c r="AL36" s="85">
        <f t="shared" si="16"/>
        <v>0</v>
      </c>
      <c r="AM36" s="107">
        <f t="shared" si="38"/>
        <v>3155.9736062307175</v>
      </c>
      <c r="AN36" s="12">
        <f t="shared" si="8"/>
        <v>2.3642547603230923E-5</v>
      </c>
      <c r="AO36" s="157">
        <v>0</v>
      </c>
      <c r="AP36" s="74">
        <f t="shared" si="39"/>
        <v>2.3642547603230923E-5</v>
      </c>
      <c r="AQ36" s="12">
        <f t="shared" si="20"/>
        <v>2.9999995604157448E-5</v>
      </c>
      <c r="AR36" s="2">
        <f t="shared" si="45"/>
        <v>-200</v>
      </c>
      <c r="AS36" s="2">
        <f t="shared" si="46"/>
        <v>0</v>
      </c>
      <c r="AT36" s="2">
        <f t="shared" si="43"/>
        <v>0</v>
      </c>
      <c r="AU36" s="2">
        <f t="shared" si="50"/>
        <v>0</v>
      </c>
      <c r="AV36" s="46">
        <f t="shared" si="51"/>
        <v>0</v>
      </c>
      <c r="AW36" s="15"/>
      <c r="AY36" s="96"/>
      <c r="AZ36" s="96"/>
      <c r="BA36" s="149"/>
    </row>
    <row r="37" spans="1:53" x14ac:dyDescent="0.25">
      <c r="A37" s="41">
        <f t="shared" si="3"/>
        <v>2048</v>
      </c>
      <c r="B37" s="7">
        <f t="shared" ref="B37:B39" si="62">B36</f>
        <v>2050</v>
      </c>
      <c r="C37" s="2">
        <f t="shared" si="56"/>
        <v>-2.1316282072803006E-13</v>
      </c>
      <c r="D37" s="14">
        <v>0</v>
      </c>
      <c r="E37" s="18">
        <f t="shared" si="23"/>
        <v>-2.1316282072803006E-13</v>
      </c>
      <c r="F37" s="2">
        <f t="shared" si="40"/>
        <v>0</v>
      </c>
      <c r="G37" s="2">
        <f t="shared" si="9"/>
        <v>0</v>
      </c>
      <c r="H37" s="109">
        <v>0</v>
      </c>
      <c r="I37" s="2">
        <f t="shared" si="61"/>
        <v>0</v>
      </c>
      <c r="J37" s="102">
        <v>0</v>
      </c>
      <c r="K37" s="111">
        <f t="shared" si="47"/>
        <v>0</v>
      </c>
      <c r="L37" s="2">
        <f t="shared" si="48"/>
        <v>-2.1316282072803006E-13</v>
      </c>
      <c r="M37" s="18">
        <f t="shared" si="49"/>
        <v>35703.721754999984</v>
      </c>
      <c r="N37" s="2">
        <f t="shared" si="24"/>
        <v>1749.5408259999999</v>
      </c>
      <c r="O37" s="2">
        <f t="shared" si="25"/>
        <v>12035.433359033997</v>
      </c>
      <c r="P37" s="2">
        <f t="shared" si="26"/>
        <v>17951.098370735275</v>
      </c>
      <c r="Q37" s="31">
        <f t="shared" si="27"/>
        <v>886.80645500000003</v>
      </c>
      <c r="R37" s="2">
        <f t="shared" si="28"/>
        <v>-50</v>
      </c>
      <c r="S37" s="2">
        <f t="shared" si="29"/>
        <v>-200</v>
      </c>
      <c r="T37" s="2">
        <f t="shared" si="30"/>
        <v>14.427576</v>
      </c>
      <c r="U37" s="2">
        <f t="shared" si="31"/>
        <v>900</v>
      </c>
      <c r="V37" s="2">
        <f t="shared" si="32"/>
        <v>1619.1671512307171</v>
      </c>
      <c r="W37" s="2">
        <f t="shared" si="33"/>
        <v>300</v>
      </c>
      <c r="X37" s="2">
        <f t="shared" si="34"/>
        <v>497.248017</v>
      </c>
      <c r="Y37" s="32">
        <f>co2elec_annual!D37</f>
        <v>-321.60753923076925</v>
      </c>
      <c r="Z37" s="111">
        <f>co2elec_annual!R37</f>
        <v>-39.23611978615385</v>
      </c>
      <c r="AA37" s="31">
        <f>co2elec_annual!G37</f>
        <v>128.17679999999999</v>
      </c>
      <c r="AB37" s="84">
        <f>co2elec_annual!V37</f>
        <v>97.430769230769286</v>
      </c>
      <c r="AC37" s="84">
        <f>co2elec_annual!U37</f>
        <v>96</v>
      </c>
      <c r="AD37" s="84">
        <f t="shared" si="41"/>
        <v>0</v>
      </c>
      <c r="AE37" s="84">
        <f>co2elec_annual!S37</f>
        <v>3.8453030999999993</v>
      </c>
      <c r="AF37" s="85">
        <f>co2elec_annual!K37</f>
        <v>1</v>
      </c>
      <c r="AG37" s="85">
        <f>co2elec_annual!M37</f>
        <v>-0.39855026504222224</v>
      </c>
      <c r="AH37" s="17">
        <f t="shared" si="53"/>
        <v>3.0000000023733264E-5</v>
      </c>
      <c r="AI37" s="111">
        <f t="shared" si="35"/>
        <v>35703.721761357439</v>
      </c>
      <c r="AJ37" s="2">
        <f t="shared" si="36"/>
        <v>32547.103558126721</v>
      </c>
      <c r="AK37" s="85">
        <f t="shared" si="37"/>
        <v>0.64459699999999998</v>
      </c>
      <c r="AL37" s="85">
        <f t="shared" si="16"/>
        <v>0</v>
      </c>
      <c r="AM37" s="107">
        <f t="shared" si="38"/>
        <v>3155.9736062307175</v>
      </c>
      <c r="AN37" s="12">
        <f t="shared" si="8"/>
        <v>-6.3574552768841386E-6</v>
      </c>
      <c r="AO37" s="157">
        <v>0</v>
      </c>
      <c r="AP37" s="74">
        <f t="shared" si="39"/>
        <v>-6.3574552768841386E-6</v>
      </c>
      <c r="AQ37" s="12">
        <f t="shared" si="20"/>
        <v>3.0000002880115062E-5</v>
      </c>
      <c r="AR37" s="2">
        <f t="shared" si="45"/>
        <v>-200</v>
      </c>
      <c r="AS37" s="2">
        <f t="shared" si="46"/>
        <v>0</v>
      </c>
      <c r="AT37" s="2">
        <f t="shared" si="43"/>
        <v>0</v>
      </c>
      <c r="AU37" s="2">
        <f t="shared" si="50"/>
        <v>0</v>
      </c>
      <c r="AV37" s="46">
        <f t="shared" si="51"/>
        <v>0</v>
      </c>
      <c r="AW37" s="15"/>
      <c r="AY37" s="96"/>
      <c r="AZ37" s="96"/>
      <c r="BA37" s="149"/>
    </row>
    <row r="38" spans="1:53" x14ac:dyDescent="0.25">
      <c r="A38" s="41">
        <f t="shared" si="3"/>
        <v>2049</v>
      </c>
      <c r="B38" s="7">
        <f t="shared" si="62"/>
        <v>2050</v>
      </c>
      <c r="C38" s="2">
        <f t="shared" si="56"/>
        <v>-2.1316282072803006E-13</v>
      </c>
      <c r="D38" s="14">
        <v>0</v>
      </c>
      <c r="E38" s="18">
        <f t="shared" si="23"/>
        <v>-2.1316282072803006E-13</v>
      </c>
      <c r="F38" s="2">
        <f t="shared" si="40"/>
        <v>0</v>
      </c>
      <c r="G38" s="2">
        <f t="shared" si="9"/>
        <v>0</v>
      </c>
      <c r="H38" s="109">
        <v>0</v>
      </c>
      <c r="I38" s="2">
        <f t="shared" si="61"/>
        <v>0</v>
      </c>
      <c r="J38" s="102">
        <v>0</v>
      </c>
      <c r="K38" s="111">
        <f t="shared" si="47"/>
        <v>0</v>
      </c>
      <c r="L38" s="2">
        <f t="shared" si="48"/>
        <v>-2.1316282072803006E-13</v>
      </c>
      <c r="M38" s="18">
        <f t="shared" si="49"/>
        <v>35703.721754999984</v>
      </c>
      <c r="N38" s="2">
        <f t="shared" si="24"/>
        <v>1749.5408259999999</v>
      </c>
      <c r="O38" s="2">
        <f t="shared" si="25"/>
        <v>12035.433359033997</v>
      </c>
      <c r="P38" s="2">
        <f t="shared" si="26"/>
        <v>17951.098370735275</v>
      </c>
      <c r="Q38" s="31">
        <f t="shared" si="27"/>
        <v>886.80645500000003</v>
      </c>
      <c r="R38" s="2">
        <f t="shared" si="28"/>
        <v>-50</v>
      </c>
      <c r="S38" s="2">
        <f t="shared" si="29"/>
        <v>-200</v>
      </c>
      <c r="T38" s="2">
        <f t="shared" si="30"/>
        <v>14.427576</v>
      </c>
      <c r="U38" s="2">
        <f t="shared" si="31"/>
        <v>900</v>
      </c>
      <c r="V38" s="2">
        <f t="shared" si="32"/>
        <v>1619.1671512307171</v>
      </c>
      <c r="W38" s="2">
        <f t="shared" si="33"/>
        <v>300</v>
      </c>
      <c r="X38" s="2">
        <f t="shared" si="34"/>
        <v>497.248017</v>
      </c>
      <c r="Y38" s="32">
        <f>co2elec_annual!D38</f>
        <v>-321.60753923076925</v>
      </c>
      <c r="Z38" s="111">
        <f>co2elec_annual!R38</f>
        <v>-39.23611978615385</v>
      </c>
      <c r="AA38" s="31">
        <f>co2elec_annual!G38</f>
        <v>128.17679999999999</v>
      </c>
      <c r="AB38" s="84">
        <f>co2elec_annual!V38</f>
        <v>97.430769230769286</v>
      </c>
      <c r="AC38" s="84">
        <f>co2elec_annual!U38</f>
        <v>96</v>
      </c>
      <c r="AD38" s="84">
        <f t="shared" si="41"/>
        <v>0</v>
      </c>
      <c r="AE38" s="84">
        <f>co2elec_annual!S38</f>
        <v>3.8453030999999993</v>
      </c>
      <c r="AF38" s="85">
        <f>co2elec_annual!K38</f>
        <v>1</v>
      </c>
      <c r="AG38" s="85">
        <f>co2elec_annual!M38</f>
        <v>-0.39855026504222224</v>
      </c>
      <c r="AH38" s="17">
        <f t="shared" si="53"/>
        <v>3.0000000023733264E-5</v>
      </c>
      <c r="AI38" s="111">
        <f t="shared" si="35"/>
        <v>35703.721791357435</v>
      </c>
      <c r="AJ38" s="2">
        <f t="shared" si="36"/>
        <v>32547.10358812672</v>
      </c>
      <c r="AK38" s="85">
        <f t="shared" si="37"/>
        <v>0.64459699999999998</v>
      </c>
      <c r="AL38" s="85">
        <f t="shared" si="16"/>
        <v>0</v>
      </c>
      <c r="AM38" s="107">
        <f t="shared" si="38"/>
        <v>3155.9736062307175</v>
      </c>
      <c r="AN38" s="12">
        <f t="shared" si="8"/>
        <v>-3.6357450881041586E-5</v>
      </c>
      <c r="AO38" s="157">
        <v>0</v>
      </c>
      <c r="AP38" s="74">
        <f t="shared" si="39"/>
        <v>-3.6357450881041586E-5</v>
      </c>
      <c r="AQ38" s="12">
        <f t="shared" si="20"/>
        <v>2.9999995604157448E-5</v>
      </c>
      <c r="AR38" s="2">
        <f t="shared" si="45"/>
        <v>-200</v>
      </c>
      <c r="AS38" s="2">
        <f t="shared" si="46"/>
        <v>0</v>
      </c>
      <c r="AT38" s="2">
        <f t="shared" si="43"/>
        <v>0</v>
      </c>
      <c r="AU38" s="2">
        <f t="shared" si="50"/>
        <v>0</v>
      </c>
      <c r="AV38" s="46">
        <f t="shared" si="51"/>
        <v>0</v>
      </c>
      <c r="AW38" s="15"/>
      <c r="AY38" s="96"/>
      <c r="AZ38" s="96"/>
      <c r="BA38" s="149"/>
    </row>
    <row r="39" spans="1:53" ht="14.25" thickBot="1" x14ac:dyDescent="0.3">
      <c r="A39" s="47">
        <f t="shared" si="3"/>
        <v>2050</v>
      </c>
      <c r="B39" s="48">
        <f t="shared" si="62"/>
        <v>2050</v>
      </c>
      <c r="C39" s="2">
        <f t="shared" si="56"/>
        <v>-2.1316282072803006E-13</v>
      </c>
      <c r="D39" s="49">
        <v>0</v>
      </c>
      <c r="E39" s="50">
        <f t="shared" si="23"/>
        <v>-2.1316282072803006E-13</v>
      </c>
      <c r="F39" s="4">
        <f t="shared" si="40"/>
        <v>0</v>
      </c>
      <c r="G39" s="4">
        <f t="shared" si="9"/>
        <v>0</v>
      </c>
      <c r="H39" s="109">
        <v>0</v>
      </c>
      <c r="I39" s="4">
        <f t="shared" si="61"/>
        <v>0</v>
      </c>
      <c r="J39" s="216">
        <v>0</v>
      </c>
      <c r="K39" s="111">
        <f t="shared" si="47"/>
        <v>0</v>
      </c>
      <c r="L39" s="4">
        <f t="shared" si="48"/>
        <v>-2.1316282072803006E-13</v>
      </c>
      <c r="M39" s="50">
        <f t="shared" si="49"/>
        <v>35703.721754999984</v>
      </c>
      <c r="N39" s="2">
        <f t="shared" si="24"/>
        <v>1749.5408259999999</v>
      </c>
      <c r="O39" s="4">
        <f t="shared" si="25"/>
        <v>12035.433359033997</v>
      </c>
      <c r="P39" s="4">
        <f t="shared" si="26"/>
        <v>17951.098370735275</v>
      </c>
      <c r="Q39" s="31">
        <f t="shared" si="27"/>
        <v>886.80645500000003</v>
      </c>
      <c r="R39" s="2">
        <f t="shared" si="28"/>
        <v>-50</v>
      </c>
      <c r="S39" s="2">
        <f t="shared" si="29"/>
        <v>-200</v>
      </c>
      <c r="T39" s="2">
        <f t="shared" si="30"/>
        <v>14.427576</v>
      </c>
      <c r="U39" s="2">
        <f t="shared" si="31"/>
        <v>900</v>
      </c>
      <c r="V39" s="2">
        <f t="shared" si="32"/>
        <v>1619.1671512307171</v>
      </c>
      <c r="W39" s="2">
        <f t="shared" si="33"/>
        <v>300</v>
      </c>
      <c r="X39" s="2">
        <f t="shared" si="34"/>
        <v>497.248017</v>
      </c>
      <c r="Y39" s="32">
        <f>co2elec_annual!D39</f>
        <v>-321.60753923076925</v>
      </c>
      <c r="Z39" s="111">
        <f>co2elec_annual!R39</f>
        <v>-39.23611978615385</v>
      </c>
      <c r="AA39" s="31">
        <f>co2elec_annual!G39</f>
        <v>128.17679999999999</v>
      </c>
      <c r="AB39" s="84">
        <f>co2elec_annual!V39</f>
        <v>97.430769230769286</v>
      </c>
      <c r="AC39" s="84">
        <f>co2elec_annual!U39</f>
        <v>96</v>
      </c>
      <c r="AD39" s="84">
        <f t="shared" si="41"/>
        <v>0</v>
      </c>
      <c r="AE39" s="84">
        <f>co2elec_annual!S39</f>
        <v>3.8453030999999993</v>
      </c>
      <c r="AF39" s="86">
        <f>co2elec_annual!K39</f>
        <v>1</v>
      </c>
      <c r="AG39" s="86">
        <f>co2elec_annual!M39</f>
        <v>-0.39855026504222224</v>
      </c>
      <c r="AH39" s="51">
        <f t="shared" si="53"/>
        <v>3.0000000023733264E-5</v>
      </c>
      <c r="AI39" s="111">
        <f t="shared" si="35"/>
        <v>35703.721821357438</v>
      </c>
      <c r="AJ39" s="4">
        <f>AJ38+AH39</f>
        <v>32547.103618126719</v>
      </c>
      <c r="AK39" s="103">
        <f t="shared" si="37"/>
        <v>0.64459699999999998</v>
      </c>
      <c r="AL39" s="103">
        <f t="shared" si="16"/>
        <v>0</v>
      </c>
      <c r="AM39" s="108">
        <f t="shared" si="38"/>
        <v>3155.9736062307175</v>
      </c>
      <c r="AN39" s="12">
        <f t="shared" si="8"/>
        <v>-6.6357453761156648E-5</v>
      </c>
      <c r="AO39" s="157">
        <v>0</v>
      </c>
      <c r="AP39" s="204">
        <f t="shared" si="39"/>
        <v>-6.6357453761156648E-5</v>
      </c>
      <c r="AQ39" s="52">
        <f t="shared" si="20"/>
        <v>3.0000002880115062E-5</v>
      </c>
      <c r="AR39" s="4">
        <f t="shared" si="45"/>
        <v>-200</v>
      </c>
      <c r="AS39" s="4">
        <f t="shared" si="46"/>
        <v>0</v>
      </c>
      <c r="AT39" s="4">
        <f t="shared" si="43"/>
        <v>0</v>
      </c>
      <c r="AU39" s="4">
        <f t="shared" si="50"/>
        <v>0</v>
      </c>
      <c r="AV39" s="46">
        <f t="shared" si="51"/>
        <v>0</v>
      </c>
      <c r="AW39" s="15"/>
      <c r="AY39" s="96"/>
      <c r="AZ39" s="96"/>
      <c r="BA39" s="149"/>
    </row>
    <row r="40" spans="1:53" x14ac:dyDescent="0.25">
      <c r="A40" s="57" t="s">
        <v>23</v>
      </c>
      <c r="B40" s="58"/>
      <c r="C40" s="59"/>
      <c r="D40" s="59"/>
      <c r="E40" s="59">
        <f>SUM(E2:E39)</f>
        <v>33696.540877000014</v>
      </c>
      <c r="F40" s="59">
        <f>SUM(F2:F39)</f>
        <v>30540.275929769286</v>
      </c>
      <c r="G40" s="59"/>
      <c r="H40" s="59">
        <f>SUM(H2:H39)</f>
        <v>12277.858878133999</v>
      </c>
      <c r="I40" s="59"/>
      <c r="J40" s="59"/>
      <c r="K40" s="59">
        <f>SUM(K2:K39)</f>
        <v>18166.76744763528</v>
      </c>
      <c r="L40" s="59">
        <f>SUM(L2:L39)</f>
        <v>20685.934598865992</v>
      </c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>
        <f>SUM(Y2:Y39)</f>
        <v>12291.75682650369</v>
      </c>
      <c r="Z40" s="59">
        <f t="shared" ref="Z40:AE40" si="63">SUM(Z2:Z39)</f>
        <v>382.94386194475885</v>
      </c>
      <c r="AA40" s="59">
        <f t="shared" si="63"/>
        <v>15455.01882739227</v>
      </c>
      <c r="AB40" s="59"/>
      <c r="AC40" s="59"/>
      <c r="AD40" s="59"/>
      <c r="AE40" s="59">
        <f t="shared" si="63"/>
        <v>261.93264849804149</v>
      </c>
      <c r="AF40" s="59"/>
      <c r="AG40" s="59"/>
      <c r="AH40" s="59">
        <f>SUM(AH2:AH39)</f>
        <v>32683.206423126721</v>
      </c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>
        <f>SUM(AS2:AS39)</f>
        <v>2856.019074150719</v>
      </c>
      <c r="AT40" s="59"/>
      <c r="AU40" s="59"/>
      <c r="AV40" s="59">
        <f>SUM(AV2:AV39)</f>
        <v>3155.9736062307175</v>
      </c>
      <c r="AW40" s="15"/>
    </row>
    <row r="41" spans="1:53" ht="14.25" thickBot="1" x14ac:dyDescent="0.3">
      <c r="A41" s="55" t="s">
        <v>22</v>
      </c>
      <c r="B41" s="56"/>
      <c r="C41" s="54"/>
      <c r="D41" s="54"/>
      <c r="E41" s="54">
        <f>SUM(E10:E39)</f>
        <v>18805.662370999991</v>
      </c>
      <c r="F41" s="54">
        <f>SUM(F10:F39)</f>
        <v>17573.948892769276</v>
      </c>
      <c r="G41" s="54"/>
      <c r="H41" s="54">
        <f>SUM(H10:H39)</f>
        <v>5618.025043134</v>
      </c>
      <c r="I41" s="54"/>
      <c r="J41" s="54"/>
      <c r="K41" s="54">
        <f>SUM(K10:K39)</f>
        <v>11930.306947635276</v>
      </c>
      <c r="L41" s="54">
        <f>SUM(L10:L39)</f>
        <v>12776.724106865993</v>
      </c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>
        <f>SUM(Y10:Y39)</f>
        <v>4289.4318833458901</v>
      </c>
      <c r="Z41" s="54">
        <f t="shared" ref="Z41:AE41" si="64">SUM(Z10:Z39)</f>
        <v>382.94386194475885</v>
      </c>
      <c r="AA41" s="54">
        <f t="shared" si="64"/>
        <v>9774.9119585500666</v>
      </c>
      <c r="AB41" s="54"/>
      <c r="AC41" s="54"/>
      <c r="AD41" s="54"/>
      <c r="AE41" s="54">
        <f t="shared" si="64"/>
        <v>261.93264849804149</v>
      </c>
      <c r="AF41" s="54"/>
      <c r="AG41" s="54"/>
      <c r="AH41" s="54">
        <f>SUM(AH10:AH39)</f>
        <v>19000.774611126722</v>
      </c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>
        <f>SUM(AS10:AS39)</f>
        <v>502.56222291071822</v>
      </c>
      <c r="AT41" s="54"/>
      <c r="AU41" s="54"/>
      <c r="AV41" s="54">
        <f>SUM(AV10:AV39)</f>
        <v>3155.9736062307175</v>
      </c>
      <c r="AW41" s="15"/>
    </row>
    <row r="42" spans="1:53" x14ac:dyDescent="0.25">
      <c r="A42" s="38"/>
      <c r="B42" s="3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77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</row>
    <row r="43" spans="1:53" x14ac:dyDescent="0.25">
      <c r="E43" s="10" t="s">
        <v>24</v>
      </c>
      <c r="X43" s="77"/>
    </row>
    <row r="44" spans="1:53" x14ac:dyDescent="0.25">
      <c r="X44" s="77"/>
    </row>
    <row r="45" spans="1:53" x14ac:dyDescent="0.25">
      <c r="X45" s="77"/>
    </row>
    <row r="46" spans="1:53" x14ac:dyDescent="0.25">
      <c r="X46" s="77"/>
    </row>
    <row r="47" spans="1:53" x14ac:dyDescent="0.25">
      <c r="X47" s="77"/>
    </row>
    <row r="48" spans="1:53" x14ac:dyDescent="0.25">
      <c r="X48" s="77"/>
    </row>
    <row r="49" spans="24:24" x14ac:dyDescent="0.25">
      <c r="X49" s="77"/>
    </row>
    <row r="50" spans="24:24" x14ac:dyDescent="0.25">
      <c r="X50" s="77"/>
    </row>
    <row r="51" spans="24:24" x14ac:dyDescent="0.25">
      <c r="X51" s="77"/>
    </row>
    <row r="52" spans="24:24" x14ac:dyDescent="0.25">
      <c r="X52" s="77"/>
    </row>
    <row r="53" spans="24:24" x14ac:dyDescent="0.25">
      <c r="X53" s="77"/>
    </row>
    <row r="54" spans="24:24" x14ac:dyDescent="0.25">
      <c r="X54" s="77"/>
    </row>
    <row r="55" spans="24:24" x14ac:dyDescent="0.25">
      <c r="X55" s="77"/>
    </row>
    <row r="56" spans="24:24" x14ac:dyDescent="0.25">
      <c r="X56" s="77"/>
    </row>
    <row r="57" spans="24:24" x14ac:dyDescent="0.25">
      <c r="X57" s="77"/>
    </row>
    <row r="58" spans="24:24" x14ac:dyDescent="0.25">
      <c r="X58" s="77"/>
    </row>
    <row r="59" spans="24:24" x14ac:dyDescent="0.25">
      <c r="X59" s="77"/>
    </row>
    <row r="60" spans="24:24" x14ac:dyDescent="0.25">
      <c r="X60" s="77"/>
    </row>
    <row r="61" spans="24:24" x14ac:dyDescent="0.25">
      <c r="X61" s="77"/>
    </row>
    <row r="62" spans="24:24" x14ac:dyDescent="0.25">
      <c r="X62" s="77"/>
    </row>
    <row r="63" spans="24:24" x14ac:dyDescent="0.25">
      <c r="X63" s="77"/>
    </row>
    <row r="64" spans="24:24" x14ac:dyDescent="0.25">
      <c r="X64" s="77"/>
    </row>
    <row r="65" spans="24:24" x14ac:dyDescent="0.25">
      <c r="X65" s="77"/>
    </row>
    <row r="66" spans="24:24" x14ac:dyDescent="0.25">
      <c r="X66" s="77"/>
    </row>
    <row r="67" spans="24:24" x14ac:dyDescent="0.25">
      <c r="X67" s="77"/>
    </row>
    <row r="68" spans="24:24" x14ac:dyDescent="0.25">
      <c r="X68" s="77"/>
    </row>
    <row r="69" spans="24:24" x14ac:dyDescent="0.25">
      <c r="X69" s="77"/>
    </row>
    <row r="70" spans="24:24" x14ac:dyDescent="0.25">
      <c r="X70" s="77"/>
    </row>
    <row r="71" spans="24:24" x14ac:dyDescent="0.25">
      <c r="X71" s="77"/>
    </row>
    <row r="72" spans="24:24" x14ac:dyDescent="0.25">
      <c r="X72" s="77"/>
    </row>
    <row r="73" spans="24:24" x14ac:dyDescent="0.25">
      <c r="X73" s="77"/>
    </row>
    <row r="74" spans="24:24" x14ac:dyDescent="0.25">
      <c r="X74" s="77"/>
    </row>
    <row r="75" spans="24:24" x14ac:dyDescent="0.25">
      <c r="X75" s="77"/>
    </row>
    <row r="76" spans="24:24" x14ac:dyDescent="0.25">
      <c r="X76" s="77"/>
    </row>
    <row r="77" spans="24:24" x14ac:dyDescent="0.25">
      <c r="X77" s="77"/>
    </row>
    <row r="78" spans="24:24" x14ac:dyDescent="0.25">
      <c r="X78" s="77"/>
    </row>
    <row r="79" spans="24:24" x14ac:dyDescent="0.25">
      <c r="X79" s="77"/>
    </row>
    <row r="80" spans="24:24" x14ac:dyDescent="0.25">
      <c r="X80" s="77"/>
    </row>
    <row r="81" spans="24:24" x14ac:dyDescent="0.25">
      <c r="X81" s="77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38"/>
  <sheetViews>
    <sheetView tabSelected="1" topLeftCell="H1" zoomScale="145" zoomScaleNormal="145" workbookViewId="0">
      <selection activeCell="R37" sqref="R37"/>
    </sheetView>
  </sheetViews>
  <sheetFormatPr baseColWidth="10" defaultRowHeight="13.5" x14ac:dyDescent="0.25"/>
  <cols>
    <col min="1" max="3" width="8.6640625" style="8" customWidth="1"/>
    <col min="4" max="31" width="10.1640625" style="8" customWidth="1"/>
    <col min="32" max="32" width="10.5" style="8" bestFit="1" customWidth="1"/>
    <col min="33" max="34" width="10.1640625" style="8" customWidth="1"/>
    <col min="35" max="16384" width="12" style="8"/>
  </cols>
  <sheetData>
    <row r="1" spans="1:41" ht="27.75" thickBot="1" x14ac:dyDescent="0.3">
      <c r="A1" s="72" t="s">
        <v>29</v>
      </c>
      <c r="B1" s="73" t="s">
        <v>30</v>
      </c>
      <c r="C1" s="83" t="s">
        <v>1</v>
      </c>
      <c r="D1" s="90" t="s">
        <v>84</v>
      </c>
      <c r="E1" s="82" t="s">
        <v>85</v>
      </c>
      <c r="F1" s="73" t="s">
        <v>72</v>
      </c>
      <c r="G1" s="73" t="s">
        <v>55</v>
      </c>
      <c r="H1" s="73" t="s">
        <v>54</v>
      </c>
      <c r="I1" s="143" t="s">
        <v>53</v>
      </c>
      <c r="J1" s="90" t="s">
        <v>31</v>
      </c>
      <c r="K1" s="82" t="s">
        <v>32</v>
      </c>
      <c r="L1" s="82" t="s">
        <v>44</v>
      </c>
      <c r="M1" s="90" t="s">
        <v>119</v>
      </c>
      <c r="N1" s="82" t="s">
        <v>120</v>
      </c>
      <c r="O1" s="82" t="s">
        <v>121</v>
      </c>
      <c r="P1" s="90" t="s">
        <v>33</v>
      </c>
      <c r="Q1" s="82" t="s">
        <v>34</v>
      </c>
      <c r="R1" s="82" t="s">
        <v>49</v>
      </c>
      <c r="S1" s="90" t="s">
        <v>51</v>
      </c>
      <c r="T1" s="82" t="s">
        <v>52</v>
      </c>
      <c r="U1" s="143" t="s">
        <v>50</v>
      </c>
      <c r="V1" s="82" t="s">
        <v>13</v>
      </c>
      <c r="W1" s="82" t="s">
        <v>103</v>
      </c>
      <c r="X1" s="82" t="s">
        <v>112</v>
      </c>
      <c r="Y1" s="82" t="s">
        <v>113</v>
      </c>
      <c r="Z1" s="82" t="s">
        <v>114</v>
      </c>
      <c r="AA1" s="82" t="s">
        <v>115</v>
      </c>
      <c r="AB1" s="82" t="s">
        <v>117</v>
      </c>
      <c r="AC1" s="82" t="s">
        <v>118</v>
      </c>
      <c r="AD1" s="82" t="s">
        <v>106</v>
      </c>
      <c r="AE1" s="82" t="s">
        <v>67</v>
      </c>
      <c r="AF1" s="82" t="s">
        <v>68</v>
      </c>
      <c r="AG1" s="82" t="s">
        <v>90</v>
      </c>
      <c r="AH1" s="143" t="s">
        <v>14</v>
      </c>
      <c r="AI1" s="69"/>
    </row>
    <row r="2" spans="1:41" x14ac:dyDescent="0.25">
      <c r="A2" s="45">
        <v>2020</v>
      </c>
      <c r="B2" s="30">
        <v>2020</v>
      </c>
      <c r="C2" s="87">
        <v>2020</v>
      </c>
      <c r="D2" s="91">
        <f>EUETS_annual!H9</f>
        <v>738.64079000000038</v>
      </c>
      <c r="E2" s="74">
        <f>EUETS_annual!I9</f>
        <v>990.44226700000308</v>
      </c>
      <c r="F2" s="74">
        <f>EUETS_annual!G9</f>
        <v>28.623086000000001</v>
      </c>
      <c r="G2" s="74">
        <f>EUETS_annual!L9</f>
        <v>1154.1302700000001</v>
      </c>
      <c r="H2" s="74">
        <f>EUETS_annual!K9</f>
        <v>778.50500000000011</v>
      </c>
      <c r="I2" s="114">
        <f>EUETS_annual!F9</f>
        <v>1545.7688760000005</v>
      </c>
      <c r="J2" s="91">
        <f>EUETS_annual!AN8</f>
        <v>1385.4961659999994</v>
      </c>
      <c r="K2" s="74">
        <f>EUETS_annual!AN9</f>
        <v>1578.7724260000032</v>
      </c>
      <c r="L2" s="74">
        <f>EUETS_annual!AQ9</f>
        <v>-193.27626000000373</v>
      </c>
      <c r="M2" s="91">
        <f>EUETS_annual!AP8</f>
        <v>885.49616599999945</v>
      </c>
      <c r="N2" s="74">
        <f>EUETS_annual!AP9</f>
        <v>1078.7724260000032</v>
      </c>
      <c r="O2" s="74">
        <f>(M2-N2)</f>
        <v>-193.27626000000373</v>
      </c>
      <c r="P2" s="91">
        <f>EUETS_annual!AT8</f>
        <v>1297.124722</v>
      </c>
      <c r="Q2" s="74">
        <f>EUETS_annual!AT9</f>
        <v>1924.551469</v>
      </c>
      <c r="R2" s="74">
        <f t="shared" ref="R2:R12" si="0">(Q2-P2+U2)/1</f>
        <v>627.42674699999998</v>
      </c>
      <c r="S2" s="91">
        <f>EUETS_annual!AM8</f>
        <v>0</v>
      </c>
      <c r="T2" s="74">
        <f>EUETS_annual!AM9</f>
        <v>0</v>
      </c>
      <c r="U2" s="114">
        <f>T2-S2</f>
        <v>0</v>
      </c>
      <c r="V2" s="74">
        <f>EUETS_annual!Y9</f>
        <v>718.75494315779861</v>
      </c>
      <c r="W2" s="74">
        <f>EUETS_annual!Z9</f>
        <v>0</v>
      </c>
      <c r="X2" s="74">
        <f>EUETS_annual!AA9</f>
        <v>633.64486084220198</v>
      </c>
      <c r="Y2" s="74">
        <f>EUETS_annual!AB9</f>
        <v>0</v>
      </c>
      <c r="Z2" s="74">
        <f>EUETS_annual!AC9</f>
        <v>0</v>
      </c>
      <c r="AA2" s="74">
        <f>EUETS_annual!AD9</f>
        <v>0</v>
      </c>
      <c r="AB2" s="74">
        <f>co2elec_annual!H41</f>
        <v>718.75494315779861</v>
      </c>
      <c r="AC2" s="74">
        <f>co2elec_annual!I41</f>
        <v>633.64486084220198</v>
      </c>
      <c r="AD2" s="74">
        <f>EUETS_annual!AE9</f>
        <v>0</v>
      </c>
      <c r="AE2" s="74">
        <f>co2elec_annual!K41</f>
        <v>1</v>
      </c>
      <c r="AF2" s="74">
        <f>co2elec_annual!M41</f>
        <v>0.88160000000000005</v>
      </c>
      <c r="AG2" s="74">
        <f>EUETS_annual!AL9</f>
        <v>9.2812000000000006E-2</v>
      </c>
      <c r="AH2" s="114">
        <f>EUETS_annual!AH9</f>
        <v>1352.3998040000006</v>
      </c>
      <c r="AI2" s="95"/>
      <c r="AJ2" s="10"/>
      <c r="AK2" s="10"/>
      <c r="AL2" s="10"/>
      <c r="AN2" s="10"/>
      <c r="AO2" s="10"/>
    </row>
    <row r="3" spans="1:41" x14ac:dyDescent="0.25">
      <c r="A3" s="45">
        <f>A2+1</f>
        <v>2021</v>
      </c>
      <c r="B3" s="30">
        <f t="shared" ref="B3:C3" si="1">B2+1</f>
        <v>2021</v>
      </c>
      <c r="C3" s="87">
        <f t="shared" si="1"/>
        <v>2021</v>
      </c>
      <c r="D3" s="91">
        <f>EUETS_annual!H10</f>
        <v>552</v>
      </c>
      <c r="E3" s="74">
        <f>EUETS_annual!I10</f>
        <v>937.29631900000254</v>
      </c>
      <c r="F3" s="74">
        <f>EUETS_annual!G10</f>
        <v>25.616902000000014</v>
      </c>
      <c r="G3" s="74">
        <f>EUETS_annual!L10</f>
        <v>906.07811500000025</v>
      </c>
      <c r="H3" s="74">
        <f>EUETS_annual!K10</f>
        <v>582.95250000000033</v>
      </c>
      <c r="I3" s="114">
        <f>EUETS_annual!F10</f>
        <v>1160.5694020000003</v>
      </c>
      <c r="J3" s="91">
        <f>EUETS_annual!AN9</f>
        <v>1578.7724260000032</v>
      </c>
      <c r="K3" s="74">
        <f>EUETS_annual!AN10</f>
        <v>1449.2141820000052</v>
      </c>
      <c r="L3" s="74">
        <f>EUETS_annual!AQ10</f>
        <v>129.55824399999801</v>
      </c>
      <c r="M3" s="91">
        <f>EUETS_annual!AP9</f>
        <v>1078.7724260000032</v>
      </c>
      <c r="N3" s="74">
        <f>EUETS_annual!AP10</f>
        <v>949.21418200000517</v>
      </c>
      <c r="O3" s="74">
        <f t="shared" ref="O3:O15" si="2">(M3-N3)/(A3-A2)</f>
        <v>129.55824399999801</v>
      </c>
      <c r="P3" s="91">
        <f>EUETS_annual!AT9</f>
        <v>1924.551469</v>
      </c>
      <c r="Q3" s="74">
        <f>EUETS_annual!AT10</f>
        <v>2632.6820619999999</v>
      </c>
      <c r="R3" s="74">
        <f t="shared" si="0"/>
        <v>708.13059299999986</v>
      </c>
      <c r="S3" s="91">
        <f>EUETS_annual!AM9</f>
        <v>0</v>
      </c>
      <c r="T3" s="74">
        <f>EUETS_annual!AM10</f>
        <v>0</v>
      </c>
      <c r="U3" s="114">
        <f t="shared" ref="U3:U12" si="3">T3-S3</f>
        <v>0</v>
      </c>
      <c r="V3" s="74">
        <f>EUETS_annual!Y10</f>
        <v>653.98292997142676</v>
      </c>
      <c r="W3" s="74">
        <f>EUETS_annual!Z10</f>
        <v>0</v>
      </c>
      <c r="X3" s="74">
        <f>EUETS_annual!AA10</f>
        <v>636.25556802857386</v>
      </c>
      <c r="Y3" s="74">
        <f>EUETS_annual!AB10</f>
        <v>0</v>
      </c>
      <c r="Z3" s="74">
        <f>EUETS_annual!AC10</f>
        <v>0</v>
      </c>
      <c r="AA3" s="74">
        <f>EUETS_annual!AD10</f>
        <v>0</v>
      </c>
      <c r="AB3" s="74">
        <f>co2elec_annual!H42</f>
        <v>653.98292997142676</v>
      </c>
      <c r="AC3" s="74">
        <f>co2elec_annual!I42</f>
        <v>636.25556802857386</v>
      </c>
      <c r="AD3" s="74">
        <f>EUETS_annual!AE10</f>
        <v>0</v>
      </c>
      <c r="AE3" s="74">
        <f>co2elec_annual!K42</f>
        <v>1</v>
      </c>
      <c r="AF3" s="74">
        <f>co2elec_annual!M42</f>
        <v>0.97289999999999999</v>
      </c>
      <c r="AG3" s="74">
        <f>EUETS_annual!AL10</f>
        <v>0.18048900000000007</v>
      </c>
      <c r="AH3" s="114">
        <f>EUETS_annual!AH10</f>
        <v>1290.2384980000006</v>
      </c>
      <c r="AI3" s="95"/>
      <c r="AJ3" s="10"/>
    </row>
    <row r="4" spans="1:41" x14ac:dyDescent="0.25">
      <c r="A4" s="45">
        <f t="shared" ref="A4:A10" si="4">A3+1</f>
        <v>2022</v>
      </c>
      <c r="B4" s="30">
        <f t="shared" ref="B4:B11" si="5">B3+1</f>
        <v>2022</v>
      </c>
      <c r="C4" s="87">
        <f t="shared" ref="C4:C11" si="6">C3+1</f>
        <v>2022</v>
      </c>
      <c r="D4" s="91">
        <f>EUETS_annual!H11</f>
        <v>714.18518310000013</v>
      </c>
      <c r="E4" s="74">
        <f>EUETS_annual!I11</f>
        <v>714.18518310000013</v>
      </c>
      <c r="F4" s="74">
        <f>EUETS_annual!G11</f>
        <v>7.2137890000000002</v>
      </c>
      <c r="G4" s="74">
        <f>EUETS_annual!L11</f>
        <v>838.39130189999969</v>
      </c>
      <c r="H4" s="74">
        <f>EUETS_annual!K11</f>
        <v>469.85057689999962</v>
      </c>
      <c r="I4" s="114">
        <f>EUETS_annual!F11</f>
        <v>1184.0357599999998</v>
      </c>
      <c r="J4" s="91">
        <f>EUETS_annual!AN10</f>
        <v>1449.2141820000052</v>
      </c>
      <c r="K4" s="74">
        <f>EUETS_annual!AN11</f>
        <v>1134.794738000001</v>
      </c>
      <c r="L4" s="74">
        <f>EUETS_annual!AQ11</f>
        <v>314.41944400000421</v>
      </c>
      <c r="M4" s="91">
        <f>EUETS_annual!AP10</f>
        <v>949.21418200000517</v>
      </c>
      <c r="N4" s="74">
        <f>EUETS_annual!AP11</f>
        <v>634.79473800000096</v>
      </c>
      <c r="O4" s="74">
        <f t="shared" si="2"/>
        <v>314.41944400000421</v>
      </c>
      <c r="P4" s="91">
        <f>EUETS_annual!AT10</f>
        <v>2632.6820619999999</v>
      </c>
      <c r="Q4" s="74">
        <f>EUETS_annual!AT11</f>
        <v>3001.2227870000002</v>
      </c>
      <c r="R4" s="74">
        <f t="shared" si="0"/>
        <v>368.54072500000029</v>
      </c>
      <c r="S4" s="91">
        <f>EUETS_annual!AM10</f>
        <v>0</v>
      </c>
      <c r="T4" s="74">
        <f>EUETS_annual!AM11</f>
        <v>0</v>
      </c>
      <c r="U4" s="114">
        <f t="shared" si="3"/>
        <v>0</v>
      </c>
      <c r="V4" s="74">
        <f>EUETS_annual!Y11</f>
        <v>664.21799999999996</v>
      </c>
      <c r="W4" s="74">
        <f>EUETS_annual!Z11</f>
        <v>81.034595999999993</v>
      </c>
      <c r="X4" s="74">
        <f>EUETS_annual!AA11</f>
        <v>682.17957799999829</v>
      </c>
      <c r="Y4" s="74">
        <f>EUETS_annual!AB11</f>
        <v>0</v>
      </c>
      <c r="Z4" s="74">
        <f>EUETS_annual!AC11</f>
        <v>0</v>
      </c>
      <c r="AA4" s="74">
        <f>EUETS_annual!AD11</f>
        <v>0</v>
      </c>
      <c r="AB4" s="74">
        <f>co2elec_annual!H43</f>
        <v>664.21799999999996</v>
      </c>
      <c r="AC4" s="74">
        <f>co2elec_annual!I43</f>
        <v>682.17957799999829</v>
      </c>
      <c r="AD4" s="74">
        <f>EUETS_annual!AE11</f>
        <v>20.465387339999946</v>
      </c>
      <c r="AE4" s="74">
        <f>co2elec_annual!K43</f>
        <v>1</v>
      </c>
      <c r="AF4" s="74">
        <f>co2elec_annual!M43</f>
        <v>1.0269999999999999</v>
      </c>
      <c r="AG4" s="74">
        <f>EUETS_annual!AL11</f>
        <v>2.271499999999993E-2</v>
      </c>
      <c r="AH4" s="114">
        <f>EUETS_annual!AH11</f>
        <v>1346.3975779999982</v>
      </c>
      <c r="AI4" s="95"/>
      <c r="AJ4" s="10"/>
    </row>
    <row r="5" spans="1:41" x14ac:dyDescent="0.25">
      <c r="A5" s="45">
        <f t="shared" si="4"/>
        <v>2023</v>
      </c>
      <c r="B5" s="30">
        <f t="shared" si="5"/>
        <v>2023</v>
      </c>
      <c r="C5" s="87">
        <f t="shared" si="6"/>
        <v>2023</v>
      </c>
      <c r="D5" s="91">
        <f>EUETS_annual!H12</f>
        <v>663.9921068000001</v>
      </c>
      <c r="E5" s="74">
        <f>EUETS_annual!I12</f>
        <v>593.17559433080078</v>
      </c>
      <c r="F5" s="74">
        <f>EUETS_annual!G12</f>
        <v>0</v>
      </c>
      <c r="G5" s="74">
        <f>EUETS_annual!L12</f>
        <v>845.08086319999961</v>
      </c>
      <c r="H5" s="74">
        <f>EUETS_annual!K12</f>
        <v>572.73012607999931</v>
      </c>
      <c r="I5" s="114">
        <f>EUETS_annual!F12</f>
        <v>1236.7222328799994</v>
      </c>
      <c r="J5" s="91">
        <f>EUETS_annual!AN11</f>
        <v>1134.794738000001</v>
      </c>
      <c r="K5" s="74">
        <f>EUETS_annual!AN12</f>
        <v>1069.8665881552665</v>
      </c>
      <c r="L5" s="74">
        <f>EUETS_annual!AQ12</f>
        <v>64.928149844734435</v>
      </c>
      <c r="M5" s="91">
        <f>EUETS_annual!AP11</f>
        <v>634.79473800000096</v>
      </c>
      <c r="N5" s="74">
        <f>EUETS_annual!AP12</f>
        <v>591.60571859004915</v>
      </c>
      <c r="O5" s="74">
        <f t="shared" si="2"/>
        <v>43.189019409951811</v>
      </c>
      <c r="P5" s="91">
        <f>EUETS_annual!AT11</f>
        <v>3001.2227870000002</v>
      </c>
      <c r="Q5" s="74">
        <f>EUETS_annual!AT12</f>
        <v>469.85057689999985</v>
      </c>
      <c r="R5" s="74">
        <f t="shared" si="0"/>
        <v>272.3507371200003</v>
      </c>
      <c r="S5" s="91">
        <f>EUETS_annual!AM11</f>
        <v>0</v>
      </c>
      <c r="T5" s="74">
        <f>EUETS_annual!AM12</f>
        <v>2803.7229472200006</v>
      </c>
      <c r="U5" s="114">
        <f t="shared" si="3"/>
        <v>2803.7229472200006</v>
      </c>
      <c r="V5" s="74">
        <f>EUETS_annual!Y12</f>
        <v>620.495271831286</v>
      </c>
      <c r="W5" s="74">
        <f>EUETS_annual!Z12</f>
        <v>75.700423163416886</v>
      </c>
      <c r="X5" s="74">
        <f>EUETS_annual!AA12</f>
        <v>608.49357243191093</v>
      </c>
      <c r="Y5" s="74">
        <f>EUETS_annual!AB12</f>
        <v>72.66153846153847</v>
      </c>
      <c r="Z5" s="74">
        <f>EUETS_annual!AC12</f>
        <v>0</v>
      </c>
      <c r="AA5" s="74">
        <f>EUETS_annual!AD12</f>
        <v>-21.739130434782624</v>
      </c>
      <c r="AB5" s="74">
        <f>co2elec_annual!H44</f>
        <v>620.495271831286</v>
      </c>
      <c r="AC5" s="74">
        <f>co2elec_annual!I44</f>
        <v>608.47728955976652</v>
      </c>
      <c r="AD5" s="74">
        <f>EUETS_annual!AE12</f>
        <v>18.254318686792995</v>
      </c>
      <c r="AE5" s="74">
        <f>co2elec_annual!K44</f>
        <v>0.25</v>
      </c>
      <c r="AF5" s="74">
        <f>co2elec_annual!M44</f>
        <v>0.98060000000000003</v>
      </c>
      <c r="AG5" s="74">
        <f>EUETS_annual!AL12</f>
        <v>0</v>
      </c>
      <c r="AH5" s="114">
        <f>EUETS_annual!AH12</f>
        <v>1301.6503827247352</v>
      </c>
      <c r="AI5" s="95"/>
      <c r="AJ5" s="10"/>
    </row>
    <row r="6" spans="1:41" x14ac:dyDescent="0.25">
      <c r="A6" s="45">
        <f t="shared" si="4"/>
        <v>2024</v>
      </c>
      <c r="B6" s="30">
        <f t="shared" si="5"/>
        <v>2024</v>
      </c>
      <c r="C6" s="87">
        <f t="shared" si="6"/>
        <v>2024</v>
      </c>
      <c r="D6" s="91">
        <f>EUETS_annual!H13</f>
        <v>578.85887709999986</v>
      </c>
      <c r="E6" s="74">
        <f>EUETS_annual!I13</f>
        <v>594.32570921612717</v>
      </c>
      <c r="F6" s="74">
        <f>EUETS_annual!G13</f>
        <v>0</v>
      </c>
      <c r="G6" s="74">
        <f>EUETS_annual!L13</f>
        <v>835.21409289999986</v>
      </c>
      <c r="H6" s="74">
        <f>EUETS_annual!K13</f>
        <v>706.8301023213678</v>
      </c>
      <c r="I6" s="114">
        <f>EUETS_annual!F13</f>
        <v>1285.6889794213675</v>
      </c>
      <c r="J6" s="91">
        <f>EUETS_annual!AN12</f>
        <v>1069.8665881552665</v>
      </c>
      <c r="K6" s="74">
        <f>EUETS_annual!AN13</f>
        <v>987.01609153208483</v>
      </c>
      <c r="L6" s="74">
        <f>EUETS_annual!AQ13</f>
        <v>82.850496623181698</v>
      </c>
      <c r="M6" s="91">
        <f>EUETS_annual!AP12</f>
        <v>591.60571859004915</v>
      </c>
      <c r="N6" s="74">
        <f>EUETS_annual!AP13</f>
        <v>530.49435240165008</v>
      </c>
      <c r="O6" s="74">
        <f t="shared" si="2"/>
        <v>61.111366188399074</v>
      </c>
      <c r="P6" s="91">
        <f>EUETS_annual!AT12</f>
        <v>469.85057689999985</v>
      </c>
      <c r="Q6" s="74">
        <f>EUETS_annual!AT13</f>
        <v>400</v>
      </c>
      <c r="R6" s="74">
        <f t="shared" si="0"/>
        <v>128.38399057863217</v>
      </c>
      <c r="S6" s="91">
        <f>EUETS_annual!AM12</f>
        <v>2803.7229472200006</v>
      </c>
      <c r="T6" s="74">
        <f>EUETS_annual!AM13</f>
        <v>3001.9575146986326</v>
      </c>
      <c r="U6" s="114">
        <f t="shared" si="3"/>
        <v>198.23456747863202</v>
      </c>
      <c r="V6" s="74">
        <f>EUETS_annual!Y13</f>
        <v>617.6955609151197</v>
      </c>
      <c r="W6" s="74">
        <f>EUETS_annual!Z13</f>
        <v>68.191628135658704</v>
      </c>
      <c r="X6" s="74">
        <f>EUETS_annual!AA13</f>
        <v>638.70545359097105</v>
      </c>
      <c r="Y6" s="74">
        <f>EUETS_annual!AB13</f>
        <v>73.738461538461536</v>
      </c>
      <c r="Z6" s="74">
        <f>EUETS_annual!AC13</f>
        <v>38.400000000000006</v>
      </c>
      <c r="AA6" s="74">
        <f>EUETS_annual!AD13</f>
        <v>-21.739130434782567</v>
      </c>
      <c r="AB6" s="74">
        <f>co2elec_annual!H45</f>
        <v>558.94777160375986</v>
      </c>
      <c r="AC6" s="74">
        <f>co2elec_annual!I45</f>
        <v>592.03240435704822</v>
      </c>
      <c r="AD6" s="74">
        <f>EUETS_annual!AE13</f>
        <v>17.760972130711448</v>
      </c>
      <c r="AE6" s="74">
        <f>co2elec_annual!K45</f>
        <v>0.25</v>
      </c>
      <c r="AF6" s="74">
        <f>co2elec_annual!M45</f>
        <v>1.0591999999999999</v>
      </c>
      <c r="AG6" s="74">
        <f>EUETS_annual!AL13</f>
        <v>0</v>
      </c>
      <c r="AH6" s="114">
        <f>EUETS_annual!AH13</f>
        <v>1368.5394760445522</v>
      </c>
      <c r="AI6" s="95"/>
      <c r="AJ6" s="10"/>
    </row>
    <row r="7" spans="1:41" x14ac:dyDescent="0.25">
      <c r="A7" s="45">
        <f t="shared" si="4"/>
        <v>2025</v>
      </c>
      <c r="B7" s="30">
        <f t="shared" si="5"/>
        <v>2025</v>
      </c>
      <c r="C7" s="87">
        <f t="shared" si="6"/>
        <v>2025</v>
      </c>
      <c r="D7" s="91">
        <f>EUETS_annual!H14</f>
        <v>526.05564739999988</v>
      </c>
      <c r="E7" s="74">
        <f>EUETS_annual!I14</f>
        <v>568.17377223431333</v>
      </c>
      <c r="F7" s="74">
        <f>EUETS_annual!G14</f>
        <v>0</v>
      </c>
      <c r="G7" s="74">
        <f>EUETS_annual!L14</f>
        <v>800.01732259999983</v>
      </c>
      <c r="H7" s="74">
        <f>EUETS_annual!K14</f>
        <v>646.00123106791489</v>
      </c>
      <c r="I7" s="114">
        <f>EUETS_annual!F14</f>
        <v>1172.0568784679149</v>
      </c>
      <c r="J7" s="91">
        <f>EUETS_annual!AN13</f>
        <v>987.01609153208483</v>
      </c>
      <c r="K7" s="74">
        <f>EUETS_annual!AN14</f>
        <v>820.80106302989589</v>
      </c>
      <c r="L7" s="74">
        <f>EUETS_annual!AQ14</f>
        <v>166.21502850218894</v>
      </c>
      <c r="M7" s="91">
        <f>EUETS_annual!AP13</f>
        <v>530.49435240165008</v>
      </c>
      <c r="N7" s="74">
        <f>EUETS_annual!AP14</f>
        <v>386.0184543342437</v>
      </c>
      <c r="O7" s="74">
        <f t="shared" si="2"/>
        <v>144.47589806740638</v>
      </c>
      <c r="P7" s="91">
        <f>EUETS_annual!AT13</f>
        <v>400</v>
      </c>
      <c r="Q7" s="74">
        <f>EUETS_annual!AT14</f>
        <v>400</v>
      </c>
      <c r="R7" s="74">
        <f t="shared" si="0"/>
        <v>154.01609153208483</v>
      </c>
      <c r="S7" s="91">
        <f>EUETS_annual!AM13</f>
        <v>3001.9575146986326</v>
      </c>
      <c r="T7" s="74">
        <f>EUETS_annual!AM14</f>
        <v>3155.9736062307175</v>
      </c>
      <c r="U7" s="114">
        <f t="shared" si="3"/>
        <v>154.01609153208483</v>
      </c>
      <c r="V7" s="74">
        <f>EUETS_annual!Y14</f>
        <v>555.12580000779815</v>
      </c>
      <c r="W7" s="74">
        <f>EUETS_annual!Z14</f>
        <v>61.28412525186274</v>
      </c>
      <c r="X7" s="74">
        <f>EUETS_annual!AA14</f>
        <v>641.13072234691924</v>
      </c>
      <c r="Y7" s="74">
        <f>EUETS_annual!AB14</f>
        <v>74.815384615384616</v>
      </c>
      <c r="Z7" s="74">
        <f>EUETS_annual!AC14</f>
        <v>67.199999999999989</v>
      </c>
      <c r="AA7" s="74">
        <f>EUETS_annual!AD14</f>
        <v>-21.739130434782624</v>
      </c>
      <c r="AB7" s="74">
        <f>co2elec_annual!H46</f>
        <v>502.32889550707165</v>
      </c>
      <c r="AC7" s="74">
        <f>co2elec_annual!I46</f>
        <v>594.27055025594154</v>
      </c>
      <c r="AD7" s="74">
        <f>EUETS_annual!AE14</f>
        <v>17.828116507678246</v>
      </c>
      <c r="AE7" s="74">
        <f>co2elec_annual!K46</f>
        <v>0.25</v>
      </c>
      <c r="AF7" s="74">
        <f>co2elec_annual!M46</f>
        <v>1.1830000000000001</v>
      </c>
      <c r="AG7" s="74">
        <f>EUETS_annual!AL14</f>
        <v>0</v>
      </c>
      <c r="AH7" s="114">
        <f>EUETS_annual!AH14</f>
        <v>1338.271906970102</v>
      </c>
      <c r="AI7" s="95"/>
      <c r="AJ7" s="10"/>
      <c r="AK7" s="10"/>
      <c r="AL7" s="10"/>
      <c r="AN7" s="10"/>
      <c r="AO7" s="10"/>
    </row>
    <row r="8" spans="1:41" x14ac:dyDescent="0.25">
      <c r="A8" s="45">
        <f t="shared" si="4"/>
        <v>2026</v>
      </c>
      <c r="B8" s="30">
        <f t="shared" si="5"/>
        <v>2026</v>
      </c>
      <c r="C8" s="87">
        <f t="shared" si="6"/>
        <v>2026</v>
      </c>
      <c r="D8" s="91">
        <f>EUETS_annual!H15</f>
        <v>512.90425621499992</v>
      </c>
      <c r="E8" s="74">
        <f>EUETS_annual!I15</f>
        <v>535.64581831381088</v>
      </c>
      <c r="F8" s="74">
        <f>EUETS_annual!G15</f>
        <v>0</v>
      </c>
      <c r="G8" s="74">
        <f>EUETS_annual!L15</f>
        <v>698.1687137849998</v>
      </c>
      <c r="H8" s="74">
        <f>EUETS_annual!K15</f>
        <v>698.16871378499991</v>
      </c>
      <c r="I8" s="114">
        <f>EUETS_annual!F15</f>
        <v>1211.0729699999997</v>
      </c>
      <c r="J8" s="91">
        <f>EUETS_annual!AN14</f>
        <v>820.80106302989589</v>
      </c>
      <c r="K8" s="74">
        <f>EUETS_annual!AN15</f>
        <v>685.23908315516383</v>
      </c>
      <c r="L8" s="74">
        <f>EUETS_annual!AQ15</f>
        <v>135.56197987473206</v>
      </c>
      <c r="M8" s="91">
        <f>EUETS_annual!AP14</f>
        <v>386.0184543342437</v>
      </c>
      <c r="N8" s="74">
        <f>EUETS_annual!AP15</f>
        <v>272.19560489429426</v>
      </c>
      <c r="O8" s="74">
        <f t="shared" si="2"/>
        <v>113.82284943994944</v>
      </c>
      <c r="P8" s="91">
        <f>EUETS_annual!AT14</f>
        <v>400</v>
      </c>
      <c r="Q8" s="74">
        <f>EUETS_annual!AT15</f>
        <v>400</v>
      </c>
      <c r="R8" s="74">
        <f t="shared" si="0"/>
        <v>0</v>
      </c>
      <c r="S8" s="91">
        <f>EUETS_annual!AM14</f>
        <v>3155.9736062307175</v>
      </c>
      <c r="T8" s="74">
        <f>EUETS_annual!AM15</f>
        <v>3155.9736062307175</v>
      </c>
      <c r="U8" s="114">
        <f t="shared" si="3"/>
        <v>0</v>
      </c>
      <c r="V8" s="74">
        <f>EUETS_annual!Y15</f>
        <v>538.50476604415064</v>
      </c>
      <c r="W8" s="74">
        <f>EUETS_annual!Z15</f>
        <v>59.449215890364265</v>
      </c>
      <c r="X8" s="74">
        <f>EUETS_annual!AA15</f>
        <v>636.23787613827551</v>
      </c>
      <c r="Y8" s="74">
        <f>EUETS_annual!AB15</f>
        <v>75.892307692307696</v>
      </c>
      <c r="Z8" s="74">
        <f>EUETS_annual!AC15</f>
        <v>96</v>
      </c>
      <c r="AA8" s="74">
        <f>EUETS_annual!AD15</f>
        <v>-21.739130434782624</v>
      </c>
      <c r="AB8" s="74">
        <f>co2elec_annual!H47</f>
        <v>487.28865483905139</v>
      </c>
      <c r="AC8" s="74">
        <f>co2elec_annual!I47</f>
        <v>589.74858936311455</v>
      </c>
      <c r="AD8" s="74">
        <f>EUETS_annual!AE15</f>
        <v>17.692457680893437</v>
      </c>
      <c r="AE8" s="74">
        <f>co2elec_annual!K47</f>
        <v>0.25</v>
      </c>
      <c r="AF8" s="74">
        <f>co2elec_annual!M47</f>
        <v>1.2102999999999999</v>
      </c>
      <c r="AG8" s="74">
        <f>EUETS_annual!AL15</f>
        <v>0</v>
      </c>
      <c r="AH8" s="114">
        <f>EUETS_annual!AH15</f>
        <v>1346.6349498747338</v>
      </c>
      <c r="AI8" s="95"/>
      <c r="AJ8" s="10"/>
    </row>
    <row r="9" spans="1:41" x14ac:dyDescent="0.25">
      <c r="A9" s="45">
        <f t="shared" si="4"/>
        <v>2027</v>
      </c>
      <c r="B9" s="30">
        <f t="shared" si="5"/>
        <v>2027</v>
      </c>
      <c r="C9" s="87">
        <f t="shared" si="6"/>
        <v>2027</v>
      </c>
      <c r="D9" s="91">
        <f>EUETS_annual!H16</f>
        <v>499.7528650299999</v>
      </c>
      <c r="E9" s="74">
        <f>EUETS_annual!I16</f>
        <v>503.91885557301458</v>
      </c>
      <c r="F9" s="74">
        <f>EUETS_annual!G16</f>
        <v>0</v>
      </c>
      <c r="G9" s="74">
        <f>EUETS_annual!L16</f>
        <v>623.32010496999987</v>
      </c>
      <c r="H9" s="74">
        <f>EUETS_annual!K16</f>
        <v>623.32010496999987</v>
      </c>
      <c r="I9" s="114">
        <f>EUETS_annual!F16</f>
        <v>1123.0729699999997</v>
      </c>
      <c r="J9" s="91">
        <f>EUETS_annual!AN15</f>
        <v>685.23908315516383</v>
      </c>
      <c r="K9" s="74">
        <f>EUETS_annual!AN16</f>
        <v>489.346334127109</v>
      </c>
      <c r="L9" s="74">
        <f>EUETS_annual!AQ16</f>
        <v>195.89274902805482</v>
      </c>
      <c r="M9" s="91">
        <f>EUETS_annual!AP15</f>
        <v>272.19560489429426</v>
      </c>
      <c r="N9" s="74">
        <f>EUETS_annual!AP16</f>
        <v>98.041986301022064</v>
      </c>
      <c r="O9" s="74">
        <f t="shared" si="2"/>
        <v>174.1536185932722</v>
      </c>
      <c r="P9" s="91">
        <f>EUETS_annual!AT15</f>
        <v>400</v>
      </c>
      <c r="Q9" s="74">
        <f>EUETS_annual!AT16</f>
        <v>400</v>
      </c>
      <c r="R9" s="74">
        <f t="shared" si="0"/>
        <v>0</v>
      </c>
      <c r="S9" s="91">
        <f>EUETS_annual!AM15</f>
        <v>3155.9736062307175</v>
      </c>
      <c r="T9" s="74">
        <f>EUETS_annual!AM16</f>
        <v>3155.9736062307175</v>
      </c>
      <c r="U9" s="114">
        <f t="shared" si="3"/>
        <v>0</v>
      </c>
      <c r="V9" s="74">
        <f>EUETS_annual!Y16</f>
        <v>514.1908375817012</v>
      </c>
      <c r="W9" s="74">
        <f>EUETS_annual!Z16</f>
        <v>56.765035408684895</v>
      </c>
      <c r="X9" s="74">
        <f>EUETS_annual!AA16</f>
        <v>631.80565067712587</v>
      </c>
      <c r="Y9" s="74">
        <f>EUETS_annual!AB16</f>
        <v>76.969230769230776</v>
      </c>
      <c r="Z9" s="74">
        <f>EUETS_annual!AC16</f>
        <v>96</v>
      </c>
      <c r="AA9" s="74">
        <f>EUETS_annual!AD16</f>
        <v>-21.739130434782624</v>
      </c>
      <c r="AB9" s="74">
        <f>co2elec_annual!H48</f>
        <v>465.28717548102372</v>
      </c>
      <c r="AC9" s="74">
        <f>co2elec_annual!I48</f>
        <v>585.63804370882644</v>
      </c>
      <c r="AD9" s="74">
        <f>EUETS_annual!AE16</f>
        <v>17.569141311264794</v>
      </c>
      <c r="AE9" s="74">
        <f>co2elec_annual!K48</f>
        <v>0.25</v>
      </c>
      <c r="AF9" s="74">
        <f>co2elec_annual!M48</f>
        <v>1.2586999999999999</v>
      </c>
      <c r="AG9" s="74">
        <f>EUETS_annual!AL16</f>
        <v>0</v>
      </c>
      <c r="AH9" s="114">
        <f>EUETS_annual!AH16</f>
        <v>1318.9657190280577</v>
      </c>
      <c r="AI9" s="95"/>
      <c r="AJ9" s="10"/>
    </row>
    <row r="10" spans="1:41" x14ac:dyDescent="0.25">
      <c r="A10" s="45">
        <f t="shared" si="4"/>
        <v>2028</v>
      </c>
      <c r="B10" s="30">
        <f t="shared" si="5"/>
        <v>2028</v>
      </c>
      <c r="C10" s="87">
        <f t="shared" si="6"/>
        <v>2028</v>
      </c>
      <c r="D10" s="91">
        <f>EUETS_annual!H17</f>
        <v>473.45008265999991</v>
      </c>
      <c r="E10" s="74">
        <f>EUETS_annual!I17</f>
        <v>426.00480167393778</v>
      </c>
      <c r="F10" s="74">
        <f>EUETS_annual!G17</f>
        <v>0</v>
      </c>
      <c r="G10" s="74">
        <f>EUETS_annual!L17</f>
        <v>559.62288733999981</v>
      </c>
      <c r="H10" s="74">
        <f>EUETS_annual!K17</f>
        <v>559.62288733999981</v>
      </c>
      <c r="I10" s="114">
        <f>EUETS_annual!F17</f>
        <v>1033.0729699999997</v>
      </c>
      <c r="J10" s="91">
        <f>EUETS_annual!AN16</f>
        <v>489.346334127109</v>
      </c>
      <c r="K10" s="74">
        <f>EUETS_annual!AN17</f>
        <v>277.97096170486475</v>
      </c>
      <c r="L10" s="74">
        <f>EUETS_annual!AQ17</f>
        <v>211.37537242224425</v>
      </c>
      <c r="M10" s="91">
        <f>EUETS_annual!AP16</f>
        <v>98.041986301022064</v>
      </c>
      <c r="N10" s="74">
        <f>EUETS_annual!AP17</f>
        <v>0</v>
      </c>
      <c r="O10" s="74">
        <f t="shared" si="2"/>
        <v>98.041986301022064</v>
      </c>
      <c r="P10" s="91">
        <f>EUETS_annual!AT16</f>
        <v>400</v>
      </c>
      <c r="Q10" s="74">
        <f>EUETS_annual!AT17</f>
        <v>400</v>
      </c>
      <c r="R10" s="74">
        <f t="shared" si="0"/>
        <v>0</v>
      </c>
      <c r="S10" s="91">
        <f>EUETS_annual!AM16</f>
        <v>3155.9736062307175</v>
      </c>
      <c r="T10" s="74">
        <f>EUETS_annual!AM17</f>
        <v>3155.9736062307175</v>
      </c>
      <c r="U10" s="114">
        <f t="shared" si="3"/>
        <v>0</v>
      </c>
      <c r="V10" s="74">
        <f>EUETS_annual!Y17</f>
        <v>504.86525237884962</v>
      </c>
      <c r="W10" s="74">
        <f>EUETS_annual!Z17</f>
        <v>55.735520420171575</v>
      </c>
      <c r="X10" s="74">
        <f>EUETS_annual!AA17</f>
        <v>565.53693619723799</v>
      </c>
      <c r="Y10" s="74">
        <f>EUETS_annual!AB17</f>
        <v>78.046153846153857</v>
      </c>
      <c r="Z10" s="74">
        <f>EUETS_annual!AC17</f>
        <v>96</v>
      </c>
      <c r="AA10" s="74">
        <f>EUETS_annual!AD17</f>
        <v>-113.33338612122219</v>
      </c>
      <c r="AB10" s="74">
        <f>co2elec_annual!H49</f>
        <v>456.84852803419324</v>
      </c>
      <c r="AC10" s="74">
        <f>co2elec_annual!I49</f>
        <v>524.19941789148504</v>
      </c>
      <c r="AD10" s="74">
        <f>EUETS_annual!AE17</f>
        <v>15.725982536744551</v>
      </c>
      <c r="AE10" s="74">
        <f>co2elec_annual!K49</f>
        <v>0.25</v>
      </c>
      <c r="AF10" s="74">
        <f>co2elec_annual!M49</f>
        <v>1.1474</v>
      </c>
      <c r="AG10" s="74">
        <f>EUETS_annual!AL17</f>
        <v>0</v>
      </c>
      <c r="AH10" s="114">
        <f>EUETS_annual!AH17</f>
        <v>1244.4483424222415</v>
      </c>
      <c r="AI10" s="95"/>
      <c r="AJ10" s="10"/>
    </row>
    <row r="11" spans="1:41" x14ac:dyDescent="0.25">
      <c r="A11" s="45">
        <f>A10+1</f>
        <v>2029</v>
      </c>
      <c r="B11" s="30">
        <f t="shared" si="5"/>
        <v>2029</v>
      </c>
      <c r="C11" s="87">
        <f t="shared" si="6"/>
        <v>2029</v>
      </c>
      <c r="D11" s="91">
        <f>EUETS_annual!H18</f>
        <v>407.69312673499991</v>
      </c>
      <c r="E11" s="74">
        <f>EUETS_annual!I18</f>
        <v>356.27557640076742</v>
      </c>
      <c r="F11" s="74">
        <f>EUETS_annual!G18</f>
        <v>0</v>
      </c>
      <c r="G11" s="74">
        <f>EUETS_annual!L18</f>
        <v>535.37984326499986</v>
      </c>
      <c r="H11" s="74">
        <f>EUETS_annual!K18</f>
        <v>735.37984326499986</v>
      </c>
      <c r="I11" s="114">
        <f>EUETS_annual!F18</f>
        <v>1143.0729699999997</v>
      </c>
      <c r="J11" s="91">
        <f>EUETS_annual!AN17</f>
        <v>277.97096170486475</v>
      </c>
      <c r="K11" s="74">
        <f>EUETS_annual!AN18</f>
        <v>259.39961427936578</v>
      </c>
      <c r="L11" s="74">
        <f>EUETS_annual!AQ18</f>
        <v>18.571347425498971</v>
      </c>
      <c r="M11" s="91">
        <f>EUETS_annual!AP17</f>
        <v>0</v>
      </c>
      <c r="N11" s="74">
        <f>EUETS_annual!AP18</f>
        <v>0</v>
      </c>
      <c r="O11" s="74">
        <f t="shared" si="2"/>
        <v>0</v>
      </c>
      <c r="P11" s="91">
        <f>EUETS_annual!AT17</f>
        <v>400</v>
      </c>
      <c r="Q11" s="74">
        <f>EUETS_annual!AT18</f>
        <v>200</v>
      </c>
      <c r="R11" s="74">
        <f>(Q11-P11+U11)/1</f>
        <v>-200</v>
      </c>
      <c r="S11" s="91">
        <f>EUETS_annual!AM17</f>
        <v>3155.9736062307175</v>
      </c>
      <c r="T11" s="74">
        <f>EUETS_annual!AM18</f>
        <v>3155.9736062307175</v>
      </c>
      <c r="U11" s="114">
        <f t="shared" si="3"/>
        <v>0</v>
      </c>
      <c r="V11" s="74">
        <f>EUETS_annual!Y18</f>
        <v>483.99184541492934</v>
      </c>
      <c r="W11" s="74">
        <f>EUETS_annual!Z18</f>
        <v>53.431162584898885</v>
      </c>
      <c r="X11" s="74">
        <f>EUETS_annual!AA18</f>
        <v>502.52939508748909</v>
      </c>
      <c r="Y11" s="74">
        <f>EUETS_annual!AB18</f>
        <v>79.123076923076923</v>
      </c>
      <c r="Z11" s="74">
        <f>EUETS_annual!AC18</f>
        <v>96</v>
      </c>
      <c r="AA11" s="74">
        <f>EUETS_annual!AD18</f>
        <v>-18.571347425498971</v>
      </c>
      <c r="AB11" s="74">
        <f>co2elec_annual!H50</f>
        <v>437.96034905654824</v>
      </c>
      <c r="AC11" s="74">
        <f>co2elec_annual!I50</f>
        <v>465.79630078613258</v>
      </c>
      <c r="AD11" s="74">
        <f>EUETS_annual!AE18</f>
        <v>13.973889023583977</v>
      </c>
      <c r="AE11" s="74">
        <f>co2elec_annual!K50</f>
        <v>0.25</v>
      </c>
      <c r="AF11" s="74">
        <f>co2elec_annual!M50</f>
        <v>1.0636000000000001</v>
      </c>
      <c r="AG11" s="74">
        <f>EUETS_annual!AL18</f>
        <v>0</v>
      </c>
      <c r="AH11" s="114">
        <f>EUETS_annual!AH18</f>
        <v>1161.6443174254953</v>
      </c>
      <c r="AI11" s="95"/>
      <c r="AJ11" s="10"/>
    </row>
    <row r="12" spans="1:41" x14ac:dyDescent="0.25">
      <c r="A12" s="45">
        <f t="shared" ref="A12" si="7">A11+1</f>
        <v>2030</v>
      </c>
      <c r="B12" s="30">
        <f t="shared" ref="B12" si="8">B11+1</f>
        <v>2030</v>
      </c>
      <c r="C12" s="87">
        <f t="shared" ref="C12" si="9">C11+1</f>
        <v>2030</v>
      </c>
      <c r="D12" s="91">
        <f>EUETS_annual!H19</f>
        <v>270.91865841099991</v>
      </c>
      <c r="E12" s="74">
        <f>EUETS_annual!I19</f>
        <v>277.57977920051371</v>
      </c>
      <c r="F12" s="74">
        <f>EUETS_annual!G19</f>
        <v>0</v>
      </c>
      <c r="G12" s="74">
        <f>EUETS_annual!L19</f>
        <v>582.1543115889998</v>
      </c>
      <c r="H12" s="74">
        <f>EUETS_annual!K19</f>
        <v>782.15431158899992</v>
      </c>
      <c r="I12" s="114">
        <f>EUETS_annual!F19</f>
        <v>1053.0729699999997</v>
      </c>
      <c r="J12" s="91">
        <f>EUETS_annual!AN18</f>
        <v>259.39961427936578</v>
      </c>
      <c r="K12" s="74">
        <f>EUETS_annual!AN19</f>
        <v>299.99999999999636</v>
      </c>
      <c r="L12" s="74">
        <f>EUETS_annual!AQ19</f>
        <v>-40.600385720630584</v>
      </c>
      <c r="M12" s="91">
        <f>EUETS_annual!AP18</f>
        <v>0</v>
      </c>
      <c r="N12" s="74">
        <f>EUETS_annual!AP19</f>
        <v>0</v>
      </c>
      <c r="O12" s="74">
        <f t="shared" si="2"/>
        <v>0</v>
      </c>
      <c r="P12" s="91">
        <f>EUETS_annual!AT18</f>
        <v>200</v>
      </c>
      <c r="Q12" s="74">
        <f>EUETS_annual!AT19</f>
        <v>0</v>
      </c>
      <c r="R12" s="74">
        <f t="shared" si="0"/>
        <v>-200</v>
      </c>
      <c r="S12" s="91">
        <f>EUETS_annual!AM18</f>
        <v>3155.9736062307175</v>
      </c>
      <c r="T12" s="74">
        <f>EUETS_annual!AM19</f>
        <v>3155.9736062307175</v>
      </c>
      <c r="U12" s="114">
        <f t="shared" si="3"/>
        <v>0</v>
      </c>
      <c r="V12" s="74">
        <f>EUETS_annual!Y19</f>
        <v>418.64231446975253</v>
      </c>
      <c r="W12" s="74">
        <f>EUETS_annual!Z19</f>
        <v>46.216781917420562</v>
      </c>
      <c r="X12" s="74">
        <f>EUETS_annual!AA19</f>
        <v>417.63026980961831</v>
      </c>
      <c r="Y12" s="74">
        <f>EUETS_annual!AB19</f>
        <v>80.2</v>
      </c>
      <c r="Z12" s="74">
        <f>EUETS_annual!AC19</f>
        <v>96</v>
      </c>
      <c r="AA12" s="74">
        <f>EUETS_annual!AD19</f>
        <v>40.600385720630584</v>
      </c>
      <c r="AB12" s="74">
        <f>co2elec_annual!H51</f>
        <v>378.82608129033247</v>
      </c>
      <c r="AC12" s="74">
        <f>co2elec_annual!I51</f>
        <v>387.13125437704008</v>
      </c>
      <c r="AD12" s="74">
        <f>EUETS_annual!AE19</f>
        <v>11.613937631311202</v>
      </c>
      <c r="AE12" s="74">
        <f>co2elec_annual!K51</f>
        <v>0.25</v>
      </c>
      <c r="AF12" s="74">
        <f>co2elec_annual!M51</f>
        <v>1.0219</v>
      </c>
      <c r="AG12" s="74">
        <f>EUETS_annual!AL19</f>
        <v>0</v>
      </c>
      <c r="AH12" s="114">
        <f>EUETS_annual!AH19</f>
        <v>1012.4725842793709</v>
      </c>
      <c r="AI12" s="95"/>
      <c r="AJ12" s="10"/>
      <c r="AK12" s="10"/>
      <c r="AL12" s="10"/>
      <c r="AN12" s="10"/>
      <c r="AO12" s="10"/>
    </row>
    <row r="13" spans="1:41" x14ac:dyDescent="0.25">
      <c r="A13" s="41">
        <f t="shared" ref="A13:A16" si="10">A12+5</f>
        <v>2035</v>
      </c>
      <c r="B13" s="7">
        <f t="shared" ref="B13:B16" si="11">B12+5</f>
        <v>2035</v>
      </c>
      <c r="C13" s="88">
        <f t="shared" ref="C13:C16" si="12">B13</f>
        <v>2035</v>
      </c>
      <c r="D13" s="92">
        <f>SUM(EUETS_annual!H20:H24)/5</f>
        <v>83.642847936599978</v>
      </c>
      <c r="E13" s="12">
        <f>SUM(EUETS_annual!I20:I24)/5</f>
        <v>137.71137119777924</v>
      </c>
      <c r="F13" s="12">
        <f>SUM(EUETS_annual!G20:G24)/5</f>
        <v>0</v>
      </c>
      <c r="G13" s="12">
        <f>SUM(EUETS_annual!L20:L24)/5</f>
        <v>598.81552806339971</v>
      </c>
      <c r="H13" s="12">
        <f>SUM(EUETS_annual!K20:K24)/5</f>
        <v>598.81552806339971</v>
      </c>
      <c r="I13" s="136">
        <f>SUM(EUETS_annual!F20:F24)/5</f>
        <v>682.4583759999997</v>
      </c>
      <c r="J13" s="92">
        <f t="shared" ref="J13:J16" si="13">K12</f>
        <v>299.99999999999636</v>
      </c>
      <c r="K13" s="12">
        <f>EUETS_annual!AN24</f>
        <v>810.93975711233361</v>
      </c>
      <c r="L13" s="12">
        <f>SUM(EUETS_annual!AQ20:AQ24)/5</f>
        <v>-102.18795142246745</v>
      </c>
      <c r="M13" s="92">
        <f t="shared" ref="M13:M16" si="14">N12</f>
        <v>0</v>
      </c>
      <c r="N13" s="12">
        <f>EUETS_annual!AP24</f>
        <v>593.54845276450749</v>
      </c>
      <c r="O13" s="12">
        <f t="shared" si="2"/>
        <v>-118.70969055290149</v>
      </c>
      <c r="P13" s="92">
        <f t="shared" ref="P13:P16" si="15">Q12</f>
        <v>0</v>
      </c>
      <c r="Q13" s="12">
        <f>EUETS_annual!AT24</f>
        <v>0</v>
      </c>
      <c r="R13" s="12">
        <f>(Q13-P13+U13)/5</f>
        <v>0</v>
      </c>
      <c r="S13" s="92">
        <f t="shared" ref="S13:S16" si="16">T12</f>
        <v>3155.9736062307175</v>
      </c>
      <c r="T13" s="12">
        <f>EUETS_annual!AM24</f>
        <v>3155.9736062307175</v>
      </c>
      <c r="U13" s="136">
        <f t="shared" ref="U13:U16" si="17">T13-S13</f>
        <v>0</v>
      </c>
      <c r="V13" s="12">
        <f>SUM(EUETS_annual!Y20:Y24)/5</f>
        <v>146.67955068677983</v>
      </c>
      <c r="W13" s="12">
        <f>SUM(EUETS_annual!Z20:Z24)/5</f>
        <v>16.520356585374223</v>
      </c>
      <c r="X13" s="12">
        <f>SUM(EUETS_annual!AA20:AA24)/5</f>
        <v>254.1601046599832</v>
      </c>
      <c r="Y13" s="12">
        <f>SUM(EUETS_annual!AB20:AB24)/5</f>
        <v>83.430769230769243</v>
      </c>
      <c r="Z13" s="12">
        <f>SUM(EUETS_annual!AC20:AC24)/5</f>
        <v>96</v>
      </c>
      <c r="AA13" s="12">
        <f>SUM(EUETS_annual!AD20:AD24)/5</f>
        <v>-16.521739130434053</v>
      </c>
      <c r="AB13" s="12">
        <f>co2elec_annual!H52</f>
        <v>135.41275889651007</v>
      </c>
      <c r="AC13" s="12">
        <f>co2elec_annual!I52</f>
        <v>239.2388468734959</v>
      </c>
      <c r="AD13" s="12">
        <f>SUM(EUETS_annual!AE20:AE24)/5</f>
        <v>7.1771654062048755</v>
      </c>
      <c r="AE13" s="12">
        <f>co2elec_annual!K52</f>
        <v>0.25</v>
      </c>
      <c r="AF13" s="12">
        <f>co2elec_annual!M52</f>
        <v>1.7666999999999999</v>
      </c>
      <c r="AG13" s="12">
        <f>SUM(EUETS_annual!AL20:AL24)/5</f>
        <v>0</v>
      </c>
      <c r="AH13" s="136">
        <f>SUM(EUETS_annual!AH20:AH24)/5</f>
        <v>580.27042457753237</v>
      </c>
      <c r="AI13" s="95"/>
      <c r="AJ13" s="10"/>
      <c r="AK13" s="10"/>
      <c r="AL13" s="10"/>
      <c r="AN13" s="10"/>
      <c r="AO13" s="10"/>
    </row>
    <row r="14" spans="1:41" x14ac:dyDescent="0.25">
      <c r="A14" s="41">
        <f t="shared" si="10"/>
        <v>2040</v>
      </c>
      <c r="B14" s="7">
        <f t="shared" si="11"/>
        <v>2040</v>
      </c>
      <c r="C14" s="88">
        <f t="shared" si="12"/>
        <v>2040</v>
      </c>
      <c r="D14" s="92">
        <f>SUM(EUETS_annual!H25:H29)/5</f>
        <v>0</v>
      </c>
      <c r="E14" s="12">
        <f>SUM(EUETS_annual!I25:I29)/5</f>
        <v>64.61961543987627</v>
      </c>
      <c r="F14" s="12">
        <f>SUM(EUETS_annual!G25:G29)/5</f>
        <v>0</v>
      </c>
      <c r="G14" s="12">
        <f>SUM(EUETS_annual!L25:L29)/5</f>
        <v>398.10071933333307</v>
      </c>
      <c r="H14" s="12">
        <f>SUM(EUETS_annual!K25:K29)/5</f>
        <v>398.10071933333302</v>
      </c>
      <c r="I14" s="136">
        <f>SUM(EUETS_annual!F25:F29)/5</f>
        <v>398.10071933333302</v>
      </c>
      <c r="J14" s="92">
        <f t="shared" si="13"/>
        <v>810.93975711233361</v>
      </c>
      <c r="K14" s="12">
        <f>EUETS_annual!AN29</f>
        <v>467.10100237034203</v>
      </c>
      <c r="L14" s="12">
        <f>SUM(EUETS_annual!AQ25:AQ29)/5</f>
        <v>68.767750948398316</v>
      </c>
      <c r="M14" s="92">
        <f t="shared" si="14"/>
        <v>593.54845276450749</v>
      </c>
      <c r="N14" s="12">
        <f>EUETS_annual!AP29</f>
        <v>358.40535019642897</v>
      </c>
      <c r="O14" s="12">
        <f t="shared" si="2"/>
        <v>47.028620513615706</v>
      </c>
      <c r="P14" s="92">
        <f t="shared" si="15"/>
        <v>0</v>
      </c>
      <c r="Q14" s="12">
        <f>EUETS_annual!AT29</f>
        <v>0</v>
      </c>
      <c r="R14" s="12">
        <f>(Q14-P14+U14)/5</f>
        <v>0</v>
      </c>
      <c r="S14" s="92">
        <f t="shared" si="16"/>
        <v>3155.9736062307175</v>
      </c>
      <c r="T14" s="12">
        <f>EUETS_annual!AM29</f>
        <v>3155.9736062307175</v>
      </c>
      <c r="U14" s="136">
        <f t="shared" si="17"/>
        <v>0</v>
      </c>
      <c r="V14" s="12">
        <f>SUM(EUETS_annual!Y25:Y29)/5</f>
        <v>75.97370307793885</v>
      </c>
      <c r="W14" s="12">
        <f>SUM(EUETS_annual!Z25:Z29)/5</f>
        <v>8.556834678605389</v>
      </c>
      <c r="X14" s="12">
        <f>SUM(EUETS_annual!AA25:AA29)/5</f>
        <v>206.07938258840636</v>
      </c>
      <c r="Y14" s="12">
        <f>SUM(EUETS_annual!AB25:AB29)/5</f>
        <v>88.815384615384644</v>
      </c>
      <c r="Z14" s="12">
        <f>SUM(EUETS_annual!AC25:AC29)/5</f>
        <v>96</v>
      </c>
      <c r="AA14" s="12">
        <f>SUM(EUETS_annual!AD25:AD29)/5</f>
        <v>-21.739130434782609</v>
      </c>
      <c r="AB14" s="12">
        <f>co2elec_annual!H53</f>
        <v>70.137989168896638</v>
      </c>
      <c r="AC14" s="12">
        <f>co2elec_annual!I53</f>
        <v>198.44226271708476</v>
      </c>
      <c r="AD14" s="12">
        <f>SUM(EUETS_annual!AE25:AE29)/5</f>
        <v>5.9532678815125415</v>
      </c>
      <c r="AE14" s="12">
        <f>co2elec_annual!K53</f>
        <v>0.53739999999999999</v>
      </c>
      <c r="AF14" s="12">
        <f>co2elec_annual!M53</f>
        <v>2.8292999999999999</v>
      </c>
      <c r="AG14" s="12">
        <f>SUM(EUETS_annual!AL25:AL29)/5</f>
        <v>0</v>
      </c>
      <c r="AH14" s="136">
        <f>SUM(EUETS_annual!AH25:AH29)/5</f>
        <v>466.86847028172986</v>
      </c>
      <c r="AI14" s="95"/>
      <c r="AJ14" s="10"/>
      <c r="AK14" s="10"/>
      <c r="AL14" s="10"/>
      <c r="AN14" s="10"/>
      <c r="AO14" s="10"/>
    </row>
    <row r="15" spans="1:41" x14ac:dyDescent="0.25">
      <c r="A15" s="41">
        <f t="shared" si="10"/>
        <v>2045</v>
      </c>
      <c r="B15" s="7">
        <f t="shared" si="11"/>
        <v>2045</v>
      </c>
      <c r="C15" s="88">
        <f t="shared" si="12"/>
        <v>2045</v>
      </c>
      <c r="D15" s="92">
        <f>SUM(EUETS_annual!H30:H34)/5</f>
        <v>0</v>
      </c>
      <c r="E15" s="12">
        <f>SUM(EUETS_annual!I30:I34)/5</f>
        <v>16.456210912169219</v>
      </c>
      <c r="F15" s="12">
        <f>SUM(EUETS_annual!G30:G34)/5</f>
        <v>0</v>
      </c>
      <c r="G15" s="12">
        <f>SUM(EUETS_annual!L30:L34)/5</f>
        <v>113.74306266666642</v>
      </c>
      <c r="H15" s="12">
        <f>SUM(EUETS_annual!K30:K34)/5</f>
        <v>113.74306266666645</v>
      </c>
      <c r="I15" s="136">
        <f>SUM(EUETS_annual!F30:F34)/5</f>
        <v>113.74306266666645</v>
      </c>
      <c r="J15" s="92">
        <f t="shared" si="13"/>
        <v>467.10100237034203</v>
      </c>
      <c r="K15" s="12">
        <f>EUETS_annual!AN34</f>
        <v>8.3642546087503433E-5</v>
      </c>
      <c r="L15" s="12">
        <f>SUM(EUETS_annual!AQ30:AQ34)/5</f>
        <v>93.420183745559186</v>
      </c>
      <c r="M15" s="92">
        <f t="shared" si="14"/>
        <v>358.40535019642897</v>
      </c>
      <c r="N15" s="12">
        <f>EUETS_annual!AP34</f>
        <v>8.3642546087503433E-5</v>
      </c>
      <c r="O15" s="12">
        <f t="shared" si="2"/>
        <v>71.681053310776576</v>
      </c>
      <c r="P15" s="92">
        <f t="shared" si="15"/>
        <v>0</v>
      </c>
      <c r="Q15" s="12">
        <f>EUETS_annual!AT34</f>
        <v>0</v>
      </c>
      <c r="R15" s="12">
        <f>(Q15-P15+U15)/5</f>
        <v>0</v>
      </c>
      <c r="S15" s="92">
        <f t="shared" si="16"/>
        <v>3155.9736062307175</v>
      </c>
      <c r="T15" s="12">
        <f>EUETS_annual!AM34</f>
        <v>3155.9736062307175</v>
      </c>
      <c r="U15" s="136">
        <f t="shared" si="17"/>
        <v>0</v>
      </c>
      <c r="V15" s="12">
        <f>SUM(EUETS_annual!Y30:Y34)/5</f>
        <v>-157.50185358777475</v>
      </c>
      <c r="W15" s="12">
        <f>SUM(EUETS_annual!Z30:Z34)/5</f>
        <v>-20.813996843369747</v>
      </c>
      <c r="X15" s="12">
        <f>SUM(EUETS_annual!AA30:AA34)/5</f>
        <v>174.46510000000004</v>
      </c>
      <c r="Y15" s="12">
        <f>SUM(EUETS_annual!AB30:AB34)/5</f>
        <v>94.200000000000045</v>
      </c>
      <c r="Z15" s="12">
        <f>SUM(EUETS_annual!AC30:AC34)/5</f>
        <v>96</v>
      </c>
      <c r="AA15" s="12">
        <f>SUM(EUETS_annual!AD30:AD34)/5</f>
        <v>-21.739130434782609</v>
      </c>
      <c r="AB15" s="12">
        <f>co2elec_annual!H54</f>
        <v>-170.60653150303074</v>
      </c>
      <c r="AC15" s="12">
        <f>co2elec_annual!I54</f>
        <v>174.46509140315825</v>
      </c>
      <c r="AD15" s="12">
        <f>SUM(EUETS_annual!AE30:AE34)/5</f>
        <v>5.2339527420947478</v>
      </c>
      <c r="AE15" s="12">
        <f>co2elec_annual!K54</f>
        <v>1</v>
      </c>
      <c r="AF15" s="12">
        <f>co2elec_annual!M54</f>
        <v>-1.0226</v>
      </c>
      <c r="AG15" s="12">
        <f>SUM(EUETS_annual!AL30:AL34)/5</f>
        <v>0</v>
      </c>
      <c r="AH15" s="136">
        <f>SUM(EUETS_annual!AH30:AH34)/5</f>
        <v>207.16324641222531</v>
      </c>
      <c r="AI15" s="95"/>
      <c r="AJ15" s="10"/>
      <c r="AK15" s="10"/>
      <c r="AL15" s="10"/>
      <c r="AN15" s="10"/>
      <c r="AO15" s="10"/>
    </row>
    <row r="16" spans="1:41" ht="14.25" thickBot="1" x14ac:dyDescent="0.3">
      <c r="A16" s="47">
        <f t="shared" si="10"/>
        <v>2050</v>
      </c>
      <c r="B16" s="48">
        <f t="shared" si="11"/>
        <v>2050</v>
      </c>
      <c r="C16" s="89">
        <f t="shared" si="12"/>
        <v>2050</v>
      </c>
      <c r="D16" s="93">
        <f>SUM(EUETS_annual!H35:H39)/5</f>
        <v>0</v>
      </c>
      <c r="E16" s="52">
        <f>SUM(EUETS_annual!I35:I39)/5</f>
        <v>0</v>
      </c>
      <c r="F16" s="52">
        <f>SUM(EUETS_annual!G35:G39)/5</f>
        <v>0</v>
      </c>
      <c r="G16" s="52">
        <f>SUM(EUETS_annual!L35:L39)/5</f>
        <v>-2.1316282072803006E-13</v>
      </c>
      <c r="H16" s="52">
        <f>SUM(EUETS_annual!K35:K39)/5</f>
        <v>0</v>
      </c>
      <c r="I16" s="138">
        <f>SUM(EUETS_annual!F35:F39)/5</f>
        <v>0</v>
      </c>
      <c r="J16" s="93">
        <f t="shared" si="13"/>
        <v>8.3642546087503433E-5</v>
      </c>
      <c r="K16" s="52">
        <f>EUETS_annual!AN39</f>
        <v>-6.6357453761156648E-5</v>
      </c>
      <c r="L16" s="52">
        <f>SUM(EUETS_annual!AQ35:AQ39)/5</f>
        <v>2.9999999969732017E-5</v>
      </c>
      <c r="M16" s="93">
        <f t="shared" si="14"/>
        <v>8.3642546087503433E-5</v>
      </c>
      <c r="N16" s="52">
        <f>EUETS_annual!AP39</f>
        <v>-6.6357453761156648E-5</v>
      </c>
      <c r="O16" s="52">
        <f t="shared" ref="O16" si="18">(M16-N16)/(A16-A15)</f>
        <v>2.9999999969732017E-5</v>
      </c>
      <c r="P16" s="93">
        <f t="shared" si="15"/>
        <v>0</v>
      </c>
      <c r="Q16" s="52">
        <f>EUETS_annual!AT39</f>
        <v>0</v>
      </c>
      <c r="R16" s="52">
        <f>(Q16-P16+U16)/5</f>
        <v>0</v>
      </c>
      <c r="S16" s="93">
        <f t="shared" si="16"/>
        <v>3155.9736062307175</v>
      </c>
      <c r="T16" s="52">
        <f>EUETS_annual!AM39</f>
        <v>3155.9736062307175</v>
      </c>
      <c r="U16" s="138">
        <f t="shared" si="17"/>
        <v>0</v>
      </c>
      <c r="V16" s="52">
        <f>SUM(EUETS_annual!Y35:Y39)/5</f>
        <v>-321.60753923076925</v>
      </c>
      <c r="W16" s="52">
        <f>SUM(EUETS_annual!Z35:Z39)/5</f>
        <v>-39.23611978615385</v>
      </c>
      <c r="X16" s="52">
        <f>SUM(EUETS_annual!AA35:AA39)/5</f>
        <v>128.17679999999999</v>
      </c>
      <c r="Y16" s="52">
        <f>SUM(EUETS_annual!AB35:AB39)/5</f>
        <v>97.430769230769286</v>
      </c>
      <c r="Z16" s="52">
        <f>SUM(EUETS_annual!AC35:AC39)/5</f>
        <v>96</v>
      </c>
      <c r="AA16" s="52">
        <f>SUM(EUETS_annual!AD35:AD39)/5</f>
        <v>0</v>
      </c>
      <c r="AB16" s="52">
        <f>co2elec_annual!H55</f>
        <v>-321.60753923076925</v>
      </c>
      <c r="AC16" s="52">
        <f>co2elec_annual!I55</f>
        <v>128.17676999999998</v>
      </c>
      <c r="AD16" s="52">
        <f>SUM(EUETS_annual!AE35:AE39)/5</f>
        <v>3.8453030999999998</v>
      </c>
      <c r="AE16" s="52">
        <f>co2elec_annual!K55</f>
        <v>1</v>
      </c>
      <c r="AF16" s="52">
        <f>co2elec_annual!M55</f>
        <v>-0.39860000000000001</v>
      </c>
      <c r="AG16" s="52">
        <f>SUM(EUETS_annual!AL35:AL39)/5</f>
        <v>0</v>
      </c>
      <c r="AH16" s="138">
        <f>SUM(EUETS_annual!AH35:AH39)/5</f>
        <v>3.0000000023733264E-5</v>
      </c>
      <c r="AI16" s="95"/>
      <c r="AJ16" s="10"/>
      <c r="AK16" s="10"/>
      <c r="AL16" s="10"/>
      <c r="AN16" s="10"/>
      <c r="AO16" s="10"/>
    </row>
    <row r="17" spans="1:34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</row>
    <row r="18" spans="1:34" x14ac:dyDescent="0.25">
      <c r="I18" s="10"/>
      <c r="V18" s="10"/>
      <c r="X18" s="10"/>
      <c r="Y18" s="10"/>
      <c r="Z18" s="10"/>
      <c r="AA18" s="10"/>
      <c r="AB18" s="10"/>
      <c r="AC18" s="10"/>
    </row>
    <row r="19" spans="1:34" x14ac:dyDescent="0.25">
      <c r="D19" s="10"/>
      <c r="G19" s="10"/>
      <c r="H19" s="10"/>
      <c r="I19" s="10"/>
      <c r="V19" s="10"/>
      <c r="X19" s="10"/>
      <c r="Y19" s="10"/>
      <c r="Z19" s="10"/>
      <c r="AA19" s="10"/>
      <c r="AB19" s="10"/>
      <c r="AC19" s="10"/>
    </row>
    <row r="20" spans="1:34" x14ac:dyDescent="0.25">
      <c r="D20" s="10"/>
      <c r="G20" s="10"/>
      <c r="H20" s="10"/>
      <c r="I20" s="10"/>
      <c r="V20" s="10"/>
      <c r="X20" s="10"/>
      <c r="Y20" s="10"/>
      <c r="Z20" s="10"/>
      <c r="AA20" s="10"/>
      <c r="AB20" s="10"/>
      <c r="AC20" s="10"/>
    </row>
    <row r="21" spans="1:34" x14ac:dyDescent="0.25">
      <c r="D21" s="10"/>
      <c r="G21" s="10"/>
      <c r="H21" s="10"/>
      <c r="I21" s="10"/>
      <c r="V21" s="10"/>
      <c r="X21" s="10"/>
      <c r="Y21" s="10"/>
      <c r="Z21" s="10"/>
      <c r="AA21" s="10"/>
      <c r="AB21" s="10"/>
      <c r="AC21" s="10"/>
    </row>
    <row r="22" spans="1:34" x14ac:dyDescent="0.25">
      <c r="D22" s="10"/>
      <c r="G22" s="10"/>
      <c r="H22" s="10"/>
      <c r="I22" s="10"/>
      <c r="V22" s="10"/>
      <c r="X22" s="10"/>
      <c r="Y22" s="10"/>
      <c r="Z22" s="10"/>
      <c r="AA22" s="10"/>
      <c r="AB22" s="10"/>
      <c r="AC22" s="10"/>
    </row>
    <row r="23" spans="1:34" x14ac:dyDescent="0.25">
      <c r="D23" s="10"/>
      <c r="G23" s="10"/>
      <c r="H23" s="10"/>
      <c r="I23" s="10"/>
      <c r="V23" s="10"/>
      <c r="X23" s="10"/>
      <c r="Y23" s="10"/>
      <c r="Z23" s="10"/>
      <c r="AA23" s="10"/>
      <c r="AB23" s="10"/>
      <c r="AC23" s="10"/>
    </row>
    <row r="24" spans="1:34" x14ac:dyDescent="0.25">
      <c r="D24" s="10"/>
      <c r="G24" s="10"/>
      <c r="H24" s="10"/>
      <c r="I24" s="10"/>
      <c r="V24" s="10"/>
      <c r="X24" s="10"/>
      <c r="Y24" s="10"/>
      <c r="Z24" s="10"/>
      <c r="AA24" s="10"/>
      <c r="AB24" s="10"/>
      <c r="AC24" s="10"/>
    </row>
    <row r="25" spans="1:34" x14ac:dyDescent="0.25">
      <c r="D25" s="10"/>
      <c r="E25" s="10"/>
      <c r="F25" s="10"/>
      <c r="G25" s="10"/>
      <c r="H25" s="10"/>
      <c r="I25" s="10"/>
      <c r="V25" s="10"/>
      <c r="X25" s="10"/>
      <c r="Y25" s="10"/>
      <c r="Z25" s="10"/>
      <c r="AA25" s="10"/>
      <c r="AB25" s="10"/>
      <c r="AC25" s="10"/>
    </row>
    <row r="26" spans="1:34" x14ac:dyDescent="0.25">
      <c r="D26" s="10"/>
      <c r="E26" s="10"/>
      <c r="F26" s="10"/>
      <c r="G26" s="10"/>
      <c r="H26" s="10"/>
      <c r="I26" s="10"/>
      <c r="V26" s="10"/>
      <c r="X26" s="10"/>
      <c r="Y26" s="10"/>
      <c r="Z26" s="10"/>
      <c r="AA26" s="10"/>
      <c r="AB26" s="10"/>
      <c r="AC26" s="10"/>
    </row>
    <row r="27" spans="1:34" x14ac:dyDescent="0.25">
      <c r="D27" s="10"/>
      <c r="E27" s="10"/>
      <c r="F27" s="10"/>
      <c r="G27" s="10"/>
      <c r="H27" s="10"/>
      <c r="I27" s="10"/>
      <c r="V27" s="10"/>
      <c r="X27" s="10"/>
      <c r="Y27" s="10"/>
      <c r="Z27" s="10"/>
      <c r="AA27" s="10"/>
      <c r="AB27" s="10"/>
      <c r="AC27" s="10"/>
    </row>
    <row r="28" spans="1:34" x14ac:dyDescent="0.25">
      <c r="V28" s="10"/>
      <c r="X28" s="10"/>
      <c r="Y28" s="10"/>
      <c r="Z28" s="10"/>
      <c r="AA28" s="10"/>
      <c r="AB28" s="10"/>
      <c r="AC28" s="10"/>
    </row>
    <row r="29" spans="1:34" x14ac:dyDescent="0.25">
      <c r="V29" s="10"/>
      <c r="X29" s="10"/>
      <c r="Y29" s="10"/>
      <c r="Z29" s="10"/>
      <c r="AA29" s="10"/>
      <c r="AB29" s="10"/>
      <c r="AC29" s="10"/>
    </row>
    <row r="30" spans="1:34" x14ac:dyDescent="0.25">
      <c r="V30" s="10"/>
      <c r="X30" s="10"/>
      <c r="Y30" s="10"/>
      <c r="Z30" s="10"/>
      <c r="AA30" s="10"/>
      <c r="AB30" s="10"/>
      <c r="AC30" s="10"/>
    </row>
    <row r="31" spans="1:34" x14ac:dyDescent="0.25">
      <c r="V31" s="10"/>
      <c r="X31" s="10"/>
      <c r="Y31" s="10"/>
      <c r="Z31" s="10"/>
      <c r="AA31" s="10"/>
      <c r="AB31" s="10"/>
      <c r="AC31" s="10"/>
    </row>
    <row r="32" spans="1:34" x14ac:dyDescent="0.25">
      <c r="V32" s="10"/>
      <c r="X32" s="10"/>
      <c r="Y32" s="10"/>
      <c r="Z32" s="10"/>
      <c r="AA32" s="10"/>
      <c r="AB32" s="10"/>
      <c r="AC32" s="10"/>
    </row>
    <row r="33" spans="22:29" x14ac:dyDescent="0.25">
      <c r="V33" s="10"/>
      <c r="X33" s="10"/>
      <c r="Y33" s="10"/>
      <c r="Z33" s="10"/>
      <c r="AA33" s="10"/>
      <c r="AB33" s="10"/>
      <c r="AC33" s="10"/>
    </row>
    <row r="34" spans="22:29" x14ac:dyDescent="0.25">
      <c r="V34" s="10"/>
      <c r="X34" s="10"/>
      <c r="Y34" s="10"/>
      <c r="Z34" s="10"/>
      <c r="AA34" s="10"/>
      <c r="AB34" s="10"/>
      <c r="AC34" s="10"/>
    </row>
    <row r="35" spans="22:29" x14ac:dyDescent="0.25">
      <c r="V35" s="10"/>
      <c r="X35" s="10"/>
      <c r="Y35" s="10"/>
      <c r="Z35" s="10"/>
      <c r="AA35" s="10"/>
      <c r="AB35" s="10"/>
      <c r="AC35" s="10"/>
    </row>
    <row r="36" spans="22:29" x14ac:dyDescent="0.25">
      <c r="V36" s="10"/>
      <c r="X36" s="10"/>
      <c r="Y36" s="10"/>
      <c r="Z36" s="10"/>
      <c r="AA36" s="10"/>
      <c r="AB36" s="10"/>
      <c r="AC36" s="10"/>
    </row>
    <row r="37" spans="22:29" x14ac:dyDescent="0.25">
      <c r="V37" s="10"/>
      <c r="X37" s="10"/>
      <c r="Y37" s="10"/>
      <c r="Z37" s="10"/>
      <c r="AA37" s="10"/>
      <c r="AB37" s="10"/>
      <c r="AC37" s="10"/>
    </row>
    <row r="38" spans="22:29" x14ac:dyDescent="0.25">
      <c r="X38" s="10"/>
      <c r="Y38" s="10"/>
      <c r="Z38" s="10"/>
      <c r="AA38" s="10"/>
      <c r="AB38" s="10"/>
      <c r="AC38" s="10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A3" sqref="A3"/>
    </sheetView>
  </sheetViews>
  <sheetFormatPr baseColWidth="10" defaultRowHeight="13.5" x14ac:dyDescent="0.25"/>
  <sheetData>
    <row r="1" spans="1:2" x14ac:dyDescent="0.25">
      <c r="A1" s="67" t="s">
        <v>35</v>
      </c>
      <c r="B1" s="30" t="s">
        <v>89</v>
      </c>
    </row>
    <row r="2" spans="1:2" x14ac:dyDescent="0.25">
      <c r="A2" s="68">
        <f>EUETS_period!C2</f>
        <v>2020</v>
      </c>
      <c r="B2" s="2">
        <f>EUETS_period!AG2</f>
        <v>9.2812000000000006E-2</v>
      </c>
    </row>
    <row r="3" spans="1:2" x14ac:dyDescent="0.25">
      <c r="A3" s="68">
        <f>EUETS_period!C3</f>
        <v>2021</v>
      </c>
      <c r="B3" s="2">
        <f>EUETS_period!AG3</f>
        <v>0.18048900000000007</v>
      </c>
    </row>
    <row r="4" spans="1:2" x14ac:dyDescent="0.25">
      <c r="A4" s="68">
        <f>EUETS_period!C4</f>
        <v>2022</v>
      </c>
      <c r="B4" s="2">
        <f>EUETS_period!AG4</f>
        <v>2.271499999999993E-2</v>
      </c>
    </row>
    <row r="5" spans="1:2" x14ac:dyDescent="0.25">
      <c r="A5" s="68">
        <f>EUETS_period!C5</f>
        <v>2023</v>
      </c>
      <c r="B5" s="2">
        <f>EUETS_period!AG5</f>
        <v>0</v>
      </c>
    </row>
    <row r="6" spans="1:2" x14ac:dyDescent="0.25">
      <c r="A6" s="68">
        <f>EUETS_period!C6</f>
        <v>2024</v>
      </c>
      <c r="B6" s="2">
        <f>EUETS_period!AG6</f>
        <v>0</v>
      </c>
    </row>
    <row r="7" spans="1:2" x14ac:dyDescent="0.25">
      <c r="A7" s="68">
        <f>EUETS_period!C7</f>
        <v>2025</v>
      </c>
      <c r="B7" s="2">
        <f>EUETS_period!AG7</f>
        <v>0</v>
      </c>
    </row>
    <row r="8" spans="1:2" x14ac:dyDescent="0.25">
      <c r="A8" s="68">
        <f>EUETS_period!C8</f>
        <v>2026</v>
      </c>
      <c r="B8" s="2">
        <f>EUETS_period!AG8</f>
        <v>0</v>
      </c>
    </row>
    <row r="9" spans="1:2" x14ac:dyDescent="0.25">
      <c r="A9" s="68">
        <f>EUETS_period!C9</f>
        <v>2027</v>
      </c>
      <c r="B9" s="2">
        <f>EUETS_period!AG9</f>
        <v>0</v>
      </c>
    </row>
    <row r="10" spans="1:2" x14ac:dyDescent="0.25">
      <c r="A10" s="68">
        <f>EUETS_period!C10</f>
        <v>2028</v>
      </c>
      <c r="B10" s="2">
        <f>EUETS_period!AG10</f>
        <v>0</v>
      </c>
    </row>
    <row r="11" spans="1:2" x14ac:dyDescent="0.25">
      <c r="A11" s="68">
        <f>EUETS_period!C11</f>
        <v>2029</v>
      </c>
      <c r="B11" s="2">
        <f>EUETS_period!AG11</f>
        <v>0</v>
      </c>
    </row>
    <row r="12" spans="1:2" x14ac:dyDescent="0.25">
      <c r="A12" s="68">
        <f>EUETS_period!C12</f>
        <v>2030</v>
      </c>
      <c r="B12" s="2">
        <f>EUETS_period!AG12</f>
        <v>0</v>
      </c>
    </row>
    <row r="13" spans="1:2" x14ac:dyDescent="0.25">
      <c r="A13" s="68">
        <f>EUETS_period!C13</f>
        <v>2035</v>
      </c>
      <c r="B13" s="2">
        <f>EUETS_period!AG13</f>
        <v>0</v>
      </c>
    </row>
    <row r="14" spans="1:2" x14ac:dyDescent="0.25">
      <c r="A14" s="68">
        <f>EUETS_period!C14</f>
        <v>2040</v>
      </c>
      <c r="B14" s="2">
        <f>EUETS_period!AG14</f>
        <v>0</v>
      </c>
    </row>
    <row r="15" spans="1:2" x14ac:dyDescent="0.25">
      <c r="A15" s="68">
        <f>EUETS_period!C15</f>
        <v>2045</v>
      </c>
      <c r="B15" s="2">
        <f>EUETS_period!AG15</f>
        <v>0</v>
      </c>
    </row>
    <row r="16" spans="1:2" x14ac:dyDescent="0.25">
      <c r="A16" s="68">
        <f>EUETS_period!C16</f>
        <v>2050</v>
      </c>
      <c r="B16" s="2">
        <f>EUETS_period!AG16</f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4"/>
  <sheetViews>
    <sheetView zoomScale="130" zoomScaleNormal="130" workbookViewId="0">
      <selection activeCell="B2" sqref="B2:B16"/>
    </sheetView>
  </sheetViews>
  <sheetFormatPr baseColWidth="10" defaultRowHeight="13.5" x14ac:dyDescent="0.25"/>
  <sheetData>
    <row r="1" spans="1:6" x14ac:dyDescent="0.25">
      <c r="A1" s="67" t="s">
        <v>35</v>
      </c>
      <c r="B1" s="30" t="s">
        <v>41</v>
      </c>
    </row>
    <row r="2" spans="1:6" x14ac:dyDescent="0.25">
      <c r="A2" s="68">
        <f>EUETS_period!C2</f>
        <v>2020</v>
      </c>
      <c r="B2" s="2">
        <f>EUETS_period!V2</f>
        <v>718.75494315779861</v>
      </c>
      <c r="C2" s="75"/>
      <c r="D2" s="75"/>
      <c r="E2" s="75"/>
      <c r="F2" s="75"/>
    </row>
    <row r="3" spans="1:6" x14ac:dyDescent="0.25">
      <c r="A3" s="68">
        <f>EUETS_period!C3</f>
        <v>2021</v>
      </c>
      <c r="B3" s="2">
        <f>EUETS_period!V3</f>
        <v>653.98292997142676</v>
      </c>
      <c r="C3" s="75"/>
      <c r="D3" s="75"/>
      <c r="E3" s="75"/>
      <c r="F3" s="75"/>
    </row>
    <row r="4" spans="1:6" x14ac:dyDescent="0.25">
      <c r="A4" s="68">
        <f>EUETS_period!C4</f>
        <v>2022</v>
      </c>
      <c r="B4" s="2">
        <f>EUETS_period!V4</f>
        <v>664.21799999999996</v>
      </c>
      <c r="C4" s="75"/>
      <c r="D4" s="75"/>
      <c r="E4" s="75"/>
      <c r="F4" s="75"/>
    </row>
    <row r="5" spans="1:6" x14ac:dyDescent="0.25">
      <c r="A5" s="68">
        <f>EUETS_period!C5</f>
        <v>2023</v>
      </c>
      <c r="B5" s="2">
        <f>EUETS_period!V5</f>
        <v>620.495271831286</v>
      </c>
      <c r="C5" s="75"/>
      <c r="D5" s="75"/>
      <c r="E5" s="75"/>
      <c r="F5" s="75"/>
    </row>
    <row r="6" spans="1:6" x14ac:dyDescent="0.25">
      <c r="A6" s="68">
        <f>EUETS_period!C6</f>
        <v>2024</v>
      </c>
      <c r="B6" s="2">
        <f>EUETS_period!V6</f>
        <v>617.6955609151197</v>
      </c>
      <c r="C6" s="75"/>
      <c r="D6" s="75"/>
      <c r="E6" s="75"/>
      <c r="F6" s="75"/>
    </row>
    <row r="7" spans="1:6" x14ac:dyDescent="0.25">
      <c r="A7" s="68">
        <f>EUETS_period!C7</f>
        <v>2025</v>
      </c>
      <c r="B7" s="2">
        <f>EUETS_period!V7</f>
        <v>555.12580000779815</v>
      </c>
      <c r="C7" s="75"/>
      <c r="D7" s="75"/>
      <c r="E7" s="75"/>
      <c r="F7" s="75"/>
    </row>
    <row r="8" spans="1:6" x14ac:dyDescent="0.25">
      <c r="A8" s="68">
        <f>EUETS_period!C8</f>
        <v>2026</v>
      </c>
      <c r="B8" s="2">
        <f>EUETS_period!V8</f>
        <v>538.50476604415064</v>
      </c>
      <c r="C8" s="75"/>
      <c r="D8" s="75"/>
      <c r="E8" s="75"/>
      <c r="F8" s="75"/>
    </row>
    <row r="9" spans="1:6" x14ac:dyDescent="0.25">
      <c r="A9" s="68">
        <f>EUETS_period!C9</f>
        <v>2027</v>
      </c>
      <c r="B9" s="2">
        <f>EUETS_period!V9</f>
        <v>514.1908375817012</v>
      </c>
      <c r="C9" s="75"/>
      <c r="D9" s="75"/>
      <c r="E9" s="75"/>
      <c r="F9" s="75"/>
    </row>
    <row r="10" spans="1:6" x14ac:dyDescent="0.25">
      <c r="A10" s="68">
        <f>EUETS_period!C10</f>
        <v>2028</v>
      </c>
      <c r="B10" s="2">
        <f>EUETS_period!V10</f>
        <v>504.86525237884962</v>
      </c>
      <c r="C10" s="75"/>
      <c r="D10" s="75"/>
      <c r="E10" s="75"/>
      <c r="F10" s="75"/>
    </row>
    <row r="11" spans="1:6" x14ac:dyDescent="0.25">
      <c r="A11" s="68">
        <f>EUETS_period!C11</f>
        <v>2029</v>
      </c>
      <c r="B11" s="2">
        <f>EUETS_period!V11</f>
        <v>483.99184541492934</v>
      </c>
      <c r="C11" s="75"/>
      <c r="D11" s="75"/>
      <c r="E11" s="75"/>
      <c r="F11" s="75"/>
    </row>
    <row r="12" spans="1:6" x14ac:dyDescent="0.25">
      <c r="A12" s="68">
        <f>EUETS_period!C12</f>
        <v>2030</v>
      </c>
      <c r="B12" s="2">
        <f>EUETS_period!V12</f>
        <v>418.64231446975253</v>
      </c>
      <c r="C12" s="75"/>
      <c r="D12" s="75"/>
      <c r="E12" s="75"/>
      <c r="F12" s="75"/>
    </row>
    <row r="13" spans="1:6" x14ac:dyDescent="0.25">
      <c r="A13" s="68">
        <f>EUETS_period!C13</f>
        <v>2035</v>
      </c>
      <c r="B13" s="2">
        <f>EUETS_period!V13</f>
        <v>146.67955068677983</v>
      </c>
      <c r="C13" s="75"/>
      <c r="D13" s="75"/>
      <c r="E13" s="75"/>
      <c r="F13" s="75"/>
    </row>
    <row r="14" spans="1:6" x14ac:dyDescent="0.25">
      <c r="A14" s="68">
        <f>EUETS_period!C14</f>
        <v>2040</v>
      </c>
      <c r="B14" s="2">
        <f>EUETS_period!V14</f>
        <v>75.97370307793885</v>
      </c>
      <c r="C14" s="75"/>
      <c r="D14" s="75"/>
      <c r="E14" s="75"/>
      <c r="F14" s="75"/>
    </row>
    <row r="15" spans="1:6" x14ac:dyDescent="0.25">
      <c r="A15" s="68">
        <f>EUETS_period!C15</f>
        <v>2045</v>
      </c>
      <c r="B15" s="2">
        <f>EUETS_period!V15</f>
        <v>-157.50185358777475</v>
      </c>
      <c r="C15" s="75"/>
      <c r="D15" s="75"/>
      <c r="E15" s="75"/>
      <c r="F15" s="75"/>
    </row>
    <row r="16" spans="1:6" x14ac:dyDescent="0.25">
      <c r="A16" s="68">
        <f>EUETS_period!C16</f>
        <v>2050</v>
      </c>
      <c r="B16" s="2">
        <f>EUETS_period!V16</f>
        <v>-321.60753923076925</v>
      </c>
      <c r="C16" s="75"/>
      <c r="D16" s="75"/>
      <c r="E16" s="75"/>
      <c r="F16" s="75"/>
    </row>
    <row r="18" spans="3:5" x14ac:dyDescent="0.25">
      <c r="C18" s="147"/>
      <c r="D18" s="147"/>
      <c r="E18" s="147"/>
    </row>
    <row r="19" spans="3:5" x14ac:dyDescent="0.25">
      <c r="C19" s="147"/>
      <c r="D19" s="147"/>
      <c r="E19" s="147"/>
    </row>
    <row r="20" spans="3:5" x14ac:dyDescent="0.25">
      <c r="C20" s="147"/>
      <c r="D20" s="147"/>
      <c r="E20" s="147"/>
    </row>
    <row r="21" spans="3:5" x14ac:dyDescent="0.25">
      <c r="C21" s="147"/>
      <c r="D21" s="147"/>
      <c r="E21" s="147"/>
    </row>
    <row r="22" spans="3:5" x14ac:dyDescent="0.25">
      <c r="C22" s="147"/>
      <c r="D22" s="147"/>
      <c r="E22" s="147"/>
    </row>
    <row r="23" spans="3:5" x14ac:dyDescent="0.25">
      <c r="C23" s="147"/>
      <c r="D23" s="147"/>
      <c r="E23" s="147"/>
    </row>
    <row r="24" spans="3:5" x14ac:dyDescent="0.25">
      <c r="C24" s="147"/>
      <c r="D24" s="147"/>
      <c r="E24" s="147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6"/>
  <sheetViews>
    <sheetView workbookViewId="0">
      <selection activeCell="B10" sqref="B10"/>
    </sheetView>
  </sheetViews>
  <sheetFormatPr baseColWidth="10" defaultRowHeight="13.5" x14ac:dyDescent="0.25"/>
  <sheetData>
    <row r="1" spans="1:2" x14ac:dyDescent="0.25">
      <c r="A1" s="67" t="s">
        <v>35</v>
      </c>
      <c r="B1" s="30" t="s">
        <v>41</v>
      </c>
    </row>
    <row r="2" spans="1:2" x14ac:dyDescent="0.25">
      <c r="A2" s="68">
        <f>EUETS_period!C2</f>
        <v>2020</v>
      </c>
      <c r="B2" s="2">
        <f>EUETS_period!AB2</f>
        <v>718.75494315779861</v>
      </c>
    </row>
    <row r="3" spans="1:2" x14ac:dyDescent="0.25">
      <c r="A3" s="68">
        <f>EUETS_period!C3</f>
        <v>2021</v>
      </c>
      <c r="B3" s="2">
        <f>EUETS_period!AB3</f>
        <v>653.98292997142676</v>
      </c>
    </row>
    <row r="4" spans="1:2" x14ac:dyDescent="0.25">
      <c r="A4" s="68">
        <f>EUETS_period!C4</f>
        <v>2022</v>
      </c>
      <c r="B4" s="2">
        <f>EUETS_period!AB4</f>
        <v>664.21799999999996</v>
      </c>
    </row>
    <row r="5" spans="1:2" x14ac:dyDescent="0.25">
      <c r="A5" s="68">
        <f>EUETS_period!C5</f>
        <v>2023</v>
      </c>
      <c r="B5" s="2">
        <f>EUETS_period!AB5</f>
        <v>620.495271831286</v>
      </c>
    </row>
    <row r="6" spans="1:2" x14ac:dyDescent="0.25">
      <c r="A6" s="68">
        <f>EUETS_period!C6</f>
        <v>2024</v>
      </c>
      <c r="B6" s="2">
        <f>EUETS_period!AB6</f>
        <v>558.94777160375986</v>
      </c>
    </row>
    <row r="7" spans="1:2" x14ac:dyDescent="0.25">
      <c r="A7" s="68">
        <f>EUETS_period!C7</f>
        <v>2025</v>
      </c>
      <c r="B7" s="2">
        <f>EUETS_period!AB7</f>
        <v>502.32889550707165</v>
      </c>
    </row>
    <row r="8" spans="1:2" x14ac:dyDescent="0.25">
      <c r="A8" s="68">
        <f>EUETS_period!C8</f>
        <v>2026</v>
      </c>
      <c r="B8" s="2">
        <f>EUETS_period!AB8</f>
        <v>487.28865483905139</v>
      </c>
    </row>
    <row r="9" spans="1:2" x14ac:dyDescent="0.25">
      <c r="A9" s="68">
        <f>EUETS_period!C9</f>
        <v>2027</v>
      </c>
      <c r="B9" s="2">
        <f>EUETS_period!AB9</f>
        <v>465.28717548102372</v>
      </c>
    </row>
    <row r="10" spans="1:2" x14ac:dyDescent="0.25">
      <c r="A10" s="68">
        <f>EUETS_period!C10</f>
        <v>2028</v>
      </c>
      <c r="B10" s="2">
        <f>EUETS_period!AB10</f>
        <v>456.84852803419324</v>
      </c>
    </row>
    <row r="11" spans="1:2" x14ac:dyDescent="0.25">
      <c r="A11" s="68">
        <f>EUETS_period!C11</f>
        <v>2029</v>
      </c>
      <c r="B11" s="2">
        <f>EUETS_period!AB11</f>
        <v>437.96034905654824</v>
      </c>
    </row>
    <row r="12" spans="1:2" x14ac:dyDescent="0.25">
      <c r="A12" s="68">
        <f>EUETS_period!C12</f>
        <v>2030</v>
      </c>
      <c r="B12" s="2">
        <f>EUETS_period!AB12</f>
        <v>378.82608129033247</v>
      </c>
    </row>
    <row r="13" spans="1:2" x14ac:dyDescent="0.25">
      <c r="A13" s="68">
        <f>EUETS_period!C13</f>
        <v>2035</v>
      </c>
      <c r="B13" s="2">
        <f>EUETS_period!AB13</f>
        <v>135.41275889651007</v>
      </c>
    </row>
    <row r="14" spans="1:2" x14ac:dyDescent="0.25">
      <c r="A14" s="68">
        <f>EUETS_period!C14</f>
        <v>2040</v>
      </c>
      <c r="B14" s="2">
        <f>EUETS_period!AB14</f>
        <v>70.137989168896638</v>
      </c>
    </row>
    <row r="15" spans="1:2" x14ac:dyDescent="0.25">
      <c r="A15" s="68">
        <f>EUETS_period!C15</f>
        <v>2045</v>
      </c>
      <c r="B15" s="2">
        <f>EUETS_period!AB15</f>
        <v>-170.60653150303074</v>
      </c>
    </row>
    <row r="16" spans="1:2" x14ac:dyDescent="0.25">
      <c r="A16" s="68">
        <f>EUETS_period!C16</f>
        <v>2050</v>
      </c>
      <c r="B16" s="2">
        <f>EUETS_period!AB16</f>
        <v>-321.60753923076925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"/>
  <sheetViews>
    <sheetView workbookViewId="0">
      <selection activeCell="B2" sqref="B2:B17"/>
    </sheetView>
  </sheetViews>
  <sheetFormatPr baseColWidth="10" defaultRowHeight="13.5" x14ac:dyDescent="0.25"/>
  <sheetData>
    <row r="1" spans="1:2" x14ac:dyDescent="0.25">
      <c r="A1" s="67" t="s">
        <v>35</v>
      </c>
      <c r="B1" s="30" t="s">
        <v>41</v>
      </c>
    </row>
    <row r="2" spans="1:2" x14ac:dyDescent="0.25">
      <c r="A2" s="68">
        <f>EUETS_period!C2</f>
        <v>2020</v>
      </c>
      <c r="B2" s="2">
        <f>EUETS_period!W2</f>
        <v>0</v>
      </c>
    </row>
    <row r="3" spans="1:2" x14ac:dyDescent="0.25">
      <c r="A3" s="68">
        <f>EUETS_period!C3</f>
        <v>2021</v>
      </c>
      <c r="B3" s="2">
        <f>EUETS_period!W3</f>
        <v>0</v>
      </c>
    </row>
    <row r="4" spans="1:2" x14ac:dyDescent="0.25">
      <c r="A4" s="68">
        <f>EUETS_period!C4</f>
        <v>2022</v>
      </c>
      <c r="B4" s="2">
        <f>EUETS_period!W4</f>
        <v>81.034595999999993</v>
      </c>
    </row>
    <row r="5" spans="1:2" x14ac:dyDescent="0.25">
      <c r="A5" s="68">
        <f>EUETS_period!C5</f>
        <v>2023</v>
      </c>
      <c r="B5" s="2">
        <f>EUETS_period!W5</f>
        <v>75.700423163416886</v>
      </c>
    </row>
    <row r="6" spans="1:2" x14ac:dyDescent="0.25">
      <c r="A6" s="68">
        <f>EUETS_period!C6</f>
        <v>2024</v>
      </c>
      <c r="B6" s="2">
        <f>EUETS_period!W6</f>
        <v>68.191628135658704</v>
      </c>
    </row>
    <row r="7" spans="1:2" x14ac:dyDescent="0.25">
      <c r="A7" s="68">
        <f>EUETS_period!C7</f>
        <v>2025</v>
      </c>
      <c r="B7" s="2">
        <f>EUETS_period!W7</f>
        <v>61.28412525186274</v>
      </c>
    </row>
    <row r="8" spans="1:2" x14ac:dyDescent="0.25">
      <c r="A8" s="68">
        <f>EUETS_period!C8</f>
        <v>2026</v>
      </c>
      <c r="B8" s="2">
        <f>EUETS_period!W8</f>
        <v>59.449215890364265</v>
      </c>
    </row>
    <row r="9" spans="1:2" x14ac:dyDescent="0.25">
      <c r="A9" s="68">
        <f>EUETS_period!C9</f>
        <v>2027</v>
      </c>
      <c r="B9" s="2">
        <f>EUETS_period!W9</f>
        <v>56.765035408684895</v>
      </c>
    </row>
    <row r="10" spans="1:2" x14ac:dyDescent="0.25">
      <c r="A10" s="68">
        <f>EUETS_period!C10</f>
        <v>2028</v>
      </c>
      <c r="B10" s="2">
        <f>EUETS_period!W10</f>
        <v>55.735520420171575</v>
      </c>
    </row>
    <row r="11" spans="1:2" x14ac:dyDescent="0.25">
      <c r="A11" s="68">
        <f>EUETS_period!C11</f>
        <v>2029</v>
      </c>
      <c r="B11" s="2">
        <f>EUETS_period!W11</f>
        <v>53.431162584898885</v>
      </c>
    </row>
    <row r="12" spans="1:2" x14ac:dyDescent="0.25">
      <c r="A12" s="68">
        <f>EUETS_period!C12</f>
        <v>2030</v>
      </c>
      <c r="B12" s="2">
        <f>EUETS_period!W12</f>
        <v>46.216781917420562</v>
      </c>
    </row>
    <row r="13" spans="1:2" x14ac:dyDescent="0.25">
      <c r="A13" s="68">
        <f>EUETS_period!C13</f>
        <v>2035</v>
      </c>
      <c r="B13" s="2">
        <f>EUETS_period!W13</f>
        <v>16.520356585374223</v>
      </c>
    </row>
    <row r="14" spans="1:2" x14ac:dyDescent="0.25">
      <c r="A14" s="68">
        <f>EUETS_period!C14</f>
        <v>2040</v>
      </c>
      <c r="B14" s="2">
        <f>EUETS_period!W14</f>
        <v>8.556834678605389</v>
      </c>
    </row>
    <row r="15" spans="1:2" x14ac:dyDescent="0.25">
      <c r="A15" s="68">
        <f>EUETS_period!C15</f>
        <v>2045</v>
      </c>
      <c r="B15" s="2">
        <f>EUETS_period!W15</f>
        <v>-20.813996843369747</v>
      </c>
    </row>
    <row r="16" spans="1:2" x14ac:dyDescent="0.25">
      <c r="A16" s="68">
        <f>EUETS_period!C16</f>
        <v>2050</v>
      </c>
      <c r="B16" s="2">
        <f>EUETS_period!W16</f>
        <v>-39.23611978615385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28</vt:i4>
      </vt:variant>
    </vt:vector>
  </HeadingPairs>
  <TitlesOfParts>
    <vt:vector size="28" baseType="lpstr">
      <vt:lpstr>co2elec_out</vt:lpstr>
      <vt:lpstr>co2ind_out</vt:lpstr>
      <vt:lpstr>co2elec_annual</vt:lpstr>
      <vt:lpstr>EUETS_annual</vt:lpstr>
      <vt:lpstr>EUETS_period</vt:lpstr>
      <vt:lpstr>co2can_in</vt:lpstr>
      <vt:lpstr>co2ele_in</vt:lpstr>
      <vt:lpstr>co2ele_org</vt:lpstr>
      <vt:lpstr>co2eleuk_in</vt:lpstr>
      <vt:lpstr>co2avi_in</vt:lpstr>
      <vt:lpstr>co2shi_in</vt:lpstr>
      <vt:lpstr>co2out_in</vt:lpstr>
      <vt:lpstr>co2ind_in</vt:lpstr>
      <vt:lpstr>co2ind_org</vt:lpstr>
      <vt:lpstr>co2induk_in</vt:lpstr>
      <vt:lpstr>co2indfix_in</vt:lpstr>
      <vt:lpstr>co2indorgfix_in</vt:lpstr>
      <vt:lpstr>co2indshare_in</vt:lpstr>
      <vt:lpstr>tnac_in</vt:lpstr>
      <vt:lpstr>tnacuse_in</vt:lpstr>
      <vt:lpstr>tnacres_in</vt:lpstr>
      <vt:lpstr>tnacresuse_in</vt:lpstr>
      <vt:lpstr>co2add_in</vt:lpstr>
      <vt:lpstr>co2allocated_in</vt:lpstr>
      <vt:lpstr>co2auctioned_in</vt:lpstr>
      <vt:lpstr>msr_in</vt:lpstr>
      <vt:lpstr>msrin_in</vt:lpstr>
      <vt:lpstr>cancel_in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Mier, Mathias</dc:creator>
  <cp:lastModifiedBy>Mier, Mathias</cp:lastModifiedBy>
  <dcterms:created xsi:type="dcterms:W3CDTF">2021-12-21T20:00:45Z</dcterms:created>
  <dcterms:modified xsi:type="dcterms:W3CDTF">2023-06-05T11:05:09Z</dcterms:modified>
</cp:coreProperties>
</file>