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10.xml" ContentType="application/vnd.openxmlformats-officedocument.spreadsheetml.comments+xml"/>
  <Override PartName="/xl/comments9.xml" ContentType="application/vnd.openxmlformats-officedocument.spreadsheetml.comments+xml"/>
  <Override PartName="/xl/comments8.xml" ContentType="application/vnd.openxmlformats-officedocument.spreadsheetml.comments+xml"/>
  <Override PartName="/xl/comments7.xml" ContentType="application/vnd.openxmlformats-officedocument.spreadsheetml.comments+xml"/>
  <Override PartName="/xl/drawings/_rels/drawing1.xml.rels" ContentType="application/vnd.openxmlformats-package.relationships+xml"/>
  <Override PartName="/xl/drawings/vmlDrawing8.vml" ContentType="application/vnd.openxmlformats-officedocument.vmlDrawing"/>
  <Override PartName="/xl/drawings/vmlDrawing13.vml" ContentType="application/vnd.openxmlformats-officedocument.vmlDrawing"/>
  <Override PartName="/xl/drawings/vmlDrawing9.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10.vml" ContentType="application/vnd.openxmlformats-officedocument.vmlDrawing"/>
  <Override PartName="/xl/drawings/vmlDrawing6.vml" ContentType="application/vnd.openxmlformats-officedocument.vmlDrawing"/>
  <Override PartName="/xl/drawings/vmlDrawing11.vml" ContentType="application/vnd.openxmlformats-officedocument.vmlDrawing"/>
  <Override PartName="/xl/drawings/vmlDrawing7.vml" ContentType="application/vnd.openxmlformats-officedocument.vmlDrawing"/>
  <Override PartName="/xl/drawings/vmlDrawing12.vml" ContentType="application/vnd.openxmlformats-officedocument.vmlDrawing"/>
  <Override PartName="/xl/comments5.xml" ContentType="application/vnd.openxmlformats-officedocument.spreadsheetml.comments+xml"/>
  <Override PartName="/xl/comments18.xml" ContentType="application/vnd.openxmlformats-officedocument.spreadsheetml.comments+xml"/>
  <Override PartName="/xl/comments15.xml" ContentType="application/vnd.openxmlformats-officedocument.spreadsheetml.comments+xml"/>
  <Override PartName="/xl/comments13.xml" ContentType="application/vnd.openxmlformats-officedocument.spreadsheetml.comments+xml"/>
  <Override PartName="/xl/worksheets/_rels/sheet9.xml.rels" ContentType="application/vnd.openxmlformats-package.relationships+xml"/>
  <Override PartName="/xl/worksheets/_rels/sheet13.xml.rels" ContentType="application/vnd.openxmlformats-package.relationships+xml"/>
  <Override PartName="/xl/worksheets/_rels/sheet18.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comments12.xml" ContentType="application/vnd.openxmlformats-officedocument.spreadsheetml.comments+xml"/>
  <Override PartName="/xl/comments11.xml" ContentType="application/vnd.openxmlformats-officedocument.spreadsheetml.comments+xml"/>
  <Override PartName="/xl/_rels/workbook.xml.rels" ContentType="application/vnd.openxmlformats-package.relationships+xml"/>
  <Override PartName="/xl/comments6.xml" ContentType="application/vnd.openxmlformats-officedocument.spreadsheetml.comments+xml"/>
  <Override PartName="/xl/media/image3.png" ContentType="image/png"/>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sharedStrings.xml" ContentType="application/vnd.openxmlformats-officedocument.spreadsheetml.sharedString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Information" sheetId="1" state="visible" r:id="rId2"/>
    <sheet name="Persönliche Daten (pers. data)" sheetId="2" state="visible" r:id="rId3"/>
    <sheet name="Jahresübersicht (Overview)" sheetId="3" state="visible" r:id="rId4"/>
    <sheet name="Januar" sheetId="4" state="visible" r:id="rId5"/>
    <sheet name="Februar" sheetId="5" state="visible" r:id="rId6"/>
    <sheet name="Maerz" sheetId="6" state="visible" r:id="rId7"/>
    <sheet name="April" sheetId="7" state="visible" r:id="rId8"/>
    <sheet name="Mai" sheetId="8" state="visible" r:id="rId9"/>
    <sheet name="Juni" sheetId="9" state="visible" r:id="rId10"/>
    <sheet name="Juli" sheetId="10" state="visible" r:id="rId11"/>
    <sheet name="August" sheetId="11" state="visible" r:id="rId12"/>
    <sheet name="September" sheetId="12" state="visible" r:id="rId13"/>
    <sheet name="Oktober" sheetId="13" state="visible" r:id="rId14"/>
    <sheet name="November" sheetId="14" state="visible" r:id="rId15"/>
    <sheet name="Dezember" sheetId="15" state="visible" r:id="rId16"/>
    <sheet name="Zeitkennzahlen (key figures)" sheetId="16" state="visible" r:id="rId17"/>
    <sheet name="Umrechnung (calculation)" sheetId="17" state="visible" r:id="rId18"/>
    <sheet name="Para1" sheetId="18" state="visible" r:id="rId19"/>
  </sheets>
  <definedNames>
    <definedName function="false" hidden="false" localSheetId="6" name="_xlnm.Print_Area" vbProcedure="false">April!$A$1:$N$59</definedName>
    <definedName function="false" hidden="false" localSheetId="10" name="_xlnm.Print_Area" vbProcedure="false">August!$A$1:$N$59</definedName>
    <definedName function="false" hidden="false" localSheetId="14" name="_xlnm.Print_Area" vbProcedure="false">Dezember!$A$1:$N$59</definedName>
    <definedName function="false" hidden="false" localSheetId="4" name="_xlnm.Print_Area" vbProcedure="false">Februar!$A$1:$N$59</definedName>
    <definedName function="false" hidden="false" localSheetId="0" name="_xlnm.Print_Area" vbProcedure="false">Information!$A$1:$L$68</definedName>
    <definedName function="false" hidden="false" localSheetId="2" name="_xlnm.Print_Area" vbProcedure="false">'Jahresübersicht (Overview)'!$A$1:$O$34</definedName>
    <definedName function="false" hidden="false" localSheetId="3" name="_xlnm.Print_Area" vbProcedure="false">Januar!$A$1:$N$59</definedName>
    <definedName function="false" hidden="false" localSheetId="9" name="_xlnm.Print_Area" vbProcedure="false">Juli!$A$1:$N$59</definedName>
    <definedName function="false" hidden="false" localSheetId="8" name="_xlnm.Print_Area" vbProcedure="false">Juni!$A$1:$N$59</definedName>
    <definedName function="false" hidden="false" localSheetId="5" name="_xlnm.Print_Area" vbProcedure="false">Maerz!$A$1:$N$59</definedName>
    <definedName function="false" hidden="false" localSheetId="7" name="_xlnm.Print_Area" vbProcedure="false">Mai!$A$1:$N$59</definedName>
    <definedName function="false" hidden="false" localSheetId="13" name="_xlnm.Print_Area" vbProcedure="false">November!$A$1:$N$59</definedName>
    <definedName function="false" hidden="false" localSheetId="12" name="_xlnm.Print_Area" vbProcedure="false">Oktober!$A$1:$N$59</definedName>
    <definedName function="false" hidden="false" localSheetId="1" name="_xlnm.Print_Area" vbProcedure="false">'Persönliche Daten (pers. data)'!$A$1:$O$48</definedName>
    <definedName function="false" hidden="false" localSheetId="11" name="_xlnm.Print_Area" vbProcedure="false">September!$A$1:$N$59</definedName>
    <definedName function="false" hidden="false" localSheetId="15" name="_xlnm.Print_Area" vbProcedure="false">'Zeitkennzahlen (key figures)'!$A$1:$K$24</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11.xml><?xml version="1.0" encoding="utf-8"?>
<comments xmlns="http://schemas.openxmlformats.org/spreadsheetml/2006/main" xmlns:xdr="http://schemas.openxmlformats.org/drawingml/2006/spreadsheetDrawing">
  <authors>
    <author> </author>
  </authors>
  <commentList>
    <comment ref="A23" authorId="0">
      <text>
        <r>
          <rPr>
            <b val="true"/>
            <sz val="10"/>
            <color rgb="FF000000"/>
            <rFont val="Tahoma"/>
            <family val="2"/>
            <charset val="1"/>
          </rPr>
          <t xml:space="preserve">1.August</t>
        </r>
      </text>
    </commen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12.xml><?xml version="1.0" encoding="utf-8"?>
<comments xmlns="http://schemas.openxmlformats.org/spreadsheetml/2006/main" xmlns:xdr="http://schemas.openxmlformats.org/drawingml/2006/spreadsheetDrawing">
  <authors>
    <author> </author>
  </authors>
  <commentLis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13.xml><?xml version="1.0" encoding="utf-8"?>
<comments xmlns="http://schemas.openxmlformats.org/spreadsheetml/2006/main" xmlns:xdr="http://schemas.openxmlformats.org/drawingml/2006/spreadsheetDrawing">
  <authors>
    <author> </author>
  </authors>
  <commentLis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14.xml><?xml version="1.0" encoding="utf-8"?>
<comments xmlns="http://schemas.openxmlformats.org/spreadsheetml/2006/main" xmlns:xdr="http://schemas.openxmlformats.org/drawingml/2006/spreadsheetDrawing">
  <authors>
    <author> </author>
  </authors>
  <commentLis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15.xml><?xml version="1.0" encoding="utf-8"?>
<comments xmlns="http://schemas.openxmlformats.org/spreadsheetml/2006/main" xmlns:xdr="http://schemas.openxmlformats.org/drawingml/2006/spreadsheetDrawing">
  <authors>
    <author> </author>
  </authors>
  <commentList>
    <comment ref="A46" authorId="0">
      <text>
        <r>
          <rPr>
            <b val="true"/>
            <sz val="9"/>
            <color rgb="FF000000"/>
            <rFont val="Tahoma"/>
            <family val="2"/>
            <charset val="1"/>
          </rPr>
          <t xml:space="preserve">Heiligabend</t>
        </r>
      </text>
    </comment>
    <comment ref="A47" authorId="0">
      <text>
        <r>
          <rPr>
            <b val="true"/>
            <sz val="9"/>
            <color rgb="FF000000"/>
            <rFont val="Tahoma"/>
            <family val="2"/>
            <charset val="1"/>
          </rPr>
          <t xml:space="preserve">1. Weihnachtstag</t>
        </r>
      </text>
    </comment>
    <comment ref="A48" authorId="0">
      <text>
        <r>
          <rPr>
            <b val="true"/>
            <sz val="9"/>
            <color rgb="FF000000"/>
            <rFont val="Tahoma"/>
            <family val="2"/>
            <charset val="1"/>
          </rPr>
          <t xml:space="preserve">2. Weihnachtstag</t>
        </r>
      </text>
    </comment>
    <comment ref="A53" authorId="0">
      <text>
        <r>
          <rPr>
            <b val="true"/>
            <sz val="9"/>
            <color rgb="FF000000"/>
            <rFont val="Tahoma"/>
            <family val="2"/>
            <charset val="1"/>
          </rPr>
          <t xml:space="preserve">Silvester</t>
        </r>
      </text>
    </commen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18.xml><?xml version="1.0" encoding="utf-8"?>
<comments xmlns="http://schemas.openxmlformats.org/spreadsheetml/2006/main" xmlns:xdr="http://schemas.openxmlformats.org/drawingml/2006/spreadsheetDrawing">
  <authors>
    <author> </author>
  </authors>
  <commentList>
    <comment ref="E63" authorId="0">
      <text>
        <r>
          <rPr>
            <b val="true"/>
            <sz val="12"/>
            <color rgb="FF000000"/>
            <rFont val="Tahoma"/>
            <family val="2"/>
            <charset val="1"/>
          </rPr>
          <t xml:space="preserve">Achtung bei Schaltjahr: Anpassung Formel 29.2. und 1.3.!!!</t>
        </r>
      </text>
    </comment>
  </commentList>
</comments>
</file>

<file path=xl/comments4.xml><?xml version="1.0" encoding="utf-8"?>
<comments xmlns="http://schemas.openxmlformats.org/spreadsheetml/2006/main" xmlns:xdr="http://schemas.openxmlformats.org/drawingml/2006/spreadsheetDrawing">
  <authors>
    <author> </author>
  </authors>
  <commentList>
    <comment ref="A23" authorId="0">
      <text>
        <r>
          <rPr>
            <sz val="10"/>
            <rFont val="Arial"/>
            <family val="0"/>
            <charset val="1"/>
          </rPr>
          <t xml:space="preserve">Neujahrstag
</t>
        </r>
      </text>
    </comment>
    <comment ref="A24" authorId="0">
      <text>
        <r>
          <rPr>
            <b val="true"/>
            <sz val="9"/>
            <color rgb="FF000000"/>
            <rFont val="Tahoma"/>
            <family val="2"/>
            <charset val="1"/>
          </rPr>
          <t xml:space="preserve">Berchtoldstag</t>
        </r>
      </text>
    </commen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5.xml><?xml version="1.0" encoding="utf-8"?>
<comments xmlns="http://schemas.openxmlformats.org/spreadsheetml/2006/main" xmlns:xdr="http://schemas.openxmlformats.org/drawingml/2006/spreadsheetDrawing">
  <authors>
    <author> </author>
  </authors>
  <commentLis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6.xml><?xml version="1.0" encoding="utf-8"?>
<comments xmlns="http://schemas.openxmlformats.org/spreadsheetml/2006/main" xmlns:xdr="http://schemas.openxmlformats.org/drawingml/2006/spreadsheetDrawing">
  <authors>
    <author> </author>
  </authors>
  <commentLis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7.xml><?xml version="1.0" encoding="utf-8"?>
<comments xmlns="http://schemas.openxmlformats.org/spreadsheetml/2006/main" xmlns:xdr="http://schemas.openxmlformats.org/drawingml/2006/spreadsheetDrawing">
  <authors>
    <author> </author>
  </authors>
  <commentList>
    <comment ref="A23" authorId="0">
      <text>
        <r>
          <rPr>
            <sz val="10"/>
            <rFont val="Arial"/>
            <family val="0"/>
            <charset val="1"/>
          </rPr>
          <t xml:space="preserve">Gründonnerstag
</t>
        </r>
      </text>
    </comment>
    <comment ref="A24" authorId="0">
      <text>
        <r>
          <rPr>
            <sz val="10"/>
            <rFont val="Arial"/>
            <family val="0"/>
            <charset val="1"/>
          </rPr>
          <t xml:space="preserve">Karfreitag
</t>
        </r>
      </text>
    </comment>
    <comment ref="A26" authorId="0">
      <text>
        <r>
          <rPr>
            <sz val="10"/>
            <rFont val="Arial"/>
            <family val="0"/>
            <charset val="1"/>
          </rPr>
          <t xml:space="preserve">Ostern
</t>
        </r>
      </text>
    </comment>
    <comment ref="A27" authorId="0">
      <text>
        <r>
          <rPr>
            <sz val="10"/>
            <rFont val="Arial"/>
            <family val="0"/>
            <charset val="1"/>
          </rPr>
          <t xml:space="preserve">Ostermontag
</t>
        </r>
      </text>
    </commen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8.xml><?xml version="1.0" encoding="utf-8"?>
<comments xmlns="http://schemas.openxmlformats.org/spreadsheetml/2006/main" xmlns:xdr="http://schemas.openxmlformats.org/drawingml/2006/spreadsheetDrawing">
  <authors>
    <author> </author>
  </authors>
  <commentList>
    <comment ref="A35" authorId="0">
      <text>
        <r>
          <rPr>
            <sz val="10"/>
            <rFont val="Arial"/>
            <family val="0"/>
            <charset val="1"/>
          </rPr>
          <t xml:space="preserve">Auffahrt
</t>
        </r>
      </text>
    </comment>
    <comment ref="A45" authorId="0">
      <text>
        <r>
          <rPr>
            <sz val="10"/>
            <rFont val="Arial"/>
            <family val="0"/>
            <charset val="1"/>
          </rPr>
          <t xml:space="preserve">Pfingsten
</t>
        </r>
      </text>
    </comment>
    <comment ref="A46" authorId="0">
      <text>
        <r>
          <rPr>
            <b val="true"/>
            <sz val="9"/>
            <color rgb="FF000000"/>
            <rFont val="Segoe UI"/>
            <family val="2"/>
            <charset val="1"/>
          </rPr>
          <t xml:space="preserve">Pfingstmontag</t>
        </r>
      </text>
    </commen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comments9.xml><?xml version="1.0" encoding="utf-8"?>
<comments xmlns="http://schemas.openxmlformats.org/spreadsheetml/2006/main" xmlns:xdr="http://schemas.openxmlformats.org/drawingml/2006/spreadsheetDrawing">
  <authors>
    <author> </author>
  </authors>
  <commentList>
    <comment ref="D20" authorId="0">
      <text>
        <r>
          <rPr>
            <b val="true"/>
            <sz val="9"/>
            <color rgb="FF000000"/>
            <rFont val="Tahoma"/>
            <family val="2"/>
            <charset val="1"/>
          </rPr>
          <t xml:space="preserve">Tragen Sie hier ihre Absenzen in Stunden im Format hh:mm ein. Bitte lesen Sie die Infromationsmappe für genauere Angaben zum korrekten Bezug.</t>
        </r>
      </text>
    </comment>
    <comment ref="K20" authorId="0">
      <text>
        <r>
          <rPr>
            <b val="true"/>
            <sz val="9"/>
            <color rgb="FF000000"/>
            <rFont val="Tahoma"/>
            <family val="2"/>
            <charset val="1"/>
          </rPr>
          <t xml:space="preserve">Tragen Sie ihre Absenzen mit  einsprechendem Buchstaben für Vor- und Nachmittag ein. Siehe Legende oben links.</t>
        </r>
      </text>
    </comment>
    <comment ref="M20" authorId="0">
      <text>
        <r>
          <rPr>
            <b val="true"/>
            <sz val="11"/>
            <color rgb="FF000000"/>
            <rFont val="Arial"/>
            <family val="2"/>
            <charset val="1"/>
          </rPr>
          <t xml:space="preserve">Die Eingabe ist aus Übersichtlichkeitsgründen auf maximal 25 Zeichen beschränkt. Bitte halten Sie allfällige Kommentare kurz.</t>
        </r>
      </text>
    </comment>
  </commentList>
</comments>
</file>

<file path=xl/sharedStrings.xml><?xml version="1.0" encoding="utf-8"?>
<sst xmlns="http://schemas.openxmlformats.org/spreadsheetml/2006/main" count="1053" uniqueCount="443">
  <si>
    <t xml:space="preserve">Sprache/Language:</t>
  </si>
  <si>
    <t xml:space="preserve">English</t>
  </si>
  <si>
    <t xml:space="preserve">(Deutsch oder/or English)</t>
  </si>
  <si>
    <t xml:space="preserve">Version:</t>
  </si>
  <si>
    <t xml:space="preserve">systeme@pers.unibe.ch</t>
  </si>
  <si>
    <t xml:space="preserve">•</t>
  </si>
  <si>
    <t xml:space="preserve">Kürzung der Ferien (Wissensdatenbank Personalrecht)</t>
  </si>
  <si>
    <t xml:space="preserve">Erklärung Arbeitsmuster</t>
  </si>
  <si>
    <t xml:space="preserve">Mathieu</t>
  </si>
  <si>
    <t xml:space="preserve">Simon</t>
  </si>
  <si>
    <t xml:space="preserve">1-18</t>
  </si>
  <si>
    <t xml:space="preserve">%</t>
  </si>
  <si>
    <t xml:space="preserve">(hh:mm)</t>
  </si>
  <si>
    <t xml:space="preserve">f</t>
  </si>
  <si>
    <t xml:space="preserve">m</t>
  </si>
  <si>
    <t xml:space="preserve">z</t>
  </si>
  <si>
    <t xml:space="preserve">b</t>
  </si>
  <si>
    <t xml:space="preserve">u</t>
  </si>
  <si>
    <t xml:space="preserve">1.</t>
  </si>
  <si>
    <t xml:space="preserve">Neujahrstag</t>
  </si>
  <si>
    <t xml:space="preserve">2.</t>
  </si>
  <si>
    <t xml:space="preserve">Bercholdstag</t>
  </si>
  <si>
    <t xml:space="preserve">3.</t>
  </si>
  <si>
    <t xml:space="preserve">4.</t>
  </si>
  <si>
    <t xml:space="preserve">5.</t>
  </si>
  <si>
    <t xml:space="preserve">6.</t>
  </si>
  <si>
    <t xml:space="preserve">7.</t>
  </si>
  <si>
    <t xml:space="preserve">8.</t>
  </si>
  <si>
    <t xml:space="preserve">9.</t>
  </si>
  <si>
    <t xml:space="preserve">10.</t>
  </si>
  <si>
    <t xml:space="preserve">11.</t>
  </si>
  <si>
    <t xml:space="preserve">12.</t>
  </si>
  <si>
    <t xml:space="preserve">13.</t>
  </si>
  <si>
    <t xml:space="preserve">14.</t>
  </si>
  <si>
    <t xml:space="preserve">15.</t>
  </si>
  <si>
    <t xml:space="preserve">16.</t>
  </si>
  <si>
    <t xml:space="preserve">17.</t>
  </si>
  <si>
    <t xml:space="preserve">18.</t>
  </si>
  <si>
    <t xml:space="preserve">19.</t>
  </si>
  <si>
    <t xml:space="preserve">20.</t>
  </si>
  <si>
    <t xml:space="preserve">21.</t>
  </si>
  <si>
    <t xml:space="preserve">22.</t>
  </si>
  <si>
    <t xml:space="preserve">23.</t>
  </si>
  <si>
    <t xml:space="preserve">24.</t>
  </si>
  <si>
    <t xml:space="preserve">25.</t>
  </si>
  <si>
    <t xml:space="preserve">26.</t>
  </si>
  <si>
    <t xml:space="preserve">27.</t>
  </si>
  <si>
    <t xml:space="preserve">28.</t>
  </si>
  <si>
    <t xml:space="preserve">29.</t>
  </si>
  <si>
    <t xml:space="preserve">30.</t>
  </si>
  <si>
    <t xml:space="preserve">31.</t>
  </si>
  <si>
    <t xml:space="preserve">Nationalfeiertag</t>
  </si>
  <si>
    <t xml:space="preserve">Heiliger Abend</t>
  </si>
  <si>
    <t xml:space="preserve">Weihnachten</t>
  </si>
  <si>
    <t xml:space="preserve">Stephanstag</t>
  </si>
  <si>
    <t xml:space="preserve">Silvester</t>
  </si>
  <si>
    <t xml:space="preserve">hh:mm</t>
  </si>
  <si>
    <t xml:space="preserve">(1 d = 8.4 h)</t>
  </si>
  <si>
    <t xml:space="preserve">(8.4 h = 1 d)</t>
  </si>
  <si>
    <t xml:space="preserve">(1 = 8:24 h:mm)</t>
  </si>
  <si>
    <t xml:space="preserve">(8:24 h:mm = 1 d)</t>
  </si>
  <si>
    <t xml:space="preserve">BG</t>
  </si>
  <si>
    <t xml:space="preserve">Jahr</t>
  </si>
  <si>
    <t xml:space="preserve">Versionsnummer:</t>
  </si>
  <si>
    <t xml:space="preserve">AE v1_01 02.12.2021</t>
  </si>
  <si>
    <t xml:space="preserve">Alter</t>
  </si>
  <si>
    <t xml:space="preserve">Tage</t>
  </si>
  <si>
    <t xml:space="preserve">Stunden dezimal</t>
  </si>
  <si>
    <t xml:space="preserve">Stunden (hh:mm)</t>
  </si>
  <si>
    <t xml:space="preserve">Ferien normal</t>
  </si>
  <si>
    <t xml:space="preserve">Ferien Kader</t>
  </si>
  <si>
    <t xml:space="preserve">Ferien Lehrling</t>
  </si>
  <si>
    <t xml:space="preserve">Ferien
Lehrling</t>
  </si>
  <si>
    <t xml:space="preserve">Soll-Arbeitszeiten</t>
  </si>
  <si>
    <t xml:space="preserve">Januar</t>
  </si>
  <si>
    <t xml:space="preserve">Februar</t>
  </si>
  <si>
    <t xml:space="preserve">März</t>
  </si>
  <si>
    <t xml:space="preserve">April</t>
  </si>
  <si>
    <t xml:space="preserve">Mai</t>
  </si>
  <si>
    <t xml:space="preserve">Juni</t>
  </si>
  <si>
    <t xml:space="preserve">Juli</t>
  </si>
  <si>
    <t xml:space="preserve">August</t>
  </si>
  <si>
    <t xml:space="preserve">September</t>
  </si>
  <si>
    <t xml:space="preserve">Oktober</t>
  </si>
  <si>
    <t xml:space="preserve">November</t>
  </si>
  <si>
    <t xml:space="preserve">Dezember</t>
  </si>
  <si>
    <t xml:space="preserve">Wochentag zu Beginn des Jahres</t>
  </si>
  <si>
    <t xml:space="preserve">Fr</t>
  </si>
  <si>
    <t xml:space="preserve">Feiertage</t>
  </si>
  <si>
    <t xml:space="preserve">Tag</t>
  </si>
  <si>
    <t xml:space="preserve">Monat</t>
  </si>
  <si>
    <t xml:space="preserve">Feiertag</t>
  </si>
  <si>
    <t xml:space="preserve">Vortag</t>
  </si>
  <si>
    <t xml:space="preserve">Variable Feiertage:</t>
  </si>
  <si>
    <t xml:space="preserve">Karfreitag</t>
  </si>
  <si>
    <t xml:space="preserve">Ostern</t>
  </si>
  <si>
    <t xml:space="preserve">Ostermontag</t>
  </si>
  <si>
    <t xml:space="preserve">Auffahrt</t>
  </si>
  <si>
    <t xml:space="preserve">Pfingsten</t>
  </si>
  <si>
    <t xml:space="preserve">Pfingstmontag</t>
  </si>
  <si>
    <t xml:space="preserve">0</t>
  </si>
  <si>
    <t xml:space="preserve">Fixe Feiertage:</t>
  </si>
  <si>
    <t xml:space="preserve">1</t>
  </si>
  <si>
    <t xml:space="preserve">4.2</t>
  </si>
  <si>
    <t xml:space="preserve">Sprache/Dropdown:</t>
  </si>
  <si>
    <t xml:space="preserve">Aus</t>
  </si>
  <si>
    <t xml:space="preserve">Deutsch</t>
  </si>
  <si>
    <t xml:space="preserve">Englisch</t>
  </si>
  <si>
    <t xml:space="preserve">Verwendet</t>
  </si>
  <si>
    <t xml:space="preserve">Absenzen</t>
  </si>
  <si>
    <t xml:space="preserve">absences</t>
  </si>
  <si>
    <t xml:space="preserve">akt. Mt.</t>
  </si>
  <si>
    <t xml:space="preserve">curr. mnth</t>
  </si>
  <si>
    <t xml:space="preserve">alt / neu</t>
  </si>
  <si>
    <t xml:space="preserve">old / new</t>
  </si>
  <si>
    <t xml:space="preserve">Änderung</t>
  </si>
  <si>
    <t xml:space="preserve">Alteration in</t>
  </si>
  <si>
    <t xml:space="preserve">Anfang</t>
  </si>
  <si>
    <t xml:space="preserve">begin of the</t>
  </si>
  <si>
    <t xml:space="preserve">Anzahl</t>
  </si>
  <si>
    <t xml:space="preserve">number of</t>
  </si>
  <si>
    <t xml:space="preserve">Arbeitsmuster</t>
  </si>
  <si>
    <t xml:space="preserve">working hours templ.</t>
  </si>
  <si>
    <t xml:space="preserve">working hours template</t>
  </si>
  <si>
    <t xml:space="preserve">Arbeitstage</t>
  </si>
  <si>
    <t xml:space="preserve">work days</t>
  </si>
  <si>
    <t xml:space="preserve">Arbeitszeit</t>
  </si>
  <si>
    <t xml:space="preserve">labour time</t>
  </si>
  <si>
    <t xml:space="preserve">Bemerkungen: </t>
  </si>
  <si>
    <t xml:space="preserve">comment: </t>
  </si>
  <si>
    <t xml:space="preserve">Berechnung</t>
  </si>
  <si>
    <t xml:space="preserve">calculation</t>
  </si>
  <si>
    <t xml:space="preserve">Beschäftigungsgrad</t>
  </si>
  <si>
    <t xml:space="preserve">level of employment</t>
  </si>
  <si>
    <t xml:space="preserve">lvl of emp.</t>
  </si>
  <si>
    <t xml:space="preserve">betriebsbedingt</t>
  </si>
  <si>
    <t xml:space="preserve">work related</t>
  </si>
  <si>
    <t xml:space="preserve">betr.</t>
  </si>
  <si>
    <t xml:space="preserve">work. rel.</t>
  </si>
  <si>
    <t xml:space="preserve">bezahlt</t>
  </si>
  <si>
    <t xml:space="preserve">paid</t>
  </si>
  <si>
    <t xml:space="preserve">bezogene</t>
  </si>
  <si>
    <t xml:space="preserve">taken</t>
  </si>
  <si>
    <t xml:space="preserve">Bezug akt. Monat</t>
  </si>
  <si>
    <t xml:space="preserve">hours taken curr. month</t>
  </si>
  <si>
    <t xml:space="preserve">(Bitte das Guthaben in Stunden und Minuten eingeben.)</t>
  </si>
  <si>
    <t xml:space="preserve">(please enter in hours and minutes)</t>
  </si>
  <si>
    <t xml:space="preserve">Buchstaben</t>
  </si>
  <si>
    <t xml:space="preserve">letters</t>
  </si>
  <si>
    <t xml:space="preserve">Datum</t>
  </si>
  <si>
    <t xml:space="preserve">date</t>
  </si>
  <si>
    <t xml:space="preserve">December</t>
  </si>
  <si>
    <t xml:space="preserve">dezimal</t>
  </si>
  <si>
    <t xml:space="preserve">decimal</t>
  </si>
  <si>
    <t xml:space="preserve">Di</t>
  </si>
  <si>
    <t xml:space="preserve">Tue</t>
  </si>
  <si>
    <t xml:space="preserve">Differenz</t>
  </si>
  <si>
    <t xml:space="preserve">difference</t>
  </si>
  <si>
    <t xml:space="preserve">Do</t>
  </si>
  <si>
    <t xml:space="preserve">Thu</t>
  </si>
  <si>
    <t xml:space="preserve">durchschnittl.</t>
  </si>
  <si>
    <t xml:space="preserve">average</t>
  </si>
  <si>
    <t xml:space="preserve">Eintrittsdatum: </t>
  </si>
  <si>
    <t xml:space="preserve">starting date: </t>
  </si>
  <si>
    <t xml:space="preserve">Eintrittsmonat</t>
  </si>
  <si>
    <t xml:space="preserve">month of entry</t>
  </si>
  <si>
    <t xml:space="preserve">Ende</t>
  </si>
  <si>
    <t xml:space="preserve">end of the</t>
  </si>
  <si>
    <t xml:space="preserve">February</t>
  </si>
  <si>
    <t xml:space="preserve">Ferien</t>
  </si>
  <si>
    <t xml:space="preserve">holiday</t>
  </si>
  <si>
    <t xml:space="preserve">Ferienbezug</t>
  </si>
  <si>
    <t xml:space="preserve">holiday taken</t>
  </si>
  <si>
    <t xml:space="preserve">Ferienkürzung</t>
  </si>
  <si>
    <t xml:space="preserve">reduction of holiday</t>
  </si>
  <si>
    <t xml:space="preserve">Fri</t>
  </si>
  <si>
    <t xml:space="preserve">freie</t>
  </si>
  <si>
    <t xml:space="preserve">free</t>
  </si>
  <si>
    <t xml:space="preserve">für</t>
  </si>
  <si>
    <t xml:space="preserve">for</t>
  </si>
  <si>
    <t xml:space="preserve">Gehaltsklasse</t>
  </si>
  <si>
    <t xml:space="preserve">salary class</t>
  </si>
  <si>
    <t xml:space="preserve">Gehen</t>
  </si>
  <si>
    <t xml:space="preserve">go</t>
  </si>
  <si>
    <t xml:space="preserve">geleistete</t>
  </si>
  <si>
    <t xml:space="preserve">advance</t>
  </si>
  <si>
    <t xml:space="preserve">Halbtage</t>
  </si>
  <si>
    <t xml:space="preserve">half-days</t>
  </si>
  <si>
    <t xml:space="preserve">Hundertstel</t>
  </si>
  <si>
    <t xml:space="preserve">hundredth</t>
  </si>
  <si>
    <t xml:space="preserve">im</t>
  </si>
  <si>
    <t xml:space="preserve">in this</t>
  </si>
  <si>
    <t xml:space="preserve">inkl.</t>
  </si>
  <si>
    <t xml:space="preserve">incl.</t>
  </si>
  <si>
    <t xml:space="preserve">Ist</t>
  </si>
  <si>
    <t xml:space="preserve">actual</t>
  </si>
  <si>
    <t xml:space="preserve">Jahr: </t>
  </si>
  <si>
    <t xml:space="preserve">year: </t>
  </si>
  <si>
    <t xml:space="preserve">Jahresübersicht</t>
  </si>
  <si>
    <t xml:space="preserve">Overview</t>
  </si>
  <si>
    <t xml:space="preserve">Jahrgang (4-stellig): </t>
  </si>
  <si>
    <t xml:space="preserve">year of birth (4-digit): </t>
  </si>
  <si>
    <t xml:space="preserve">January</t>
  </si>
  <si>
    <t xml:space="preserve">JAZ-Kompensation</t>
  </si>
  <si>
    <t xml:space="preserve">JAZ-compensation</t>
  </si>
  <si>
    <t xml:space="preserve">July</t>
  </si>
  <si>
    <t xml:space="preserve">June</t>
  </si>
  <si>
    <t xml:space="preserve">Kompensation</t>
  </si>
  <si>
    <t xml:space="preserve">compensation</t>
  </si>
  <si>
    <t xml:space="preserve">Kommen</t>
  </si>
  <si>
    <t xml:space="preserve">come</t>
  </si>
  <si>
    <t xml:space="preserve">Kommentar</t>
  </si>
  <si>
    <t xml:space="preserve">comment</t>
  </si>
  <si>
    <t xml:space="preserve">Krankheit</t>
  </si>
  <si>
    <t xml:space="preserve">illness</t>
  </si>
  <si>
    <t xml:space="preserve">Kurzurlaub</t>
  </si>
  <si>
    <t xml:space="preserve">short vacation</t>
  </si>
  <si>
    <t xml:space="preserve">Langzeitkonto</t>
  </si>
  <si>
    <t xml:space="preserve">comptime account</t>
  </si>
  <si>
    <t xml:space="preserve">Langzeitkontoguthaben</t>
  </si>
  <si>
    <t xml:space="preserve">comptime account balance</t>
  </si>
  <si>
    <t xml:space="preserve">LZK-Bezug</t>
  </si>
  <si>
    <t xml:space="preserve">hours taken</t>
  </si>
  <si>
    <t xml:space="preserve">May</t>
  </si>
  <si>
    <t xml:space="preserve">March</t>
  </si>
  <si>
    <t xml:space="preserve">Mi</t>
  </si>
  <si>
    <t xml:space="preserve">Wed</t>
  </si>
  <si>
    <t xml:space="preserve">mit</t>
  </si>
  <si>
    <t xml:space="preserve">with</t>
  </si>
  <si>
    <t xml:space="preserve">Militär/Zivilsch./Zivildienst</t>
  </si>
  <si>
    <t xml:space="preserve">military/civil def./civil serv.</t>
  </si>
  <si>
    <t xml:space="preserve">Minuten</t>
  </si>
  <si>
    <t xml:space="preserve">minutes</t>
  </si>
  <si>
    <t xml:space="preserve">Mitarbeiter/In</t>
  </si>
  <si>
    <t xml:space="preserve">employee</t>
  </si>
  <si>
    <t xml:space="preserve">Mo</t>
  </si>
  <si>
    <t xml:space="preserve">Mon</t>
  </si>
  <si>
    <t xml:space="preserve">month</t>
  </si>
  <si>
    <t xml:space="preserve">Monatsblätter</t>
  </si>
  <si>
    <t xml:space="preserve">monthly sheets</t>
  </si>
  <si>
    <t xml:space="preserve">Monatssoll gem. BG</t>
  </si>
  <si>
    <t xml:space="preserve">monthly due ref. to lvl of emp</t>
  </si>
  <si>
    <t xml:space="preserve">Mutter- und Vaterschaftsurlaub</t>
  </si>
  <si>
    <t xml:space="preserve">parental leave</t>
  </si>
  <si>
    <t xml:space="preserve">Nachmittag</t>
  </si>
  <si>
    <t xml:space="preserve">afternoon</t>
  </si>
  <si>
    <t xml:space="preserve">Name: </t>
  </si>
  <si>
    <t xml:space="preserve">surname: </t>
  </si>
  <si>
    <t xml:space="preserve">NEU</t>
  </si>
  <si>
    <t xml:space="preserve">NEW</t>
  </si>
  <si>
    <t xml:space="preserve">nicht</t>
  </si>
  <si>
    <t xml:space="preserve">not</t>
  </si>
  <si>
    <t xml:space="preserve">Öffentliches Amt</t>
  </si>
  <si>
    <t xml:space="preserve">public office</t>
  </si>
  <si>
    <t xml:space="preserve">October</t>
  </si>
  <si>
    <t xml:space="preserve">Pers-Nr.: </t>
  </si>
  <si>
    <t xml:space="preserve">pers.-no.: </t>
  </si>
  <si>
    <t xml:space="preserve">Persönliche Daten</t>
  </si>
  <si>
    <t xml:space="preserve">personal data</t>
  </si>
  <si>
    <t xml:space="preserve">pro</t>
  </si>
  <si>
    <t xml:space="preserve">per</t>
  </si>
  <si>
    <t xml:space="preserve">pro Halbtag</t>
  </si>
  <si>
    <t xml:space="preserve">/ half-day</t>
  </si>
  <si>
    <t xml:space="preserve">Sa</t>
  </si>
  <si>
    <t xml:space="preserve">Sat</t>
  </si>
  <si>
    <t xml:space="preserve">Saldo</t>
  </si>
  <si>
    <t xml:space="preserve">balance</t>
  </si>
  <si>
    <t xml:space="preserve">Saldo bis Dato</t>
  </si>
  <si>
    <t xml:space="preserve">current balance</t>
  </si>
  <si>
    <t xml:space="preserve">So</t>
  </si>
  <si>
    <t xml:space="preserve">Sun</t>
  </si>
  <si>
    <t xml:space="preserve">Soll</t>
  </si>
  <si>
    <t xml:space="preserve">balance due</t>
  </si>
  <si>
    <t xml:space="preserve">Speisung per 01.01.</t>
  </si>
  <si>
    <t xml:space="preserve">feeding 01.01</t>
  </si>
  <si>
    <t xml:space="preserve">Stunden</t>
  </si>
  <si>
    <t xml:space="preserve">hours</t>
  </si>
  <si>
    <t xml:space="preserve">Summe bis Dato</t>
  </si>
  <si>
    <t xml:space="preserve">current sum</t>
  </si>
  <si>
    <t xml:space="preserve">days</t>
  </si>
  <si>
    <t xml:space="preserve">Tagessoll</t>
  </si>
  <si>
    <t xml:space="preserve">daily work-time</t>
  </si>
  <si>
    <t xml:space="preserve">Total</t>
  </si>
  <si>
    <t xml:space="preserve">total</t>
  </si>
  <si>
    <t xml:space="preserve">Ferienguthaben</t>
  </si>
  <si>
    <t xml:space="preserve">current holiday balance</t>
  </si>
  <si>
    <t xml:space="preserve">Treueprämie</t>
  </si>
  <si>
    <t xml:space="preserve">loyalty premium</t>
  </si>
  <si>
    <t xml:space="preserve">Übertrag in das nächte Jahr</t>
  </si>
  <si>
    <t xml:space="preserve">hours to transfer to the next year</t>
  </si>
  <si>
    <t xml:space="preserve">Übertrag Vorjahr</t>
  </si>
  <si>
    <t xml:space="preserve">hours left from last year</t>
  </si>
  <si>
    <t xml:space="preserve">Übertr. Vorjahr</t>
  </si>
  <si>
    <t xml:space="preserve">hrs f. last year</t>
  </si>
  <si>
    <t xml:space="preserve">Umrechnung</t>
  </si>
  <si>
    <t xml:space="preserve">translation</t>
  </si>
  <si>
    <t xml:space="preserve">Umrechnungstools</t>
  </si>
  <si>
    <t xml:space="preserve">calculationtool</t>
  </si>
  <si>
    <t xml:space="preserve">unbedingt ausfüllen!</t>
  </si>
  <si>
    <t xml:space="preserve">mandatory!</t>
  </si>
  <si>
    <t xml:space="preserve">unbezahlt</t>
  </si>
  <si>
    <t xml:space="preserve">unpaid</t>
  </si>
  <si>
    <t xml:space="preserve">Unfall</t>
  </si>
  <si>
    <t xml:space="preserve">accident</t>
  </si>
  <si>
    <t xml:space="preserve">Unterschrift</t>
  </si>
  <si>
    <t xml:space="preserve">signature</t>
  </si>
  <si>
    <t xml:space="preserve">Urlaub</t>
  </si>
  <si>
    <t xml:space="preserve">leave</t>
  </si>
  <si>
    <t xml:space="preserve">Vorgesetzter</t>
  </si>
  <si>
    <t xml:space="preserve">manager</t>
  </si>
  <si>
    <t xml:space="preserve">Vormittag</t>
  </si>
  <si>
    <t xml:space="preserve">morning</t>
  </si>
  <si>
    <t xml:space="preserve">VorMt(e)</t>
  </si>
  <si>
    <t xml:space="preserve">last mnth(s)</t>
  </si>
  <si>
    <t xml:space="preserve">Vorname: </t>
  </si>
  <si>
    <t xml:space="preserve">first name: </t>
  </si>
  <si>
    <t xml:space="preserve">Wechsel</t>
  </si>
  <si>
    <t xml:space="preserve">change</t>
  </si>
  <si>
    <t xml:space="preserve">Weiterbildung auf Arbeitszeit</t>
  </si>
  <si>
    <t xml:space="preserve">training / education</t>
  </si>
  <si>
    <t xml:space="preserve">Weiter- bildung</t>
  </si>
  <si>
    <t xml:space="preserve">Woche</t>
  </si>
  <si>
    <t xml:space="preserve">week</t>
  </si>
  <si>
    <t xml:space="preserve">Zeitkennzahlen</t>
  </si>
  <si>
    <t xml:space="preserve">key figures</t>
  </si>
  <si>
    <t xml:space="preserve">zu leistende</t>
  </si>
  <si>
    <t xml:space="preserve">of effective</t>
  </si>
  <si>
    <t xml:space="preserve">Sätze</t>
  </si>
  <si>
    <t xml:space="preserve">Aufteilung in mehrere Teilanstellungen (hh:mm)</t>
  </si>
  <si>
    <t xml:space="preserve">Split among several contracts (hh:mm)</t>
  </si>
  <si>
    <t xml:space="preserve">bei Anstellungsbeginn mitten im Monat</t>
  </si>
  <si>
    <t xml:space="preserve">for an employment-beginn in the middle of the month</t>
  </si>
  <si>
    <t xml:space="preserve">bei fixer Teilzeitarbeit</t>
  </si>
  <si>
    <t xml:space="preserve">for a part time job with regulated working time</t>
  </si>
  <si>
    <t xml:space="preserve">bei variabler Teilzeitarbeit</t>
  </si>
  <si>
    <t xml:space="preserve">for a variable part time job</t>
  </si>
  <si>
    <t xml:space="preserve">bei Wechsel der Anstellung mitten im Monat</t>
  </si>
  <si>
    <t xml:space="preserve">for an employment-change in the middle of the month</t>
  </si>
  <si>
    <t xml:space="preserve">Hier können Sie die "Zeitkennzahlen per 31.12." zum Erfassen im Zeitmanagement-Tool direkt ablesen.</t>
  </si>
  <si>
    <t xml:space="preserve">Here you can see all your absences as of 31.12. which are relevant for the Time Management Tool.</t>
  </si>
  <si>
    <t xml:space="preserve">Bei der Erfassung von dezimalen Werten ("Industriestunden") können im Zeitmanagement-Tool geringe Rundungsdifferenzen auftreten.</t>
  </si>
  <si>
    <t xml:space="preserve"> </t>
  </si>
  <si>
    <t xml:space="preserve">(Dieser Betrag wird automatisch berechnet.)</t>
  </si>
  <si>
    <t xml:space="preserve">(Calculated automatically)</t>
  </si>
  <si>
    <t xml:space="preserve">Angaben zur Anstellung</t>
  </si>
  <si>
    <t xml:space="preserve">employment details</t>
  </si>
  <si>
    <t xml:space="preserve">Summe der Prozentsätze aller Teilanstellungen entspricht nicht dem gesamten durschnittlichen Beschäftigungsgrad!</t>
  </si>
  <si>
    <t xml:space="preserve">Sum of all part-employments are not equal the average level of employment!</t>
  </si>
  <si>
    <t xml:space="preserve">Einhaltung des Mindestbezugs an Ferien</t>
  </si>
  <si>
    <t xml:space="preserve">Required minimum holiday deduction</t>
  </si>
  <si>
    <t xml:space="preserve">Mindestbezug an Freien Tagen nicht eingehalten!</t>
  </si>
  <si>
    <t xml:space="preserve">Holiday: Min. deduction not (yet) O.K.</t>
  </si>
  <si>
    <t xml:space="preserve">Bezogene Ferien</t>
  </si>
  <si>
    <t xml:space="preserve">Holidays taken</t>
  </si>
  <si>
    <t xml:space="preserve">Vorgeschriebener Mindestbezug</t>
  </si>
  <si>
    <t xml:space="preserve">Min. prescribed deduction</t>
  </si>
  <si>
    <t xml:space="preserve">Die einzutragenden Überträge sind aus folgenden Felder der AE 2012 abzulesen:</t>
  </si>
  <si>
    <t xml:space="preserve">Where you find the information in the absence record 2012:</t>
  </si>
  <si>
    <t xml:space="preserve">Ab 2013 müssen mindestens 20 freie Tage pro Kalenderjahr bezogen werden  (Art. 149 PV). Wird dieser Mindestbezug nicht eingehalten, verfallen die zu wenig bezogenen Tage am Ende des Kalenderjahres entschädigungslos. Sie können nicht mehr wie bisher auf das Ferienguthaben des Folgejahres übertragen werden.</t>
  </si>
  <si>
    <t xml:space="preserve">As off 2013, at least 20 days off per calendar year must be taken. If these minimum requirements are not met, the difference expires at the end of the calendar year without compensation (Art. 149 PV). Those days cannot be carried over to the following year.</t>
  </si>
  <si>
    <t xml:space="preserve">Feriensaldo zu Gunsten des Mitarbeiter auf 0:00 aufgerundet!</t>
  </si>
  <si>
    <t xml:space="preserve">Holiday balance rounded up to 0:00 in favour of employee!</t>
  </si>
  <si>
    <t xml:space="preserve">Unzulässiger Ferienbezug!</t>
  </si>
  <si>
    <t xml:space="preserve">Holiday taken not in accordance with regulations!</t>
  </si>
  <si>
    <t xml:space="preserve">Hilfe_Info Sätze</t>
  </si>
  <si>
    <t xml:space="preserve">Bitte lesen Sie diese Informationen, bevor Sie die Absenzenerfassung nutzen!</t>
  </si>
  <si>
    <t xml:space="preserve">Please read this informations before using the Record of Absences!</t>
  </si>
  <si>
    <t xml:space="preserve">Senden Sie ihre Fragen, Kommentare und Vorschläge an:</t>
  </si>
  <si>
    <t xml:space="preserve">Questions, comments and suggestions should be sent to</t>
  </si>
  <si>
    <t xml:space="preserve">Wir freuen uns auf Ihre Rückmeldungen!</t>
  </si>
  <si>
    <t xml:space="preserve"> - Die Absenzenerfassung wurde komplett überarbeitet.</t>
  </si>
  <si>
    <t xml:space="preserve"> - The Record of Absences has been completely revised.</t>
  </si>
  <si>
    <t xml:space="preserve"> - Neu gibt es eine Arbeitsmappe für Persönliche Daten und Übertrage.</t>
  </si>
  <si>
    <t xml:space="preserve"> - There is a new file for personal information and transferred data.</t>
  </si>
  <si>
    <t xml:space="preserve"> - Die Absenzenübersicht fällt weg. Absenzen in Tagen werden neu in den einzelnen Monatsblättern erfasst.</t>
  </si>
  <si>
    <t xml:space="preserve"> - The Overview of Absences has been abolished. Days absent are now recorded on the individual monthly tables.</t>
  </si>
  <si>
    <t xml:space="preserve"> - Das Arbeitsmuster wir neu ebenfalls in den Monatsblättern erfasst und kann von Tag zu Tag individuell eingestellt werden.</t>
  </si>
  <si>
    <t xml:space="preserve"> - The working hours template is now incorporated into the monthly tables and as a new feature can be individually adjusted from day to day.</t>
  </si>
  <si>
    <t xml:space="preserve">Klicken Sie auf der unteren Bildlaufleiste auf "Persönliche Daten (pers. data)" und ergänzen Sie die grau hinterlegten Zellen Vorname, Name, Jahrgang, </t>
  </si>
  <si>
    <t xml:space="preserve">Click on the tab “Persönliche Daten (pers. data)” on the scroll bar at the bottom of the table and complete the shaded grey fields with the following</t>
  </si>
  <si>
    <t xml:space="preserve">Pers. Nr., Eintrittsdatum, Beschäftigungsgrad (BG) und Gehaltsklasse (GK) mit Ihren persönlichen Angaben.</t>
  </si>
  <si>
    <t xml:space="preserve">information: first name, family name, date of birth, personnel number, entry date, employment level (BG) and salary classification (GK). </t>
  </si>
  <si>
    <t xml:space="preserve">Mit der Tabulatortaste können Sie einfach von Feld zu Feld springen. Die Daten werden automatisch in die nachfolgenden "Monatsblätter" übertragen</t>
  </si>
  <si>
    <t xml:space="preserve">Use the tabulator key to move from one field to another. The data will be transferred automatically to the monthly tables, and your holiday entitlement</t>
  </si>
  <si>
    <t xml:space="preserve">und Ihr Ferienanspruch und Soll-Arbeitszeiten berechnet. Lernende verwenden im Feld Gehaltsklasse "LE" (Ferienanspruch 32 Tage).</t>
  </si>
  <si>
    <t xml:space="preserve">and planned working time calculated. Trainees should enter the code ‘LE’ in the field ‘salary classification’ (holiday entitlement 32 days).</t>
  </si>
  <si>
    <t xml:space="preserve">Ein-/Austritt während des Jahres</t>
  </si>
  <si>
    <t xml:space="preserve">Commencement/termination of employment during the year</t>
  </si>
  <si>
    <t xml:space="preserve">Nehmen Sie Ihre Arbeit im Laufe des Jahres auf, so füllen Sie die Felder BG und GK ab Eintrittsmonat aus. Sollten Sie während des Jahres austreten</t>
  </si>
  <si>
    <t xml:space="preserve">If employment is commenced during the course of the year, complete the fields level of employment (BG) and Salary classification (GK) from the month</t>
  </si>
  <si>
    <t xml:space="preserve">können Sie die verbleibenden Monate bis Jahresende auf 0 setzen. Damit endet die Erfassung im Austrittsmonat.</t>
  </si>
  <si>
    <t xml:space="preserve">of entry. If employment is terminated during the year, enter a "0" for the remaining months. The record then ends with the last month of employment.</t>
  </si>
  <si>
    <t xml:space="preserve">Eintritte / Anstellungsänderung mitten im Monat</t>
  </si>
  <si>
    <t xml:space="preserve">Commencement or change in employment conditions mid-month</t>
  </si>
  <si>
    <t xml:space="preserve">Bei Anstellungsänderungen mitten im Monat muss der BG umgerechnet werden. Unter "Umrechnung (calculation)" finden Sie eine Berechnungshilfe.</t>
  </si>
  <si>
    <t xml:space="preserve">When there is a change in employment during the month, the level of employment (BG) must be recalculated. Use “Umrechnung (Calculation)”.  </t>
  </si>
  <si>
    <t xml:space="preserve">Ändern sich während des Jahres der BG oder die GK, können Sie dies ebenfalls im betreffenden Monat anpassen.</t>
  </si>
  <si>
    <t xml:space="preserve">If the BG or GK changes during the year, these can be recorded in the corresponding month in the "Persönliche Daten (pers. Data)".</t>
  </si>
  <si>
    <t xml:space="preserve">Geben Sie den Feriensaldo aus dem Vorjahr gemäss Besprechung mit Ihrem Vorgesetzten ein.</t>
  </si>
  <si>
    <t xml:space="preserve">Enter last years holiday balance as agreed with your supervisor.</t>
  </si>
  <si>
    <t xml:space="preserve">Hier sehen Sie eine Übersicht über Ihr Ferienguthaben, Ihre bezogenen Ferien und Ferienkürzungen.</t>
  </si>
  <si>
    <t xml:space="preserve">This is an overview of your unused holiday entitlement, holiday taken and reduction of holiday.</t>
  </si>
  <si>
    <t xml:space="preserve">Hier können Sie ein allfälliges Ferienguthaben, welches Sie aus Ihrer Treueprämie erhalten haben, eintragen.</t>
  </si>
  <si>
    <t xml:space="preserve">Enter here holiday entitlement earned as a result of long-service.</t>
  </si>
  <si>
    <t xml:space="preserve">Hier sehen Sie eine Übersicht Ihrer manuell eingetragenen Ferienkürzungen. Ferienkürzungen sind bei unbezahltem Urlaub oder krankheits- resp. </t>
  </si>
  <si>
    <t xml:space="preserve">This is an overview of your reduction of holiday, entered manually. Holiday reduction as a result of unpaid leave, lengthy absences due to illness or </t>
  </si>
  <si>
    <t xml:space="preserve">unfallbedingten längeren Abwesenheiten in Stunden und Minuten einzutragen. Die Ferienkürzungen werden in den einzelnen Monatsblättern erfasst.</t>
  </si>
  <si>
    <t xml:space="preserve">accident should be entered in hours and minutes. Holiday reductions are entered on the individual monthly tables.</t>
  </si>
  <si>
    <t xml:space="preserve">Bitte konsultieren Sie für die Berechnung das Merkblatt Ferienanspruch bei länger dauernder Abwesenheit infolge Krankheit, Unfall oder Militärdienst.</t>
  </si>
  <si>
    <t xml:space="preserve">In the case of lengthy absence consult:</t>
  </si>
  <si>
    <t xml:space="preserve">Hier sehen Sie eine Übersicht Ihrer Absenzen über das ganze Jahr.</t>
  </si>
  <si>
    <t xml:space="preserve">This is an overview of your absences for the whole year.</t>
  </si>
  <si>
    <t xml:space="preserve">Absenzen in Stunden erfassen Sie in Stunden und Minuten in den entsprechenden Spalten. Falls Sie einen ganzen oder halben Tag abwesend </t>
  </si>
  <si>
    <t xml:space="preserve">Absences in hours should be entered in hours and minutes in the appropriate fields. In the case of a full or half-day absence, take into account the</t>
  </si>
  <si>
    <t xml:space="preserve">sind, orientieren Sie sich an den Soll-Zeiten des entsprechenden Tages (unten bei der Spalte mit dem Arbeitsmuster ist die theoretische Soll-Zeit </t>
  </si>
  <si>
    <t xml:space="preserve">planned working time for the corresponding day. (The theoretical time to be worked for one half day is found below the column with the working </t>
  </si>
  <si>
    <t xml:space="preserve">für einen halben Tag angegeben).</t>
  </si>
  <si>
    <t xml:space="preserve">hours template) </t>
  </si>
  <si>
    <t xml:space="preserve">Absenzen in Tagen werden in den endsprechenden Spalten für Vor- und Nachmittag eingetragen. Anders als bei den Absenzen in Stunden werden</t>
  </si>
  <si>
    <t xml:space="preserve">Absences in days should be entered in the corresponding fields for morning and afternoon. Unlike the absences in hours,entries are not made in hours</t>
  </si>
  <si>
    <t xml:space="preserve">hier die Einträge nicht in Stunden und Minuten getätigt, sondern mit entsprechenden Buchstaben. Eine Legende finden Sie in den Monatsblättern.</t>
  </si>
  <si>
    <t xml:space="preserve">and minutes but by using the corresponding letter. A key to these is found on the monthly tables. The record of absences automatically calculates</t>
  </si>
  <si>
    <t xml:space="preserve">Die Absenzenerfassung errechnet die dadurch bezogenen Absenzen automatisch in Stunden und Minuten um.</t>
  </si>
  <si>
    <t xml:space="preserve">absences taken in hours and minutes.</t>
  </si>
  <si>
    <t xml:space="preserve">Das Arbeitsmuster wird neu in den Monatsblättern eingegeben. Es kann individuell für jeden Tag festgelegt werden. Das Arbeitsmuster ist in den</t>
  </si>
  <si>
    <t xml:space="preserve">A new feature is the working hours template. An individual entry can be made for each day. The working hours template is incorporated in the standard </t>
  </si>
  <si>
    <t xml:space="preserve">Standarteinstellungen nicht im Druckbereich. Weitere Informationen:</t>
  </si>
  <si>
    <t xml:space="preserve">settings and not in the print area. Further information can be found:</t>
  </si>
  <si>
    <t xml:space="preserve">Im Tabellenblatt "Zeitkennzahlen (key figures)" finden Sie den Zusammenzug der Zeitkennzahlen.</t>
  </si>
  <si>
    <t xml:space="preserve">In the worksheet "Zeitkennzahlen (key figures)" you will find a summary of the key figures. It is a requirement of the University of Bern that all </t>
  </si>
  <si>
    <t xml:space="preserve">An der Universität Bern besteht einmal jährlich die Pflicht zur Meldung der Zeitsaldi und Abwesenheitssaldi für alle Mitarbeiterinnen und Mitarbeiter.</t>
  </si>
  <si>
    <t xml:space="preserve">employees submit an annual report of time worked and/or absences. The relevant date is 31.12. each year and the information must be registered</t>
  </si>
  <si>
    <t xml:space="preserve">Der Stichtag ist jeweils der 31.12. des Jahres. Die Meldung muss anfangs Januar durch die in Ihrer Organisationseinheit verantwortliche Person erfolgen.</t>
  </si>
  <si>
    <t xml:space="preserve">by the begin of January by the member of staff responsible in each organisational unit.</t>
  </si>
  <si>
    <t xml:space="preserve">Dropdownwerte</t>
  </si>
  <si>
    <t xml:space="preserve">Monate</t>
  </si>
  <si>
    <t xml:space="preserve">Sprachen</t>
  </si>
  <si>
    <t xml:space="preserve">GKs</t>
  </si>
  <si>
    <t xml:space="preserve">Dropdown</t>
  </si>
  <si>
    <t xml:space="preserve">Wochentage</t>
  </si>
  <si>
    <t xml:space="preserve">An</t>
  </si>
  <si>
    <t xml:space="preserve">19-30</t>
  </si>
  <si>
    <t xml:space="preserve">LE</t>
  </si>
</sst>
</file>

<file path=xl/styles.xml><?xml version="1.0" encoding="utf-8"?>
<styleSheet xmlns="http://schemas.openxmlformats.org/spreadsheetml/2006/main">
  <numFmts count="20">
    <numFmt numFmtId="164" formatCode="General"/>
    <numFmt numFmtId="165" formatCode="General"/>
    <numFmt numFmtId="166" formatCode="@"/>
    <numFmt numFmtId="167" formatCode="dd/mm/yyyy"/>
    <numFmt numFmtId="168" formatCode="[h]:mm"/>
    <numFmt numFmtId="169" formatCode="0.00;[RED]0.00"/>
    <numFmt numFmtId="170" formatCode="0"/>
    <numFmt numFmtId="171" formatCode="yyyy"/>
    <numFmt numFmtId="172" formatCode="0.0_ ;[RED]\-0.0\ "/>
    <numFmt numFmtId="173" formatCode="dd/\ mm/yyyy"/>
    <numFmt numFmtId="174" formatCode="d/\ mmmm\ yyyy"/>
    <numFmt numFmtId="175" formatCode="0.0"/>
    <numFmt numFmtId="176" formatCode="0##"/>
    <numFmt numFmtId="177" formatCode="h:mm"/>
    <numFmt numFmtId="178" formatCode="0.00"/>
    <numFmt numFmtId="179" formatCode="[h]:mm:ss"/>
    <numFmt numFmtId="180" formatCode="0.00_ ;[RED]\-0.00\ "/>
    <numFmt numFmtId="181" formatCode="[$-807]d/\ mmmm\ yyyy;@"/>
    <numFmt numFmtId="182" formatCode="0.00%"/>
    <numFmt numFmtId="183" formatCode="0%"/>
  </numFmts>
  <fonts count="47">
    <font>
      <sz val="10"/>
      <name val="Arial"/>
      <family val="0"/>
      <charset val="1"/>
    </font>
    <font>
      <sz val="10"/>
      <name val="Arial"/>
      <family val="0"/>
    </font>
    <font>
      <sz val="10"/>
      <name val="Arial"/>
      <family val="0"/>
    </font>
    <font>
      <sz val="10"/>
      <name val="Arial"/>
      <family val="0"/>
    </font>
    <font>
      <b val="true"/>
      <sz val="12"/>
      <color rgb="FFFF0000"/>
      <name val="Arial"/>
      <family val="2"/>
      <charset val="1"/>
    </font>
    <font>
      <b val="true"/>
      <sz val="10"/>
      <name val="Arial"/>
      <family val="2"/>
      <charset val="1"/>
    </font>
    <font>
      <sz val="10"/>
      <name val="Arial"/>
      <family val="2"/>
      <charset val="1"/>
    </font>
    <font>
      <sz val="8"/>
      <name val="Arial"/>
      <family val="2"/>
      <charset val="1"/>
    </font>
    <font>
      <sz val="10"/>
      <color rgb="FFFFFFFF"/>
      <name val="Arial"/>
      <family val="2"/>
      <charset val="1"/>
    </font>
    <font>
      <u val="single"/>
      <sz val="10"/>
      <color rgb="FF0000FF"/>
      <name val="Arial"/>
      <family val="2"/>
      <charset val="1"/>
    </font>
    <font>
      <sz val="10"/>
      <color rgb="FFFF0000"/>
      <name val="Arial"/>
      <family val="2"/>
      <charset val="1"/>
    </font>
    <font>
      <b val="true"/>
      <sz val="10"/>
      <color rgb="FFFF0000"/>
      <name val="Arial"/>
      <family val="2"/>
      <charset val="1"/>
    </font>
    <font>
      <sz val="10"/>
      <color rgb="FFFF0000"/>
      <name val="Calibri"/>
      <family val="2"/>
      <charset val="1"/>
    </font>
    <font>
      <b val="true"/>
      <sz val="8"/>
      <color rgb="FFFF0000"/>
      <name val="Arial"/>
      <family val="2"/>
      <charset val="1"/>
    </font>
    <font>
      <sz val="7"/>
      <name val="Arial"/>
      <family val="2"/>
      <charset val="1"/>
    </font>
    <font>
      <b val="true"/>
      <i val="true"/>
      <sz val="10"/>
      <color rgb="FFFF0000"/>
      <name val="Arial"/>
      <family val="2"/>
      <charset val="1"/>
    </font>
    <font>
      <sz val="11"/>
      <name val="Arial"/>
      <family val="2"/>
      <charset val="1"/>
    </font>
    <font>
      <b val="true"/>
      <sz val="11"/>
      <name val="Arial"/>
      <family val="2"/>
      <charset val="1"/>
    </font>
    <font>
      <sz val="11"/>
      <color rgb="FFFFFFFF"/>
      <name val="Arial"/>
      <family val="2"/>
      <charset val="1"/>
    </font>
    <font>
      <b val="true"/>
      <sz val="11"/>
      <color rgb="FFFF0000"/>
      <name val="Arial"/>
      <family val="2"/>
      <charset val="1"/>
    </font>
    <font>
      <b val="true"/>
      <sz val="12"/>
      <name val="Arial"/>
      <family val="2"/>
      <charset val="1"/>
    </font>
    <font>
      <sz val="11"/>
      <color rgb="FFD9D9D9"/>
      <name val="Arial"/>
      <family val="2"/>
      <charset val="1"/>
    </font>
    <font>
      <sz val="11"/>
      <color rgb="FF808080"/>
      <name val="Arial"/>
      <family val="2"/>
      <charset val="1"/>
    </font>
    <font>
      <sz val="11"/>
      <color rgb="FF000000"/>
      <name val="Arial"/>
      <family val="2"/>
      <charset val="1"/>
    </font>
    <font>
      <sz val="13"/>
      <name val="Arial"/>
      <family val="2"/>
      <charset val="1"/>
    </font>
    <font>
      <b val="true"/>
      <sz val="9"/>
      <color rgb="FF000000"/>
      <name val="Tahoma"/>
      <family val="2"/>
      <charset val="1"/>
    </font>
    <font>
      <b val="true"/>
      <sz val="11"/>
      <color rgb="FF000000"/>
      <name val="Arial"/>
      <family val="2"/>
      <charset val="1"/>
    </font>
    <font>
      <sz val="11"/>
      <color rgb="FF969696"/>
      <name val="Arial"/>
      <family val="2"/>
      <charset val="1"/>
    </font>
    <font>
      <sz val="11"/>
      <color rgb="FFC0C0C0"/>
      <name val="Arial"/>
      <family val="2"/>
      <charset val="1"/>
    </font>
    <font>
      <b val="true"/>
      <sz val="9"/>
      <color rgb="FF000000"/>
      <name val="Segoe UI"/>
      <family val="2"/>
      <charset val="1"/>
    </font>
    <font>
      <b val="true"/>
      <sz val="10"/>
      <color rgb="FF000000"/>
      <name val="Tahoma"/>
      <family val="2"/>
      <charset val="1"/>
    </font>
    <font>
      <sz val="11"/>
      <color rgb="FFFF0000"/>
      <name val="Arial"/>
      <family val="2"/>
      <charset val="1"/>
    </font>
    <font>
      <b val="true"/>
      <sz val="11"/>
      <color rgb="FFFFFFFF"/>
      <name val="Arial"/>
      <family val="2"/>
      <charset val="1"/>
    </font>
    <font>
      <b val="true"/>
      <sz val="8"/>
      <name val="Arial"/>
      <family val="2"/>
      <charset val="1"/>
    </font>
    <font>
      <sz val="8"/>
      <color rgb="FFFFFFFF"/>
      <name val="Arial"/>
      <family val="2"/>
      <charset val="1"/>
    </font>
    <font>
      <b val="true"/>
      <sz val="10"/>
      <color rgb="FFBFBFBF"/>
      <name val="Arial"/>
      <family val="2"/>
      <charset val="1"/>
    </font>
    <font>
      <b val="true"/>
      <sz val="10"/>
      <color rgb="FFA6A6A6"/>
      <name val="Arial"/>
      <family val="2"/>
      <charset val="1"/>
    </font>
    <font>
      <b val="true"/>
      <sz val="10"/>
      <color rgb="FFFFFFFF"/>
      <name val="Arial"/>
      <family val="2"/>
      <charset val="1"/>
    </font>
    <font>
      <b val="true"/>
      <sz val="10"/>
      <color rgb="FFC6D9F1"/>
      <name val="Arial"/>
      <family val="2"/>
      <charset val="1"/>
    </font>
    <font>
      <sz val="12"/>
      <name val="Arial"/>
      <family val="2"/>
      <charset val="1"/>
    </font>
    <font>
      <sz val="14"/>
      <name val="Arial"/>
      <family val="2"/>
      <charset val="1"/>
    </font>
    <font>
      <b val="true"/>
      <sz val="14"/>
      <name val="Arial"/>
      <family val="2"/>
      <charset val="1"/>
    </font>
    <font>
      <sz val="10"/>
      <color rgb="FFA6A6A6"/>
      <name val="Arial"/>
      <family val="2"/>
      <charset val="1"/>
    </font>
    <font>
      <sz val="10"/>
      <color rgb="FFD9D9D9"/>
      <name val="Arial"/>
      <family val="2"/>
      <charset val="1"/>
    </font>
    <font>
      <b val="true"/>
      <sz val="10"/>
      <color rgb="FFD9D9D9"/>
      <name val="Arial"/>
      <family val="2"/>
      <charset val="1"/>
    </font>
    <font>
      <sz val="12"/>
      <name val="Calibri"/>
      <family val="2"/>
      <charset val="1"/>
    </font>
    <font>
      <b val="true"/>
      <sz val="12"/>
      <color rgb="FF000000"/>
      <name val="Tahoma"/>
      <family val="2"/>
      <charset val="1"/>
    </font>
  </fonts>
  <fills count="14">
    <fill>
      <patternFill patternType="none"/>
    </fill>
    <fill>
      <patternFill patternType="gray125"/>
    </fill>
    <fill>
      <patternFill patternType="solid">
        <fgColor rgb="FFD9D9D9"/>
        <bgColor rgb="FFE3E3E3"/>
      </patternFill>
    </fill>
    <fill>
      <patternFill patternType="solid">
        <fgColor rgb="FFC3D69B"/>
        <bgColor rgb="FFC0C0C0"/>
      </patternFill>
    </fill>
    <fill>
      <patternFill patternType="solid">
        <fgColor rgb="FFC6D9F1"/>
        <bgColor rgb="FFD9D9D9"/>
      </patternFill>
    </fill>
    <fill>
      <patternFill patternType="solid">
        <fgColor rgb="FFFFFFFF"/>
        <bgColor rgb="FFF6F6F6"/>
      </patternFill>
    </fill>
    <fill>
      <patternFill patternType="solid">
        <fgColor rgb="FFE3E3E3"/>
        <bgColor rgb="FFD9D9D9"/>
      </patternFill>
    </fill>
    <fill>
      <patternFill patternType="solid">
        <fgColor rgb="FFF6F6F6"/>
        <bgColor rgb="FFFFFFFF"/>
      </patternFill>
    </fill>
    <fill>
      <patternFill patternType="solid">
        <fgColor rgb="FFBFBFBF"/>
        <bgColor rgb="FFC0C0C0"/>
      </patternFill>
    </fill>
    <fill>
      <patternFill patternType="solid">
        <fgColor rgb="FFFFC000"/>
        <bgColor rgb="FFFF9900"/>
      </patternFill>
    </fill>
    <fill>
      <patternFill patternType="solid">
        <fgColor rgb="FFFFFF99"/>
        <bgColor rgb="FFF6F6F6"/>
      </patternFill>
    </fill>
    <fill>
      <patternFill patternType="solid">
        <fgColor rgb="FFFFFF00"/>
        <bgColor rgb="FFFFFF00"/>
      </patternFill>
    </fill>
    <fill>
      <patternFill patternType="solid">
        <fgColor rgb="FFC0C0C0"/>
        <bgColor rgb="FFBFBFBF"/>
      </patternFill>
    </fill>
    <fill>
      <patternFill patternType="solid">
        <fgColor rgb="FF00B0F0"/>
        <bgColor rgb="FF33CCCC"/>
      </patternFill>
    </fill>
  </fills>
  <borders count="77">
    <border diagonalUp="false" diagonalDown="false">
      <left/>
      <right/>
      <top/>
      <bottom/>
      <diagonal/>
    </border>
    <border diagonalUp="false" diagonalDown="false">
      <left style="double"/>
      <right/>
      <top style="double"/>
      <bottom/>
      <diagonal/>
    </border>
    <border diagonalUp="false" diagonalDown="false">
      <left/>
      <right/>
      <top style="double"/>
      <bottom/>
      <diagonal/>
    </border>
    <border diagonalUp="false" diagonalDown="false">
      <left/>
      <right style="double"/>
      <top style="double"/>
      <bottom/>
      <diagonal/>
    </border>
    <border diagonalUp="false" diagonalDown="false">
      <left style="double"/>
      <right/>
      <top/>
      <bottom/>
      <diagonal/>
    </border>
    <border diagonalUp="false" diagonalDown="false">
      <left/>
      <right style="double"/>
      <top/>
      <bottom/>
      <diagonal/>
    </border>
    <border diagonalUp="false" diagonalDown="false">
      <left style="double"/>
      <right style="double"/>
      <top style="double"/>
      <bottom/>
      <diagonal/>
    </border>
    <border diagonalUp="false" diagonalDown="false">
      <left style="double"/>
      <right style="double"/>
      <top/>
      <bottom/>
      <diagonal/>
    </border>
    <border diagonalUp="false" diagonalDown="false">
      <left style="double"/>
      <right/>
      <top/>
      <bottom style="double"/>
      <diagonal/>
    </border>
    <border diagonalUp="false" diagonalDown="false">
      <left/>
      <right/>
      <top/>
      <bottom style="double"/>
      <diagonal/>
    </border>
    <border diagonalUp="false" diagonalDown="false">
      <left/>
      <right style="double"/>
      <top/>
      <bottom style="double"/>
      <diagonal/>
    </border>
    <border diagonalUp="false" diagonalDown="false">
      <left/>
      <right/>
      <top style="thin"/>
      <bottom style="double"/>
      <diagonal/>
    </border>
    <border diagonalUp="false" diagonalDown="false">
      <left style="double"/>
      <right style="double"/>
      <top/>
      <bottom style="thin"/>
      <diagonal/>
    </border>
    <border diagonalUp="false" diagonalDown="false">
      <left style="double"/>
      <right/>
      <top style="thin"/>
      <bottom/>
      <diagonal/>
    </border>
    <border diagonalUp="false" diagonalDown="false">
      <left/>
      <right/>
      <top style="thin"/>
      <bottom/>
      <diagonal/>
    </border>
    <border diagonalUp="false" diagonalDown="false">
      <left style="double"/>
      <right style="double"/>
      <top style="thin"/>
      <bottom/>
      <diagonal/>
    </border>
    <border diagonalUp="false" diagonalDown="false">
      <left/>
      <right/>
      <top/>
      <bottom style="thin"/>
      <diagonal/>
    </border>
    <border diagonalUp="false" diagonalDown="false">
      <left style="double"/>
      <right/>
      <top style="thin"/>
      <bottom style="double"/>
      <diagonal/>
    </border>
    <border diagonalUp="false" diagonalDown="false">
      <left style="double"/>
      <right style="double"/>
      <top style="thin"/>
      <bottom style="double"/>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style="thin"/>
      <top/>
      <bottom/>
      <diagonal/>
    </border>
    <border diagonalUp="false" diagonalDown="false">
      <left style="double"/>
      <right style="double"/>
      <top style="double"/>
      <bottom style="thin"/>
      <diagonal/>
    </border>
    <border diagonalUp="false" diagonalDown="false">
      <left style="double"/>
      <right/>
      <top style="thin"/>
      <bottom style="thin"/>
      <diagonal/>
    </border>
    <border diagonalUp="false" diagonalDown="false">
      <left style="double"/>
      <right/>
      <top style="double"/>
      <bottom style="thin"/>
      <diagonal/>
    </border>
    <border diagonalUp="false" diagonalDown="false">
      <left style="double"/>
      <right style="thin"/>
      <top style="thin"/>
      <bottom style="thin"/>
      <diagonal/>
    </border>
    <border diagonalUp="false" diagonalDown="false">
      <left style="thin"/>
      <right style="thin"/>
      <top/>
      <bottom style="thin"/>
      <diagonal/>
    </border>
    <border diagonalUp="false" diagonalDown="false">
      <left style="thin"/>
      <right style="thin"/>
      <top style="thin"/>
      <bottom style="thin"/>
      <diagonal/>
    </border>
    <border diagonalUp="false" diagonalDown="false">
      <left style="thin"/>
      <right style="double"/>
      <top/>
      <bottom style="thin"/>
      <diagonal/>
    </border>
    <border diagonalUp="false" diagonalDown="false">
      <left style="thin"/>
      <right style="double"/>
      <top style="thin"/>
      <bottom style="thin"/>
      <diagonal/>
    </border>
    <border diagonalUp="false" diagonalDown="false">
      <left style="double"/>
      <right style="thin"/>
      <top style="thin"/>
      <bottom style="double"/>
      <diagonal/>
    </border>
    <border diagonalUp="false" diagonalDown="false">
      <left style="thin"/>
      <right style="double"/>
      <top style="thin"/>
      <bottom style="double"/>
      <diagonal/>
    </border>
    <border diagonalUp="false" diagonalDown="false">
      <left style="double"/>
      <right style="double"/>
      <top style="thin"/>
      <bottom style="thin"/>
      <diagonal/>
    </border>
    <border diagonalUp="false" diagonalDown="false">
      <left/>
      <right/>
      <top style="thin"/>
      <bottom style="thin"/>
      <diagonal/>
    </border>
    <border diagonalUp="false" diagonalDown="false">
      <left/>
      <right style="double"/>
      <top style="thin"/>
      <bottom style="thin"/>
      <diagonal/>
    </border>
    <border diagonalUp="false" diagonalDown="false">
      <left style="double"/>
      <right style="thin"/>
      <top style="double"/>
      <bottom style="thin"/>
      <diagonal/>
    </border>
    <border diagonalUp="false" diagonalDown="false">
      <left style="thin"/>
      <right style="double"/>
      <top style="double"/>
      <bottom style="thin"/>
      <diagonal/>
    </border>
    <border diagonalUp="false" diagonalDown="false">
      <left style="double"/>
      <right style="thin"/>
      <top/>
      <bottom style="thin"/>
      <diagonal/>
    </border>
    <border diagonalUp="false" diagonalDown="false">
      <left style="double"/>
      <right style="thin"/>
      <top style="thin"/>
      <bottom/>
      <diagonal/>
    </border>
    <border diagonalUp="false" diagonalDown="false">
      <left/>
      <right style="double"/>
      <top style="thin"/>
      <bottom/>
      <diagonal/>
    </border>
    <border diagonalUp="false" diagonalDown="false">
      <left style="thin"/>
      <right style="thin"/>
      <top style="double"/>
      <bottom style="thin"/>
      <diagonal/>
    </border>
    <border diagonalUp="false" diagonalDown="false">
      <left style="thin"/>
      <right/>
      <top style="thin"/>
      <bottom style="double"/>
      <diagonal/>
    </border>
    <border diagonalUp="false" diagonalDown="false">
      <left style="thin"/>
      <right/>
      <top style="thin"/>
      <bottom/>
      <diagonal/>
    </border>
    <border diagonalUp="false" diagonalDown="false">
      <left style="thin"/>
      <right style="double"/>
      <top style="thin"/>
      <bottom/>
      <diagonal/>
    </border>
    <border diagonalUp="false" diagonalDown="false">
      <left style="thin"/>
      <right style="thin"/>
      <top style="thin"/>
      <bottom style="double"/>
      <diagonal/>
    </border>
    <border diagonalUp="false" diagonalDown="false">
      <left/>
      <right style="thin"/>
      <top style="thin"/>
      <bottom/>
      <diagonal/>
    </border>
    <border diagonalUp="false" diagonalDown="false">
      <left/>
      <right style="thin"/>
      <top style="double"/>
      <bottom style="thin"/>
      <diagonal/>
    </border>
    <border diagonalUp="false" diagonalDown="false">
      <left/>
      <right style="double"/>
      <top style="thin"/>
      <bottom style="double"/>
      <diagonal/>
    </border>
    <border diagonalUp="false" diagonalDown="false">
      <left style="thin"/>
      <right/>
      <top style="double"/>
      <bottom style="thin"/>
      <diagonal/>
    </border>
    <border diagonalUp="false" diagonalDown="false">
      <left/>
      <right style="thin"/>
      <top style="thin"/>
      <bottom style="double"/>
      <diagonal/>
    </border>
    <border diagonalUp="false" diagonalDown="false">
      <left/>
      <right/>
      <top style="double"/>
      <bottom style="double"/>
      <diagonal/>
    </border>
    <border diagonalUp="false" diagonalDown="false">
      <left style="thin"/>
      <right style="thin"/>
      <top style="double"/>
      <bottom/>
      <diagonal/>
    </border>
    <border diagonalUp="false" diagonalDown="false">
      <left style="double"/>
      <right/>
      <top/>
      <bottom style="thin"/>
      <diagonal/>
    </border>
    <border diagonalUp="false" diagonalDown="false">
      <left style="thin"/>
      <right/>
      <top/>
      <bottom/>
      <diagonal/>
    </border>
    <border diagonalUp="false" diagonalDown="false">
      <left style="thin"/>
      <right style="double"/>
      <top/>
      <bottom/>
      <diagonal/>
    </border>
    <border diagonalUp="false" diagonalDown="false">
      <left style="thin"/>
      <right/>
      <top/>
      <bottom style="double"/>
      <diagonal/>
    </border>
    <border diagonalUp="false" diagonalDown="false">
      <left/>
      <right style="thin"/>
      <top/>
      <bottom style="double"/>
      <diagonal/>
    </border>
    <border diagonalUp="false" diagonalDown="false">
      <left style="thin"/>
      <right style="double"/>
      <top/>
      <bottom style="double"/>
      <diagonal/>
    </border>
    <border diagonalUp="false" diagonalDown="false">
      <left/>
      <right style="double"/>
      <top style="double"/>
      <bottom style="thin"/>
      <diagonal/>
    </border>
    <border diagonalUp="false" diagonalDown="false">
      <left style="double"/>
      <right style="thin"/>
      <top/>
      <bottom/>
      <diagonal/>
    </border>
    <border diagonalUp="false" diagonalDown="false">
      <left style="double"/>
      <right style="thin"/>
      <top/>
      <bottom style="double"/>
      <diagonal/>
    </border>
    <border diagonalUp="false" diagonalDown="false">
      <left style="thin"/>
      <right style="double"/>
      <top style="double"/>
      <bottom/>
      <diagonal/>
    </border>
    <border diagonalUp="false" diagonalDown="false">
      <left/>
      <right style="dotted"/>
      <top style="double"/>
      <bottom/>
      <diagonal/>
    </border>
    <border diagonalUp="false" diagonalDown="false">
      <left/>
      <right style="dotted"/>
      <top/>
      <bottom/>
      <diagonal/>
    </border>
    <border diagonalUp="false" diagonalDown="false">
      <left/>
      <right style="dotted"/>
      <top/>
      <bottom style="double"/>
      <diagonal/>
    </border>
    <border diagonalUp="false" diagonalDown="false">
      <left style="dotted"/>
      <right style="double"/>
      <top style="double"/>
      <bottom/>
      <diagonal/>
    </border>
    <border diagonalUp="false" diagonalDown="false">
      <left style="dotted"/>
      <right style="double"/>
      <top/>
      <bottom/>
      <diagonal/>
    </border>
    <border diagonalUp="false" diagonalDown="false">
      <left style="dotted"/>
      <right style="double"/>
      <top/>
      <bottom style="double"/>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color rgb="FFD9D9D9"/>
      </top>
      <bottom style="thin">
        <color rgb="FFD9D9D9"/>
      </bottom>
      <diagonal/>
    </border>
    <border diagonalUp="false" diagonalDown="false">
      <left/>
      <right style="thin">
        <color rgb="FFD9D9D9"/>
      </right>
      <top style="thin">
        <color rgb="FFD9D9D9"/>
      </top>
      <bottom style="thin">
        <color rgb="FFD9D9D9"/>
      </bottom>
      <diagonal/>
    </border>
    <border diagonalUp="false" diagonalDown="false">
      <left style="thin">
        <color rgb="FFD9D9D9"/>
      </left>
      <right/>
      <top style="thin">
        <color rgb="FFD9D9D9"/>
      </top>
      <bottom style="thin">
        <color rgb="FFD9D9D9"/>
      </bottom>
      <diagonal/>
    </border>
    <border diagonalUp="false" diagonalDown="false">
      <left style="thin">
        <color rgb="FFD9D9D9"/>
      </left>
      <right style="thin">
        <color rgb="FFD9D9D9"/>
      </right>
      <top/>
      <bottom style="thin">
        <color rgb="FFD9D9D9"/>
      </bottom>
      <diagonal/>
    </border>
    <border diagonalUp="false" diagonalDown="false">
      <left style="thin">
        <color rgb="FFD9D9D9"/>
      </left>
      <right style="thin">
        <color rgb="FFD9D9D9"/>
      </right>
      <top style="thin">
        <color rgb="FFD9D9D9"/>
      </top>
      <bottom style="thin">
        <color rgb="FFD9D9D9"/>
      </bottom>
      <diagonal/>
    </border>
    <border diagonalUp="false" diagonalDown="false">
      <left style="thin">
        <color rgb="FFD9D9D9"/>
      </left>
      <right style="thin">
        <color rgb="FFD9D9D9"/>
      </right>
      <top style="thin">
        <color rgb="FFD9D9D9"/>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83" fontId="0"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cellStyleXfs>
  <cellXfs count="59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5" fontId="4"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4" fontId="6" fillId="2" borderId="0" xfId="0" applyFont="true" applyBorder="fals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6" fontId="8"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false" applyBorder="tru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9" fillId="0" borderId="0" xfId="20" applyFont="true" applyBorder="true" applyAlignment="true" applyProtection="tru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tru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left"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9" fillId="0" borderId="0" xfId="20" applyFont="false" applyBorder="true" applyAlignment="true" applyProtection="tru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5" fontId="5" fillId="0" borderId="1" xfId="0" applyFont="tru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4" fontId="5" fillId="0" borderId="2" xfId="0" applyFont="true" applyBorder="true" applyAlignment="true" applyProtection="true">
      <alignment horizontal="right" vertical="bottom" textRotation="0" wrapText="false" indent="0" shrinkToFit="fals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5" fontId="5" fillId="0" borderId="0" xfId="0" applyFont="true" applyBorder="true" applyAlignment="true" applyProtection="true">
      <alignment horizontal="right" vertical="bottom" textRotation="0" wrapText="false" indent="0" shrinkToFit="false"/>
      <protection locked="true" hidden="false"/>
    </xf>
    <xf numFmtId="164" fontId="6" fillId="2" borderId="0" xfId="0" applyFont="tru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left" vertical="bottom" textRotation="0" wrapText="false" indent="0" shrinkToFit="false"/>
      <protection locked="false" hidden="false"/>
    </xf>
    <xf numFmtId="165" fontId="5" fillId="0" borderId="0" xfId="0" applyFont="tru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7" fontId="0" fillId="2" borderId="0" xfId="0" applyFont="true" applyBorder="true" applyAlignment="true" applyProtection="true">
      <alignment horizontal="left" vertical="bottom" textRotation="0" wrapText="false" indent="0" shrinkToFit="false"/>
      <protection locked="fals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5" fillId="0" borderId="0" xfId="0" applyFont="true" applyBorder="true" applyAlignment="true" applyProtection="true">
      <alignment horizontal="right" vertical="bottom" textRotation="0" wrapText="false" indent="0" shrinkToFit="false"/>
      <protection locked="true" hidden="false"/>
    </xf>
    <xf numFmtId="167" fontId="0" fillId="0" borderId="0" xfId="0" applyFont="fals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left" vertical="bottom" textRotation="0" wrapText="false" indent="0" shrinkToFit="false"/>
      <protection locked="true" hidden="false"/>
    </xf>
    <xf numFmtId="165" fontId="0" fillId="0" borderId="0" xfId="0" applyFont="false" applyBorder="true" applyAlignment="true" applyProtection="true">
      <alignment horizontal="right" vertical="bottom" textRotation="0" wrapText="false" indent="0" shrinkToFit="false"/>
      <protection locked="true" hidden="false"/>
    </xf>
    <xf numFmtId="165" fontId="5" fillId="0" borderId="7" xfId="0" applyFont="true" applyBorder="true" applyAlignment="true" applyProtection="true">
      <alignment horizontal="center" vertical="bottom" textRotation="0" wrapText="false" indent="0" shrinkToFit="false"/>
      <protection locked="true" hidden="false"/>
    </xf>
    <xf numFmtId="165" fontId="0" fillId="0" borderId="7" xfId="0" applyFont="false" applyBorder="true" applyAlignment="true" applyProtection="true">
      <alignment horizontal="center" vertical="bottom" textRotation="0" wrapText="false" indent="0" shrinkToFit="false"/>
      <protection locked="true" hidden="false"/>
    </xf>
    <xf numFmtId="165" fontId="0" fillId="0" borderId="8" xfId="0" applyFont="false" applyBorder="true" applyAlignment="false" applyProtection="true">
      <alignment horizontal="general" vertical="bottom" textRotation="0" wrapText="fals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2" borderId="9" xfId="0" applyFont="true" applyBorder="true" applyAlignment="true" applyProtection="true">
      <alignment horizontal="right" vertical="bottom" textRotation="0" wrapText="false" indent="0" shrinkToFit="false"/>
      <protection locked="false" hidden="false"/>
    </xf>
    <xf numFmtId="165" fontId="0" fillId="2" borderId="10" xfId="0" applyFont="false" applyBorder="true" applyAlignment="true" applyProtection="true">
      <alignment horizontal="right" vertical="bottom"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5" fontId="5" fillId="0" borderId="1" xfId="0" applyFont="true" applyBorder="true" applyAlignment="true" applyProtection="true">
      <alignment horizontal="left" vertical="bottom" textRotation="0" wrapText="false" indent="0" shrinkToFit="false"/>
      <protection locked="true" hidden="false"/>
    </xf>
    <xf numFmtId="164" fontId="6" fillId="2" borderId="2" xfId="0" applyFont="true" applyBorder="true" applyAlignment="true" applyProtection="true">
      <alignment horizontal="left" vertical="top" textRotation="0" wrapText="true" indent="0" shrinkToFit="false"/>
      <protection locked="false" hidden="false"/>
    </xf>
    <xf numFmtId="166" fontId="8" fillId="0" borderId="3" xfId="0" applyFont="tru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false" applyProtection="true">
      <alignment horizontal="general" vertical="bottom" textRotation="0" wrapText="false" indent="0" shrinkToFit="false"/>
      <protection locked="true" hidden="false"/>
    </xf>
    <xf numFmtId="165" fontId="8" fillId="0" borderId="10" xfId="0" applyFont="true" applyBorder="true" applyAlignment="false" applyProtection="true">
      <alignment horizontal="general" vertical="bottom" textRotation="0" wrapText="false" indent="0" shrinkToFit="false"/>
      <protection locked="true" hidden="false"/>
    </xf>
    <xf numFmtId="165" fontId="7" fillId="0" borderId="2" xfId="0" applyFont="true" applyBorder="true" applyAlignment="false" applyProtection="true">
      <alignment horizontal="general" vertical="bottom" textRotation="0" wrapText="false" indent="0" shrinkToFit="false"/>
      <protection locked="true" hidden="false"/>
    </xf>
    <xf numFmtId="165" fontId="5" fillId="0" borderId="2" xfId="0" applyFont="true" applyBorder="true" applyAlignment="false" applyProtection="true">
      <alignment horizontal="general" vertical="bottom" textRotation="0" wrapText="false" indent="0" shrinkToFit="false"/>
      <protection locked="true" hidden="false"/>
    </xf>
    <xf numFmtId="165" fontId="5" fillId="0" borderId="4" xfId="0" applyFont="true" applyBorder="true" applyAlignment="false" applyProtection="true">
      <alignment horizontal="general" vertical="bottom" textRotation="0" wrapText="false" indent="0" shrinkToFit="false"/>
      <protection locked="true" hidden="false"/>
    </xf>
    <xf numFmtId="168" fontId="0" fillId="3" borderId="0"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center" textRotation="0" wrapText="false" indent="0" shrinkToFit="false"/>
      <protection locked="true" hidden="false"/>
    </xf>
    <xf numFmtId="168" fontId="0" fillId="3" borderId="0" xfId="0" applyFont="false" applyBorder="true" applyAlignment="false" applyProtection="true">
      <alignment horizontal="general" vertical="bottom" textRotation="0" wrapText="false" indent="0" shrinkToFit="false"/>
      <protection locked="true" hidden="false"/>
    </xf>
    <xf numFmtId="165" fontId="13" fillId="0" borderId="0" xfId="0" applyFont="true" applyBorder="true" applyAlignment="true" applyProtection="true">
      <alignment horizontal="general" vertical="top" textRotation="0" wrapText="fals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64" fontId="7" fillId="0" borderId="5" xfId="0" applyFont="true" applyBorder="true" applyAlignment="true" applyProtection="true">
      <alignment horizontal="general" vertical="top"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5" fontId="5" fillId="0" borderId="4" xfId="0" applyFont="true" applyBorder="true" applyAlignment="true" applyProtection="true">
      <alignment horizontal="left" vertical="bottom" textRotation="0" wrapText="false" indent="0" shrinkToFit="false"/>
      <protection locked="true" hidden="false"/>
    </xf>
    <xf numFmtId="168" fontId="6" fillId="2" borderId="0" xfId="0" applyFont="true" applyBorder="true" applyAlignment="false" applyProtection="true">
      <alignment horizontal="general" vertical="bottom" textRotation="0" wrapText="false" indent="0" shrinkToFit="false"/>
      <protection locked="false" hidden="false"/>
    </xf>
    <xf numFmtId="164" fontId="14" fillId="0" borderId="0" xfId="0" applyFont="true" applyBorder="true" applyAlignment="true" applyProtection="true">
      <alignment horizontal="general" vertical="top" textRotation="0" wrapText="false" indent="0" shrinkToFit="false"/>
      <protection locked="true" hidden="false"/>
    </xf>
    <xf numFmtId="168" fontId="0" fillId="0" borderId="0" xfId="0" applyFont="false" applyBorder="tru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right" vertical="bottom" textRotation="0" wrapText="false" indent="0" shrinkToFit="false"/>
      <protection locked="true" hidden="false"/>
    </xf>
    <xf numFmtId="168" fontId="0" fillId="0" borderId="0"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true" applyProtection="true">
      <alignment horizontal="right" vertical="bottom" textRotation="0" wrapText="false" indent="0" shrinkToFit="false"/>
      <protection locked="true" hidden="false"/>
    </xf>
    <xf numFmtId="168" fontId="0" fillId="0" borderId="11" xfId="0" applyFont="false" applyBorder="true" applyAlignment="false" applyProtection="true">
      <alignment horizontal="general" vertical="bottom" textRotation="0" wrapText="false" indent="0" shrinkToFit="false"/>
      <protection locked="true" hidden="false"/>
    </xf>
    <xf numFmtId="165" fontId="11" fillId="0" borderId="9" xfId="0" applyFont="true" applyBorder="true" applyAlignment="false" applyProtection="true">
      <alignment horizontal="general" vertical="bottom" textRotation="0" wrapText="false" indent="0" shrinkToFit="false"/>
      <protection locked="true" hidden="false"/>
    </xf>
    <xf numFmtId="165" fontId="15" fillId="0" borderId="0"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right" vertical="top" textRotation="0" wrapText="false" indent="0" shrinkToFit="false"/>
      <protection locked="true" hidden="false"/>
    </xf>
    <xf numFmtId="164" fontId="0" fillId="0" borderId="0" xfId="0" applyFont="false" applyBorder="false" applyAlignment="true" applyProtection="true">
      <alignment horizontal="right" vertical="top"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5" fontId="6" fillId="0" borderId="0" xfId="0" applyFont="true" applyBorder="true" applyAlignment="true" applyProtection="true">
      <alignment horizontal="left"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5" fontId="0" fillId="0" borderId="9" xfId="0" applyFont="false" applyBorder="true" applyAlignment="true" applyProtection="true">
      <alignment horizontal="left" vertical="top"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right" vertical="bottom" textRotation="0" wrapText="false" indent="0" shrinkToFit="false"/>
      <protection locked="true" hidden="false"/>
    </xf>
    <xf numFmtId="165" fontId="5" fillId="0" borderId="5" xfId="0" applyFont="true" applyBorder="true" applyAlignment="true" applyProtection="true">
      <alignment horizontal="center" vertical="bottom" textRotation="0" wrapText="false" indent="0" shrinkToFit="false"/>
      <protection locked="true" hidden="false"/>
    </xf>
    <xf numFmtId="165" fontId="0" fillId="0" borderId="5" xfId="0" applyFont="false" applyBorder="true" applyAlignment="true" applyProtection="true">
      <alignment horizontal="center" vertical="bottom" textRotation="0" wrapText="false" indent="0" shrinkToFit="false"/>
      <protection locked="true" hidden="false"/>
    </xf>
    <xf numFmtId="165" fontId="0" fillId="0" borderId="9" xfId="0" applyFont="false" applyBorder="true" applyAlignment="true" applyProtection="true">
      <alignment horizontal="right" vertical="bottom" textRotation="0" wrapText="false" indent="0" shrinkToFit="false"/>
      <protection locked="true" hidden="false"/>
    </xf>
    <xf numFmtId="165" fontId="0" fillId="0" borderId="10" xfId="0" applyFont="false" applyBorder="true" applyAlignment="true" applyProtection="true">
      <alignment horizontal="right" vertical="bottom" textRotation="0" wrapText="false" indent="0" shrinkToFit="false"/>
      <protection locked="true" hidden="false"/>
    </xf>
    <xf numFmtId="164" fontId="5" fillId="0" borderId="2" xfId="0" applyFont="true" applyBorder="true" applyAlignment="true" applyProtection="true">
      <alignment horizontal="center" vertical="bottom" textRotation="0" wrapText="false" indent="0" shrinkToFit="false"/>
      <protection locked="true" hidden="false"/>
    </xf>
    <xf numFmtId="168" fontId="0" fillId="0" borderId="2" xfId="0" applyFont="false" applyBorder="true" applyAlignment="false" applyProtection="true">
      <alignment horizontal="general" vertical="bottom" textRotation="0" wrapText="false" indent="0" shrinkToFit="false"/>
      <protection locked="true" hidden="false"/>
    </xf>
    <xf numFmtId="168" fontId="6" fillId="0" borderId="2" xfId="0" applyFont="true" applyBorder="true" applyAlignment="fals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right" vertical="bottom" textRotation="0" wrapText="false" indent="0" shrinkToFit="false"/>
      <protection locked="true" hidden="false"/>
    </xf>
    <xf numFmtId="168" fontId="6" fillId="0" borderId="0" xfId="0" applyFont="true" applyBorder="true" applyAlignment="false" applyProtection="true">
      <alignment horizontal="general" vertical="bottom" textRotation="0" wrapText="false" indent="0" shrinkToFit="false"/>
      <protection locked="true" hidden="false"/>
    </xf>
    <xf numFmtId="168" fontId="0" fillId="0" borderId="12" xfId="0" applyFont="false" applyBorder="true" applyAlignment="false" applyProtection="true">
      <alignment horizontal="general" vertical="bottom" textRotation="0" wrapText="false" indent="0" shrinkToFit="false"/>
      <protection locked="true" hidden="false"/>
    </xf>
    <xf numFmtId="165" fontId="0" fillId="0" borderId="13" xfId="0" applyFont="false" applyBorder="true" applyAlignment="false" applyProtection="true">
      <alignment horizontal="general" vertical="bottom" textRotation="0" wrapText="false" indent="0" shrinkToFit="false"/>
      <protection locked="true" hidden="false"/>
    </xf>
    <xf numFmtId="164" fontId="0" fillId="0" borderId="14" xfId="0" applyFont="false" applyBorder="true" applyAlignment="false" applyProtection="true">
      <alignment horizontal="general" vertical="bottom" textRotation="0" wrapText="false" indent="0" shrinkToFit="false"/>
      <protection locked="true" hidden="false"/>
    </xf>
    <xf numFmtId="168" fontId="0" fillId="0" borderId="14" xfId="0" applyFont="false" applyBorder="true" applyAlignment="false" applyProtection="true">
      <alignment horizontal="general" vertical="bottom" textRotation="0" wrapText="false" indent="0" shrinkToFit="false"/>
      <protection locked="true" hidden="false"/>
    </xf>
    <xf numFmtId="168" fontId="0" fillId="0" borderId="15" xfId="0" applyFont="false" applyBorder="true" applyAlignment="false" applyProtection="true">
      <alignment horizontal="general" vertical="bottom" textRotation="0" wrapText="false" indent="0" shrinkToFit="false"/>
      <protection locked="true" hidden="false"/>
    </xf>
    <xf numFmtId="168" fontId="0" fillId="0" borderId="16" xfId="0" applyFont="false" applyBorder="true" applyAlignment="false" applyProtection="true">
      <alignment horizontal="general" vertical="bottom" textRotation="0" wrapText="false" indent="0" shrinkToFit="false"/>
      <protection locked="true" hidden="false"/>
    </xf>
    <xf numFmtId="165" fontId="5" fillId="0" borderId="17" xfId="0" applyFont="tru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8" fontId="0" fillId="0" borderId="18" xfId="0" applyFont="false" applyBorder="true" applyAlignment="false" applyProtection="true">
      <alignment horizontal="general" vertical="bottom" textRotation="0" wrapText="false" indent="0" shrinkToFit="false"/>
      <protection locked="true" hidden="false"/>
    </xf>
    <xf numFmtId="165" fontId="0" fillId="4" borderId="4" xfId="0" applyFont="false" applyBorder="true" applyAlignment="false" applyProtection="true">
      <alignment horizontal="general" vertical="bottom" textRotation="0" wrapText="false" indent="0" shrinkToFit="false"/>
      <protection locked="true" hidden="false"/>
    </xf>
    <xf numFmtId="164" fontId="0" fillId="4" borderId="0" xfId="0" applyFont="false" applyBorder="true" applyAlignment="false" applyProtection="true">
      <alignment horizontal="general" vertical="bottom" textRotation="0" wrapText="false" indent="0" shrinkToFit="false"/>
      <protection locked="true" hidden="false"/>
    </xf>
    <xf numFmtId="168" fontId="0" fillId="4" borderId="0" xfId="0" applyFont="false" applyBorder="true" applyAlignment="true" applyProtection="true">
      <alignment horizontal="right" vertical="bottom" textRotation="0" wrapText="false" indent="0" shrinkToFit="false"/>
      <protection locked="true" hidden="false"/>
    </xf>
    <xf numFmtId="168" fontId="5" fillId="4" borderId="7" xfId="0" applyFont="true" applyBorder="true" applyAlignment="true" applyProtection="true">
      <alignment horizontal="right" vertical="bottom" textRotation="0" wrapText="false" indent="0" shrinkToFit="false"/>
      <protection locked="true" hidden="false"/>
    </xf>
    <xf numFmtId="168" fontId="0" fillId="0" borderId="0" xfId="0" applyFont="false" applyBorder="true" applyAlignment="true" applyProtection="true">
      <alignment horizontal="right" vertical="bottom" textRotation="0" wrapText="false" indent="0" shrinkToFit="false"/>
      <protection locked="true" hidden="false"/>
    </xf>
    <xf numFmtId="168" fontId="5" fillId="0" borderId="7" xfId="0" applyFont="true" applyBorder="true" applyAlignment="true" applyProtection="true">
      <alignment horizontal="right" vertical="bottom" textRotation="0" wrapText="false" indent="0" shrinkToFit="false"/>
      <protection locked="true" hidden="false"/>
    </xf>
    <xf numFmtId="168" fontId="6" fillId="4" borderId="0" xfId="0" applyFont="true" applyBorder="true" applyAlignment="true" applyProtection="true">
      <alignment horizontal="right" vertical="bottom" textRotation="0" wrapText="false" indent="0" shrinkToFit="false"/>
      <protection locked="true" hidden="false"/>
    </xf>
    <xf numFmtId="168" fontId="5" fillId="0" borderId="11" xfId="0" applyFont="true" applyBorder="true" applyAlignment="true" applyProtection="true">
      <alignment horizontal="right"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16"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5" fontId="17" fillId="0" borderId="0" xfId="0" applyFont="true" applyBorder="true" applyAlignment="true" applyProtection="true">
      <alignment horizontal="right" vertical="bottom" textRotation="0" wrapText="false" indent="0" shrinkToFit="false"/>
      <protection locked="true" hidden="false"/>
    </xf>
    <xf numFmtId="166" fontId="17" fillId="0" borderId="0" xfId="0" applyFont="true" applyBorder="false" applyAlignment="true" applyProtection="true">
      <alignment horizontal="right" vertical="bottom" textRotation="0" wrapText="false" indent="0" shrinkToFit="false"/>
      <protection locked="true" hidden="false"/>
    </xf>
    <xf numFmtId="165" fontId="16" fillId="0" borderId="0" xfId="0" applyFont="true" applyBorder="true" applyAlignment="true" applyProtection="true">
      <alignment horizontal="left" vertical="bottom" textRotation="0" wrapText="false" indent="0" shrinkToFit="false"/>
      <protection locked="true" hidden="false"/>
    </xf>
    <xf numFmtId="169" fontId="17" fillId="0" borderId="0" xfId="0" applyFont="true" applyBorder="false" applyAlignment="true" applyProtection="true">
      <alignment horizontal="right" vertical="bottom" textRotation="0" wrapText="false" indent="0" shrinkToFit="false"/>
      <protection locked="true" hidden="false"/>
    </xf>
    <xf numFmtId="170" fontId="16" fillId="0" borderId="0" xfId="0" applyFont="true" applyBorder="true" applyAlignment="true" applyProtection="true">
      <alignment horizontal="right" vertical="bottom" textRotation="0" wrapText="false" indent="0" shrinkToFit="false"/>
      <protection locked="true" hidden="false"/>
    </xf>
    <xf numFmtId="171" fontId="16" fillId="0" borderId="0" xfId="0" applyFont="true" applyBorder="false" applyAlignment="true" applyProtection="true">
      <alignment horizontal="general" vertical="bottom" textRotation="0" wrapText="false" indent="0" shrinkToFit="false"/>
      <protection locked="true" hidden="false"/>
    </xf>
    <xf numFmtId="169" fontId="16" fillId="0" borderId="0" xfId="0" applyFont="true" applyBorder="false" applyAlignment="true" applyProtection="true">
      <alignment horizontal="general" vertical="bottom" textRotation="0" wrapText="false" indent="0" shrinkToFit="false"/>
      <protection locked="true" hidden="false"/>
    </xf>
    <xf numFmtId="172" fontId="16" fillId="0" borderId="0" xfId="0" applyFont="true" applyBorder="true" applyAlignment="true" applyProtection="true">
      <alignment horizontal="general" vertical="bottom" textRotation="0" wrapText="false" indent="0" shrinkToFit="false"/>
      <protection locked="true" hidden="false"/>
    </xf>
    <xf numFmtId="165" fontId="17" fillId="0" borderId="0" xfId="0" applyFont="true" applyBorder="false" applyAlignment="true" applyProtection="true">
      <alignment horizontal="right" vertical="bottom" textRotation="0" wrapText="false" indent="0" shrinkToFit="false"/>
      <protection locked="true" hidden="false"/>
    </xf>
    <xf numFmtId="173" fontId="16" fillId="0" borderId="0" xfId="0" applyFont="true" applyBorder="true" applyAlignment="true" applyProtection="true">
      <alignment horizontal="left" vertical="bottom" textRotation="0" wrapText="false" indent="0" shrinkToFit="false"/>
      <protection locked="true" hidden="false"/>
    </xf>
    <xf numFmtId="174" fontId="16" fillId="0" borderId="0" xfId="0" applyFont="true" applyBorder="true" applyAlignment="true" applyProtection="true">
      <alignment horizontal="left" vertical="bottom" textRotation="0" wrapText="false" indent="0" shrinkToFit="false"/>
      <protection locked="true" hidden="false"/>
    </xf>
    <xf numFmtId="166" fontId="16" fillId="0" borderId="16" xfId="0" applyFont="true" applyBorder="true" applyAlignment="true" applyProtection="true">
      <alignment horizontal="general" vertical="bottom" textRotation="0" wrapText="false" indent="0" shrinkToFit="false"/>
      <protection locked="true" hidden="false"/>
    </xf>
    <xf numFmtId="164" fontId="16" fillId="0" borderId="16" xfId="0" applyFont="true" applyBorder="true" applyAlignment="true" applyProtection="true">
      <alignment horizontal="general" vertical="bottom" textRotation="0" wrapText="false" indent="0" shrinkToFit="false"/>
      <protection locked="true" hidden="false"/>
    </xf>
    <xf numFmtId="169" fontId="16" fillId="0" borderId="16" xfId="0" applyFont="true" applyBorder="true" applyAlignment="true" applyProtection="true">
      <alignment horizontal="general" vertical="bottom" textRotation="0" wrapText="false" indent="0" shrinkToFit="false"/>
      <protection locked="true" hidden="false"/>
    </xf>
    <xf numFmtId="170" fontId="16" fillId="0" borderId="16" xfId="0" applyFont="true" applyBorder="true" applyAlignment="true" applyProtection="true">
      <alignment horizontal="center" vertical="bottom" textRotation="0" wrapText="false" indent="0" shrinkToFit="false"/>
      <protection locked="true" hidden="false"/>
    </xf>
    <xf numFmtId="164" fontId="16" fillId="0" borderId="0" xfId="0" applyFont="true" applyBorder="true" applyAlignment="true" applyProtection="true">
      <alignment horizontal="general" vertical="bottom" textRotation="0" wrapText="false" indent="0" shrinkToFit="false"/>
      <protection locked="true" hidden="false"/>
    </xf>
    <xf numFmtId="170" fontId="16" fillId="0" borderId="0" xfId="0" applyFont="true" applyBorder="false" applyAlignment="true" applyProtection="true">
      <alignment horizontal="center" vertical="bottom" textRotation="0" wrapText="false" indent="0" shrinkToFit="false"/>
      <protection locked="true" hidden="false"/>
    </xf>
    <xf numFmtId="169" fontId="16" fillId="0" borderId="0" xfId="0" applyFont="true" applyBorder="false" applyAlignment="true" applyProtection="true">
      <alignment horizontal="right"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center" vertical="bottom" textRotation="0" wrapText="false" indent="0" shrinkToFit="false"/>
      <protection locked="true" hidden="false"/>
    </xf>
    <xf numFmtId="165" fontId="16" fillId="0" borderId="0" xfId="0" applyFont="true" applyBorder="false" applyAlignment="true" applyProtection="true">
      <alignment horizontal="right" vertical="bottom" textRotation="0" wrapText="false" indent="0" shrinkToFit="false"/>
      <protection locked="true" hidden="false"/>
    </xf>
    <xf numFmtId="170" fontId="17" fillId="0" borderId="0" xfId="0" applyFont="true" applyBorder="false" applyAlignment="true" applyProtection="true">
      <alignment horizontal="right" vertical="bottom" textRotation="0" wrapText="false" indent="0" shrinkToFit="false"/>
      <protection locked="true" hidden="false"/>
    </xf>
    <xf numFmtId="175" fontId="17" fillId="0" borderId="0" xfId="0" applyFont="true" applyBorder="false" applyAlignment="true" applyProtection="true">
      <alignment horizontal="right" vertical="bottom" textRotation="0" wrapText="false" indent="0" shrinkToFit="false"/>
      <protection locked="true" hidden="false"/>
    </xf>
    <xf numFmtId="168" fontId="16" fillId="0" borderId="0" xfId="0" applyFont="true" applyBorder="false" applyAlignment="true" applyProtection="true">
      <alignment horizontal="center" vertical="bottom" textRotation="0" wrapText="false" indent="0" shrinkToFit="false"/>
      <protection locked="true" hidden="false"/>
    </xf>
    <xf numFmtId="164" fontId="16" fillId="0" borderId="0" xfId="0" applyFont="true" applyBorder="false" applyAlignment="true" applyProtection="true">
      <alignment horizontal="left" vertical="bottom" textRotation="0" wrapText="false" indent="0" shrinkToFit="false"/>
      <protection locked="true" hidden="false"/>
    </xf>
    <xf numFmtId="168" fontId="16" fillId="0" borderId="0" xfId="0" applyFont="true" applyBorder="false" applyAlignment="true" applyProtection="true">
      <alignment horizontal="general" vertical="bottom" textRotation="0" wrapText="false" indent="0" shrinkToFit="false"/>
      <protection locked="true" hidden="false"/>
    </xf>
    <xf numFmtId="168" fontId="17" fillId="0" borderId="0" xfId="0" applyFont="true" applyBorder="false" applyAlignment="true" applyProtection="true">
      <alignment horizontal="general" vertical="bottom" textRotation="0" wrapText="false" indent="0" shrinkToFit="false"/>
      <protection locked="true" hidden="false"/>
    </xf>
    <xf numFmtId="165" fontId="18" fillId="0" borderId="0" xfId="0" applyFont="true" applyBorder="false" applyAlignment="true" applyProtection="true">
      <alignment horizontal="general" vertical="bottom" textRotation="0" wrapText="false" indent="0" shrinkToFit="false"/>
      <protection locked="true" hidden="false"/>
    </xf>
    <xf numFmtId="168" fontId="16" fillId="0" borderId="0" xfId="0" applyFont="true" applyBorder="true" applyAlignment="true" applyProtection="true">
      <alignment horizontal="general" vertical="bottom" textRotation="0" wrapText="false" indent="0" shrinkToFit="false"/>
      <protection locked="true" hidden="false"/>
    </xf>
    <xf numFmtId="168" fontId="16" fillId="2" borderId="0" xfId="0" applyFont="true" applyBorder="false" applyAlignment="true" applyProtection="true">
      <alignment horizontal="center" vertical="bottom" textRotation="0" wrapText="false" indent="0" shrinkToFit="false"/>
      <protection locked="false" hidden="false"/>
    </xf>
    <xf numFmtId="168" fontId="16" fillId="0" borderId="11" xfId="0" applyFont="true" applyBorder="true" applyAlignment="true" applyProtection="true">
      <alignment horizontal="center" vertical="bottom" textRotation="0" wrapText="false" indent="0" shrinkToFit="false"/>
      <protection locked="true" hidden="false"/>
    </xf>
    <xf numFmtId="170" fontId="16" fillId="0" borderId="0" xfId="0" applyFont="true" applyBorder="false" applyAlignment="true" applyProtection="true">
      <alignment horizontal="right" vertical="bottom" textRotation="0" wrapText="false" indent="0" shrinkToFit="false"/>
      <protection locked="true" hidden="false"/>
    </xf>
    <xf numFmtId="165" fontId="19" fillId="0" borderId="0" xfId="0" applyFont="true" applyBorder="false" applyAlignment="true" applyProtection="true">
      <alignment horizontal="general" vertical="bottom" textRotation="0" wrapText="false" indent="0" shrinkToFit="false"/>
      <protection locked="true" hidden="false"/>
    </xf>
    <xf numFmtId="176" fontId="16" fillId="0" borderId="0" xfId="0" applyFont="true" applyBorder="false" applyAlignment="true" applyProtection="true">
      <alignment horizontal="right" vertical="bottom" textRotation="0" wrapText="false" indent="0" shrinkToFit="false"/>
      <protection locked="true" hidden="false"/>
    </xf>
    <xf numFmtId="165" fontId="17" fillId="5" borderId="19" xfId="0" applyFont="true" applyBorder="true" applyAlignment="true" applyProtection="true">
      <alignment horizontal="center" vertical="bottom" textRotation="0" wrapText="false" indent="0" shrinkToFit="false"/>
      <protection locked="true" hidden="false"/>
    </xf>
    <xf numFmtId="164" fontId="17" fillId="5" borderId="20" xfId="0" applyFont="true" applyBorder="true" applyAlignment="true" applyProtection="true">
      <alignment horizontal="center" vertical="bottom" textRotation="0" wrapText="false" indent="0" shrinkToFit="false"/>
      <protection locked="true" hidden="false"/>
    </xf>
    <xf numFmtId="165" fontId="16" fillId="0" borderId="21" xfId="0" applyFont="true" applyBorder="true" applyAlignment="true" applyProtection="true">
      <alignment horizontal="left" vertical="bottom" textRotation="0" wrapText="false" indent="0" shrinkToFit="false"/>
      <protection locked="true" hidden="false"/>
    </xf>
    <xf numFmtId="168" fontId="16" fillId="0" borderId="0" xfId="0" applyFont="true" applyBorder="true" applyAlignment="true" applyProtection="true">
      <alignment horizontal="right" vertical="bottom" textRotation="0" wrapText="false" indent="0" shrinkToFit="false"/>
      <protection locked="true" hidden="false"/>
    </xf>
    <xf numFmtId="165" fontId="16" fillId="0" borderId="22" xfId="0" applyFont="true" applyBorder="true" applyAlignment="true" applyProtection="true">
      <alignment horizontal="left" vertical="bottom" textRotation="0" wrapText="false" indent="0" shrinkToFit="false"/>
      <protection locked="true" hidden="false"/>
    </xf>
    <xf numFmtId="168" fontId="17" fillId="0" borderId="0" xfId="0" applyFont="true" applyBorder="true" applyAlignment="true" applyProtection="true">
      <alignment horizontal="general" vertical="bottom" textRotation="0" wrapText="false" indent="0" shrinkToFit="false"/>
      <protection locked="true" hidden="false"/>
    </xf>
    <xf numFmtId="168" fontId="16" fillId="0" borderId="0" xfId="0" applyFont="true" applyBorder="false" applyAlignment="false" applyProtection="true">
      <alignment horizontal="general" vertical="bottom" textRotation="0" wrapText="false" indent="0" shrinkToFit="false"/>
      <protection locked="true" hidden="false"/>
    </xf>
    <xf numFmtId="164" fontId="17" fillId="0" borderId="20" xfId="0" applyFont="true" applyBorder="true" applyAlignment="true" applyProtection="true">
      <alignment horizontal="center" vertical="bottom" textRotation="0" wrapText="false" indent="0" shrinkToFit="false"/>
      <protection locked="true" hidden="false"/>
    </xf>
    <xf numFmtId="168" fontId="17" fillId="0" borderId="11" xfId="0" applyFont="true" applyBorder="true" applyAlignment="true" applyProtection="true">
      <alignment horizontal="general" vertical="bottom" textRotation="0" wrapText="false" indent="0" shrinkToFit="false"/>
      <protection locked="true" hidden="false"/>
    </xf>
    <xf numFmtId="167" fontId="16" fillId="0" borderId="0" xfId="0" applyFont="true" applyBorder="false" applyAlignment="true" applyProtection="true">
      <alignment horizontal="general" vertical="bottom" textRotation="0" wrapText="false" indent="0" shrinkToFit="false"/>
      <protection locked="true" hidden="false"/>
    </xf>
    <xf numFmtId="165" fontId="17" fillId="2" borderId="23" xfId="0" applyFont="true" applyBorder="true" applyAlignment="true" applyProtection="true">
      <alignment horizontal="center" vertical="center" textRotation="0" wrapText="true" indent="0" shrinkToFit="false"/>
      <protection locked="true" hidden="false"/>
    </xf>
    <xf numFmtId="164" fontId="16" fillId="0" borderId="7" xfId="0" applyFont="true" applyBorder="true" applyAlignment="true" applyProtection="false">
      <alignment horizontal="general" vertical="bottom" textRotation="0" wrapText="false" indent="0" shrinkToFit="false"/>
      <protection locked="true" hidden="false"/>
    </xf>
    <xf numFmtId="165" fontId="17" fillId="2" borderId="23" xfId="0" applyFont="true" applyBorder="true" applyAlignment="true" applyProtection="true">
      <alignment horizontal="center" vertical="bottom" textRotation="0" wrapText="false" indent="0" shrinkToFit="false"/>
      <protection locked="false" hidden="false"/>
    </xf>
    <xf numFmtId="165" fontId="17" fillId="0" borderId="24" xfId="0" applyFont="true" applyBorder="true" applyAlignment="true" applyProtection="true">
      <alignment horizontal="center" vertical="bottom" textRotation="0" wrapText="false" indent="0" shrinkToFit="false"/>
      <protection locked="true" hidden="false"/>
    </xf>
    <xf numFmtId="165" fontId="17" fillId="2" borderId="23" xfId="0" applyFont="true" applyBorder="true" applyAlignment="true" applyProtection="true">
      <alignment horizontal="center" vertical="bottom" textRotation="0" wrapText="false" indent="0" shrinkToFit="false"/>
      <protection locked="true" hidden="false"/>
    </xf>
    <xf numFmtId="167" fontId="16" fillId="2" borderId="25" xfId="0" applyFont="true" applyBorder="true" applyAlignment="true" applyProtection="true">
      <alignment horizontal="center" vertical="bottom" textRotation="0" wrapText="false" indent="0" shrinkToFit="false"/>
      <protection locked="true" hidden="false"/>
    </xf>
    <xf numFmtId="167" fontId="16" fillId="0" borderId="7" xfId="0" applyFont="true" applyBorder="true" applyAlignment="true" applyProtection="true">
      <alignment horizontal="center" vertical="bottom" textRotation="0" wrapText="false" indent="0" shrinkToFit="false"/>
      <protection locked="true" hidden="false"/>
    </xf>
    <xf numFmtId="165" fontId="17" fillId="0" borderId="26" xfId="0" applyFont="true" applyBorder="true" applyAlignment="true" applyProtection="true">
      <alignment horizontal="center" vertical="center" textRotation="0" wrapText="false" indent="0" shrinkToFit="false"/>
      <protection locked="true" hidden="false"/>
    </xf>
    <xf numFmtId="165" fontId="17" fillId="0" borderId="27" xfId="0" applyFont="true" applyBorder="true" applyAlignment="true" applyProtection="true">
      <alignment horizontal="center" vertical="center" textRotation="0" wrapText="true" indent="0" shrinkToFit="false"/>
      <protection locked="true" hidden="false"/>
    </xf>
    <xf numFmtId="165" fontId="17" fillId="0" borderId="28" xfId="0" applyFont="true" applyBorder="true" applyAlignment="true" applyProtection="true">
      <alignment horizontal="center" vertical="center" textRotation="0" wrapText="true" indent="0" shrinkToFit="false"/>
      <protection locked="true" hidden="false"/>
    </xf>
    <xf numFmtId="165" fontId="17" fillId="0" borderId="29" xfId="0" applyFont="true" applyBorder="true" applyAlignment="true" applyProtection="true">
      <alignment horizontal="center" vertical="center" textRotation="0" wrapText="true" indent="0" shrinkToFit="false"/>
      <protection locked="true" hidden="false"/>
    </xf>
    <xf numFmtId="164" fontId="17" fillId="0" borderId="7" xfId="0" applyFont="true" applyBorder="true" applyAlignment="true" applyProtection="true">
      <alignment horizontal="center" vertical="bottom" textRotation="0" wrapText="true" indent="0" shrinkToFit="false"/>
      <protection locked="true" hidden="false"/>
    </xf>
    <xf numFmtId="165" fontId="17" fillId="0" borderId="26" xfId="0" applyFont="true" applyBorder="true" applyAlignment="true" applyProtection="true">
      <alignment horizontal="center" vertical="center" textRotation="0" wrapText="true" indent="0" shrinkToFit="false"/>
      <protection locked="false" hidden="false"/>
    </xf>
    <xf numFmtId="165" fontId="17" fillId="0" borderId="30" xfId="0" applyFont="true" applyBorder="true" applyAlignment="true" applyProtection="true">
      <alignment horizontal="center" vertical="center" textRotation="0" wrapText="true" indent="0" shrinkToFit="false"/>
      <protection locked="false" hidden="false"/>
    </xf>
    <xf numFmtId="164" fontId="17" fillId="0" borderId="0" xfId="0" applyFont="true" applyBorder="true" applyAlignment="true" applyProtection="true">
      <alignment horizontal="general" vertical="bottom" textRotation="0" wrapText="false" indent="0" shrinkToFit="false"/>
      <protection locked="true" hidden="false"/>
    </xf>
    <xf numFmtId="165" fontId="17" fillId="0" borderId="31" xfId="0" applyFont="true" applyBorder="true" applyAlignment="true" applyProtection="true">
      <alignment horizontal="center" vertical="center" textRotation="0" wrapText="true" indent="0" shrinkToFit="false"/>
      <protection locked="true" hidden="false"/>
    </xf>
    <xf numFmtId="165" fontId="17" fillId="0" borderId="32" xfId="0" applyFont="true" applyBorder="true" applyAlignment="true" applyProtection="true">
      <alignment horizontal="center" vertical="center" textRotation="0" wrapText="tru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5" fontId="17" fillId="0" borderId="33" xfId="0" applyFont="true" applyBorder="true" applyAlignment="true" applyProtection="true">
      <alignment horizontal="center" vertical="bottom" textRotation="0" wrapText="false" indent="0" shrinkToFit="false"/>
      <protection locked="true" hidden="false"/>
    </xf>
    <xf numFmtId="164" fontId="17" fillId="0" borderId="7" xfId="0" applyFont="true" applyBorder="true" applyAlignment="true" applyProtection="true">
      <alignment horizontal="center" vertical="bottom" textRotation="0" wrapText="false" indent="0" shrinkToFit="false"/>
      <protection locked="true" hidden="false"/>
    </xf>
    <xf numFmtId="164" fontId="16" fillId="0" borderId="7" xfId="0" applyFont="true" applyBorder="true" applyAlignment="true" applyProtection="true">
      <alignment horizontal="center" vertical="bottom" textRotation="0" wrapText="true" indent="0" shrinkToFit="false"/>
      <protection locked="true" hidden="false"/>
    </xf>
    <xf numFmtId="177" fontId="18" fillId="5" borderId="0" xfId="0" applyFont="true" applyBorder="true" applyAlignment="true" applyProtection="true">
      <alignment horizontal="general" vertical="bottom" textRotation="0" wrapText="false" indent="0" shrinkToFit="false"/>
      <protection locked="true" hidden="false"/>
    </xf>
    <xf numFmtId="166" fontId="21" fillId="5" borderId="26" xfId="0" applyFont="true" applyBorder="true" applyAlignment="true" applyProtection="true">
      <alignment horizontal="center" vertical="bottom" textRotation="0" wrapText="false" indent="0" shrinkToFit="false"/>
      <protection locked="true" hidden="false"/>
    </xf>
    <xf numFmtId="165" fontId="21" fillId="0" borderId="20" xfId="0" applyFont="true" applyBorder="true" applyAlignment="true" applyProtection="true">
      <alignment horizontal="center" vertical="bottom" textRotation="0" wrapText="false" indent="0" shrinkToFit="false"/>
      <protection locked="true" hidden="false"/>
    </xf>
    <xf numFmtId="164" fontId="22" fillId="0" borderId="7" xfId="0" applyFont="true" applyBorder="true" applyAlignment="true" applyProtection="true">
      <alignment horizontal="center" vertical="bottom" textRotation="0" wrapText="false" indent="0" shrinkToFit="false"/>
      <protection locked="true" hidden="false"/>
    </xf>
    <xf numFmtId="168" fontId="16" fillId="0" borderId="26" xfId="0" applyFont="true" applyBorder="true" applyAlignment="true" applyProtection="true">
      <alignment horizontal="general" vertical="bottom" textRotation="0" wrapText="false" indent="0" shrinkToFit="false"/>
      <protection locked="false" hidden="false"/>
    </xf>
    <xf numFmtId="168" fontId="16" fillId="0" borderId="28" xfId="0" applyFont="true" applyBorder="true" applyAlignment="true" applyProtection="true">
      <alignment horizontal="general" vertical="bottom" textRotation="0" wrapText="false" indent="0" shrinkToFit="false"/>
      <protection locked="false" hidden="false"/>
    </xf>
    <xf numFmtId="168" fontId="16" fillId="0" borderId="34" xfId="0" applyFont="true" applyBorder="true" applyAlignment="true" applyProtection="true">
      <alignment horizontal="general" vertical="bottom" textRotation="0" wrapText="false" indent="0" shrinkToFit="false"/>
      <protection locked="false" hidden="false"/>
    </xf>
    <xf numFmtId="168" fontId="16" fillId="0" borderId="30" xfId="0" applyFont="true" applyBorder="true" applyAlignment="true" applyProtection="true">
      <alignment horizontal="general" vertical="bottom" textRotation="0" wrapText="false" indent="0" shrinkToFit="false"/>
      <protection locked="false" hidden="false"/>
    </xf>
    <xf numFmtId="168" fontId="22" fillId="0" borderId="7" xfId="0" applyFont="true" applyBorder="true" applyAlignment="true" applyProtection="true">
      <alignment horizontal="general" vertical="bottom" textRotation="0" wrapText="false" indent="0" shrinkToFit="false"/>
      <protection locked="false" hidden="false"/>
    </xf>
    <xf numFmtId="168" fontId="16" fillId="0" borderId="26" xfId="0" applyFont="true" applyBorder="true" applyAlignment="true" applyProtection="true">
      <alignment horizontal="center" vertical="bottom" textRotation="0" wrapText="false" indent="0" shrinkToFit="false"/>
      <protection locked="false" hidden="false"/>
    </xf>
    <xf numFmtId="168" fontId="16" fillId="0" borderId="35" xfId="0" applyFont="true" applyBorder="true" applyAlignment="true" applyProtection="true">
      <alignment horizontal="center" vertical="bottom" textRotation="0" wrapText="false" indent="0" shrinkToFit="false"/>
      <protection locked="false" hidden="false"/>
    </xf>
    <xf numFmtId="164" fontId="16" fillId="0" borderId="24" xfId="0" applyFont="true" applyBorder="true" applyAlignment="true" applyProtection="true">
      <alignment horizontal="general" vertical="bottom" textRotation="0" wrapText="false" indent="0" shrinkToFit="false"/>
      <protection locked="false" hidden="false"/>
    </xf>
    <xf numFmtId="164" fontId="16" fillId="0" borderId="34" xfId="0" applyFont="true" applyBorder="true" applyAlignment="true" applyProtection="true">
      <alignment horizontal="general" vertical="bottom" textRotation="0" wrapText="false" indent="0" shrinkToFit="false"/>
      <protection locked="true" hidden="false"/>
    </xf>
    <xf numFmtId="164" fontId="18" fillId="5" borderId="0" xfId="0" applyFont="true" applyBorder="false" applyAlignment="true" applyProtection="true">
      <alignment horizontal="general" vertical="bottom" textRotation="0" wrapText="false" indent="0" shrinkToFit="false"/>
      <protection locked="true" hidden="false"/>
    </xf>
    <xf numFmtId="164" fontId="16" fillId="0" borderId="2" xfId="0" applyFont="true" applyBorder="true" applyAlignment="true" applyProtection="true">
      <alignment horizontal="general" vertical="bottom" textRotation="0" wrapText="false" indent="0" shrinkToFit="false"/>
      <protection locked="true" hidden="false"/>
    </xf>
    <xf numFmtId="166" fontId="21" fillId="0" borderId="26" xfId="0" applyFont="true" applyBorder="true" applyAlignment="true" applyProtection="true">
      <alignment horizontal="center" vertical="bottom" textRotation="0" wrapText="false" indent="0" shrinkToFit="false"/>
      <protection locked="true" hidden="false"/>
    </xf>
    <xf numFmtId="164" fontId="16" fillId="0" borderId="9" xfId="0" applyFont="true" applyBorder="true" applyAlignment="true" applyProtection="true">
      <alignment horizontal="general" vertical="bottom" textRotation="0" wrapText="false" indent="0" shrinkToFit="false"/>
      <protection locked="true" hidden="false"/>
    </xf>
    <xf numFmtId="166" fontId="16" fillId="0" borderId="26" xfId="0" applyFont="true" applyBorder="true" applyAlignment="true" applyProtection="true">
      <alignment horizontal="center" vertical="bottom" textRotation="0" wrapText="false" indent="0" shrinkToFit="false"/>
      <protection locked="true" hidden="false"/>
    </xf>
    <xf numFmtId="165" fontId="16" fillId="0" borderId="20" xfId="0" applyFont="true" applyBorder="true" applyAlignment="true" applyProtection="true">
      <alignment horizontal="center" vertical="bottom" textRotation="0" wrapText="false" indent="0" shrinkToFit="false"/>
      <protection locked="true" hidden="false"/>
    </xf>
    <xf numFmtId="164" fontId="16" fillId="0" borderId="7" xfId="0" applyFont="true" applyBorder="true" applyAlignment="true" applyProtection="true">
      <alignment horizontal="center" vertical="bottom" textRotation="0" wrapText="false" indent="0" shrinkToFit="false"/>
      <protection locked="true" hidden="false"/>
    </xf>
    <xf numFmtId="168" fontId="16" fillId="2" borderId="26" xfId="0" applyFont="true" applyBorder="true" applyAlignment="true" applyProtection="true">
      <alignment horizontal="general" vertical="bottom" textRotation="0" wrapText="false" indent="0" shrinkToFit="false"/>
      <protection locked="false" hidden="false"/>
    </xf>
    <xf numFmtId="168" fontId="16" fillId="2" borderId="28" xfId="0" applyFont="true" applyBorder="true" applyAlignment="true" applyProtection="true">
      <alignment horizontal="general" vertical="bottom" textRotation="0" wrapText="false" indent="0" shrinkToFit="false"/>
      <protection locked="false" hidden="false"/>
    </xf>
    <xf numFmtId="168" fontId="16" fillId="2" borderId="34" xfId="0" applyFont="true" applyBorder="true" applyAlignment="true" applyProtection="true">
      <alignment horizontal="general" vertical="bottom" textRotation="0" wrapText="false" indent="0" shrinkToFit="false"/>
      <protection locked="false" hidden="false"/>
    </xf>
    <xf numFmtId="168" fontId="16" fillId="2" borderId="30" xfId="0" applyFont="true" applyBorder="true" applyAlignment="true" applyProtection="true">
      <alignment horizontal="general" vertical="bottom" textRotation="0" wrapText="false" indent="0" shrinkToFit="false"/>
      <protection locked="false" hidden="false"/>
    </xf>
    <xf numFmtId="168" fontId="16" fillId="0" borderId="7" xfId="0" applyFont="true" applyBorder="true" applyAlignment="true" applyProtection="true">
      <alignment horizontal="general" vertical="bottom" textRotation="0" wrapText="false" indent="0" shrinkToFit="false"/>
      <protection locked="false" hidden="false"/>
    </xf>
    <xf numFmtId="168" fontId="16" fillId="2" borderId="26" xfId="0" applyFont="true" applyBorder="true" applyAlignment="true" applyProtection="true">
      <alignment horizontal="center" vertical="bottom" textRotation="0" wrapText="false" indent="0" shrinkToFit="false"/>
      <protection locked="false" hidden="false"/>
    </xf>
    <xf numFmtId="168" fontId="16" fillId="2" borderId="35" xfId="0" applyFont="true" applyBorder="true" applyAlignment="true" applyProtection="true">
      <alignment horizontal="center" vertical="bottom" textRotation="0" wrapText="false" indent="0" shrinkToFit="false"/>
      <protection locked="false" hidden="false"/>
    </xf>
    <xf numFmtId="164" fontId="16" fillId="0" borderId="24" xfId="0" applyFont="true" applyBorder="true" applyAlignment="true" applyProtection="true">
      <alignment horizontal="general" vertical="bottom" textRotation="0" wrapText="false" indent="0" shrinkToFit="true"/>
      <protection locked="false" hidden="false"/>
    </xf>
    <xf numFmtId="170" fontId="16" fillId="2" borderId="36" xfId="0" applyFont="true" applyBorder="true" applyAlignment="true" applyProtection="true">
      <alignment horizontal="center" vertical="bottom" textRotation="0" wrapText="false" indent="0" shrinkToFit="false"/>
      <protection locked="false" hidden="false"/>
    </xf>
    <xf numFmtId="170" fontId="16" fillId="2" borderId="37" xfId="0" applyFont="true" applyBorder="true" applyAlignment="true" applyProtection="true">
      <alignment horizontal="center" vertical="bottom" textRotation="0" wrapText="false" indent="0" shrinkToFit="false"/>
      <protection locked="false" hidden="false"/>
    </xf>
    <xf numFmtId="164" fontId="23" fillId="0" borderId="7" xfId="0" applyFont="true" applyBorder="true" applyAlignment="true" applyProtection="true">
      <alignment horizontal="center" vertical="bottom" textRotation="0" wrapText="false" indent="0" shrinkToFit="false"/>
      <protection locked="true" hidden="false"/>
    </xf>
    <xf numFmtId="170" fontId="16" fillId="2" borderId="38" xfId="0" applyFont="true" applyBorder="true" applyAlignment="true" applyProtection="true">
      <alignment horizontal="center" vertical="bottom" textRotation="0" wrapText="false" indent="0" shrinkToFit="false"/>
      <protection locked="false" hidden="false"/>
    </xf>
    <xf numFmtId="170" fontId="16" fillId="2" borderId="29" xfId="0" applyFont="true" applyBorder="true" applyAlignment="true" applyProtection="true">
      <alignment horizontal="center" vertical="bottom" textRotation="0" wrapText="false" indent="0" shrinkToFit="false"/>
      <protection locked="false" hidden="false"/>
    </xf>
    <xf numFmtId="166" fontId="16" fillId="5" borderId="26" xfId="0" applyFont="true" applyBorder="true" applyAlignment="true" applyProtection="true">
      <alignment horizontal="center" vertical="bottom" textRotation="0" wrapText="false" indent="0" shrinkToFit="false"/>
      <protection locked="true" hidden="false"/>
    </xf>
    <xf numFmtId="170" fontId="16" fillId="2" borderId="24" xfId="0" applyFont="true" applyBorder="true" applyAlignment="true" applyProtection="true">
      <alignment horizontal="center" vertical="bottom" textRotation="0" wrapText="false" indent="0" shrinkToFit="false"/>
      <protection locked="false" hidden="false"/>
    </xf>
    <xf numFmtId="170" fontId="16" fillId="2" borderId="30" xfId="0" applyFont="true" applyBorder="true" applyAlignment="true" applyProtection="true">
      <alignment horizontal="center" vertical="bottom" textRotation="0" wrapText="false" indent="0" shrinkToFit="false"/>
      <protection locked="false" hidden="false"/>
    </xf>
    <xf numFmtId="168" fontId="16" fillId="2" borderId="39" xfId="0" applyFont="true" applyBorder="true" applyAlignment="true" applyProtection="true">
      <alignment horizontal="center" vertical="bottom" textRotation="0" wrapText="false" indent="0" shrinkToFit="false"/>
      <protection locked="false" hidden="false"/>
    </xf>
    <xf numFmtId="168" fontId="16" fillId="2" borderId="40" xfId="0" applyFont="true" applyBorder="true" applyAlignment="true" applyProtection="true">
      <alignment horizontal="center" vertical="bottom" textRotation="0" wrapText="false" indent="0" shrinkToFit="false"/>
      <protection locked="false" hidden="false"/>
    </xf>
    <xf numFmtId="170" fontId="16" fillId="2" borderId="17" xfId="0" applyFont="true" applyBorder="true" applyAlignment="true" applyProtection="true">
      <alignment horizontal="center" vertical="bottom" textRotation="0" wrapText="false" indent="0" shrinkToFit="false"/>
      <protection locked="false" hidden="false"/>
    </xf>
    <xf numFmtId="170" fontId="16" fillId="2" borderId="32" xfId="0" applyFont="true" applyBorder="true" applyAlignment="true" applyProtection="true">
      <alignment horizontal="center" vertical="bottom" textRotation="0" wrapText="false" indent="0" shrinkToFit="false"/>
      <protection locked="false" hidden="false"/>
    </xf>
    <xf numFmtId="166" fontId="16" fillId="0" borderId="2" xfId="0" applyFont="true" applyBorder="true" applyAlignment="true" applyProtection="true">
      <alignment horizontal="general" vertical="bottom" textRotation="0" wrapText="false" indent="0" shrinkToFit="false"/>
      <protection locked="true" hidden="false"/>
    </xf>
    <xf numFmtId="168" fontId="16" fillId="0" borderId="36" xfId="0" applyFont="true" applyBorder="true" applyAlignment="true" applyProtection="true">
      <alignment horizontal="general" vertical="bottom" textRotation="0" wrapText="false" indent="0" shrinkToFit="false"/>
      <protection locked="true" hidden="false"/>
    </xf>
    <xf numFmtId="168" fontId="16" fillId="0" borderId="41" xfId="0" applyFont="true" applyBorder="true" applyAlignment="true" applyProtection="true">
      <alignment horizontal="general" vertical="bottom" textRotation="0" wrapText="false" indent="0" shrinkToFit="false"/>
      <protection locked="true" hidden="false"/>
    </xf>
    <xf numFmtId="168" fontId="16" fillId="0" borderId="37" xfId="0" applyFont="true" applyBorder="true" applyAlignment="true" applyProtection="true">
      <alignment horizontal="general" vertical="bottom" textRotation="0" wrapText="false" indent="0" shrinkToFit="false"/>
      <protection locked="true" hidden="false"/>
    </xf>
    <xf numFmtId="168" fontId="16" fillId="0" borderId="4" xfId="0" applyFont="true" applyBorder="true" applyAlignment="true" applyProtection="true">
      <alignment horizontal="general" vertical="bottom" textRotation="0" wrapText="false" indent="0" shrinkToFit="false"/>
      <protection locked="true" hidden="false"/>
    </xf>
    <xf numFmtId="168" fontId="16" fillId="0" borderId="2" xfId="0" applyFont="true" applyBorder="true" applyAlignment="true" applyProtection="true">
      <alignment horizontal="general" vertical="bottom" textRotation="0" wrapText="false" indent="0" shrinkToFit="false"/>
      <protection locked="false" hidden="false"/>
    </xf>
    <xf numFmtId="165" fontId="16" fillId="0" borderId="23" xfId="0" applyFont="true" applyBorder="true" applyAlignment="true" applyProtection="true">
      <alignment horizontal="center" vertical="bottom" textRotation="0" wrapText="false" indent="0" shrinkToFit="false"/>
      <protection locked="true" hidden="false"/>
    </xf>
    <xf numFmtId="178" fontId="18" fillId="0" borderId="31" xfId="0" applyFont="true" applyBorder="true" applyAlignment="true" applyProtection="true">
      <alignment horizontal="general" vertical="bottom" textRotation="0" wrapText="false" indent="0" shrinkToFit="false"/>
      <protection locked="true" hidden="false"/>
    </xf>
    <xf numFmtId="178" fontId="18" fillId="0" borderId="42" xfId="0" applyFont="true" applyBorder="true" applyAlignment="true" applyProtection="true">
      <alignment horizontal="general" vertical="bottom" textRotation="0" wrapText="false" indent="0" shrinkToFit="false"/>
      <protection locked="true" hidden="false"/>
    </xf>
    <xf numFmtId="178" fontId="18" fillId="0" borderId="32" xfId="0" applyFont="true" applyBorder="true" applyAlignment="true" applyProtection="true">
      <alignment horizontal="general" vertical="bottom" textRotation="0" wrapText="false" indent="0" shrinkToFit="false"/>
      <protection locked="true" hidden="false"/>
    </xf>
    <xf numFmtId="178" fontId="16" fillId="0" borderId="4" xfId="0" applyFont="true" applyBorder="true" applyAlignment="true" applyProtection="true">
      <alignment horizontal="general" vertical="bottom" textRotation="0" wrapText="false" indent="0" shrinkToFit="false"/>
      <protection locked="true" hidden="false"/>
    </xf>
    <xf numFmtId="178" fontId="16" fillId="0" borderId="0" xfId="0" applyFont="true" applyBorder="true" applyAlignment="true" applyProtection="true">
      <alignment horizontal="general" vertical="bottom" textRotation="0" wrapText="false" indent="0" shrinkToFit="false"/>
      <protection locked="false" hidden="false"/>
    </xf>
    <xf numFmtId="168" fontId="5" fillId="0" borderId="0" xfId="0" applyFont="true" applyBorder="true" applyAlignment="true" applyProtection="true">
      <alignment horizontal="right" vertical="bottom" textRotation="0" wrapText="false" indent="0" shrinkToFit="false"/>
      <protection locked="true" hidden="false"/>
    </xf>
    <xf numFmtId="179" fontId="16" fillId="0" borderId="18" xfId="0" applyFont="true" applyBorder="true" applyAlignment="true" applyProtection="true">
      <alignment horizontal="center" vertical="bottom" textRotation="0" wrapText="false" indent="0" shrinkToFit="false"/>
      <protection locked="true" hidden="false"/>
    </xf>
    <xf numFmtId="165" fontId="16" fillId="0" borderId="0" xfId="0" applyFont="true" applyBorder="tru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64" fontId="16" fillId="6" borderId="0" xfId="0" applyFont="true" applyBorder="true" applyAlignment="true" applyProtection="true">
      <alignment horizontal="left" vertical="center" textRotation="0" wrapText="false" indent="0" shrinkToFit="false"/>
      <protection locked="false" hidden="false"/>
    </xf>
    <xf numFmtId="165" fontId="16" fillId="0" borderId="0" xfId="0" applyFont="true" applyBorder="true" applyAlignment="true" applyProtection="true">
      <alignment horizontal="left" vertical="center" textRotation="0" wrapText="false" indent="0" shrinkToFit="false"/>
      <protection locked="true" hidden="false"/>
    </xf>
    <xf numFmtId="164" fontId="16" fillId="2" borderId="0" xfId="0" applyFont="true" applyBorder="true" applyAlignment="true" applyProtection="true">
      <alignment horizontal="general" vertical="center" textRotation="0" wrapText="false" indent="0" shrinkToFit="false"/>
      <protection locked="false" hidden="false"/>
    </xf>
    <xf numFmtId="169" fontId="16" fillId="0" borderId="0"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true" hidden="false"/>
    </xf>
    <xf numFmtId="165" fontId="16" fillId="0" borderId="0" xfId="0" applyFont="true" applyBorder="false" applyAlignment="true" applyProtection="true">
      <alignment horizontal="left" vertical="center" textRotation="0" wrapText="false" indent="0" shrinkToFit="false"/>
      <protection locked="true" hidden="false"/>
    </xf>
    <xf numFmtId="164" fontId="16" fillId="2" borderId="0" xfId="0" applyFont="true" applyBorder="false" applyAlignment="true" applyProtection="true">
      <alignment horizontal="center" vertical="bottom" textRotation="0" wrapText="false" indent="0" shrinkToFit="false"/>
      <protection locked="true" hidden="false"/>
    </xf>
    <xf numFmtId="164" fontId="16" fillId="2" borderId="0" xfId="0" applyFont="true" applyBorder="false" applyAlignment="true" applyProtection="true">
      <alignment horizontal="general" vertical="center" textRotation="0" wrapText="false" indent="0" shrinkToFit="false"/>
      <protection locked="false" hidden="false"/>
    </xf>
    <xf numFmtId="166" fontId="24" fillId="0" borderId="0" xfId="0" applyFont="true" applyBorder="true" applyAlignment="true" applyProtection="true">
      <alignment horizontal="general" vertical="center" textRotation="0" wrapText="false" indent="0" shrinkToFit="false"/>
      <protection locked="true" hidden="false"/>
    </xf>
    <xf numFmtId="169" fontId="16" fillId="0" borderId="0" xfId="0" applyFont="true" applyBorder="false" applyAlignment="true" applyProtection="true">
      <alignment horizontal="general" vertical="center" textRotation="0" wrapText="false" indent="0" shrinkToFit="false"/>
      <protection locked="true" hidden="false"/>
    </xf>
    <xf numFmtId="169" fontId="24" fillId="0" borderId="0" xfId="0" applyFont="true" applyBorder="true" applyAlignment="true" applyProtection="true">
      <alignment horizontal="left" vertical="center" textRotation="0" wrapText="false" indent="0" shrinkToFit="false"/>
      <protection locked="true" hidden="false"/>
    </xf>
    <xf numFmtId="169" fontId="16" fillId="0" borderId="0" xfId="0" applyFont="true" applyBorder="false" applyAlignment="true" applyProtection="true">
      <alignment horizontal="general" vertical="center" textRotation="0" wrapText="false" indent="0" shrinkToFit="false"/>
      <protection locked="false" hidden="false"/>
    </xf>
    <xf numFmtId="175" fontId="16" fillId="0" borderId="0" xfId="0" applyFont="true" applyBorder="false" applyAlignment="true" applyProtection="true">
      <alignment horizontal="right" vertical="bottom" textRotation="0" wrapText="false" indent="0" shrinkToFit="false"/>
      <protection locked="true" hidden="false"/>
    </xf>
    <xf numFmtId="164" fontId="17" fillId="0" borderId="7" xfId="0" applyFont="true" applyBorder="true" applyAlignment="true" applyProtection="true">
      <alignment horizontal="general" vertical="bottom" textRotation="0" wrapText="false" indent="0" shrinkToFit="false"/>
      <protection locked="true" hidden="false"/>
    </xf>
    <xf numFmtId="165" fontId="17" fillId="0" borderId="21" xfId="0" applyFont="true" applyBorder="true" applyAlignment="true" applyProtection="true">
      <alignment horizontal="center" vertical="center" textRotation="0" wrapText="true" indent="0" shrinkToFit="false"/>
      <protection locked="false" hidden="false"/>
    </xf>
    <xf numFmtId="177" fontId="18" fillId="5" borderId="7" xfId="0" applyFont="true" applyBorder="true" applyAlignment="tru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general" vertical="bottom" textRotation="0" wrapText="false" indent="0" shrinkToFit="true"/>
      <protection locked="false" hidden="false"/>
    </xf>
    <xf numFmtId="168" fontId="16" fillId="2" borderId="21" xfId="0" applyFont="true" applyBorder="true" applyAlignment="true" applyProtection="true">
      <alignment horizontal="center" vertical="bottom" textRotation="0" wrapText="false" indent="0" shrinkToFit="false"/>
      <protection locked="false" hidden="false"/>
    </xf>
    <xf numFmtId="170" fontId="16" fillId="2" borderId="12" xfId="0" applyFont="true" applyBorder="true" applyAlignment="true" applyProtection="true">
      <alignment horizontal="center" vertical="bottom" textRotation="0" wrapText="false" indent="0" shrinkToFit="false"/>
      <protection locked="fals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70" fontId="16" fillId="2" borderId="33" xfId="0" applyFont="true" applyBorder="true" applyAlignment="true" applyProtection="true">
      <alignment horizontal="center" vertical="bottom" textRotation="0" wrapText="false" indent="0" shrinkToFit="false"/>
      <protection locked="false" hidden="false"/>
    </xf>
    <xf numFmtId="164" fontId="27" fillId="0" borderId="0" xfId="0" applyFont="true" applyBorder="tru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center" vertical="bottom" textRotation="0" wrapText="false" indent="0" shrinkToFit="false"/>
      <protection locked="true" hidden="false"/>
    </xf>
    <xf numFmtId="170" fontId="16" fillId="2" borderId="15" xfId="0" applyFont="true" applyBorder="true" applyAlignment="true" applyProtection="true">
      <alignment horizontal="center" vertical="bottom" textRotation="0" wrapText="false" indent="0" shrinkToFit="false"/>
      <protection locked="false" hidden="false"/>
    </xf>
    <xf numFmtId="168" fontId="16" fillId="0" borderId="21" xfId="0" applyFont="true" applyBorder="true" applyAlignment="true" applyProtection="true">
      <alignment horizontal="center" vertical="bottom" textRotation="0" wrapText="false" indent="0" shrinkToFit="false"/>
      <protection locked="false" hidden="false"/>
    </xf>
    <xf numFmtId="170" fontId="16" fillId="2" borderId="2" xfId="0" applyFont="true" applyBorder="true" applyAlignment="true" applyProtection="true">
      <alignment horizontal="center" vertical="bottom" textRotation="0" wrapText="false" indent="0" shrinkToFit="false"/>
      <protection locked="false" hidden="false"/>
    </xf>
    <xf numFmtId="164" fontId="18" fillId="0" borderId="0" xfId="0" applyFont="true" applyBorder="true" applyAlignment="true" applyProtection="true">
      <alignment horizontal="general" vertical="bottom" textRotation="0" wrapText="false" indent="0" shrinkToFit="false"/>
      <protection locked="true" hidden="false"/>
    </xf>
    <xf numFmtId="166" fontId="22" fillId="5" borderId="39" xfId="0" applyFont="true" applyBorder="true" applyAlignment="true" applyProtection="true">
      <alignment horizontal="center" vertical="bottom" textRotation="0" wrapText="false" indent="0" shrinkToFit="false"/>
      <protection locked="true" hidden="false"/>
    </xf>
    <xf numFmtId="164" fontId="22" fillId="0" borderId="43" xfId="0" applyFont="true" applyBorder="true" applyAlignment="true" applyProtection="true">
      <alignment horizontal="center" vertical="bottom" textRotation="0" wrapText="false" indent="0" shrinkToFit="false"/>
      <protection locked="true" hidden="false"/>
    </xf>
    <xf numFmtId="168" fontId="22" fillId="0" borderId="39" xfId="0" applyFont="true" applyBorder="true" applyAlignment="true" applyProtection="true">
      <alignment horizontal="general" vertical="bottom" textRotation="0" wrapText="false" indent="0" shrinkToFit="false"/>
      <protection locked="false" hidden="false"/>
    </xf>
    <xf numFmtId="168" fontId="22" fillId="0" borderId="19" xfId="0" applyFont="true" applyBorder="true" applyAlignment="true" applyProtection="true">
      <alignment horizontal="general" vertical="bottom" textRotation="0" wrapText="false" indent="0" shrinkToFit="false"/>
      <protection locked="false" hidden="false"/>
    </xf>
    <xf numFmtId="168" fontId="22" fillId="0" borderId="14" xfId="0" applyFont="true" applyBorder="true" applyAlignment="true" applyProtection="true">
      <alignment horizontal="general" vertical="bottom" textRotation="0" wrapText="false" indent="0" shrinkToFit="false"/>
      <protection locked="false" hidden="false"/>
    </xf>
    <xf numFmtId="168" fontId="22" fillId="0" borderId="44" xfId="0" applyFont="true" applyBorder="true" applyAlignment="true" applyProtection="true">
      <alignment horizontal="general" vertical="bottom" textRotation="0" wrapText="false" indent="0" shrinkToFit="false"/>
      <protection locked="false" hidden="false"/>
    </xf>
    <xf numFmtId="170" fontId="16" fillId="0" borderId="0" xfId="0" applyFont="true" applyBorder="true" applyAlignment="true" applyProtection="true">
      <alignment horizontal="center" vertical="bottom" textRotation="0" wrapText="false" indent="0" shrinkToFit="false"/>
      <protection locked="false" hidden="false"/>
    </xf>
    <xf numFmtId="166" fontId="16" fillId="0" borderId="31" xfId="0" applyFont="true" applyBorder="true" applyAlignment="true" applyProtection="true">
      <alignment horizontal="center" vertical="bottom" textRotation="0" wrapText="false" indent="0" shrinkToFit="false"/>
      <protection locked="true" hidden="false"/>
    </xf>
    <xf numFmtId="164" fontId="16" fillId="0" borderId="42" xfId="0" applyFont="true" applyBorder="true" applyAlignment="true" applyProtection="true">
      <alignment horizontal="center" vertical="bottom" textRotation="0" wrapText="false" indent="0" shrinkToFit="false"/>
      <protection locked="true" hidden="false"/>
    </xf>
    <xf numFmtId="168" fontId="22" fillId="0" borderId="31" xfId="0" applyFont="true" applyBorder="true" applyAlignment="true" applyProtection="true">
      <alignment horizontal="general" vertical="bottom" textRotation="0" wrapText="false" indent="0" shrinkToFit="false"/>
      <protection locked="false" hidden="false"/>
    </xf>
    <xf numFmtId="168" fontId="22" fillId="0" borderId="45" xfId="0" applyFont="true" applyBorder="true" applyAlignment="true" applyProtection="true">
      <alignment horizontal="general" vertical="bottom" textRotation="0" wrapText="false" indent="0" shrinkToFit="false"/>
      <protection locked="false" hidden="false"/>
    </xf>
    <xf numFmtId="168" fontId="22" fillId="0" borderId="11" xfId="0" applyFont="true" applyBorder="true" applyAlignment="true" applyProtection="true">
      <alignment horizontal="general" vertical="bottom" textRotation="0" wrapText="false" indent="0" shrinkToFit="false"/>
      <protection locked="false" hidden="false"/>
    </xf>
    <xf numFmtId="168" fontId="22" fillId="0" borderId="32" xfId="0" applyFont="true" applyBorder="true" applyAlignment="true" applyProtection="true">
      <alignment horizontal="general" vertical="bottom" textRotation="0" wrapText="false" indent="0" shrinkToFit="false"/>
      <protection locked="false" hidden="false"/>
    </xf>
    <xf numFmtId="168" fontId="16" fillId="0" borderId="46" xfId="0" applyFont="true" applyBorder="true" applyAlignment="true" applyProtection="true">
      <alignment horizontal="center" vertical="bottom" textRotation="0" wrapText="false" indent="0" shrinkToFit="false"/>
      <protection locked="false" hidden="false"/>
    </xf>
    <xf numFmtId="168" fontId="16" fillId="0" borderId="40" xfId="0" applyFont="true" applyBorder="true" applyAlignment="true" applyProtection="true">
      <alignment horizontal="center" vertical="bottom" textRotation="0" wrapText="false" indent="0" shrinkToFit="false"/>
      <protection locked="false" hidden="false"/>
    </xf>
    <xf numFmtId="170" fontId="16" fillId="0" borderId="9" xfId="0" applyFont="true" applyBorder="true" applyAlignment="true" applyProtection="true">
      <alignment horizontal="center" vertical="bottom" textRotation="0" wrapText="false" indent="0" shrinkToFit="false"/>
      <protection locked="false" hidden="false"/>
    </xf>
    <xf numFmtId="164" fontId="16" fillId="0" borderId="4" xfId="0" applyFont="true" applyBorder="true" applyAlignment="true" applyProtection="true">
      <alignment horizontal="general" vertical="bottom" textRotation="0" wrapText="false" indent="0" shrinkToFit="false"/>
      <protection locked="true" hidden="false"/>
    </xf>
    <xf numFmtId="166" fontId="16" fillId="0" borderId="0"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true" applyAlignment="true" applyProtection="true">
      <alignment horizontal="center" vertical="bottom" textRotation="0" wrapText="false" indent="0" shrinkToFit="false"/>
      <protection locked="true" hidden="false"/>
    </xf>
    <xf numFmtId="168" fontId="5" fillId="0" borderId="4" xfId="0" applyFont="true" applyBorder="true" applyAlignment="true" applyProtection="true">
      <alignment horizontal="right" vertical="bottom" textRotation="0" wrapText="false" indent="0" shrinkToFit="false"/>
      <protection locked="true" hidden="false"/>
    </xf>
    <xf numFmtId="164" fontId="16" fillId="0" borderId="0" xfId="0" applyFont="true" applyBorder="true" applyAlignment="false" applyProtection="true">
      <alignment horizontal="general" vertical="bottom" textRotation="0" wrapText="false" indent="0" shrinkToFit="false"/>
      <protection locked="true" hidden="false"/>
    </xf>
    <xf numFmtId="164" fontId="16" fillId="5" borderId="7" xfId="0" applyFont="true" applyBorder="true" applyAlignment="true" applyProtection="true">
      <alignment horizontal="center" vertical="bottom" textRotation="0" wrapText="false" indent="0" shrinkToFit="false"/>
      <protection locked="true" hidden="false"/>
    </xf>
    <xf numFmtId="168" fontId="16" fillId="2" borderId="46" xfId="0" applyFont="true" applyBorder="true" applyAlignment="true" applyProtection="true">
      <alignment horizontal="center" vertical="bottom" textRotation="0" wrapText="false" indent="0" shrinkToFit="false"/>
      <protection locked="false" hidden="false"/>
    </xf>
    <xf numFmtId="170" fontId="16" fillId="2" borderId="18" xfId="0" applyFont="true" applyBorder="true" applyAlignment="true" applyProtection="true">
      <alignment horizontal="center" vertical="bottom" textRotation="0" wrapText="false" indent="0" shrinkToFit="false"/>
      <protection locked="false" hidden="false"/>
    </xf>
    <xf numFmtId="168" fontId="16" fillId="0" borderId="47" xfId="0" applyFont="true" applyBorder="true" applyAlignment="true" applyProtection="true">
      <alignment horizontal="general" vertical="bottom" textRotation="0" wrapText="false" indent="0" shrinkToFit="false"/>
      <protection locked="true" hidden="false"/>
    </xf>
    <xf numFmtId="178" fontId="18" fillId="0" borderId="45" xfId="0" applyFont="true" applyBorder="true" applyAlignment="true" applyProtection="true">
      <alignment horizontal="general" vertical="bottom" textRotation="0" wrapText="false" indent="0" shrinkToFit="false"/>
      <protection locked="true" hidden="false"/>
    </xf>
    <xf numFmtId="178" fontId="18" fillId="0" borderId="11" xfId="0" applyFont="true" applyBorder="true" applyAlignment="true" applyProtection="true">
      <alignment horizontal="general" vertical="bottom" textRotation="0" wrapText="false" indent="0" shrinkToFit="false"/>
      <protection locked="true" hidden="false"/>
    </xf>
    <xf numFmtId="166" fontId="16" fillId="0" borderId="0" xfId="0" applyFont="true" applyBorder="true" applyAlignment="true" applyProtection="true">
      <alignment horizontal="general" vertical="center" textRotation="0" wrapText="false" indent="0" shrinkToFit="false"/>
      <protection locked="true" hidden="false"/>
    </xf>
    <xf numFmtId="169" fontId="16" fillId="0" borderId="0" xfId="0" applyFont="true" applyBorder="true" applyAlignment="true" applyProtection="true">
      <alignment horizontal="left" vertical="center" textRotation="0" wrapText="false" indent="0" shrinkToFit="false"/>
      <protection locked="true" hidden="false"/>
    </xf>
    <xf numFmtId="169" fontId="16" fillId="0" borderId="0" xfId="0" applyFont="true" applyBorder="true" applyAlignment="true" applyProtection="true">
      <alignment horizontal="general" vertical="bottom" textRotation="0" wrapText="false" indent="0" shrinkToFit="false"/>
      <protection locked="true" hidden="false"/>
    </xf>
    <xf numFmtId="164" fontId="20" fillId="0" borderId="0" xfId="0" applyFont="true" applyBorder="true" applyAlignment="true" applyProtection="true">
      <alignment horizontal="general" vertical="bottom" textRotation="0" wrapText="false" indent="0" shrinkToFit="false"/>
      <protection locked="true" hidden="false"/>
    </xf>
    <xf numFmtId="165" fontId="16" fillId="5" borderId="20" xfId="0" applyFont="true" applyBorder="true" applyAlignment="true" applyProtection="true">
      <alignment horizontal="center" vertical="bottom" textRotation="0" wrapText="false" indent="0" shrinkToFit="false"/>
      <protection locked="true" hidden="false"/>
    </xf>
    <xf numFmtId="168" fontId="16" fillId="2" borderId="20" xfId="0" applyFont="true" applyBorder="true" applyAlignment="true" applyProtection="true">
      <alignment horizontal="general" vertical="bottom" textRotation="0" wrapText="false" indent="0" shrinkToFit="false"/>
      <protection locked="false" hidden="false"/>
    </xf>
    <xf numFmtId="164" fontId="28" fillId="5" borderId="0" xfId="0" applyFont="true" applyBorder="false" applyAlignment="true" applyProtection="true">
      <alignment horizontal="general" vertical="bottom" textRotation="0" wrapText="false" indent="0" shrinkToFit="false"/>
      <protection locked="true" hidden="false"/>
    </xf>
    <xf numFmtId="164" fontId="16" fillId="0" borderId="31" xfId="0" applyFont="true" applyBorder="true" applyAlignment="true" applyProtection="true">
      <alignment horizontal="general" vertical="bottom" textRotation="0" wrapText="false" indent="0" shrinkToFit="false"/>
      <protection locked="true" hidden="false"/>
    </xf>
    <xf numFmtId="164" fontId="16" fillId="0" borderId="42" xfId="0" applyFont="true" applyBorder="true" applyAlignment="tru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general" vertical="bottom" textRotation="0" wrapText="false" indent="0" shrinkToFit="false"/>
      <protection locked="true" hidden="false"/>
    </xf>
    <xf numFmtId="168" fontId="16" fillId="5" borderId="26" xfId="0" applyFont="true" applyBorder="true" applyAlignment="true" applyProtection="true">
      <alignment horizontal="general" vertical="bottom" textRotation="0" wrapText="false" indent="0" shrinkToFit="false"/>
      <protection locked="false" hidden="false"/>
    </xf>
    <xf numFmtId="168" fontId="16" fillId="5" borderId="28" xfId="0" applyFont="true" applyBorder="true" applyAlignment="true" applyProtection="true">
      <alignment horizontal="general" vertical="bottom" textRotation="0" wrapText="false" indent="0" shrinkToFit="false"/>
      <protection locked="false" hidden="false"/>
    </xf>
    <xf numFmtId="168" fontId="16" fillId="5" borderId="34" xfId="0" applyFont="true" applyBorder="true" applyAlignment="true" applyProtection="true">
      <alignment horizontal="general" vertical="bottom" textRotation="0" wrapText="false" indent="0" shrinkToFit="false"/>
      <protection locked="false" hidden="false"/>
    </xf>
    <xf numFmtId="168" fontId="16" fillId="5" borderId="20" xfId="0" applyFont="true" applyBorder="true" applyAlignment="true" applyProtection="true">
      <alignment horizontal="general" vertical="bottom" textRotation="0" wrapText="false" indent="0" shrinkToFit="false"/>
      <protection locked="false" hidden="false"/>
    </xf>
    <xf numFmtId="168" fontId="16" fillId="0" borderId="31" xfId="0" applyFont="true" applyBorder="true" applyAlignment="true" applyProtection="true">
      <alignment horizontal="center" vertical="bottom" textRotation="0" wrapText="false" indent="0" shrinkToFit="false"/>
      <protection locked="false" hidden="false"/>
    </xf>
    <xf numFmtId="168" fontId="16" fillId="0" borderId="48" xfId="0" applyFont="true" applyBorder="true" applyAlignment="true" applyProtection="true">
      <alignment horizontal="center" vertical="bottom" textRotation="0" wrapText="false" indent="0" shrinkToFit="false"/>
      <protection locked="false" hidden="false"/>
    </xf>
    <xf numFmtId="168" fontId="16" fillId="0" borderId="49" xfId="0" applyFont="true" applyBorder="true" applyAlignment="true" applyProtection="true">
      <alignment horizontal="general" vertical="bottom" textRotation="0" wrapText="false" indent="0" shrinkToFit="false"/>
      <protection locked="true" hidden="false"/>
    </xf>
    <xf numFmtId="170" fontId="16" fillId="0" borderId="0" xfId="0" applyFont="true" applyBorder="true" applyAlignment="true" applyProtection="true">
      <alignment horizontal="center" vertical="bottom" textRotation="0" wrapText="false" indent="0" shrinkToFit="false"/>
      <protection locked="true" hidden="false"/>
    </xf>
    <xf numFmtId="168" fontId="16" fillId="2" borderId="45" xfId="0" applyFont="true" applyBorder="true" applyAlignment="true" applyProtection="true">
      <alignment horizontal="general" vertical="bottom" textRotation="0" wrapText="false" indent="0" shrinkToFit="false"/>
      <protection locked="false" hidden="false"/>
    </xf>
    <xf numFmtId="168" fontId="16" fillId="2" borderId="50" xfId="0" applyFont="true" applyBorder="true" applyAlignment="true" applyProtection="true">
      <alignment horizontal="center" vertical="bottom" textRotation="0" wrapText="false" indent="0" shrinkToFit="false"/>
      <protection locked="false" hidden="false"/>
    </xf>
    <xf numFmtId="168" fontId="16" fillId="2" borderId="48" xfId="0" applyFont="true" applyBorder="true" applyAlignment="true" applyProtection="true">
      <alignment horizontal="center" vertical="bottom" textRotation="0" wrapText="false" indent="0" shrinkToFit="false"/>
      <protection locked="false" hidden="false"/>
    </xf>
    <xf numFmtId="166" fontId="16" fillId="0" borderId="0" xfId="0" applyFont="true" applyBorder="false" applyAlignment="true" applyProtection="true">
      <alignment horizontal="right" vertical="bottom" textRotation="0" wrapText="false" indent="0" shrinkToFit="false"/>
      <protection locked="true" hidden="false"/>
    </xf>
    <xf numFmtId="180" fontId="17" fillId="0" borderId="0" xfId="0" applyFont="true" applyBorder="true" applyAlignment="true" applyProtection="true">
      <alignment horizontal="general" vertical="bottom" textRotation="0" wrapText="false" indent="0" shrinkToFit="false"/>
      <protection locked="true" hidden="false"/>
    </xf>
    <xf numFmtId="168" fontId="16" fillId="2" borderId="21" xfId="0" applyFont="true" applyBorder="true" applyAlignment="true" applyProtection="true">
      <alignment horizontal="general" vertical="bottom" textRotation="0" wrapText="false" indent="0" shrinkToFit="false"/>
      <protection locked="false" hidden="false"/>
    </xf>
    <xf numFmtId="168" fontId="16" fillId="0" borderId="4" xfId="0" applyFont="true" applyBorder="true" applyAlignment="true" applyProtection="true">
      <alignment horizontal="general" vertical="bottom" textRotation="0" wrapText="false" indent="0" shrinkToFit="false"/>
      <protection locked="false" hidden="false"/>
    </xf>
    <xf numFmtId="170" fontId="16" fillId="2" borderId="13" xfId="0" applyFont="true" applyBorder="true" applyAlignment="true" applyProtection="true">
      <alignment horizontal="center" vertical="bottom" textRotation="0" wrapText="false" indent="0" shrinkToFit="false"/>
      <protection locked="false" hidden="false"/>
    </xf>
    <xf numFmtId="168" fontId="27" fillId="0" borderId="26" xfId="0" applyFont="true" applyBorder="true" applyAlignment="true" applyProtection="true">
      <alignment horizontal="general" vertical="bottom" textRotation="0" wrapText="false" indent="0" shrinkToFit="false"/>
      <protection locked="false" hidden="false"/>
    </xf>
    <xf numFmtId="168" fontId="27" fillId="0" borderId="21" xfId="0" applyFont="true" applyBorder="true" applyAlignment="true" applyProtection="true">
      <alignment horizontal="general" vertical="bottom" textRotation="0" wrapText="false" indent="0" shrinkToFit="false"/>
      <protection locked="false" hidden="false"/>
    </xf>
    <xf numFmtId="168" fontId="27" fillId="0" borderId="34" xfId="0" applyFont="true" applyBorder="true" applyAlignment="true" applyProtection="true">
      <alignment horizontal="general" vertical="bottom" textRotation="0" wrapText="false" indent="0" shrinkToFit="false"/>
      <protection locked="false" hidden="false"/>
    </xf>
    <xf numFmtId="168" fontId="27" fillId="0" borderId="28" xfId="0" applyFont="true" applyBorder="true" applyAlignment="true" applyProtection="true">
      <alignment horizontal="general" vertical="bottom" textRotation="0" wrapText="false" indent="0" shrinkToFit="false"/>
      <protection locked="false" hidden="false"/>
    </xf>
    <xf numFmtId="168" fontId="27" fillId="0" borderId="30" xfId="0" applyFont="true" applyBorder="true" applyAlignment="true" applyProtection="true">
      <alignment horizontal="general" vertical="bottom" textRotation="0" wrapText="false" indent="0" shrinkToFit="false"/>
      <protection locked="false" hidden="false"/>
    </xf>
    <xf numFmtId="168" fontId="27" fillId="0" borderId="4" xfId="0" applyFont="true" applyBorder="true" applyAlignment="true" applyProtection="true">
      <alignment horizontal="general" vertical="bottom" textRotation="0" wrapText="false" indent="0" shrinkToFit="false"/>
      <protection locked="false" hidden="false"/>
    </xf>
    <xf numFmtId="170" fontId="16" fillId="0" borderId="51" xfId="0" applyFont="true" applyBorder="true" applyAlignment="true" applyProtection="true">
      <alignment horizontal="center" vertical="bottom" textRotation="0" wrapText="false" indent="0" shrinkToFit="false"/>
      <protection locked="false" hidden="false"/>
    </xf>
    <xf numFmtId="178" fontId="18" fillId="0" borderId="17"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true" applyAlignment="true" applyProtection="true">
      <alignment horizontal="general" vertical="center" textRotation="0" wrapText="false" indent="0" shrinkToFit="false"/>
      <protection locked="true" hidden="false"/>
    </xf>
    <xf numFmtId="169" fontId="16" fillId="0" borderId="0" xfId="0" applyFont="true" applyBorder="true" applyAlignment="true" applyProtection="true">
      <alignment horizontal="general" vertical="center" textRotation="0" wrapText="false" indent="0" shrinkToFit="false"/>
      <protection locked="true" hidden="false"/>
    </xf>
    <xf numFmtId="168" fontId="16" fillId="2" borderId="26" xfId="0" applyFont="true" applyBorder="true" applyAlignment="true" applyProtection="true">
      <alignment horizontal="general" vertical="center" textRotation="0" wrapText="false" indent="0" shrinkToFit="false"/>
      <protection locked="false" hidden="false"/>
    </xf>
    <xf numFmtId="164" fontId="16" fillId="0" borderId="4" xfId="0" applyFont="true" applyBorder="true" applyAlignment="true" applyProtection="true">
      <alignment horizontal="general" vertical="bottom" textRotation="0" wrapText="false" indent="0" shrinkToFit="true"/>
      <protection locked="false" hidden="false"/>
    </xf>
    <xf numFmtId="168" fontId="16" fillId="2" borderId="31" xfId="0" applyFont="true" applyBorder="true" applyAlignment="true" applyProtection="true">
      <alignment horizontal="center" vertical="bottom" textRotation="0" wrapText="false" indent="0" shrinkToFit="false"/>
      <protection locked="false" hidden="false"/>
    </xf>
    <xf numFmtId="168" fontId="16" fillId="0" borderId="36" xfId="0" applyFont="true" applyBorder="true" applyAlignment="true" applyProtection="true">
      <alignment horizontal="general" vertical="center" textRotation="0" wrapText="false" indent="0" shrinkToFit="false"/>
      <protection locked="true" hidden="false"/>
    </xf>
    <xf numFmtId="178" fontId="18" fillId="0" borderId="17" xfId="0" applyFont="true" applyBorder="true" applyAlignment="true" applyProtection="true">
      <alignment horizontal="general" vertical="center" textRotation="0" wrapText="false" indent="0" shrinkToFit="false"/>
      <protection locked="true" hidden="false"/>
    </xf>
    <xf numFmtId="178" fontId="18" fillId="0" borderId="31" xfId="0" applyFont="true" applyBorder="true" applyAlignment="true" applyProtection="true">
      <alignment horizontal="general" vertical="center" textRotation="0" wrapText="false" indent="0" shrinkToFit="false"/>
      <protection locked="true" hidden="false"/>
    </xf>
    <xf numFmtId="168" fontId="16" fillId="0" borderId="26" xfId="0" applyFont="true" applyBorder="true" applyAlignment="true" applyProtection="true">
      <alignment horizontal="general" vertical="center" textRotation="0" wrapText="false" indent="0" shrinkToFit="false"/>
      <protection locked="false" hidden="false"/>
    </xf>
    <xf numFmtId="168" fontId="16" fillId="0" borderId="21" xfId="0" applyFont="true" applyBorder="true" applyAlignment="true" applyProtection="true">
      <alignment horizontal="general" vertical="bottom" textRotation="0" wrapText="false" indent="0" shrinkToFit="false"/>
      <protection locked="false" hidden="false"/>
    </xf>
    <xf numFmtId="164" fontId="22" fillId="5" borderId="7" xfId="0" applyFont="true" applyBorder="true" applyAlignment="true" applyProtection="true">
      <alignment horizontal="center" vertical="bottom" textRotation="0" wrapText="false" indent="0" shrinkToFit="false"/>
      <protection locked="true" hidden="false"/>
    </xf>
    <xf numFmtId="168" fontId="16" fillId="0" borderId="31" xfId="0" applyFont="true" applyBorder="true" applyAlignment="true" applyProtection="true">
      <alignment horizontal="general" vertical="center" textRotation="0" wrapText="false" indent="0" shrinkToFit="false"/>
      <protection locked="false" hidden="false"/>
    </xf>
    <xf numFmtId="168" fontId="16" fillId="0" borderId="45" xfId="0" applyFont="true" applyBorder="true" applyAlignment="true" applyProtection="true">
      <alignment horizontal="general" vertical="bottom" textRotation="0" wrapText="false" indent="0" shrinkToFit="false"/>
      <protection locked="false" hidden="false"/>
    </xf>
    <xf numFmtId="168" fontId="16" fillId="0" borderId="11" xfId="0" applyFont="true" applyBorder="true" applyAlignment="true" applyProtection="true">
      <alignment horizontal="general" vertical="bottom" textRotation="0" wrapText="false" indent="0" shrinkToFit="false"/>
      <protection locked="false" hidden="false"/>
    </xf>
    <xf numFmtId="168" fontId="16" fillId="0" borderId="32" xfId="0" applyFont="true" applyBorder="true" applyAlignment="true" applyProtection="true">
      <alignment horizontal="general" vertical="bottom" textRotation="0" wrapText="false" indent="0" shrinkToFit="false"/>
      <protection locked="fals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4" fontId="32" fillId="0" borderId="0" xfId="0" applyFont="true" applyBorder="false" applyAlignment="true" applyProtection="true">
      <alignment horizontal="general" vertical="bottom" textRotation="0" wrapText="false" indent="0" shrinkToFit="false"/>
      <protection locked="true" hidden="false"/>
    </xf>
    <xf numFmtId="168" fontId="16" fillId="7" borderId="26" xfId="0" applyFont="true" applyBorder="true" applyAlignment="true" applyProtection="true">
      <alignment horizontal="general" vertical="center" textRotation="0" wrapText="false" indent="0" shrinkToFit="false"/>
      <protection locked="false" hidden="false"/>
    </xf>
    <xf numFmtId="168" fontId="16" fillId="7" borderId="21" xfId="0" applyFont="true" applyBorder="true" applyAlignment="true" applyProtection="true">
      <alignment horizontal="general" vertical="bottom" textRotation="0" wrapText="false" indent="0" shrinkToFit="false"/>
      <protection locked="false" hidden="false"/>
    </xf>
    <xf numFmtId="168" fontId="16" fillId="7" borderId="34" xfId="0" applyFont="true" applyBorder="true" applyAlignment="true" applyProtection="true">
      <alignment horizontal="general" vertical="bottom" textRotation="0" wrapText="false" indent="0" shrinkToFit="false"/>
      <protection locked="false" hidden="false"/>
    </xf>
    <xf numFmtId="168" fontId="16" fillId="7" borderId="28" xfId="0" applyFont="true" applyBorder="true" applyAlignment="true" applyProtection="true">
      <alignment horizontal="general" vertical="bottom" textRotation="0" wrapText="false" indent="0" shrinkToFit="false"/>
      <protection locked="false" hidden="false"/>
    </xf>
    <xf numFmtId="168" fontId="16" fillId="7" borderId="30" xfId="0" applyFont="true" applyBorder="true" applyAlignment="true" applyProtection="true">
      <alignment horizontal="general" vertical="bottom" textRotation="0" wrapText="false" indent="0" shrinkToFit="false"/>
      <protection locked="false" hidden="false"/>
    </xf>
    <xf numFmtId="170" fontId="16" fillId="0" borderId="33" xfId="0" applyFont="true" applyBorder="true" applyAlignment="true" applyProtection="true">
      <alignment horizontal="center" vertical="bottom" textRotation="0" wrapText="false" indent="0" shrinkToFit="false"/>
      <protection locked="false" hidden="false"/>
    </xf>
    <xf numFmtId="170" fontId="16" fillId="0" borderId="18" xfId="0" applyFont="true" applyBorder="true" applyAlignment="true" applyProtection="true">
      <alignment horizontal="center" vertical="bottom" textRotation="0" wrapText="false" indent="0" shrinkToFit="false"/>
      <protection locked="false" hidden="false"/>
    </xf>
    <xf numFmtId="164" fontId="31" fillId="0" borderId="0" xfId="0" applyFont="true" applyBorder="true" applyAlignment="true" applyProtection="true">
      <alignment horizontal="general" vertical="bottom" textRotation="0" wrapText="false" indent="0" shrinkToFit="false"/>
      <protection locked="true" hidden="false"/>
    </xf>
    <xf numFmtId="165" fontId="33"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left" vertical="bottom" textRotation="0" wrapText="false" indent="0" shrinkToFit="false"/>
      <protection locked="true" hidden="false"/>
    </xf>
    <xf numFmtId="165" fontId="33" fillId="0" borderId="0" xfId="0" applyFont="true" applyBorder="true" applyAlignment="false" applyProtection="true">
      <alignment horizontal="general" vertical="bottom" textRotation="0" wrapText="false" indent="0" shrinkToFit="false"/>
      <protection locked="true" hidden="false"/>
    </xf>
    <xf numFmtId="165" fontId="33" fillId="0" borderId="0" xfId="0" applyFont="true" applyBorder="true" applyAlignment="true" applyProtection="true">
      <alignment horizontal="right" vertical="bottom" textRotation="0" wrapText="false" indent="0" shrinkToFit="false"/>
      <protection locked="true" hidden="false"/>
    </xf>
    <xf numFmtId="170" fontId="7" fillId="0" borderId="0" xfId="0" applyFont="true" applyBorder="true" applyAlignment="true" applyProtection="true">
      <alignment horizontal="left" vertical="bottom" textRotation="0" wrapText="false" indent="0" shrinkToFit="false"/>
      <protection locked="true" hidden="false"/>
    </xf>
    <xf numFmtId="181" fontId="7" fillId="0" borderId="0" xfId="0" applyFont="true" applyBorder="true" applyAlignment="true" applyProtection="true">
      <alignment horizontal="left" vertical="bottom" textRotation="0" wrapText="false" indent="0" shrinkToFit="false"/>
      <protection locked="true" hidden="false"/>
    </xf>
    <xf numFmtId="165" fontId="34" fillId="0" borderId="0" xfId="0" applyFont="true" applyBorder="true" applyAlignment="false" applyProtection="true">
      <alignment horizontal="general" vertical="bottom" textRotation="0" wrapText="false" indent="0" shrinkToFit="false"/>
      <protection locked="true" hidden="false"/>
    </xf>
    <xf numFmtId="164" fontId="0" fillId="5" borderId="0" xfId="0" applyFont="false" applyBorder="true" applyAlignment="false" applyProtection="true">
      <alignment horizontal="general" vertical="bottom" textRotation="0" wrapText="false" indent="0" shrinkToFit="false"/>
      <protection locked="true" hidden="false"/>
    </xf>
    <xf numFmtId="165" fontId="20" fillId="0" borderId="0" xfId="0" applyFont="true" applyBorder="true" applyAlignment="false" applyProtection="true">
      <alignment horizontal="general" vertical="bottom" textRotation="0" wrapText="false" indent="0" shrinkToFit="false"/>
      <protection locked="true" hidden="false"/>
    </xf>
    <xf numFmtId="165" fontId="6" fillId="0" borderId="0" xfId="0" applyFont="true" applyBorder="true" applyAlignment="true" applyProtection="true">
      <alignment horizontal="left" vertical="bottom" textRotation="0" wrapText="tru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5" fontId="0" fillId="0" borderId="0" xfId="0" applyFont="false" applyBorder="true" applyAlignment="true" applyProtection="true">
      <alignment horizontal="left" vertical="bottom" textRotation="0" wrapText="true" indent="0" shrinkToFit="false"/>
      <protection locked="true" hidden="false"/>
    </xf>
    <xf numFmtId="164" fontId="0" fillId="8" borderId="1" xfId="0" applyFont="false" applyBorder="true" applyAlignment="false" applyProtection="true">
      <alignment horizontal="general" vertical="bottom" textRotation="0" wrapText="false" indent="0" shrinkToFit="false"/>
      <protection locked="true" hidden="false"/>
    </xf>
    <xf numFmtId="164" fontId="0" fillId="8" borderId="2" xfId="0" applyFont="false" applyBorder="true" applyAlignment="false" applyProtection="true">
      <alignment horizontal="general" vertical="bottom" textRotation="0" wrapText="false" indent="0" shrinkToFit="false"/>
      <protection locked="true" hidden="false"/>
    </xf>
    <xf numFmtId="165" fontId="5" fillId="8" borderId="52" xfId="0" applyFont="true" applyBorder="true" applyAlignment="true" applyProtection="true">
      <alignment horizontal="center" vertical="bottom" textRotation="0" wrapText="false" indent="0" shrinkToFit="false"/>
      <protection locked="true" hidden="false"/>
    </xf>
    <xf numFmtId="165" fontId="5" fillId="8" borderId="37" xfId="0" applyFont="true" applyBorder="true" applyAlignment="true" applyProtection="true">
      <alignment horizontal="center" vertical="bottom" textRotation="0" wrapText="false" indent="0" shrinkToFit="false"/>
      <protection locked="true" hidden="false"/>
    </xf>
    <xf numFmtId="164" fontId="8" fillId="5" borderId="0" xfId="0" applyFont="true" applyBorder="true" applyAlignment="false" applyProtection="true">
      <alignment horizontal="general" vertical="bottom" textRotation="0" wrapText="false" indent="0" shrinkToFit="false"/>
      <protection locked="true" hidden="false"/>
    </xf>
    <xf numFmtId="164" fontId="0" fillId="8" borderId="53" xfId="0" applyFont="false" applyBorder="true" applyAlignment="false" applyProtection="true">
      <alignment horizontal="general" vertical="bottom" textRotation="0" wrapText="false" indent="0" shrinkToFit="false"/>
      <protection locked="true" hidden="false"/>
    </xf>
    <xf numFmtId="164" fontId="0" fillId="8" borderId="16" xfId="0" applyFont="false" applyBorder="true" applyAlignment="false" applyProtection="true">
      <alignment horizontal="general" vertical="bottom" textRotation="0" wrapText="false" indent="0" shrinkToFit="false"/>
      <protection locked="true" hidden="false"/>
    </xf>
    <xf numFmtId="164" fontId="5" fillId="8" borderId="20" xfId="0" applyFont="true" applyBorder="true" applyAlignment="true" applyProtection="true">
      <alignment horizontal="center" vertical="bottom" textRotation="0" wrapText="false" indent="0" shrinkToFit="false"/>
      <protection locked="true" hidden="false"/>
    </xf>
    <xf numFmtId="164" fontId="5" fillId="8" borderId="34" xfId="0" applyFont="true" applyBorder="true" applyAlignment="true" applyProtection="true">
      <alignment horizontal="center" vertical="bottom" textRotation="0" wrapText="false" indent="0" shrinkToFit="false"/>
      <protection locked="true" hidden="false"/>
    </xf>
    <xf numFmtId="165" fontId="35" fillId="8" borderId="21" xfId="0" applyFont="true" applyBorder="true" applyAlignment="true" applyProtection="true">
      <alignment horizontal="center" vertical="bottom" textRotation="0" wrapText="false" indent="0" shrinkToFit="false"/>
      <protection locked="true" hidden="false"/>
    </xf>
    <xf numFmtId="182" fontId="0" fillId="9" borderId="28" xfId="0" applyFont="false" applyBorder="true" applyAlignment="true" applyProtection="true">
      <alignment horizontal="center" vertical="bottom" textRotation="0" wrapText="false" indent="0" shrinkToFit="false"/>
      <protection locked="false" hidden="false"/>
    </xf>
    <xf numFmtId="182" fontId="0" fillId="9" borderId="30" xfId="0" applyFont="false" applyBorder="true" applyAlignment="true" applyProtection="true">
      <alignment horizontal="center" vertical="bottom" textRotation="0" wrapText="false" indent="0" shrinkToFit="false"/>
      <protection locked="false" hidden="false"/>
    </xf>
    <xf numFmtId="165" fontId="11" fillId="0" borderId="4" xfId="0" applyFont="true" applyBorder="true" applyAlignment="true" applyProtection="true">
      <alignment horizontal="left" vertical="top" textRotation="0" wrapText="true" indent="0" shrinkToFit="false"/>
      <protection locked="true" hidden="false"/>
    </xf>
    <xf numFmtId="165" fontId="6" fillId="5" borderId="4" xfId="0" applyFont="true" applyBorder="true" applyAlignment="true" applyProtection="false">
      <alignment horizontal="general" vertical="bottom" textRotation="0" wrapText="false" indent="0" shrinkToFit="false"/>
      <protection locked="true" hidden="false"/>
    </xf>
    <xf numFmtId="175" fontId="36" fillId="5" borderId="54" xfId="0" applyFont="true" applyBorder="true" applyAlignment="true" applyProtection="false">
      <alignment horizontal="center" vertical="bottom" textRotation="0" wrapText="false" indent="0" shrinkToFit="false"/>
      <protection locked="true" hidden="false"/>
    </xf>
    <xf numFmtId="168" fontId="5" fillId="5" borderId="0" xfId="0" applyFont="true" applyBorder="true" applyAlignment="true" applyProtection="false">
      <alignment horizontal="center" vertical="bottom" textRotation="0" wrapText="false" indent="0" shrinkToFit="false"/>
      <protection locked="true" hidden="false"/>
    </xf>
    <xf numFmtId="178" fontId="37" fillId="5" borderId="46" xfId="0" applyFont="true" applyBorder="true" applyAlignment="true" applyProtection="false">
      <alignment horizontal="center" vertical="bottom" textRotation="0" wrapText="false" indent="0" shrinkToFit="false"/>
      <protection locked="true" hidden="false"/>
    </xf>
    <xf numFmtId="168" fontId="5" fillId="0" borderId="54" xfId="0" applyFont="true" applyBorder="true" applyAlignment="true" applyProtection="false">
      <alignment horizontal="center" vertical="bottom" textRotation="0" wrapText="false" indent="0" shrinkToFit="false"/>
      <protection locked="true" hidden="false"/>
    </xf>
    <xf numFmtId="168" fontId="5" fillId="0" borderId="55" xfId="0" applyFont="true" applyBorder="true" applyAlignment="true" applyProtection="false">
      <alignment horizontal="center"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5" fontId="6" fillId="4" borderId="4" xfId="0" applyFont="true" applyBorder="true" applyAlignment="true" applyProtection="false">
      <alignment horizontal="general" vertical="bottom" textRotation="0" wrapText="false" indent="0" shrinkToFit="false"/>
      <protection locked="true" hidden="false"/>
    </xf>
    <xf numFmtId="175" fontId="36" fillId="4" borderId="54" xfId="0" applyFont="true" applyBorder="true" applyAlignment="true" applyProtection="false">
      <alignment horizontal="center" vertical="bottom" textRotation="0" wrapText="false" indent="0" shrinkToFit="false"/>
      <protection locked="true" hidden="false"/>
    </xf>
    <xf numFmtId="168" fontId="5" fillId="4" borderId="0" xfId="0" applyFont="true" applyBorder="true" applyAlignment="true" applyProtection="false">
      <alignment horizontal="center" vertical="bottom" textRotation="0" wrapText="false" indent="0" shrinkToFit="false"/>
      <protection locked="true" hidden="false"/>
    </xf>
    <xf numFmtId="178" fontId="38" fillId="4" borderId="22" xfId="0" applyFont="true" applyBorder="true" applyAlignment="true" applyProtection="false">
      <alignment horizontal="center" vertical="bottom" textRotation="0" wrapText="false" indent="0" shrinkToFit="false"/>
      <protection locked="true" hidden="false"/>
    </xf>
    <xf numFmtId="168" fontId="5" fillId="4" borderId="54" xfId="0" applyFont="true" applyBorder="true" applyAlignment="true" applyProtection="false">
      <alignment horizontal="center" vertical="bottom" textRotation="0" wrapText="false" indent="0" shrinkToFit="false"/>
      <protection locked="true" hidden="false"/>
    </xf>
    <xf numFmtId="168" fontId="5" fillId="4" borderId="55" xfId="0" applyFont="true" applyBorder="true" applyAlignment="true" applyProtection="false">
      <alignment horizontal="center" vertical="bottom" textRotation="0" wrapText="false" indent="0" shrinkToFit="false"/>
      <protection locked="true" hidden="false"/>
    </xf>
    <xf numFmtId="178" fontId="37" fillId="5" borderId="22" xfId="0" applyFont="true" applyBorder="true" applyAlignment="true" applyProtection="false">
      <alignment horizontal="center" vertical="bottom" textRotation="0" wrapText="false" indent="0" shrinkToFit="false"/>
      <protection locked="true" hidden="false"/>
    </xf>
    <xf numFmtId="168" fontId="5" fillId="5" borderId="54" xfId="0" applyFont="true" applyBorder="true" applyAlignment="true" applyProtection="false">
      <alignment horizontal="center" vertical="bottom" textRotation="0" wrapText="false" indent="0" shrinkToFit="false"/>
      <protection locked="true" hidden="false"/>
    </xf>
    <xf numFmtId="168" fontId="5" fillId="5" borderId="55" xfId="0" applyFont="true" applyBorder="true" applyAlignment="true" applyProtection="false">
      <alignment horizontal="center" vertical="bottom" textRotation="0" wrapText="false" indent="0" shrinkToFit="false"/>
      <protection locked="true" hidden="false"/>
    </xf>
    <xf numFmtId="165" fontId="6" fillId="4" borderId="8" xfId="0" applyFont="true" applyBorder="true" applyAlignment="true" applyProtection="false">
      <alignment horizontal="general" vertical="bottom" textRotation="0" wrapText="false" indent="0" shrinkToFit="false"/>
      <protection locked="true" hidden="false"/>
    </xf>
    <xf numFmtId="175" fontId="36" fillId="4" borderId="56" xfId="0" applyFont="true" applyBorder="true" applyAlignment="true" applyProtection="false">
      <alignment horizontal="center" vertical="bottom" textRotation="0" wrapText="false" indent="0" shrinkToFit="false"/>
      <protection locked="true" hidden="false"/>
    </xf>
    <xf numFmtId="168" fontId="5" fillId="4" borderId="9" xfId="0" applyFont="true" applyBorder="true" applyAlignment="true" applyProtection="false">
      <alignment horizontal="center" vertical="bottom" textRotation="0" wrapText="false" indent="0" shrinkToFit="false"/>
      <protection locked="true" hidden="false"/>
    </xf>
    <xf numFmtId="178" fontId="38" fillId="4" borderId="57" xfId="0" applyFont="true" applyBorder="true" applyAlignment="true" applyProtection="false">
      <alignment horizontal="center" vertical="bottom" textRotation="0" wrapText="false" indent="0" shrinkToFit="false"/>
      <protection locked="true" hidden="false"/>
    </xf>
    <xf numFmtId="168" fontId="5" fillId="4" borderId="56" xfId="0" applyFont="true" applyBorder="true" applyAlignment="true" applyProtection="false">
      <alignment horizontal="center" vertical="bottom" textRotation="0" wrapText="false" indent="0" shrinkToFit="false"/>
      <protection locked="true" hidden="false"/>
    </xf>
    <xf numFmtId="168" fontId="5" fillId="4" borderId="58" xfId="0" applyFont="true" applyBorder="true" applyAlignment="true" applyProtection="false">
      <alignment horizontal="center" vertical="bottom" textRotation="0" wrapText="false" indent="0" shrinkToFit="false"/>
      <protection locked="true" hidden="false"/>
    </xf>
    <xf numFmtId="169" fontId="16" fillId="0" borderId="0" xfId="0" applyFont="true" applyBorder="false" applyAlignment="true" applyProtection="true">
      <alignment horizontal="left" vertical="center" textRotation="0" wrapText="false" indent="0" shrinkToFit="false"/>
      <protection locked="true" hidden="false"/>
    </xf>
    <xf numFmtId="169" fontId="16" fillId="2" borderId="0" xfId="0" applyFont="true" applyBorder="false" applyAlignment="true" applyProtection="true">
      <alignment horizontal="general" vertical="center" textRotation="0" wrapText="false" indent="0" shrinkToFit="false"/>
      <protection locked="false" hidden="false"/>
    </xf>
    <xf numFmtId="169" fontId="16" fillId="0" borderId="0" xfId="0" applyFont="true" applyBorder="false" applyAlignment="true" applyProtection="true">
      <alignment horizontal="right" vertical="center" textRotation="0" wrapText="false" indent="0" shrinkToFit="false"/>
      <protection locked="false" hidden="false"/>
    </xf>
    <xf numFmtId="164" fontId="39" fillId="2" borderId="0" xfId="0" applyFont="true" applyBorder="false" applyAlignment="true" applyProtection="true">
      <alignment horizontal="general" vertical="bottom" textRotation="0" wrapText="false" indent="0" shrinkToFit="false"/>
      <protection locked="false" hidden="false"/>
    </xf>
    <xf numFmtId="169" fontId="16" fillId="2" borderId="0" xfId="0" applyFont="true" applyBorder="false" applyAlignment="true" applyProtection="tru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0" fillId="0" borderId="0" xfId="0" applyFont="true" applyBorder="false" applyAlignment="true" applyProtection="false">
      <alignment horizontal="general" vertical="center" textRotation="0" wrapText="false" indent="0" shrinkToFit="false"/>
      <protection locked="true" hidden="false"/>
    </xf>
    <xf numFmtId="165" fontId="41" fillId="0" borderId="0" xfId="0" applyFont="true" applyBorder="false" applyAlignment="true" applyProtection="false">
      <alignment horizontal="general" vertical="center" textRotation="0" wrapText="false" indent="0" shrinkToFit="false"/>
      <protection locked="true" hidden="false"/>
    </xf>
    <xf numFmtId="164" fontId="40" fillId="0" borderId="0" xfId="0" applyFont="true" applyBorder="true" applyAlignment="true" applyProtection="false">
      <alignment horizontal="general" vertical="center" textRotation="0" wrapText="false" indent="0" shrinkToFit="false"/>
      <protection locked="true" hidden="false"/>
    </xf>
    <xf numFmtId="164" fontId="40" fillId="0" borderId="0" xfId="0" applyFont="true" applyBorder="false" applyAlignment="true" applyProtection="true">
      <alignment horizontal="general" vertical="center" textRotation="0" wrapText="false" indent="0" shrinkToFit="false"/>
      <protection locked="true" hidden="false"/>
    </xf>
    <xf numFmtId="165" fontId="20" fillId="0" borderId="36" xfId="0" applyFont="true" applyBorder="true" applyAlignment="true" applyProtection="false">
      <alignment horizontal="right" vertical="bottom" textRotation="0" wrapText="false" indent="0" shrinkToFit="false"/>
      <protection locked="true" hidden="false"/>
    </xf>
    <xf numFmtId="165" fontId="20" fillId="0" borderId="59" xfId="0" applyFont="true" applyBorder="true" applyAlignment="true" applyProtection="false">
      <alignment horizontal="right" vertical="bottom" textRotation="0" wrapText="false" indent="0" shrinkToFit="false"/>
      <protection locked="true" hidden="false"/>
    </xf>
    <xf numFmtId="164" fontId="0" fillId="0" borderId="60" xfId="0" applyFont="false" applyBorder="true" applyAlignment="true" applyProtection="false">
      <alignment horizontal="right" vertical="bottom" textRotation="0" wrapText="false" indent="0" shrinkToFit="false"/>
      <protection locked="true" hidden="false"/>
    </xf>
    <xf numFmtId="164" fontId="0" fillId="0" borderId="5" xfId="0" applyFont="false" applyBorder="true" applyAlignment="true" applyProtection="false">
      <alignment horizontal="right" vertical="bottom" textRotation="0" wrapText="false" indent="0" shrinkToFit="false"/>
      <protection locked="true" hidden="false"/>
    </xf>
    <xf numFmtId="164" fontId="39" fillId="6" borderId="61" xfId="0" applyFont="true" applyBorder="true" applyAlignment="true" applyProtection="true">
      <alignment horizontal="right" vertical="bottom" textRotation="0" wrapText="false" indent="0" shrinkToFit="false"/>
      <protection locked="false" hidden="false"/>
    </xf>
    <xf numFmtId="178" fontId="39" fillId="0" borderId="10" xfId="0" applyFont="true" applyBorder="true" applyAlignment="true" applyProtection="false">
      <alignment horizontal="right" vertical="bottom" textRotation="0" wrapText="false" indent="0" shrinkToFit="false"/>
      <protection locked="true" hidden="false"/>
    </xf>
    <xf numFmtId="168" fontId="39" fillId="0" borderId="10" xfId="0" applyFont="true" applyBorder="true" applyAlignment="true" applyProtection="false">
      <alignment horizontal="right" vertical="bottom" textRotation="0" wrapText="false" indent="0" shrinkToFit="false"/>
      <protection locked="true" hidden="false"/>
    </xf>
    <xf numFmtId="168" fontId="39" fillId="6" borderId="61" xfId="0" applyFont="true" applyBorder="true" applyAlignment="true" applyProtection="true">
      <alignment horizontal="right" vertical="bottom" textRotation="0" wrapText="false" indent="0" shrinkToFit="false"/>
      <protection locked="fals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41" fillId="0" borderId="0" xfId="0" applyFont="true" applyBorder="true" applyAlignment="true" applyProtection="true">
      <alignment horizontal="general" vertical="center" textRotation="0" wrapText="false" indent="0" shrinkToFit="false"/>
      <protection locked="true" hidden="false"/>
    </xf>
    <xf numFmtId="164" fontId="20" fillId="0" borderId="0" xfId="0" applyFont="true" applyBorder="true" applyAlignment="true" applyProtection="true">
      <alignment horizontal="right" vertical="bottom" textRotation="0" wrapText="false" indent="0" shrinkToFit="false"/>
      <protection locked="true" hidden="false"/>
    </xf>
    <xf numFmtId="164" fontId="0" fillId="0" borderId="0" xfId="0" applyFont="false" applyBorder="true" applyAlignment="true" applyProtection="true">
      <alignment horizontal="right"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false" applyProtection="true">
      <alignment horizontal="general" vertical="bottom" textRotation="0" wrapText="false" indent="0" shrinkToFit="false"/>
      <protection locked="true" hidden="false"/>
    </xf>
    <xf numFmtId="164" fontId="39" fillId="0" borderId="0" xfId="0" applyFont="true" applyBorder="true" applyAlignment="true" applyProtection="true">
      <alignment horizontal="right" vertical="bottom" textRotation="0" wrapText="false" indent="0" shrinkToFit="false"/>
      <protection locked="true" hidden="false"/>
    </xf>
    <xf numFmtId="168" fontId="39" fillId="0" borderId="0" xfId="0" applyFont="true" applyBorder="true" applyAlignment="true" applyProtection="true">
      <alignment horizontal="right" vertical="bottom" textRotation="0" wrapText="false" indent="0" shrinkToFit="false"/>
      <protection locked="true" hidden="false"/>
    </xf>
    <xf numFmtId="165" fontId="20" fillId="0" borderId="62" xfId="0" applyFont="true" applyBorder="true" applyAlignment="true" applyProtection="false">
      <alignment horizontal="center" vertical="bottom" textRotation="0" wrapText="false" indent="0" shrinkToFit="false"/>
      <protection locked="true" hidden="false"/>
    </xf>
    <xf numFmtId="164" fontId="0" fillId="0" borderId="43" xfId="0" applyFont="false" applyBorder="true" applyAlignment="true" applyProtection="false">
      <alignment horizontal="right" vertical="bottom" textRotation="0" wrapText="false" indent="0" shrinkToFit="false"/>
      <protection locked="true" hidden="false"/>
    </xf>
    <xf numFmtId="164" fontId="0" fillId="0" borderId="40" xfId="0" applyFont="false" applyBorder="true" applyAlignment="false" applyProtection="false">
      <alignment horizontal="general" vertical="bottom" textRotation="0" wrapText="false" indent="0" shrinkToFit="false"/>
      <protection locked="true" hidden="false"/>
    </xf>
    <xf numFmtId="168" fontId="39" fillId="0" borderId="58" xfId="0" applyFont="true" applyBorder="true" applyAlignment="true" applyProtection="false">
      <alignment horizontal="center" vertical="bottom" textRotation="0" wrapText="false" indent="0" shrinkToFit="false"/>
      <protection locked="true" hidden="false"/>
    </xf>
    <xf numFmtId="165" fontId="41" fillId="0" borderId="0" xfId="0" applyFont="true" applyBorder="false" applyAlignment="false" applyProtection="true">
      <alignment horizontal="general" vertical="bottom" textRotation="0" wrapText="false" indent="0" shrinkToFit="false"/>
      <protection locked="true" hidden="false"/>
    </xf>
    <xf numFmtId="165" fontId="39" fillId="0" borderId="1" xfId="0" applyFont="true" applyBorder="true" applyAlignment="true" applyProtection="true">
      <alignment horizontal="left" vertical="bottom" textRotation="0" wrapText="false" indent="0" shrinkToFit="false"/>
      <protection locked="true" hidden="false"/>
    </xf>
    <xf numFmtId="168" fontId="39" fillId="0" borderId="2" xfId="0" applyFont="true" applyBorder="true" applyAlignment="true" applyProtection="true">
      <alignment horizontal="right" vertical="bottom" textRotation="0" wrapText="false" indent="0" shrinkToFit="false"/>
      <protection locked="true" hidden="false"/>
    </xf>
    <xf numFmtId="164" fontId="39" fillId="6" borderId="63" xfId="0" applyFont="true" applyBorder="true" applyAlignment="false" applyProtection="true">
      <alignment horizontal="general" vertical="bottom" textRotation="0" wrapText="false" indent="0" shrinkToFit="false"/>
      <protection locked="false" hidden="false"/>
    </xf>
    <xf numFmtId="164" fontId="39" fillId="0" borderId="3" xfId="0" applyFont="true" applyBorder="true" applyAlignment="false" applyProtection="true">
      <alignment horizontal="general" vertical="bottom" textRotation="0" wrapText="false" indent="0" shrinkToFit="false"/>
      <protection locked="true" hidden="false"/>
    </xf>
    <xf numFmtId="165" fontId="39" fillId="0" borderId="4" xfId="0" applyFont="true" applyBorder="true" applyAlignment="true" applyProtection="true">
      <alignment horizontal="left" vertical="bottom" textRotation="0" wrapText="false" indent="0" shrinkToFit="false"/>
      <protection locked="true" hidden="false"/>
    </xf>
    <xf numFmtId="164" fontId="39" fillId="6" borderId="64" xfId="0" applyFont="true" applyBorder="true" applyAlignment="false" applyProtection="true">
      <alignment horizontal="general" vertical="bottom" textRotation="0" wrapText="false" indent="0" shrinkToFit="false"/>
      <protection locked="false" hidden="false"/>
    </xf>
    <xf numFmtId="164" fontId="39" fillId="0" borderId="5" xfId="0" applyFont="true" applyBorder="true" applyAlignment="false" applyProtection="true">
      <alignment horizontal="general" vertical="bottom" textRotation="0" wrapText="false" indent="0" shrinkToFit="false"/>
      <protection locked="true" hidden="false"/>
    </xf>
    <xf numFmtId="164" fontId="39" fillId="0" borderId="64" xfId="0" applyFont="true" applyBorder="true" applyAlignment="false" applyProtection="true">
      <alignment horizontal="general" vertical="bottom" textRotation="0" wrapText="false" indent="0" shrinkToFit="false"/>
      <protection locked="true" hidden="false"/>
    </xf>
    <xf numFmtId="168" fontId="39" fillId="10" borderId="5" xfId="0" applyFont="true" applyBorder="true" applyAlignment="false" applyProtection="true">
      <alignment horizontal="general" vertical="bottom" textRotation="0" wrapText="false" indent="0" shrinkToFit="false"/>
      <protection locked="true" hidden="false"/>
    </xf>
    <xf numFmtId="165" fontId="39" fillId="0" borderId="8" xfId="0" applyFont="true" applyBorder="true" applyAlignment="true" applyProtection="true">
      <alignment horizontal="left" vertical="bottom" textRotation="0" wrapText="false" indent="0" shrinkToFit="false"/>
      <protection locked="true" hidden="false"/>
    </xf>
    <xf numFmtId="168" fontId="39" fillId="0" borderId="9" xfId="0" applyFont="true" applyBorder="true" applyAlignment="true" applyProtection="true">
      <alignment horizontal="right" vertical="bottom" textRotation="0" wrapText="false" indent="0" shrinkToFit="false"/>
      <protection locked="true" hidden="false"/>
    </xf>
    <xf numFmtId="164" fontId="39" fillId="0" borderId="65" xfId="0" applyFont="true" applyBorder="true" applyAlignment="false" applyProtection="true">
      <alignment horizontal="general" vertical="bottom" textRotation="0" wrapText="false" indent="0" shrinkToFit="false"/>
      <protection locked="true" hidden="false"/>
    </xf>
    <xf numFmtId="168" fontId="39" fillId="10" borderId="10" xfId="0" applyFont="true" applyBorder="true" applyAlignment="false" applyProtection="true">
      <alignment horizontal="general" vertical="bottom" textRotation="0" wrapText="false" indent="0" shrinkToFit="false"/>
      <protection locked="true" hidden="false"/>
    </xf>
    <xf numFmtId="165" fontId="41" fillId="0" borderId="0" xfId="0" applyFont="true" applyBorder="false" applyAlignment="false" applyProtection="false">
      <alignment horizontal="general" vertical="bottom" textRotation="0" wrapText="false" indent="0" shrinkToFit="false"/>
      <protection locked="true" hidden="false"/>
    </xf>
    <xf numFmtId="165" fontId="39" fillId="0" borderId="1"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39" fillId="6" borderId="2" xfId="0" applyFont="true" applyBorder="true" applyAlignment="false" applyProtection="true">
      <alignment horizontal="general" vertical="bottom" textRotation="0" wrapText="false" indent="0" shrinkToFit="false"/>
      <protection locked="false" hidden="false"/>
    </xf>
    <xf numFmtId="164" fontId="39" fillId="0" borderId="66" xfId="0" applyFont="true" applyBorder="true" applyAlignment="false" applyProtection="true">
      <alignment horizontal="general" vertical="bottom" textRotation="0" wrapText="false" indent="0" shrinkToFit="false"/>
      <protection locked="true" hidden="false"/>
    </xf>
    <xf numFmtId="165" fontId="39" fillId="0" borderId="4"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39" fillId="6" borderId="0" xfId="0" applyFont="true" applyBorder="true" applyAlignment="false" applyProtection="true">
      <alignment horizontal="general" vertical="bottom" textRotation="0" wrapText="false" indent="0" shrinkToFit="false"/>
      <protection locked="false" hidden="false"/>
    </xf>
    <xf numFmtId="164" fontId="39" fillId="6" borderId="67" xfId="0" applyFont="true" applyBorder="true" applyAlignment="false" applyProtection="true">
      <alignment horizontal="general" vertical="bottom" textRotation="0" wrapText="false" indent="0" shrinkToFit="false"/>
      <protection locked="false" hidden="false"/>
    </xf>
    <xf numFmtId="183" fontId="39" fillId="6" borderId="0" xfId="19" applyFont="true" applyBorder="true" applyAlignment="true" applyProtection="true">
      <alignment horizontal="general" vertical="bottom" textRotation="0" wrapText="false" indent="0" shrinkToFit="false"/>
      <protection locked="false" hidden="false"/>
    </xf>
    <xf numFmtId="183" fontId="39" fillId="6" borderId="67" xfId="19" applyFont="true" applyBorder="true" applyAlignment="true" applyProtection="true">
      <alignment horizontal="general" vertical="bottom" textRotation="0" wrapText="false" indent="0" shrinkToFit="false"/>
      <protection locked="false" hidden="false"/>
    </xf>
    <xf numFmtId="165" fontId="39" fillId="0" borderId="8" xfId="0" applyFont="true" applyBorder="true" applyAlignment="false" applyProtection="false">
      <alignment horizontal="general" vertical="bottom"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83" fontId="39" fillId="0" borderId="9" xfId="19" applyFont="true" applyBorder="true" applyAlignment="true" applyProtection="true">
      <alignment horizontal="general" vertical="bottom" textRotation="0" wrapText="false" indent="0" shrinkToFit="false"/>
      <protection locked="true" hidden="false"/>
    </xf>
    <xf numFmtId="183" fontId="39" fillId="10" borderId="68" xfId="19" applyFont="true" applyBorder="true" applyAlignment="true" applyProtection="true">
      <alignment horizontal="general" vertical="bottom" textRotation="0" wrapText="false" indent="0" shrinkToFit="false"/>
      <protection locked="true" hidden="false"/>
    </xf>
    <xf numFmtId="164" fontId="39" fillId="6" borderId="66" xfId="0" applyFont="true" applyBorder="true" applyAlignment="false" applyProtection="true">
      <alignment horizontal="general" vertical="bottom" textRotation="0" wrapText="false" indent="0" shrinkToFit="false"/>
      <protection locked="fals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5" fillId="0" borderId="28" xfId="0" applyFont="true" applyBorder="true" applyAlignment="true" applyProtection="false">
      <alignment horizontal="center" vertical="bottom" textRotation="0" wrapText="false" indent="0" shrinkToFit="false"/>
      <protection locked="true" hidden="false"/>
    </xf>
    <xf numFmtId="164" fontId="6" fillId="11" borderId="28" xfId="0" applyFont="true" applyBorder="true" applyAlignment="true" applyProtection="false">
      <alignment horizontal="center" vertical="bottom" textRotation="0" wrapText="fals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5" fillId="12" borderId="28" xfId="0" applyFont="true" applyBorder="true" applyAlignment="true" applyProtection="false">
      <alignment horizontal="center" vertical="bottom" textRotation="0" wrapText="false" indent="0" shrinkToFit="false"/>
      <protection locked="true" hidden="false"/>
    </xf>
    <xf numFmtId="164" fontId="5" fillId="12" borderId="34" xfId="0" applyFont="true" applyBorder="true" applyAlignment="true" applyProtection="false">
      <alignment horizontal="center" vertical="bottom" textRotation="0" wrapText="false" indent="0" shrinkToFit="false"/>
      <protection locked="true" hidden="false"/>
    </xf>
    <xf numFmtId="164" fontId="5" fillId="12" borderId="21" xfId="0" applyFont="true" applyBorder="true" applyAlignment="true" applyProtection="false">
      <alignment horizontal="center" vertical="bottom" textRotation="0" wrapText="false" indent="0" shrinkToFit="false"/>
      <protection locked="true" hidden="false"/>
    </xf>
    <xf numFmtId="164" fontId="5" fillId="0" borderId="28" xfId="0" applyFont="true" applyBorder="true" applyAlignment="true" applyProtection="false">
      <alignment horizontal="general" vertical="bottom" textRotation="0" wrapText="tru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8" fontId="6" fillId="0" borderId="28" xfId="0" applyFont="true" applyBorder="true" applyAlignment="true" applyProtection="false">
      <alignment horizontal="right" vertical="bottom" textRotation="0" wrapText="false" indent="0" shrinkToFit="false"/>
      <protection locked="true" hidden="false"/>
    </xf>
    <xf numFmtId="168" fontId="6" fillId="0" borderId="0" xfId="0" applyFont="true" applyBorder="true" applyAlignment="true" applyProtection="false">
      <alignment horizontal="right" vertical="bottom" textRotation="0" wrapText="false" indent="0" shrinkToFit="false"/>
      <protection locked="true" hidden="false"/>
    </xf>
    <xf numFmtId="164" fontId="5" fillId="0" borderId="43" xfId="0" applyFont="tru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6" fillId="0" borderId="14" xfId="0" applyFont="true" applyBorder="true" applyAlignment="false" applyProtection="false">
      <alignment horizontal="general" vertical="bottom" textRotation="0" wrapText="false" indent="0" shrinkToFit="false"/>
      <protection locked="true" hidden="false"/>
    </xf>
    <xf numFmtId="164" fontId="0" fillId="0" borderId="46" xfId="0" applyFont="false" applyBorder="true" applyAlignment="false" applyProtection="false">
      <alignment horizontal="general" vertical="bottom" textRotation="0" wrapText="false" indent="0" shrinkToFit="false"/>
      <protection locked="true" hidden="false"/>
    </xf>
    <xf numFmtId="164" fontId="6" fillId="2" borderId="28" xfId="0" applyFont="true" applyBorder="true" applyAlignment="false" applyProtection="false">
      <alignment horizontal="general" vertical="bottom" textRotation="0" wrapText="false" indent="0" shrinkToFit="false"/>
      <protection locked="true" hidden="false"/>
    </xf>
    <xf numFmtId="164" fontId="0" fillId="11" borderId="28" xfId="0" applyFont="false" applyBorder="true" applyAlignment="false" applyProtection="false">
      <alignment horizontal="general" vertical="bottom" textRotation="0" wrapText="false" indent="0" shrinkToFit="false"/>
      <protection locked="true" hidden="false"/>
    </xf>
    <xf numFmtId="164" fontId="5" fillId="2" borderId="28" xfId="0" applyFont="true" applyBorder="true" applyAlignment="true" applyProtection="false">
      <alignment horizontal="left" vertical="bottom" textRotation="0" wrapText="false" indent="0" shrinkToFit="false"/>
      <protection locked="true" hidden="false"/>
    </xf>
    <xf numFmtId="164" fontId="6" fillId="11" borderId="28" xfId="0" applyFont="true" applyBorder="true" applyAlignment="false" applyProtection="false">
      <alignment horizontal="general" vertical="bottom" textRotation="0" wrapText="false" indent="0" shrinkToFit="false"/>
      <protection locked="true" hidden="false"/>
    </xf>
    <xf numFmtId="164" fontId="10" fillId="0" borderId="54" xfId="0" applyFont="true" applyBorder="true" applyAlignment="true" applyProtection="false">
      <alignment horizontal="general" vertical="bottom" textRotation="0" wrapText="false" indent="0" shrinkToFit="false"/>
      <protection locked="true" hidden="false"/>
    </xf>
    <xf numFmtId="165" fontId="6" fillId="0" borderId="28"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0" fillId="5" borderId="0" xfId="0" applyFont="false" applyBorder="true" applyAlignment="false" applyProtection="false">
      <alignment horizontal="general" vertical="bottom" textRotation="0" wrapText="false" indent="0" shrinkToFit="false"/>
      <protection locked="true" hidden="false"/>
    </xf>
    <xf numFmtId="164" fontId="5" fillId="0" borderId="28" xfId="0" applyFont="true" applyBorder="true" applyAlignment="true" applyProtection="false">
      <alignment horizontal="left" vertical="bottom" textRotation="0" wrapText="false" indent="0" shrinkToFit="false"/>
      <protection locked="true" hidden="false"/>
    </xf>
    <xf numFmtId="164" fontId="5" fillId="5" borderId="0" xfId="0" applyFont="true" applyBorder="true" applyAlignment="false" applyProtection="false">
      <alignment horizontal="general" vertical="bottom" textRotation="0" wrapText="false" indent="0" shrinkToFit="false"/>
      <protection locked="true" hidden="false"/>
    </xf>
    <xf numFmtId="164" fontId="6" fillId="5" borderId="0" xfId="0" applyFont="true" applyBorder="true" applyAlignment="false" applyProtection="false">
      <alignment horizontal="general" vertical="bottom" textRotation="0" wrapText="false" indent="0" shrinkToFit="false"/>
      <protection locked="true" hidden="false"/>
    </xf>
    <xf numFmtId="164" fontId="6" fillId="0" borderId="28" xfId="0" applyFont="true" applyBorder="true" applyAlignment="false" applyProtection="false">
      <alignment horizontal="general" vertical="bottom" textRotation="0" wrapText="false" indent="0" shrinkToFit="false"/>
      <protection locked="true" hidden="false"/>
    </xf>
    <xf numFmtId="164" fontId="0" fillId="0" borderId="34" xfId="0" applyFont="false" applyBorder="true" applyAlignment="false" applyProtection="false">
      <alignment horizontal="general" vertical="bottom" textRotation="0" wrapText="false" indent="0" shrinkToFit="false"/>
      <protection locked="true" hidden="false"/>
    </xf>
    <xf numFmtId="164" fontId="6" fillId="0" borderId="28" xfId="0" applyFont="true" applyBorder="true" applyAlignment="true" applyProtection="false">
      <alignment horizontal="center" vertical="bottom" textRotation="0" wrapText="false" indent="0" shrinkToFit="false"/>
      <protection locked="true" hidden="false"/>
    </xf>
    <xf numFmtId="164" fontId="6" fillId="0" borderId="21" xfId="0" applyFont="true" applyBorder="true" applyAlignment="true" applyProtection="false">
      <alignment horizontal="center" vertical="bottom" textRotation="0" wrapText="false" indent="0" shrinkToFit="false"/>
      <protection locked="true" hidden="false"/>
    </xf>
    <xf numFmtId="164" fontId="5" fillId="0" borderId="27" xfId="0" applyFont="true" applyBorder="true" applyAlignment="true" applyProtection="false">
      <alignment horizontal="left" vertical="bottom" textRotation="0" wrapText="false" indent="0" shrinkToFit="false"/>
      <protection locked="true" hidden="false"/>
    </xf>
    <xf numFmtId="166" fontId="6" fillId="11" borderId="28" xfId="0" applyFont="true" applyBorder="true" applyAlignment="true" applyProtection="true">
      <alignment horizontal="center" vertical="bottom" textRotation="0" wrapText="false" indent="0" shrinkToFit="false"/>
      <protection locked="true" hidden="false"/>
    </xf>
    <xf numFmtId="166" fontId="6" fillId="2" borderId="28" xfId="0" applyFont="true" applyBorder="true" applyAlignment="true" applyProtection="false">
      <alignment horizontal="left" vertical="bottom" textRotation="0" wrapText="false" indent="0" shrinkToFit="false"/>
      <protection locked="true" hidden="false"/>
    </xf>
    <xf numFmtId="164" fontId="0" fillId="0" borderId="21" xfId="0" applyFont="false" applyBorder="true" applyAlignment="true" applyProtection="false">
      <alignment horizontal="center" vertical="bottom" textRotation="0" wrapText="false" indent="0" shrinkToFit="false"/>
      <protection locked="true" hidden="false"/>
    </xf>
    <xf numFmtId="166" fontId="6" fillId="2" borderId="20" xfId="0" applyFont="true" applyBorder="true" applyAlignment="true" applyProtection="false">
      <alignment horizontal="left" vertical="bottom" textRotation="0" wrapText="false" indent="0" shrinkToFit="false"/>
      <protection locked="true" hidden="false"/>
    </xf>
    <xf numFmtId="166" fontId="6" fillId="2" borderId="34" xfId="0" applyFont="true" applyBorder="true" applyAlignment="true" applyProtection="false">
      <alignment horizontal="left" vertical="bottom" textRotation="0" wrapText="false" indent="0" shrinkToFit="false"/>
      <protection locked="true" hidden="false"/>
    </xf>
    <xf numFmtId="166" fontId="42" fillId="0" borderId="28" xfId="0" applyFont="true" applyBorder="true" applyAlignment="true" applyProtection="false">
      <alignment horizontal="center" vertical="bottom" textRotation="0" wrapText="false" indent="0" shrinkToFit="false"/>
      <protection locked="true" hidden="false"/>
    </xf>
    <xf numFmtId="166" fontId="42" fillId="0" borderId="21" xfId="0" applyFont="true" applyBorder="true" applyAlignment="true" applyProtection="false">
      <alignment horizontal="center" vertical="bottom" textRotation="0" wrapText="false" indent="0" shrinkToFit="false"/>
      <protection locked="true" hidden="false"/>
    </xf>
    <xf numFmtId="166" fontId="6" fillId="5" borderId="0" xfId="0" applyFont="true" applyBorder="true" applyAlignment="true" applyProtection="false">
      <alignment horizontal="left" vertical="bottom" textRotation="0" wrapText="false" indent="0" shrinkToFit="false"/>
      <protection locked="true" hidden="false"/>
    </xf>
    <xf numFmtId="166" fontId="6" fillId="5" borderId="0" xfId="0" applyFont="true" applyBorder="true" applyAlignment="true" applyProtection="false">
      <alignment horizontal="center" vertical="bottom" textRotation="0" wrapText="false" indent="0" shrinkToFit="false"/>
      <protection locked="true" hidden="false"/>
    </xf>
    <xf numFmtId="166" fontId="0" fillId="0" borderId="21" xfId="0" applyFont="false" applyBorder="true" applyAlignment="true" applyProtection="false">
      <alignment horizontal="center" vertical="bottom" textRotation="0" wrapText="false" indent="0" shrinkToFit="false"/>
      <protection locked="true" hidden="false"/>
    </xf>
    <xf numFmtId="166" fontId="6" fillId="2" borderId="21" xfId="0" applyFont="true" applyBorder="true" applyAlignment="true" applyProtection="false">
      <alignment horizontal="left" vertical="bottom" textRotation="0" wrapText="false" indent="0" shrinkToFit="false"/>
      <protection locked="true" hidden="false"/>
    </xf>
    <xf numFmtId="166" fontId="0" fillId="5" borderId="0" xfId="0" applyFont="false" applyBorder="true" applyAlignment="false" applyProtection="false">
      <alignment horizontal="general" vertical="bottom" textRotation="0" wrapText="false" indent="0" shrinkToFit="false"/>
      <protection locked="true" hidden="false"/>
    </xf>
    <xf numFmtId="166" fontId="6" fillId="0" borderId="21" xfId="0" applyFont="true" applyBorder="true" applyAlignment="true" applyProtection="false">
      <alignment horizontal="center" vertical="bottom" textRotation="0" wrapText="false" indent="0" shrinkToFit="false"/>
      <protection locked="true" hidden="false"/>
    </xf>
    <xf numFmtId="166" fontId="6" fillId="0" borderId="28" xfId="0" applyFont="true" applyBorder="true" applyAlignment="true" applyProtection="false">
      <alignment horizontal="center" vertical="bottom" textRotation="0" wrapText="false" indent="0" shrinkToFit="false"/>
      <protection locked="true" hidden="false"/>
    </xf>
    <xf numFmtId="166" fontId="6" fillId="0" borderId="0" xfId="0" applyFont="true" applyBorder="true" applyAlignment="true" applyProtection="false">
      <alignment horizontal="center" vertical="bottom" textRotation="0" wrapText="false" indent="0" shrinkToFit="false"/>
      <protection locked="true" hidden="false"/>
    </xf>
    <xf numFmtId="166"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6" fontId="0" fillId="0" borderId="21" xfId="0" applyFont="false" applyBorder="true" applyAlignment="true" applyProtection="false">
      <alignment horizontal="general" vertical="bottom" textRotation="0" wrapText="false" indent="0" shrinkToFit="false"/>
      <protection locked="true" hidden="false"/>
    </xf>
    <xf numFmtId="166" fontId="6" fillId="0" borderId="20" xfId="0" applyFont="true" applyBorder="true" applyAlignment="true" applyProtection="false">
      <alignment horizontal="right" vertical="bottom" textRotation="0" wrapText="false" indent="0" shrinkToFit="false"/>
      <protection locked="true" hidden="false"/>
    </xf>
    <xf numFmtId="166" fontId="5" fillId="0" borderId="43" xfId="0" applyFont="true" applyBorder="true" applyAlignment="true" applyProtection="false">
      <alignment horizontal="center" vertical="bottom" textRotation="0" wrapText="false" indent="0" shrinkToFit="false"/>
      <protection locked="true" hidden="false"/>
    </xf>
    <xf numFmtId="166" fontId="5" fillId="0" borderId="46" xfId="0" applyFont="true" applyBorder="true" applyAlignment="true" applyProtection="false">
      <alignment horizontal="center" vertical="bottom" textRotation="0" wrapText="false" indent="0" shrinkToFit="false"/>
      <protection locked="true" hidden="false"/>
    </xf>
    <xf numFmtId="166" fontId="5" fillId="0" borderId="20" xfId="0" applyFont="true" applyBorder="true" applyAlignment="true" applyProtection="false">
      <alignment horizontal="left" vertical="bottom" textRotation="0" wrapText="false" indent="0" shrinkToFit="false"/>
      <protection locked="true" hidden="false"/>
    </xf>
    <xf numFmtId="166" fontId="5" fillId="0" borderId="21" xfId="0" applyFont="true" applyBorder="true" applyAlignment="true" applyProtection="false">
      <alignment horizontal="left" vertical="bottom" textRotation="0" wrapText="false" indent="0" shrinkToFit="false"/>
      <protection locked="true" hidden="false"/>
    </xf>
    <xf numFmtId="164" fontId="5" fillId="0" borderId="20" xfId="0" applyFont="true" applyBorder="true" applyAlignment="true" applyProtection="false">
      <alignment horizontal="general" vertical="bottom" textRotation="0" wrapText="false" indent="0" shrinkToFit="false"/>
      <protection locked="true" hidden="false"/>
    </xf>
    <xf numFmtId="164" fontId="6" fillId="0" borderId="20" xfId="0" applyFont="true" applyBorder="true" applyAlignment="true" applyProtection="false">
      <alignment horizontal="left" vertical="bottom" textRotation="0" wrapText="false" indent="0" shrinkToFit="false"/>
      <protection locked="true" hidden="false"/>
    </xf>
    <xf numFmtId="166" fontId="6" fillId="0" borderId="21" xfId="0" applyFont="true" applyBorder="true" applyAlignment="true" applyProtection="false">
      <alignment horizontal="left" vertical="bottom" textRotation="0" wrapText="false" indent="0" shrinkToFit="false"/>
      <protection locked="true" hidden="false"/>
    </xf>
    <xf numFmtId="166" fontId="6" fillId="0" borderId="20" xfId="0" applyFont="true" applyBorder="true" applyAlignment="true" applyProtection="false">
      <alignment horizontal="left" vertical="bottom" textRotation="0" wrapText="false" indent="0" shrinkToFit="false"/>
      <protection locked="true" hidden="false"/>
    </xf>
    <xf numFmtId="165" fontId="6" fillId="0" borderId="20" xfId="0" applyFont="true" applyBorder="true" applyAlignment="true" applyProtection="false">
      <alignment horizontal="general" vertical="bottom" textRotation="0" wrapText="false" indent="0" shrinkToFit="false"/>
      <protection locked="true" hidden="false"/>
    </xf>
    <xf numFmtId="166" fontId="6" fillId="0" borderId="21" xfId="0" applyFont="true" applyBorder="true" applyAlignment="true" applyProtection="false">
      <alignment horizontal="general" vertical="bottom" textRotation="0" wrapText="false" indent="0" shrinkToFit="false"/>
      <protection locked="true" hidden="false"/>
    </xf>
    <xf numFmtId="164" fontId="6" fillId="0" borderId="54"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6" fillId="0" borderId="28" xfId="0" applyFont="true" applyBorder="true" applyAlignment="true" applyProtection="false">
      <alignment horizontal="left"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4" fontId="6" fillId="0" borderId="20" xfId="0" applyFont="tru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6" fontId="6" fillId="0" borderId="20" xfId="0" applyFont="true" applyBorder="true" applyAlignment="true" applyProtection="true">
      <alignment horizontal="general" vertical="bottom" textRotation="0" wrapText="false" indent="0" shrinkToFit="false"/>
      <protection locked="true" hidden="false"/>
    </xf>
    <xf numFmtId="166" fontId="6" fillId="0" borderId="21" xfId="0" applyFont="true" applyBorder="true" applyAlignment="true" applyProtection="true">
      <alignment horizontal="general" vertical="bottom" textRotation="0" wrapText="false" indent="0" shrinkToFit="false"/>
      <protection locked="true" hidden="false"/>
    </xf>
    <xf numFmtId="164" fontId="6" fillId="0" borderId="54" xfId="0" applyFont="tru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6" fillId="0" borderId="20" xfId="0" applyFont="true" applyBorder="true" applyAlignment="true" applyProtection="false">
      <alignment horizontal="general" vertical="bottom" textRotation="0" wrapText="false" indent="0" shrinkToFit="false"/>
      <protection locked="true" hidden="false"/>
    </xf>
    <xf numFmtId="164" fontId="6" fillId="0" borderId="21" xfId="0" applyFont="true" applyBorder="true" applyAlignment="true" applyProtection="false">
      <alignment horizontal="general" vertical="bottom" textRotation="0" wrapText="false" indent="0" shrinkToFit="false"/>
      <protection locked="true" hidden="false"/>
    </xf>
    <xf numFmtId="164" fontId="6" fillId="0" borderId="34" xfId="0" applyFont="true" applyBorder="true" applyAlignment="false" applyProtection="false">
      <alignment horizontal="general" vertical="bottom" textRotation="0" wrapText="false" indent="0" shrinkToFit="false"/>
      <protection locked="true" hidden="false"/>
    </xf>
    <xf numFmtId="164" fontId="6" fillId="0" borderId="69" xfId="0" applyFont="true" applyBorder="true" applyAlignment="true" applyProtection="false">
      <alignment horizontal="left" vertical="bottom" textRotation="0" wrapText="false" indent="0" shrinkToFit="false"/>
      <protection locked="true" hidden="false"/>
    </xf>
    <xf numFmtId="166" fontId="6" fillId="0" borderId="7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6" fillId="0" borderId="20" xfId="0" applyFont="true" applyBorder="true" applyAlignment="true" applyProtection="true">
      <alignment horizontal="left" vertical="bottom" textRotation="0" wrapText="false" indent="0" shrinkToFit="false"/>
      <protection locked="true" hidden="false"/>
    </xf>
    <xf numFmtId="166" fontId="0" fillId="0" borderId="70" xfId="0" applyFont="false" applyBorder="true" applyAlignment="true" applyProtection="false">
      <alignment horizontal="general" vertical="bottom" textRotation="0" wrapText="false" indent="0" shrinkToFit="false"/>
      <protection locked="true" hidden="false"/>
    </xf>
    <xf numFmtId="166" fontId="6" fillId="0" borderId="16" xfId="0" applyFont="true" applyBorder="true" applyAlignment="true" applyProtection="false">
      <alignment horizontal="left" vertical="bottom" textRotation="0" wrapText="false" indent="0" shrinkToFit="false"/>
      <protection locked="true" hidden="false"/>
    </xf>
    <xf numFmtId="166" fontId="6" fillId="0" borderId="34"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5" fillId="0" borderId="16" xfId="0" applyFont="true" applyBorder="true" applyAlignment="true" applyProtection="false">
      <alignment horizontal="left" vertical="bottom" textRotation="0" wrapText="false" indent="0" shrinkToFit="false"/>
      <protection locked="true" hidden="false"/>
    </xf>
    <xf numFmtId="166" fontId="5" fillId="0" borderId="28" xfId="0" applyFont="true" applyBorder="true" applyAlignment="true" applyProtection="false">
      <alignment horizontal="left" vertical="bottom" textRotation="0" wrapText="false" indent="0" shrinkToFit="false"/>
      <protection locked="true" hidden="false"/>
    </xf>
    <xf numFmtId="164" fontId="0" fillId="0" borderId="20" xfId="0" applyFont="true" applyBorder="true" applyAlignment="true" applyProtection="false">
      <alignment horizontal="left" vertical="bottom" textRotation="0" wrapText="false" indent="0" shrinkToFit="false"/>
      <protection locked="true" hidden="false"/>
    </xf>
    <xf numFmtId="164" fontId="6" fillId="0" borderId="34" xfId="0" applyFont="true" applyBorder="true" applyAlignment="true" applyProtection="false">
      <alignment horizontal="left" vertical="bottom" textRotation="0" wrapText="false" indent="0" shrinkToFit="false"/>
      <protection locked="true" hidden="false"/>
    </xf>
    <xf numFmtId="165" fontId="6" fillId="0" borderId="28" xfId="0" applyFont="true" applyBorder="true" applyAlignment="true" applyProtection="false">
      <alignment horizontal="left"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0" borderId="34" xfId="0" applyFont="false" applyBorder="true" applyAlignment="true" applyProtection="false">
      <alignment horizontal="left" vertical="bottom" textRotation="0" wrapText="false" indent="0" shrinkToFit="false"/>
      <protection locked="true" hidden="false"/>
    </xf>
    <xf numFmtId="166" fontId="6" fillId="0" borderId="28" xfId="0" applyFont="true" applyBorder="true" applyAlignment="true" applyProtection="false">
      <alignment horizontal="left"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6" fontId="6" fillId="0" borderId="14" xfId="0" applyFont="true" applyBorder="true" applyAlignment="true" applyProtection="false">
      <alignment horizontal="center" vertical="bottom" textRotation="0" wrapText="false" indent="0" shrinkToFit="false"/>
      <protection locked="true" hidden="false"/>
    </xf>
    <xf numFmtId="166" fontId="6" fillId="0" borderId="46" xfId="0" applyFont="true" applyBorder="true" applyAlignment="true" applyProtection="false">
      <alignment horizontal="center" vertical="bottom" textRotation="0" wrapText="false" indent="0" shrinkToFit="false"/>
      <protection locked="true" hidden="false"/>
    </xf>
    <xf numFmtId="164" fontId="6" fillId="0" borderId="43" xfId="0" applyFont="true" applyBorder="true" applyAlignment="true" applyProtection="false">
      <alignment horizontal="left" vertical="bottom" textRotation="0" wrapText="false" indent="0" shrinkToFit="false"/>
      <protection locked="true" hidden="false"/>
    </xf>
    <xf numFmtId="166" fontId="6" fillId="0" borderId="14" xfId="0" applyFont="true" applyBorder="true" applyAlignment="true" applyProtection="false">
      <alignment horizontal="left" vertical="bottom" textRotation="0" wrapText="false" indent="0" shrinkToFit="false"/>
      <protection locked="true" hidden="false"/>
    </xf>
    <xf numFmtId="164" fontId="6" fillId="0" borderId="43" xfId="0" applyFont="true" applyBorder="true" applyAlignment="true" applyProtection="false">
      <alignment horizontal="general" vertical="bottom" textRotation="0" wrapText="false" indent="0" shrinkToFit="false"/>
      <protection locked="true" hidden="false"/>
    </xf>
    <xf numFmtId="166" fontId="0" fillId="0" borderId="34" xfId="0" applyFont="false" applyBorder="true" applyAlignment="true" applyProtection="false">
      <alignment horizontal="center" vertical="bottom" textRotation="0" wrapText="false" indent="0" shrinkToFit="false"/>
      <protection locked="true" hidden="false"/>
    </xf>
    <xf numFmtId="166" fontId="6" fillId="0" borderId="34" xfId="0" applyFont="true" applyBorder="true" applyAlignment="true" applyProtection="false">
      <alignment horizontal="center" vertical="bottom" textRotation="0" wrapText="false" indent="0" shrinkToFit="false"/>
      <protection locked="true" hidden="false"/>
    </xf>
    <xf numFmtId="164" fontId="6" fillId="0" borderId="20" xfId="0" applyFont="true" applyBorder="true" applyAlignment="false" applyProtection="true">
      <alignment horizontal="general" vertical="bottom" textRotation="0" wrapText="false" indent="0" shrinkToFit="false"/>
      <protection locked="true" hidden="false"/>
    </xf>
    <xf numFmtId="166" fontId="0" fillId="0" borderId="16" xfId="0" applyFont="false" applyBorder="true" applyAlignment="true" applyProtection="false">
      <alignment horizontal="center" vertical="bottom" textRotation="0" wrapText="false" indent="0" shrinkToFit="false"/>
      <protection locked="true" hidden="false"/>
    </xf>
    <xf numFmtId="166" fontId="6" fillId="0" borderId="16" xfId="0" applyFont="true" applyBorder="true" applyAlignment="true" applyProtection="false">
      <alignment horizontal="center" vertical="bottom" textRotation="0" wrapText="false" indent="0" shrinkToFit="false"/>
      <protection locked="true" hidden="false"/>
    </xf>
    <xf numFmtId="166" fontId="6" fillId="0" borderId="70" xfId="0" applyFont="true" applyBorder="true" applyAlignment="true" applyProtection="false">
      <alignment horizontal="center" vertical="bottom" textRotation="0" wrapText="false" indent="0" shrinkToFit="false"/>
      <protection locked="true" hidden="false"/>
    </xf>
    <xf numFmtId="164" fontId="6" fillId="0" borderId="69" xfId="0" applyFont="true" applyBorder="true" applyAlignment="false" applyProtection="true">
      <alignment horizontal="general" vertical="bottom" textRotation="0" wrapText="false" indent="0" shrinkToFit="false"/>
      <protection locked="true" hidden="false"/>
    </xf>
    <xf numFmtId="164" fontId="6" fillId="0" borderId="69" xfId="0" applyFont="true" applyBorder="true" applyAlignment="true" applyProtection="false">
      <alignment horizontal="general" vertical="bottom" textRotation="0" wrapText="false" indent="0" shrinkToFit="false"/>
      <protection locked="true" hidden="false"/>
    </xf>
    <xf numFmtId="164" fontId="6" fillId="0" borderId="54" xfId="0" applyFont="true" applyBorder="true" applyAlignment="false" applyProtection="true">
      <alignment horizontal="general" vertical="bottom" textRotation="0" wrapText="false" indent="0" shrinkToFit="false"/>
      <protection locked="true" hidden="false"/>
    </xf>
    <xf numFmtId="164" fontId="6" fillId="0" borderId="20" xfId="0" applyFont="true" applyBorder="true" applyAlignment="true" applyProtection="true">
      <alignment horizontal="left" vertical="bottom" textRotation="0" wrapText="false" indent="0" shrinkToFit="false"/>
      <protection locked="true" hidden="false"/>
    </xf>
    <xf numFmtId="164" fontId="6" fillId="0" borderId="43" xfId="0" applyFont="true" applyBorder="true" applyAlignment="true" applyProtection="true">
      <alignment horizontal="left" vertical="bottom" textRotation="0" wrapText="false" indent="0" shrinkToFit="false"/>
      <protection locked="true" hidden="false"/>
    </xf>
    <xf numFmtId="164" fontId="6" fillId="0" borderId="14" xfId="0" applyFont="true" applyBorder="true" applyAlignment="true" applyProtection="true">
      <alignment horizontal="left" vertical="bottom" textRotation="0" wrapText="false" indent="0" shrinkToFit="false"/>
      <protection locked="true" hidden="false"/>
    </xf>
    <xf numFmtId="164" fontId="0" fillId="0" borderId="14" xfId="0" applyFont="false" applyBorder="true" applyAlignment="true" applyProtection="false">
      <alignment horizontal="left" vertical="bottom" textRotation="0" wrapText="false" indent="0" shrinkToFit="false"/>
      <protection locked="true" hidden="false"/>
    </xf>
    <xf numFmtId="164" fontId="0" fillId="0" borderId="46" xfId="0" applyFont="false" applyBorder="true" applyAlignment="true" applyProtection="false">
      <alignment horizontal="left" vertical="bottom" textRotation="0" wrapText="false" indent="0" shrinkToFit="false"/>
      <protection locked="true" hidden="false"/>
    </xf>
    <xf numFmtId="164" fontId="6" fillId="0" borderId="34" xfId="0" applyFont="true" applyBorder="true" applyAlignment="true" applyProtection="true">
      <alignment horizontal="left" vertical="bottom" textRotation="0" wrapText="false" indent="0" shrinkToFit="false"/>
      <protection locked="true" hidden="false"/>
    </xf>
    <xf numFmtId="164" fontId="0" fillId="0" borderId="21" xfId="0" applyFont="false" applyBorder="true" applyAlignment="true" applyProtection="false">
      <alignment horizontal="left" vertical="bottom" textRotation="0" wrapText="false" indent="0" shrinkToFit="false"/>
      <protection locked="true" hidden="false"/>
    </xf>
    <xf numFmtId="164" fontId="6" fillId="0" borderId="16" xfId="0" applyFont="true" applyBorder="true" applyAlignment="true" applyProtection="false">
      <alignment horizontal="left" vertical="bottom" textRotation="0" wrapText="false" indent="0" shrinkToFit="false"/>
      <protection locked="true" hidden="false"/>
    </xf>
    <xf numFmtId="164" fontId="5" fillId="0" borderId="28" xfId="0" applyFont="true" applyBorder="true" applyAlignment="true" applyProtection="true">
      <alignment horizontal="left" vertical="bottom" textRotation="0" wrapText="false" indent="0" shrinkToFit="false"/>
      <protection locked="true" hidden="false"/>
    </xf>
    <xf numFmtId="165" fontId="0" fillId="0" borderId="21" xfId="0" applyFont="false" applyBorder="true" applyAlignment="true" applyProtection="false">
      <alignment horizontal="left" vertical="bottom" textRotation="0" wrapText="false" indent="0" shrinkToFit="false"/>
      <protection locked="true" hidden="false"/>
    </xf>
    <xf numFmtId="164" fontId="0" fillId="0" borderId="28" xfId="0" applyFont="true" applyBorder="true" applyAlignment="true" applyProtection="false">
      <alignment horizontal="left" vertical="bottom" textRotation="0" wrapText="false" indent="0" shrinkToFit="false"/>
      <protection locked="true" hidden="false"/>
    </xf>
    <xf numFmtId="164" fontId="0" fillId="0" borderId="28" xfId="0" applyFont="false" applyBorder="true" applyAlignment="true" applyProtection="false">
      <alignment horizontal="left" vertical="bottom" textRotation="0" wrapText="false" indent="0" shrinkToFit="false"/>
      <protection locked="true" hidden="false"/>
    </xf>
    <xf numFmtId="164" fontId="43" fillId="0" borderId="71" xfId="0" applyFont="true" applyBorder="true" applyAlignment="false" applyProtection="false">
      <alignment horizontal="general" vertical="bottom" textRotation="0" wrapText="false" indent="0" shrinkToFit="false"/>
      <protection locked="true" hidden="false"/>
    </xf>
    <xf numFmtId="164" fontId="43" fillId="0" borderId="72" xfId="0" applyFont="true" applyBorder="true" applyAlignment="false" applyProtection="false">
      <alignment horizontal="general" vertical="bottom" textRotation="0" wrapText="false" indent="0" shrinkToFit="false"/>
      <protection locked="true" hidden="false"/>
    </xf>
    <xf numFmtId="164" fontId="44" fillId="0" borderId="73" xfId="0" applyFont="true" applyBorder="true" applyAlignment="true" applyProtection="false">
      <alignment horizontal="left" vertical="bottom" textRotation="0" wrapText="false" indent="0" shrinkToFit="false"/>
      <protection locked="true" hidden="false"/>
    </xf>
    <xf numFmtId="164" fontId="43" fillId="0" borderId="74" xfId="0" applyFont="true" applyBorder="true" applyAlignment="false" applyProtection="false">
      <alignment horizontal="general" vertical="bottom" textRotation="0" wrapText="false" indent="0" shrinkToFit="false"/>
      <protection locked="true" hidden="false"/>
    </xf>
    <xf numFmtId="164" fontId="43" fillId="0" borderId="74" xfId="0" applyFont="true" applyBorder="true" applyAlignment="true" applyProtection="false">
      <alignment horizontal="general" vertical="bottom" textRotation="0" wrapText="false" indent="0" shrinkToFit="false"/>
      <protection locked="true" hidden="false"/>
    </xf>
    <xf numFmtId="166" fontId="43" fillId="0" borderId="74" xfId="0" applyFont="true" applyBorder="true" applyAlignment="true" applyProtection="false">
      <alignment horizontal="left" vertical="bottom" textRotation="0" wrapText="false" indent="0" shrinkToFit="false"/>
      <protection locked="true" hidden="false"/>
    </xf>
    <xf numFmtId="164" fontId="43" fillId="0" borderId="73" xfId="0" applyFont="true" applyBorder="true" applyAlignment="true" applyProtection="false">
      <alignment horizontal="general" vertical="bottom" textRotation="0" wrapText="false" indent="0" shrinkToFit="false"/>
      <protection locked="true" hidden="false"/>
    </xf>
    <xf numFmtId="164" fontId="43" fillId="0" borderId="72" xfId="0" applyFont="true" applyBorder="true" applyAlignment="true" applyProtection="false">
      <alignment horizontal="general" vertical="bottom" textRotation="0" wrapText="false" indent="0" shrinkToFit="false"/>
      <protection locked="true" hidden="false"/>
    </xf>
    <xf numFmtId="166" fontId="43" fillId="0" borderId="75" xfId="0" applyFont="true" applyBorder="true" applyAlignment="false" applyProtection="false">
      <alignment horizontal="general" vertical="bottom" textRotation="0" wrapText="false" indent="0" shrinkToFit="false"/>
      <protection locked="true" hidden="false"/>
    </xf>
    <xf numFmtId="166" fontId="43" fillId="0" borderId="75" xfId="0" applyFont="true" applyBorder="true" applyAlignment="true" applyProtection="false">
      <alignment horizontal="left" vertical="bottom" textRotation="0" wrapText="false" indent="0" shrinkToFit="false"/>
      <protection locked="true" hidden="false"/>
    </xf>
    <xf numFmtId="164" fontId="43" fillId="0" borderId="75" xfId="0" applyFont="true" applyBorder="true" applyAlignment="false" applyProtection="false">
      <alignment horizontal="general" vertical="bottom" textRotation="0" wrapText="false" indent="0" shrinkToFit="false"/>
      <protection locked="true" hidden="false"/>
    </xf>
    <xf numFmtId="164" fontId="45" fillId="0" borderId="0" xfId="0" applyFont="true" applyBorder="false" applyAlignment="true" applyProtection="false">
      <alignment horizontal="general" vertical="center" textRotation="0" wrapText="false" indent="0" shrinkToFit="false"/>
      <protection locked="true" hidden="false"/>
    </xf>
    <xf numFmtId="166" fontId="43" fillId="0" borderId="76" xfId="0" applyFont="true" applyBorder="true" applyAlignment="true" applyProtection="false">
      <alignment horizontal="left" vertical="bottom" textRotation="0" wrapText="false" indent="0" shrinkToFit="false"/>
      <protection locked="true" hidden="false"/>
    </xf>
    <xf numFmtId="164" fontId="43" fillId="0" borderId="0" xfId="0" applyFont="true" applyBorder="true" applyAlignment="false" applyProtection="false">
      <alignment horizontal="general" vertical="bottom" textRotation="0" wrapText="false" indent="0" shrinkToFit="false"/>
      <protection locked="true" hidden="false"/>
    </xf>
    <xf numFmtId="166" fontId="43" fillId="0" borderId="0"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90">
    <dxf>
      <font>
        <color rgb="FFD9D9D9"/>
      </font>
    </dxf>
    <dxf>
      <fill>
        <patternFill>
          <bgColor rgb="FFFFFFFF"/>
        </patternFill>
      </fill>
    </dxf>
    <dxf>
      <fill>
        <patternFill>
          <bgColor rgb="FFFFFFFF"/>
        </patternFill>
      </fill>
    </dxf>
    <dxf>
      <font>
        <color rgb="FFD9D9D9"/>
      </font>
    </dxf>
    <dxf>
      <fill>
        <patternFill>
          <bgColor rgb="FFF6F6F6"/>
        </patternFill>
      </fill>
    </dxf>
    <dxf>
      <fill>
        <patternFill>
          <bgColor rgb="FFFFFFFF"/>
        </patternFill>
      </fill>
    </dxf>
    <dxf>
      <fill>
        <patternFill>
          <bgColor rgb="FFFFFFFF"/>
        </patternFill>
      </fill>
    </dxf>
    <dxf>
      <font>
        <color rgb="FFD9D9D9"/>
      </font>
    </dxf>
    <dxf>
      <font>
        <color rgb="FFD9D9D9"/>
      </font>
    </dxf>
    <dxf>
      <font>
        <color rgb="FFD9D9D9"/>
      </font>
    </dxf>
    <dxf>
      <fill>
        <patternFill>
          <bgColor rgb="FFF6F6F6"/>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rgb="FFD9D9D9"/>
      </font>
    </dxf>
    <dxf>
      <font>
        <color rgb="FFD9D9D9"/>
      </font>
      <fill>
        <patternFill>
          <bgColor rgb="FFFFFFFF"/>
        </patternFill>
      </fill>
    </dxf>
    <dxf>
      <fill>
        <patternFill>
          <bgColor rgb="FFF6F6F6"/>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rgb="FFD9D9D9"/>
      </font>
    </dxf>
    <dxf>
      <font>
        <color rgb="FFD9D9D9"/>
      </font>
    </dxf>
    <dxf>
      <fill>
        <patternFill>
          <bgColor rgb="FFF6F6F6"/>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rgb="FFD9D9D9"/>
      </font>
    </dxf>
    <dxf>
      <font>
        <color rgb="FFD9D9D9"/>
      </font>
    </dxf>
    <dxf>
      <fill>
        <patternFill>
          <bgColor rgb="FFF6F6F6"/>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rgb="FFD9D9D9"/>
      </font>
    </dxf>
    <dxf>
      <font>
        <color rgb="FFD9D9D9"/>
      </font>
    </dxf>
    <dxf>
      <fill>
        <patternFill>
          <bgColor rgb="FFF6F6F6"/>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rgb="FFD9D9D9"/>
      </font>
    </dxf>
    <dxf>
      <font>
        <color rgb="FFD9D9D9"/>
      </font>
    </dxf>
    <dxf>
      <fill>
        <patternFill>
          <bgColor rgb="FFF6F6F6"/>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rgb="FFD9D9D9"/>
      </font>
    </dxf>
    <dxf>
      <font>
        <color rgb="FFD9D9D9"/>
      </font>
    </dxf>
    <dxf>
      <fill>
        <patternFill>
          <bgColor rgb="FFF6F6F6"/>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rgb="FFD9D9D9"/>
      </font>
    </dxf>
    <dxf>
      <font>
        <color rgb="FFD9D9D9"/>
      </font>
    </dxf>
    <dxf>
      <fill>
        <patternFill>
          <bgColor rgb="FFF6F6F6"/>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rgb="FFD9D9D9"/>
      </font>
    </dxf>
    <dxf>
      <font>
        <color rgb="FFD9D9D9"/>
      </font>
      <fill>
        <patternFill>
          <bgColor rgb="FFFFFFFF"/>
        </patternFill>
      </fill>
    </dxf>
    <dxf>
      <fill>
        <patternFill>
          <bgColor rgb="FFF6F6F6"/>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rgb="FFD9D9D9"/>
      </font>
    </dxf>
    <dxf>
      <font>
        <color rgb="FFD9D9D9"/>
      </font>
    </dxf>
    <dxf>
      <fill>
        <patternFill>
          <bgColor rgb="FFF6F6F6"/>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rgb="FFD9D9D9"/>
      </font>
    </dxf>
    <dxf>
      <font>
        <color rgb="FFD9D9D9"/>
      </font>
    </dxf>
    <dxf>
      <fill>
        <patternFill>
          <bgColor rgb="FFF6F6F6"/>
        </patternFill>
      </fill>
    </dxf>
    <dxf>
      <fill>
        <patternFill>
          <bgColor rgb="FFFFFFFF"/>
        </patternFill>
      </fill>
    </dxf>
    <dxf>
      <fill>
        <patternFill>
          <bgColor rgb="FFFFFFFF"/>
        </patternFill>
      </fill>
    </dxf>
    <dxf>
      <fill>
        <patternFill>
          <bgColor rgb="FFFFFFFF"/>
        </patternFill>
      </fill>
    </dxf>
    <dxf>
      <fill>
        <patternFill>
          <bgColor rgb="FFFFFFFF"/>
        </patternFill>
      </fill>
    </dxf>
    <dxf>
      <font>
        <color rgb="FFFF0000"/>
      </font>
    </dxf>
    <dxf>
      <font>
        <color rgb="FFFF0000"/>
      </font>
    </dxf>
    <dxf>
      <font>
        <color rgb="FFFF0000"/>
      </font>
    </dxf>
    <dxf>
      <font>
        <color rgb="FFFFFFFF"/>
      </font>
      <fill>
        <patternFill>
          <bgColor rgb="FFFFFFFF"/>
        </patternFill>
      </fill>
      <border diagonalUp="false" diagonalDown="false">
        <left/>
        <right/>
        <top/>
        <bottom/>
        <diagonal/>
      </border>
    </dxf>
    <dxf>
      <font>
        <color rgb="FFFFFFFF"/>
      </font>
      <fill>
        <patternFill>
          <bgColor rgb="FFFFFFFF"/>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A6A6A6"/>
      <rgbColor rgb="FF993366"/>
      <rgbColor rgb="FFF6F6F6"/>
      <rgbColor rgb="FFC3D69B"/>
      <rgbColor rgb="FF660066"/>
      <rgbColor rgb="FFFF8080"/>
      <rgbColor rgb="FF0066CC"/>
      <rgbColor rgb="FFC6D9F1"/>
      <rgbColor rgb="FF000080"/>
      <rgbColor rgb="FFFF00FF"/>
      <rgbColor rgb="FFFFFF00"/>
      <rgbColor rgb="FF00FFFF"/>
      <rgbColor rgb="FF800080"/>
      <rgbColor rgb="FF800000"/>
      <rgbColor rgb="FF008080"/>
      <rgbColor rgb="FF0000FF"/>
      <rgbColor rgb="FF00B0F0"/>
      <rgbColor rgb="FFCCFFFF"/>
      <rgbColor rgb="FFE3E3E3"/>
      <rgbColor rgb="FFFFFF99"/>
      <rgbColor rgb="FFBFBFBF"/>
      <rgbColor rgb="FFFF99CC"/>
      <rgbColor rgb="FFCC99FF"/>
      <rgbColor rgb="FFD9D9D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447840</xdr:colOff>
      <xdr:row>0</xdr:row>
      <xdr:rowOff>104760</xdr:rowOff>
    </xdr:from>
    <xdr:to>
      <xdr:col>11</xdr:col>
      <xdr:colOff>542520</xdr:colOff>
      <xdr:row>8</xdr:row>
      <xdr:rowOff>18360</xdr:rowOff>
    </xdr:to>
    <xdr:pic>
      <xdr:nvPicPr>
        <xdr:cNvPr id="0" name="Picture 73" descr="ub_16pt_cmyk"/>
        <xdr:cNvPicPr/>
      </xdr:nvPicPr>
      <xdr:blipFill>
        <a:blip r:embed="rId1"/>
        <a:stretch/>
      </xdr:blipFill>
      <xdr:spPr>
        <a:xfrm>
          <a:off x="6740640" y="104760"/>
          <a:ext cx="1603440" cy="1272240"/>
        </a:xfrm>
        <a:prstGeom prst="rect">
          <a:avLst/>
        </a:prstGeom>
        <a:ln w="936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systeme@pers.unibe.ch" TargetMode="External"/><Relationship Id="rId2" Type="http://schemas.openxmlformats.org/officeDocument/2006/relationships/hyperlink" Target="http://www.fin.be.ch/fin/de/index/personal/personalrecht/wdb.artikel.PV.146.html" TargetMode="External"/><Relationship Id="rId3" Type="http://schemas.openxmlformats.org/officeDocument/2006/relationships/hyperlink" Target="http://intern.unibe.ch/unibe/uniintern/content/e1883/e1884/e309986/e310219/e532862/ErklaerungArbeitsmuster_ger.pdf" TargetMode="External"/><Relationship Id="rId4"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8.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9.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0.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1.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2.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68"/>
  <sheetViews>
    <sheetView showFormulas="false" showGridLines="false" showRowColHeaders="true" showZeros="true" rightToLeft="false" tabSelected="false" showOutlineSymbols="true" defaultGridColor="true" view="normal" topLeftCell="A26" colorId="64" zoomScale="100" zoomScaleNormal="100" zoomScalePageLayoutView="100" workbookViewId="0">
      <selection pane="topLeft" activeCell="D8" activeCellId="0" sqref="D8"/>
    </sheetView>
  </sheetViews>
  <sheetFormatPr defaultColWidth="10.70703125" defaultRowHeight="13" zeroHeight="false" outlineLevelRow="0" outlineLevelCol="0"/>
  <cols>
    <col collapsed="false" customWidth="true" hidden="false" outlineLevel="0" max="1" min="1" style="0" width="3.65"/>
  </cols>
  <sheetData>
    <row r="1" customFormat="false" ht="13" hidden="false" customHeight="false" outlineLevel="0" collapsed="false">
      <c r="A1" s="1"/>
      <c r="B1" s="1"/>
      <c r="C1" s="1"/>
      <c r="D1" s="1"/>
      <c r="E1" s="1"/>
      <c r="F1" s="1"/>
      <c r="G1" s="1"/>
      <c r="H1" s="1"/>
      <c r="I1" s="1"/>
    </row>
    <row r="2" customFormat="false" ht="13" hidden="false" customHeight="false" outlineLevel="0" collapsed="false">
      <c r="A2" s="1"/>
      <c r="B2" s="1"/>
      <c r="C2" s="1"/>
      <c r="D2" s="1"/>
      <c r="E2" s="1"/>
      <c r="F2" s="1"/>
      <c r="G2" s="1"/>
      <c r="H2" s="1"/>
      <c r="I2" s="1"/>
    </row>
    <row r="3" customFormat="false" ht="13" hidden="false" customHeight="false" outlineLevel="0" collapsed="false">
      <c r="A3" s="1"/>
      <c r="B3" s="1"/>
      <c r="C3" s="1"/>
      <c r="D3" s="1"/>
      <c r="E3" s="1"/>
      <c r="F3" s="1"/>
      <c r="G3" s="1"/>
      <c r="H3" s="1"/>
      <c r="I3" s="1"/>
    </row>
    <row r="4" customFormat="false" ht="13" hidden="false" customHeight="false" outlineLevel="0" collapsed="false">
      <c r="A4" s="1"/>
      <c r="B4" s="1"/>
      <c r="C4" s="1"/>
      <c r="D4" s="1"/>
      <c r="E4" s="1"/>
      <c r="F4" s="1"/>
      <c r="G4" s="1"/>
      <c r="H4" s="1"/>
      <c r="I4" s="1"/>
    </row>
    <row r="5" customFormat="false" ht="16" hidden="false" customHeight="false" outlineLevel="0" collapsed="false">
      <c r="A5" s="2" t="str">
        <f aca="false">Para1!J227</f>
        <v>Please read this informations before using the Record of Absences!</v>
      </c>
      <c r="B5" s="2"/>
      <c r="C5" s="2"/>
      <c r="D5" s="2"/>
      <c r="E5" s="2"/>
      <c r="F5" s="2"/>
      <c r="G5" s="2"/>
      <c r="H5" s="2"/>
      <c r="I5" s="2"/>
    </row>
    <row r="6" customFormat="false" ht="13" hidden="false" customHeight="false" outlineLevel="0" collapsed="false">
      <c r="A6" s="1"/>
      <c r="B6" s="1"/>
      <c r="C6" s="1"/>
      <c r="D6" s="1"/>
      <c r="E6" s="1"/>
      <c r="F6" s="1"/>
      <c r="G6" s="1"/>
      <c r="H6" s="1"/>
      <c r="I6" s="1"/>
    </row>
    <row r="7" customFormat="false" ht="13" hidden="false" customHeight="false" outlineLevel="0" collapsed="false">
      <c r="A7" s="1"/>
      <c r="B7" s="1"/>
      <c r="C7" s="1"/>
      <c r="D7" s="1"/>
      <c r="E7" s="1"/>
      <c r="F7" s="1"/>
      <c r="G7" s="1"/>
      <c r="H7" s="1"/>
      <c r="I7" s="1"/>
    </row>
    <row r="8" customFormat="false" ht="13" hidden="false" customHeight="false" outlineLevel="0" collapsed="false">
      <c r="A8" s="3" t="s">
        <v>0</v>
      </c>
      <c r="B8" s="3"/>
      <c r="C8" s="3"/>
      <c r="D8" s="4" t="s">
        <v>1</v>
      </c>
      <c r="E8" s="5" t="s">
        <v>2</v>
      </c>
      <c r="F8" s="5"/>
      <c r="G8" s="6"/>
      <c r="H8" s="7" t="str">
        <f aca="false">Para1!B269</f>
        <v>Deutsch</v>
      </c>
      <c r="I8" s="6"/>
    </row>
    <row r="9" customFormat="false" ht="13" hidden="false" customHeight="false" outlineLevel="0" collapsed="false">
      <c r="A9" s="6"/>
      <c r="B9" s="6"/>
      <c r="C9" s="6"/>
      <c r="D9" s="6"/>
      <c r="E9" s="6"/>
      <c r="F9" s="6"/>
      <c r="G9" s="6"/>
      <c r="H9" s="7" t="str">
        <f aca="false">Para1!B270</f>
        <v>English</v>
      </c>
      <c r="I9" s="6"/>
    </row>
    <row r="10" customFormat="false" ht="13" hidden="false" customHeight="false" outlineLevel="0" collapsed="false">
      <c r="A10" s="8"/>
      <c r="B10" s="8"/>
      <c r="C10" s="9" t="s">
        <v>3</v>
      </c>
      <c r="D10" s="10" t="str">
        <f aca="false">Para1!G2</f>
        <v>AE v1_01 02.12.2021</v>
      </c>
      <c r="E10" s="10"/>
      <c r="F10" s="8"/>
      <c r="G10" s="8"/>
      <c r="H10" s="8"/>
      <c r="I10" s="8"/>
      <c r="J10" s="8"/>
      <c r="K10" s="0" t="str">
        <f aca="false">Para1!F131</f>
        <v>year:</v>
      </c>
      <c r="L10" s="11" t="n">
        <f aca="false">Para1!C2</f>
        <v>2021</v>
      </c>
    </row>
    <row r="11" customFormat="false" ht="13" hidden="false" customHeight="false" outlineLevel="0" collapsed="false">
      <c r="A11" s="1"/>
      <c r="B11" s="1"/>
      <c r="C11" s="1"/>
      <c r="D11" s="1"/>
      <c r="E11" s="1"/>
      <c r="F11" s="1"/>
      <c r="G11" s="1"/>
      <c r="H11" s="1"/>
      <c r="I11" s="1"/>
      <c r="J11" s="1"/>
      <c r="K11" s="1"/>
      <c r="L11" s="1"/>
    </row>
    <row r="12" customFormat="false" ht="13" hidden="false" customHeight="false" outlineLevel="0" collapsed="false">
      <c r="A12" s="1"/>
      <c r="B12" s="1"/>
      <c r="C12" s="1"/>
      <c r="D12" s="1"/>
      <c r="E12" s="1"/>
      <c r="F12" s="1"/>
      <c r="G12" s="1"/>
      <c r="H12" s="1"/>
      <c r="I12" s="1"/>
      <c r="J12" s="1"/>
      <c r="K12" s="1"/>
      <c r="L12" s="1"/>
    </row>
    <row r="13" customFormat="false" ht="13" hidden="false" customHeight="false" outlineLevel="0" collapsed="false">
      <c r="A13" s="10" t="str">
        <f aca="false">Para1!J228</f>
        <v>Questions, comments and suggestions should be sent to</v>
      </c>
      <c r="B13" s="10"/>
      <c r="C13" s="10"/>
      <c r="D13" s="10"/>
      <c r="E13" s="10"/>
      <c r="F13" s="12" t="s">
        <v>4</v>
      </c>
      <c r="G13" s="12"/>
      <c r="H13" s="10" t="str">
        <f aca="false">Para1!J229</f>
        <v> </v>
      </c>
      <c r="I13" s="10"/>
      <c r="J13" s="10"/>
      <c r="K13" s="10"/>
      <c r="L13" s="10"/>
    </row>
    <row r="14" customFormat="false" ht="13" hidden="true" customHeight="false" outlineLevel="0" collapsed="false">
      <c r="A14" s="1"/>
      <c r="B14" s="1"/>
      <c r="C14" s="1"/>
      <c r="D14" s="1"/>
      <c r="E14" s="1"/>
      <c r="F14" s="1"/>
      <c r="G14" s="1"/>
      <c r="H14" s="1"/>
      <c r="I14" s="1"/>
      <c r="J14" s="1"/>
      <c r="K14" s="1"/>
      <c r="L14" s="1"/>
    </row>
    <row r="15" customFormat="false" ht="13" hidden="true" customHeight="false" outlineLevel="0" collapsed="false">
      <c r="A15" s="1"/>
      <c r="B15" s="1"/>
      <c r="C15" s="1"/>
      <c r="D15" s="1"/>
      <c r="E15" s="1"/>
      <c r="F15" s="1"/>
      <c r="G15" s="1"/>
      <c r="H15" s="1"/>
      <c r="I15" s="1"/>
      <c r="J15" s="1"/>
      <c r="K15" s="1"/>
      <c r="L15" s="1"/>
    </row>
    <row r="16" customFormat="false" ht="13" hidden="true" customHeight="false" outlineLevel="0" collapsed="false">
      <c r="A16" s="13" t="s">
        <v>5</v>
      </c>
      <c r="B16" s="14" t="str">
        <f aca="false">Para1!F160</f>
        <v>NEW</v>
      </c>
      <c r="C16" s="1"/>
      <c r="D16" s="1"/>
      <c r="E16" s="1"/>
      <c r="F16" s="1"/>
      <c r="G16" s="1"/>
      <c r="H16" s="1"/>
      <c r="I16" s="1"/>
      <c r="J16" s="1"/>
      <c r="K16" s="1"/>
      <c r="L16" s="1"/>
    </row>
    <row r="17" customFormat="false" ht="13" hidden="true" customHeight="false" outlineLevel="0" collapsed="false">
      <c r="A17" s="13"/>
      <c r="B17" s="15" t="str">
        <f aca="false">Para1!J230</f>
        <v>- The Record of Absences has been completely revised.</v>
      </c>
      <c r="C17" s="15"/>
      <c r="D17" s="15"/>
      <c r="E17" s="15"/>
      <c r="F17" s="15"/>
      <c r="G17" s="15"/>
      <c r="H17" s="15"/>
      <c r="I17" s="15"/>
      <c r="J17" s="15"/>
      <c r="K17" s="15"/>
      <c r="L17" s="15"/>
    </row>
    <row r="18" customFormat="false" ht="14" hidden="true" customHeight="false" outlineLevel="0" collapsed="false">
      <c r="A18" s="16"/>
      <c r="B18" s="15" t="str">
        <f aca="false">Para1!J231</f>
        <v>- There is a new file for personal information and transferred data.</v>
      </c>
      <c r="C18" s="15"/>
      <c r="D18" s="15"/>
      <c r="E18" s="15"/>
      <c r="F18" s="15"/>
      <c r="G18" s="15"/>
      <c r="H18" s="15"/>
      <c r="I18" s="15"/>
      <c r="J18" s="15"/>
      <c r="K18" s="15"/>
      <c r="L18" s="15"/>
      <c r="O18" s="13"/>
    </row>
    <row r="19" customFormat="false" ht="13" hidden="true" customHeight="false" outlineLevel="0" collapsed="false">
      <c r="A19" s="13"/>
      <c r="B19" s="15" t="str">
        <f aca="false">Para1!J232</f>
        <v>- The Overview of Absences has been abolished. Days absent are now recorded on the individual monthly tables.</v>
      </c>
      <c r="C19" s="15"/>
      <c r="D19" s="15"/>
      <c r="E19" s="15"/>
      <c r="F19" s="15"/>
      <c r="G19" s="15"/>
      <c r="H19" s="15"/>
      <c r="I19" s="15"/>
      <c r="J19" s="15"/>
      <c r="K19" s="15"/>
      <c r="L19" s="15"/>
    </row>
    <row r="20" customFormat="false" ht="13" hidden="true" customHeight="false" outlineLevel="0" collapsed="false">
      <c r="A20" s="13"/>
      <c r="B20" s="15" t="str">
        <f aca="false">Para1!J233</f>
        <v>- The working hours template is now incorporated into the monthly tables and as a new feature can be individually adjusted from day to day.</v>
      </c>
      <c r="C20" s="15"/>
      <c r="D20" s="15"/>
      <c r="E20" s="15"/>
      <c r="F20" s="15"/>
      <c r="G20" s="15"/>
      <c r="H20" s="15"/>
      <c r="I20" s="15"/>
      <c r="J20" s="15"/>
      <c r="K20" s="15"/>
      <c r="L20" s="15"/>
    </row>
    <row r="21" customFormat="false" ht="13" hidden="false" customHeight="false" outlineLevel="0" collapsed="false">
      <c r="A21" s="13"/>
      <c r="B21" s="17"/>
      <c r="C21" s="17"/>
      <c r="D21" s="17"/>
      <c r="E21" s="17"/>
      <c r="F21" s="17"/>
      <c r="G21" s="17"/>
      <c r="H21" s="17"/>
      <c r="I21" s="17"/>
      <c r="J21" s="17"/>
      <c r="K21" s="17"/>
      <c r="L21" s="17"/>
    </row>
    <row r="22" customFormat="false" ht="13" hidden="false" customHeight="false" outlineLevel="0" collapsed="false">
      <c r="A22" s="18" t="str">
        <f aca="false">Para1!F166</f>
        <v>personal data</v>
      </c>
      <c r="B22" s="18"/>
      <c r="C22" s="18"/>
      <c r="D22" s="17"/>
      <c r="E22" s="17"/>
      <c r="F22" s="17"/>
      <c r="G22" s="17"/>
      <c r="H22" s="17"/>
      <c r="I22" s="17"/>
      <c r="J22" s="17"/>
      <c r="K22" s="17"/>
      <c r="L22" s="17"/>
    </row>
    <row r="23" customFormat="false" ht="13" hidden="false" customHeight="false" outlineLevel="0" collapsed="false">
      <c r="A23" s="19" t="s">
        <v>5</v>
      </c>
      <c r="B23" s="18" t="str">
        <f aca="false">Para1!F166</f>
        <v>personal data</v>
      </c>
      <c r="C23" s="18"/>
      <c r="D23" s="1"/>
      <c r="E23" s="1"/>
      <c r="F23" s="1"/>
      <c r="G23" s="1"/>
      <c r="H23" s="1"/>
      <c r="I23" s="1"/>
      <c r="J23" s="1"/>
      <c r="K23" s="1"/>
      <c r="L23" s="1"/>
    </row>
    <row r="24" customFormat="false" ht="13" hidden="false" customHeight="false" outlineLevel="0" collapsed="false">
      <c r="B24" s="10" t="str">
        <f aca="false">Para1!J234</f>
        <v>Click on the tab “Persönliche Daten (pers. data)” on the scroll bar at the bottom of the table and complete the shaded grey fields with the following</v>
      </c>
      <c r="C24" s="10"/>
      <c r="D24" s="10"/>
      <c r="E24" s="10"/>
      <c r="F24" s="10"/>
      <c r="G24" s="10"/>
      <c r="H24" s="10"/>
      <c r="I24" s="10"/>
      <c r="J24" s="10"/>
      <c r="K24" s="10"/>
      <c r="L24" s="10"/>
    </row>
    <row r="25" customFormat="false" ht="13" hidden="false" customHeight="false" outlineLevel="0" collapsed="false">
      <c r="B25" s="10" t="str">
        <f aca="false">Para1!J235</f>
        <v>information: first name, family name, date of birth, personnel number, entry date, employment level (BG) and salary classification (GK).</v>
      </c>
      <c r="C25" s="10"/>
      <c r="D25" s="10"/>
      <c r="E25" s="10"/>
      <c r="F25" s="10"/>
      <c r="G25" s="10"/>
      <c r="H25" s="10"/>
      <c r="I25" s="10"/>
      <c r="J25" s="10"/>
      <c r="K25" s="10"/>
      <c r="L25" s="10"/>
    </row>
    <row r="26" customFormat="false" ht="13" hidden="false" customHeight="false" outlineLevel="0" collapsed="false">
      <c r="B26" s="10" t="str">
        <f aca="false">Para1!J236</f>
        <v>Use the tabulator key to move from one field to another. The data will be transferred automatically to the monthly tables, and your holiday entitlement</v>
      </c>
      <c r="C26" s="10"/>
      <c r="D26" s="10"/>
      <c r="E26" s="10"/>
      <c r="F26" s="10"/>
      <c r="G26" s="10"/>
      <c r="H26" s="10"/>
      <c r="I26" s="10"/>
      <c r="J26" s="10"/>
      <c r="K26" s="10"/>
      <c r="L26" s="10"/>
    </row>
    <row r="27" customFormat="false" ht="13" hidden="false" customHeight="false" outlineLevel="0" collapsed="false">
      <c r="B27" s="10" t="str">
        <f aca="false">Para1!J237</f>
        <v>and planned working time calculated. Trainees should enter the code ‘LE’ in the field ‘salary classification’ (holiday entitlement 32 days).</v>
      </c>
      <c r="C27" s="10"/>
      <c r="D27" s="10"/>
      <c r="E27" s="10"/>
      <c r="F27" s="10"/>
      <c r="G27" s="10"/>
      <c r="H27" s="10"/>
      <c r="I27" s="10"/>
      <c r="J27" s="10"/>
      <c r="K27" s="10"/>
      <c r="L27" s="10"/>
    </row>
    <row r="28" customFormat="false" ht="13" hidden="false" customHeight="false" outlineLevel="0" collapsed="false">
      <c r="B28" s="18" t="str">
        <f aca="false">Para1!J238</f>
        <v>Commencement/termination of employment during the year</v>
      </c>
      <c r="C28" s="18"/>
      <c r="D28" s="18"/>
      <c r="E28" s="18"/>
      <c r="F28" s="18"/>
      <c r="G28" s="18"/>
      <c r="H28" s="18"/>
      <c r="I28" s="18"/>
      <c r="J28" s="18"/>
      <c r="K28" s="18"/>
      <c r="L28" s="18"/>
    </row>
    <row r="29" customFormat="false" ht="13" hidden="false" customHeight="false" outlineLevel="0" collapsed="false">
      <c r="B29" s="10" t="str">
        <f aca="false">Para1!J239</f>
        <v>If employment is commenced during the course of the year, complete the fields level of employment (BG) and Salary classification (GK) from the month</v>
      </c>
      <c r="C29" s="10"/>
      <c r="D29" s="10"/>
      <c r="E29" s="10"/>
      <c r="F29" s="10"/>
      <c r="G29" s="10"/>
      <c r="H29" s="10"/>
      <c r="I29" s="10"/>
      <c r="J29" s="10"/>
      <c r="K29" s="10"/>
      <c r="L29" s="10"/>
    </row>
    <row r="30" customFormat="false" ht="13" hidden="false" customHeight="false" outlineLevel="0" collapsed="false">
      <c r="B30" s="10" t="str">
        <f aca="false">Para1!J240</f>
        <v>of entry. If employment is terminated during the year, enter a "0" for the remaining months. The record then ends with the last month of employment.</v>
      </c>
      <c r="C30" s="10"/>
      <c r="D30" s="10"/>
      <c r="E30" s="10"/>
      <c r="F30" s="10"/>
      <c r="G30" s="10"/>
      <c r="H30" s="10"/>
      <c r="I30" s="10"/>
      <c r="J30" s="10"/>
      <c r="K30" s="10"/>
      <c r="L30" s="10"/>
    </row>
    <row r="31" customFormat="false" ht="13" hidden="false" customHeight="false" outlineLevel="0" collapsed="false">
      <c r="B31" s="18" t="str">
        <f aca="false">Para1!J241</f>
        <v>Commencement or change in employment conditions mid-month</v>
      </c>
      <c r="C31" s="18"/>
      <c r="D31" s="18"/>
      <c r="E31" s="18"/>
      <c r="F31" s="18"/>
      <c r="G31" s="18"/>
      <c r="H31" s="18"/>
      <c r="I31" s="18"/>
      <c r="J31" s="18"/>
      <c r="K31" s="18"/>
      <c r="L31" s="18"/>
    </row>
    <row r="32" customFormat="false" ht="13" hidden="false" customHeight="false" outlineLevel="0" collapsed="false">
      <c r="B32" s="10" t="str">
        <f aca="false">Para1!J242</f>
        <v>When there is a change in employment during the month, the level of employment (BG) must be recalculated. Use “Umrechnung (Calculation)”.</v>
      </c>
      <c r="C32" s="10"/>
      <c r="D32" s="10"/>
      <c r="E32" s="10"/>
      <c r="F32" s="10"/>
      <c r="G32" s="10"/>
      <c r="H32" s="10"/>
      <c r="I32" s="10"/>
      <c r="J32" s="10"/>
      <c r="K32" s="10"/>
      <c r="L32" s="10"/>
    </row>
    <row r="33" customFormat="false" ht="13" hidden="false" customHeight="false" outlineLevel="0" collapsed="false">
      <c r="B33" s="19" t="str">
        <f aca="false">Para1!F87&amp;" "&amp;Para1!F97&amp;" / "&amp;Para1!F123</f>
        <v>Alteration in level of employment / salary class</v>
      </c>
      <c r="F33" s="1"/>
      <c r="G33" s="1"/>
      <c r="H33" s="1"/>
      <c r="I33" s="1"/>
      <c r="J33" s="1"/>
      <c r="K33" s="1"/>
      <c r="L33" s="1"/>
    </row>
    <row r="34" customFormat="false" ht="13" hidden="false" customHeight="false" outlineLevel="0" collapsed="false">
      <c r="B34" s="10" t="str">
        <f aca="false">Para1!J243</f>
        <v>If the BG or GK changes during the year, these can be recorded in the corresponding month in the "Persönliche Daten (pers. Data)".</v>
      </c>
      <c r="C34" s="10"/>
      <c r="D34" s="10"/>
      <c r="E34" s="10"/>
      <c r="F34" s="10"/>
      <c r="G34" s="10"/>
      <c r="H34" s="10"/>
      <c r="I34" s="10"/>
      <c r="J34" s="10"/>
      <c r="K34" s="10"/>
      <c r="L34" s="10"/>
    </row>
    <row r="35" customFormat="false" ht="13" hidden="false" customHeight="false" outlineLevel="0" collapsed="false">
      <c r="A35" s="19" t="s">
        <v>5</v>
      </c>
      <c r="B35" s="18" t="str">
        <f aca="false">Para1!F184&amp;": "&amp;Para1!F117</f>
        <v>hours left from last year: holiday</v>
      </c>
      <c r="C35" s="18"/>
      <c r="D35" s="18"/>
      <c r="E35" s="18"/>
      <c r="F35" s="18"/>
      <c r="G35" s="18"/>
      <c r="H35" s="18"/>
      <c r="I35" s="18"/>
      <c r="J35" s="18"/>
      <c r="K35" s="18"/>
      <c r="L35" s="18"/>
    </row>
    <row r="36" customFormat="false" ht="13" hidden="false" customHeight="false" outlineLevel="0" collapsed="false">
      <c r="B36" s="20" t="str">
        <f aca="false">Para1!J244</f>
        <v>Enter last years holiday balance as agreed with your supervisor.</v>
      </c>
      <c r="C36" s="20"/>
      <c r="D36" s="20"/>
      <c r="E36" s="20"/>
      <c r="F36" s="20"/>
      <c r="G36" s="20"/>
      <c r="H36" s="20"/>
      <c r="I36" s="20"/>
      <c r="J36" s="20"/>
      <c r="K36" s="20"/>
      <c r="L36" s="20"/>
    </row>
    <row r="37" customFormat="false" ht="13" hidden="false" customHeight="false" outlineLevel="0" collapsed="false">
      <c r="B37" s="20" t="str">
        <f aca="false">Para1!J245</f>
        <v> </v>
      </c>
      <c r="C37" s="20"/>
      <c r="D37" s="20"/>
      <c r="E37" s="20"/>
      <c r="F37" s="20"/>
      <c r="G37" s="20"/>
      <c r="H37" s="20"/>
      <c r="I37" s="20"/>
      <c r="J37" s="20"/>
      <c r="K37" s="20"/>
      <c r="L37" s="20"/>
    </row>
    <row r="38" customFormat="false" ht="13" hidden="false" customHeight="false" outlineLevel="0" collapsed="false">
      <c r="A38" s="11"/>
      <c r="B38" s="11"/>
      <c r="C38" s="11"/>
      <c r="D38" s="11"/>
      <c r="E38" s="11"/>
      <c r="F38" s="11"/>
      <c r="G38" s="11"/>
      <c r="H38" s="11"/>
      <c r="I38" s="11"/>
      <c r="J38" s="11"/>
      <c r="K38" s="11"/>
      <c r="L38" s="11"/>
    </row>
    <row r="39" customFormat="false" ht="13" hidden="false" customHeight="false" outlineLevel="0" collapsed="false">
      <c r="A39" s="19" t="str">
        <f aca="false">Para1!F132</f>
        <v>Overview</v>
      </c>
      <c r="B39" s="19"/>
      <c r="D39" s="1"/>
      <c r="E39" s="1"/>
      <c r="F39" s="1"/>
      <c r="G39" s="1"/>
      <c r="H39" s="1"/>
      <c r="I39" s="1"/>
      <c r="J39" s="1"/>
      <c r="K39" s="1"/>
      <c r="L39" s="1"/>
    </row>
    <row r="40" customFormat="false" ht="13" hidden="false" customHeight="false" outlineLevel="0" collapsed="false">
      <c r="A40" s="19" t="s">
        <v>5</v>
      </c>
      <c r="B40" s="19" t="str">
        <f aca="false">Para1!F117</f>
        <v>holiday</v>
      </c>
      <c r="C40" s="1"/>
      <c r="D40" s="1"/>
      <c r="E40" s="1"/>
      <c r="F40" s="1"/>
      <c r="G40" s="1"/>
      <c r="H40" s="1"/>
      <c r="I40" s="1"/>
      <c r="J40" s="1"/>
      <c r="K40" s="1"/>
      <c r="L40" s="1"/>
    </row>
    <row r="41" customFormat="false" ht="13" hidden="false" customHeight="false" outlineLevel="0" collapsed="false">
      <c r="B41" s="10" t="str">
        <f aca="false">Para1!J246</f>
        <v>This is an overview of your unused holiday entitlement, holiday taken and reduction of holiday.</v>
      </c>
      <c r="C41" s="10"/>
      <c r="D41" s="10"/>
      <c r="E41" s="10"/>
      <c r="F41" s="10"/>
      <c r="G41" s="10"/>
      <c r="H41" s="10"/>
      <c r="I41" s="10"/>
      <c r="J41" s="10"/>
      <c r="K41" s="10"/>
      <c r="L41" s="10"/>
    </row>
    <row r="42" customFormat="false" ht="13" hidden="false" customHeight="false" outlineLevel="0" collapsed="false">
      <c r="B42" s="19" t="str">
        <f aca="false">Para1!F182</f>
        <v>loyalty premium</v>
      </c>
      <c r="D42" s="1"/>
      <c r="E42" s="1"/>
      <c r="F42" s="1"/>
      <c r="G42" s="1"/>
      <c r="H42" s="1"/>
      <c r="I42" s="1"/>
      <c r="J42" s="1"/>
      <c r="K42" s="1"/>
      <c r="L42" s="1"/>
    </row>
    <row r="43" customFormat="false" ht="13" hidden="false" customHeight="false" outlineLevel="0" collapsed="false">
      <c r="B43" s="10" t="str">
        <f aca="false">Para1!J247</f>
        <v>Enter here holiday entitlement earned as a result of long-service.</v>
      </c>
      <c r="C43" s="10"/>
      <c r="D43" s="10"/>
      <c r="E43" s="10"/>
      <c r="F43" s="10"/>
      <c r="G43" s="10"/>
      <c r="H43" s="10"/>
      <c r="I43" s="10"/>
      <c r="J43" s="10"/>
      <c r="K43" s="10"/>
      <c r="L43" s="10"/>
    </row>
    <row r="44" customFormat="false" ht="13" hidden="false" customHeight="false" outlineLevel="0" collapsed="false">
      <c r="B44" s="19" t="str">
        <f aca="false">Para1!F119</f>
        <v>reduction of holiday</v>
      </c>
      <c r="D44" s="1"/>
      <c r="E44" s="1"/>
      <c r="F44" s="1"/>
      <c r="G44" s="1"/>
      <c r="H44" s="1"/>
      <c r="I44" s="1"/>
      <c r="J44" s="1"/>
      <c r="K44" s="1"/>
      <c r="L44" s="1"/>
    </row>
    <row r="45" customFormat="false" ht="13" hidden="false" customHeight="false" outlineLevel="0" collapsed="false">
      <c r="B45" s="10" t="str">
        <f aca="false">Para1!J248</f>
        <v>This is an overview of your reduction of holiday, entered manually. Holiday reduction as a result of unpaid leave, lengthy absences due to illness or</v>
      </c>
      <c r="C45" s="10"/>
      <c r="D45" s="10"/>
      <c r="E45" s="10"/>
      <c r="F45" s="10"/>
      <c r="G45" s="10"/>
      <c r="H45" s="10"/>
      <c r="I45" s="10"/>
      <c r="J45" s="10"/>
      <c r="K45" s="10"/>
      <c r="L45" s="10"/>
    </row>
    <row r="46" customFormat="false" ht="13" hidden="false" customHeight="false" outlineLevel="0" collapsed="false">
      <c r="B46" s="10" t="str">
        <f aca="false">Para1!J249</f>
        <v>accident should be entered in hours and minutes. Holiday reductions are entered on the individual monthly tables.</v>
      </c>
      <c r="C46" s="10"/>
      <c r="D46" s="10"/>
      <c r="E46" s="10"/>
      <c r="F46" s="10"/>
      <c r="G46" s="10"/>
      <c r="H46" s="10"/>
      <c r="I46" s="10"/>
      <c r="J46" s="10"/>
      <c r="K46" s="10"/>
      <c r="L46" s="10"/>
    </row>
    <row r="47" customFormat="false" ht="13" hidden="false" customHeight="false" outlineLevel="0" collapsed="false">
      <c r="B47" s="10" t="str">
        <f aca="false">Para1!J250</f>
        <v>In the case of lengthy absence consult:</v>
      </c>
      <c r="C47" s="10"/>
      <c r="D47" s="10"/>
      <c r="E47" s="21" t="s">
        <v>6</v>
      </c>
      <c r="F47" s="22"/>
      <c r="G47" s="22"/>
      <c r="H47" s="22"/>
      <c r="I47" s="22"/>
      <c r="J47" s="22"/>
      <c r="K47" s="22"/>
      <c r="L47" s="22"/>
      <c r="M47" s="21"/>
    </row>
    <row r="48" customFormat="false" ht="13" hidden="false" customHeight="false" outlineLevel="0" collapsed="false">
      <c r="A48" s="19" t="s">
        <v>5</v>
      </c>
      <c r="B48" s="19" t="str">
        <f aca="false">Para1!F83</f>
        <v>absences</v>
      </c>
      <c r="C48" s="1"/>
      <c r="D48" s="1"/>
      <c r="E48" s="1"/>
      <c r="F48" s="1"/>
      <c r="G48" s="1"/>
      <c r="H48" s="1"/>
      <c r="I48" s="1"/>
      <c r="J48" s="1"/>
      <c r="K48" s="1"/>
      <c r="L48" s="1"/>
    </row>
    <row r="49" customFormat="false" ht="13" hidden="false" customHeight="false" outlineLevel="0" collapsed="false">
      <c r="B49" s="10" t="str">
        <f aca="false">Para1!J251</f>
        <v>This is an overview of your absences for the whole year.</v>
      </c>
      <c r="C49" s="10"/>
      <c r="D49" s="10"/>
      <c r="E49" s="10"/>
      <c r="F49" s="10"/>
      <c r="G49" s="10"/>
      <c r="H49" s="10"/>
      <c r="I49" s="10"/>
      <c r="J49" s="10"/>
      <c r="K49" s="10"/>
      <c r="L49" s="10"/>
    </row>
    <row r="50" customFormat="false" ht="13" hidden="false" customHeight="false" outlineLevel="0" collapsed="false">
      <c r="A50" s="1"/>
      <c r="B50" s="1"/>
      <c r="C50" s="1"/>
      <c r="D50" s="1"/>
      <c r="E50" s="1"/>
      <c r="F50" s="1"/>
      <c r="G50" s="1"/>
      <c r="H50" s="1"/>
      <c r="I50" s="1"/>
      <c r="J50" s="1"/>
      <c r="K50" s="1"/>
      <c r="L50" s="1"/>
    </row>
    <row r="51" customFormat="false" ht="13" hidden="false" customHeight="false" outlineLevel="0" collapsed="false">
      <c r="A51" s="18" t="str">
        <f aca="false">Para1!F155</f>
        <v>monthly sheets</v>
      </c>
      <c r="B51" s="18"/>
      <c r="C51" s="1"/>
      <c r="D51" s="1"/>
      <c r="E51" s="1"/>
      <c r="F51" s="1"/>
      <c r="G51" s="1"/>
      <c r="H51" s="1"/>
      <c r="I51" s="1"/>
      <c r="J51" s="1"/>
      <c r="K51" s="1"/>
      <c r="L51" s="1"/>
    </row>
    <row r="52" customFormat="false" ht="13" hidden="false" customHeight="false" outlineLevel="0" collapsed="false">
      <c r="A52" s="19" t="s">
        <v>5</v>
      </c>
      <c r="B52" s="18" t="str">
        <f aca="false">Para1!F83&amp;" in "&amp;Para1!F176</f>
        <v>absences in hours</v>
      </c>
      <c r="C52" s="18"/>
      <c r="D52" s="1"/>
      <c r="E52" s="1"/>
      <c r="F52" s="1"/>
      <c r="G52" s="1"/>
      <c r="H52" s="1"/>
      <c r="I52" s="1"/>
      <c r="J52" s="1"/>
      <c r="K52" s="1"/>
      <c r="L52" s="1"/>
    </row>
    <row r="53" customFormat="false" ht="13" hidden="false" customHeight="false" outlineLevel="0" collapsed="false">
      <c r="B53" s="10" t="str">
        <f aca="false">Para1!J252</f>
        <v>Absences in hours should be entered in hours and minutes in the appropriate fields. In the case of a full or half-day absence, take into account the</v>
      </c>
      <c r="C53" s="10"/>
      <c r="D53" s="10"/>
      <c r="E53" s="10"/>
      <c r="F53" s="10"/>
      <c r="G53" s="10"/>
      <c r="H53" s="10"/>
      <c r="I53" s="10"/>
      <c r="J53" s="10"/>
      <c r="K53" s="10"/>
      <c r="L53" s="10"/>
    </row>
    <row r="54" customFormat="false" ht="13" hidden="false" customHeight="false" outlineLevel="0" collapsed="false">
      <c r="B54" s="20" t="str">
        <f aca="false">Para1!J253</f>
        <v>planned working time for the corresponding day. (The theoretical time to be worked for one half day is found below the column with the working</v>
      </c>
      <c r="C54" s="20"/>
      <c r="D54" s="20"/>
      <c r="E54" s="20"/>
      <c r="F54" s="20"/>
      <c r="G54" s="20"/>
      <c r="H54" s="20"/>
      <c r="I54" s="20"/>
      <c r="J54" s="20"/>
      <c r="K54" s="20"/>
      <c r="L54" s="20"/>
    </row>
    <row r="55" customFormat="false" ht="13" hidden="false" customHeight="false" outlineLevel="0" collapsed="false">
      <c r="B55" s="20" t="str">
        <f aca="false">Para1!J254</f>
        <v>hours template)</v>
      </c>
      <c r="C55" s="20"/>
      <c r="D55" s="20"/>
      <c r="E55" s="20"/>
      <c r="F55" s="20"/>
      <c r="G55" s="20"/>
      <c r="H55" s="20"/>
      <c r="I55" s="20"/>
      <c r="J55" s="20"/>
      <c r="K55" s="20"/>
      <c r="L55" s="20"/>
    </row>
    <row r="56" customFormat="false" ht="13" hidden="false" customHeight="false" outlineLevel="0" collapsed="false">
      <c r="A56" s="19" t="s">
        <v>5</v>
      </c>
      <c r="B56" s="18" t="str">
        <f aca="false">Para1!F83&amp;" in "&amp;Para1!F178</f>
        <v>absences in days</v>
      </c>
      <c r="C56" s="18"/>
      <c r="D56" s="1"/>
      <c r="E56" s="1"/>
      <c r="F56" s="1"/>
      <c r="G56" s="1"/>
      <c r="H56" s="1"/>
      <c r="I56" s="1"/>
      <c r="J56" s="1"/>
      <c r="K56" s="1"/>
      <c r="L56" s="1"/>
    </row>
    <row r="57" customFormat="false" ht="13" hidden="false" customHeight="false" outlineLevel="0" collapsed="false">
      <c r="B57" s="10" t="str">
        <f aca="false">Para1!J255</f>
        <v>Absences in days should be entered in the corresponding fields for morning and afternoon. Unlike the absences in hours,entries are not made in hours</v>
      </c>
      <c r="C57" s="10"/>
      <c r="D57" s="10"/>
      <c r="E57" s="10"/>
      <c r="F57" s="10"/>
      <c r="G57" s="10"/>
      <c r="H57" s="10"/>
      <c r="I57" s="10"/>
      <c r="J57" s="10"/>
      <c r="K57" s="10"/>
      <c r="L57" s="10"/>
    </row>
    <row r="58" customFormat="false" ht="13" hidden="false" customHeight="false" outlineLevel="0" collapsed="false">
      <c r="B58" s="10" t="str">
        <f aca="false">Para1!J256</f>
        <v>and minutes but by using the corresponding letter. A key to these is found on the monthly tables. The record of absences automatically calculates</v>
      </c>
      <c r="C58" s="10"/>
      <c r="D58" s="10"/>
      <c r="E58" s="10"/>
      <c r="F58" s="10"/>
      <c r="G58" s="10"/>
      <c r="H58" s="10"/>
      <c r="I58" s="10"/>
      <c r="J58" s="10"/>
      <c r="K58" s="10"/>
      <c r="L58" s="10"/>
    </row>
    <row r="59" customFormat="false" ht="13" hidden="false" customHeight="false" outlineLevel="0" collapsed="false">
      <c r="B59" s="10" t="str">
        <f aca="false">Para1!J257</f>
        <v>absences taken in hours and minutes.</v>
      </c>
      <c r="C59" s="10"/>
      <c r="D59" s="10"/>
      <c r="E59" s="10"/>
      <c r="F59" s="10"/>
      <c r="G59" s="10"/>
      <c r="H59" s="10"/>
      <c r="I59" s="10"/>
      <c r="J59" s="10"/>
      <c r="K59" s="10"/>
      <c r="L59" s="10"/>
    </row>
    <row r="60" customFormat="false" ht="13" hidden="false" customHeight="false" outlineLevel="0" collapsed="false">
      <c r="A60" s="19" t="s">
        <v>5</v>
      </c>
      <c r="B60" s="23" t="str">
        <f aca="false">Para1!F91</f>
        <v>working hours template</v>
      </c>
      <c r="C60" s="23"/>
      <c r="D60" s="1"/>
      <c r="E60" s="1"/>
      <c r="F60" s="1"/>
      <c r="G60" s="1"/>
      <c r="H60" s="1"/>
      <c r="I60" s="1"/>
      <c r="J60" s="1"/>
      <c r="K60" s="1"/>
      <c r="L60" s="1"/>
    </row>
    <row r="61" customFormat="false" ht="13" hidden="false" customHeight="false" outlineLevel="0" collapsed="false">
      <c r="B61" s="10" t="str">
        <f aca="false">Para1!J258</f>
        <v>A new feature is the working hours template. An individual entry can be made for each day. The working hours template is incorporated in the standard</v>
      </c>
      <c r="C61" s="10"/>
      <c r="D61" s="10"/>
      <c r="E61" s="10"/>
      <c r="F61" s="10"/>
      <c r="G61" s="10"/>
      <c r="H61" s="10"/>
      <c r="I61" s="10"/>
      <c r="J61" s="10"/>
      <c r="K61" s="10"/>
      <c r="L61" s="10"/>
    </row>
    <row r="62" customFormat="false" ht="13" hidden="false" customHeight="false" outlineLevel="0" collapsed="false">
      <c r="B62" s="6" t="str">
        <f aca="false">Para1!J259</f>
        <v>settings and not in the print area. Further information can be found:</v>
      </c>
      <c r="C62" s="6"/>
      <c r="D62" s="6"/>
      <c r="E62" s="6"/>
      <c r="F62" s="6"/>
      <c r="G62" s="12" t="s">
        <v>7</v>
      </c>
      <c r="H62" s="12"/>
      <c r="I62" s="12"/>
      <c r="J62" s="12"/>
      <c r="K62" s="12"/>
      <c r="L62" s="12"/>
    </row>
    <row r="63" customFormat="false" ht="13" hidden="false" customHeight="false" outlineLevel="0" collapsed="false">
      <c r="A63" s="1"/>
      <c r="B63" s="1"/>
      <c r="C63" s="1"/>
      <c r="D63" s="1"/>
      <c r="E63" s="1"/>
      <c r="F63" s="1"/>
      <c r="G63" s="1"/>
      <c r="H63" s="1"/>
      <c r="I63" s="1"/>
      <c r="J63" s="1"/>
      <c r="K63" s="1"/>
      <c r="L63" s="1"/>
    </row>
    <row r="64" customFormat="false" ht="13" hidden="false" customHeight="false" outlineLevel="0" collapsed="false">
      <c r="A64" s="18" t="str">
        <f aca="false">Para1!F201</f>
        <v>key figures</v>
      </c>
      <c r="B64" s="18"/>
      <c r="C64" s="1"/>
      <c r="D64" s="1"/>
      <c r="E64" s="1"/>
      <c r="F64" s="1"/>
      <c r="G64" s="1"/>
      <c r="H64" s="1"/>
      <c r="I64" s="1"/>
      <c r="J64" s="1"/>
      <c r="K64" s="1"/>
      <c r="L64" s="1"/>
    </row>
    <row r="65" customFormat="false" ht="13" hidden="false" customHeight="false" outlineLevel="0" collapsed="false">
      <c r="B65" s="10" t="str">
        <f aca="false">Para1!J260</f>
        <v>In the worksheet "Zeitkennzahlen (key figures)" you will find a summary of the key figures. It is a requirement of the University of Bern that all</v>
      </c>
      <c r="C65" s="10"/>
      <c r="D65" s="10"/>
      <c r="E65" s="10"/>
      <c r="F65" s="10"/>
      <c r="G65" s="10"/>
      <c r="H65" s="10"/>
      <c r="I65" s="10"/>
      <c r="J65" s="10"/>
      <c r="K65" s="10"/>
      <c r="L65" s="10"/>
    </row>
    <row r="66" customFormat="false" ht="13" hidden="false" customHeight="false" outlineLevel="0" collapsed="false">
      <c r="B66" s="10" t="str">
        <f aca="false">Para1!J261</f>
        <v>employees submit an annual report of time worked and/or absences. The relevant date is 31.12. each year and the information must be registered</v>
      </c>
      <c r="C66" s="10"/>
      <c r="D66" s="10"/>
      <c r="E66" s="10"/>
      <c r="F66" s="10"/>
      <c r="G66" s="10"/>
      <c r="H66" s="10"/>
      <c r="I66" s="10"/>
      <c r="J66" s="10"/>
      <c r="K66" s="10"/>
      <c r="L66" s="10"/>
    </row>
    <row r="67" customFormat="false" ht="13" hidden="false" customHeight="false" outlineLevel="0" collapsed="false">
      <c r="B67" s="10" t="str">
        <f aca="false">Para1!J262</f>
        <v>by the begin of January by the member of staff responsible in each organisational unit.</v>
      </c>
      <c r="C67" s="10"/>
      <c r="D67" s="10"/>
      <c r="E67" s="10"/>
      <c r="F67" s="10"/>
      <c r="G67" s="10"/>
      <c r="H67" s="10"/>
      <c r="I67" s="10"/>
      <c r="J67" s="10"/>
      <c r="K67" s="10"/>
      <c r="L67" s="10"/>
    </row>
    <row r="68" customFormat="false" ht="13" hidden="false" customHeight="false" outlineLevel="0" collapsed="false">
      <c r="B68" s="10"/>
      <c r="C68" s="10"/>
      <c r="D68" s="10"/>
      <c r="E68" s="10"/>
      <c r="F68" s="10"/>
      <c r="G68" s="12"/>
      <c r="H68" s="12"/>
      <c r="I68" s="12"/>
      <c r="J68" s="12"/>
      <c r="K68" s="12"/>
      <c r="L68" s="12"/>
    </row>
  </sheetData>
  <sheetProtection algorithmName="SHA-512" hashValue="g6BvviAjM4BYd1X4Ks+533UZnRkeA9Z/rt443Elk4Y4ZDkqXCwt/C78R16LGFimp2g4MPFIz65Vuw0i3z6oZpQ==" saltValue="fwRrpFzVNtlAYEtVN//OHw==" spinCount="100000" sheet="true" objects="true" scenarios="true"/>
  <mergeCells count="76">
    <mergeCell ref="A1:I1"/>
    <mergeCell ref="A2:I2"/>
    <mergeCell ref="A3:I3"/>
    <mergeCell ref="A4:I4"/>
    <mergeCell ref="A5:I5"/>
    <mergeCell ref="A6:I6"/>
    <mergeCell ref="A7:I7"/>
    <mergeCell ref="A8:C8"/>
    <mergeCell ref="E8:F8"/>
    <mergeCell ref="A10:B10"/>
    <mergeCell ref="D10:E10"/>
    <mergeCell ref="F10:J10"/>
    <mergeCell ref="A11:L11"/>
    <mergeCell ref="A12:L12"/>
    <mergeCell ref="A13:E13"/>
    <mergeCell ref="F13:G13"/>
    <mergeCell ref="H13:L13"/>
    <mergeCell ref="A14:L14"/>
    <mergeCell ref="A15:L15"/>
    <mergeCell ref="C16:L16"/>
    <mergeCell ref="B17:L17"/>
    <mergeCell ref="B18:L18"/>
    <mergeCell ref="B19:L19"/>
    <mergeCell ref="B20:L20"/>
    <mergeCell ref="A22:C22"/>
    <mergeCell ref="B23:C23"/>
    <mergeCell ref="D23:L23"/>
    <mergeCell ref="B24:L24"/>
    <mergeCell ref="B25:L25"/>
    <mergeCell ref="B26:L26"/>
    <mergeCell ref="B27:L27"/>
    <mergeCell ref="B28:L28"/>
    <mergeCell ref="B29:L29"/>
    <mergeCell ref="B30:L30"/>
    <mergeCell ref="B31:L31"/>
    <mergeCell ref="B32:L32"/>
    <mergeCell ref="F33:L33"/>
    <mergeCell ref="B34:L34"/>
    <mergeCell ref="B35:L35"/>
    <mergeCell ref="B36:L36"/>
    <mergeCell ref="B37:L37"/>
    <mergeCell ref="D39:L39"/>
    <mergeCell ref="C40:L40"/>
    <mergeCell ref="B41:L41"/>
    <mergeCell ref="D42:L42"/>
    <mergeCell ref="B43:L43"/>
    <mergeCell ref="D44:L44"/>
    <mergeCell ref="B45:L45"/>
    <mergeCell ref="B46:L46"/>
    <mergeCell ref="B47:D47"/>
    <mergeCell ref="C48:L48"/>
    <mergeCell ref="B49:L49"/>
    <mergeCell ref="A50:L50"/>
    <mergeCell ref="A51:B51"/>
    <mergeCell ref="C51:L51"/>
    <mergeCell ref="B52:C52"/>
    <mergeCell ref="D52:L52"/>
    <mergeCell ref="B53:L53"/>
    <mergeCell ref="B54:L54"/>
    <mergeCell ref="B55:L55"/>
    <mergeCell ref="B56:C56"/>
    <mergeCell ref="D56:L56"/>
    <mergeCell ref="B57:L57"/>
    <mergeCell ref="B58:L58"/>
    <mergeCell ref="B59:L59"/>
    <mergeCell ref="D60:L60"/>
    <mergeCell ref="B61:L61"/>
    <mergeCell ref="G62:L62"/>
    <mergeCell ref="A63:L63"/>
    <mergeCell ref="A64:B64"/>
    <mergeCell ref="C64:L64"/>
    <mergeCell ref="B65:L65"/>
    <mergeCell ref="B66:L66"/>
    <mergeCell ref="B67:L67"/>
    <mergeCell ref="B68:F68"/>
    <mergeCell ref="G68:L68"/>
  </mergeCells>
  <dataValidations count="1">
    <dataValidation allowBlank="true" operator="between" showDropDown="false" showErrorMessage="true" showInputMessage="true" sqref="D8" type="list">
      <formula1>$H$8:$H$9</formula1>
      <formula2>0</formula2>
    </dataValidation>
  </dataValidations>
  <hyperlinks>
    <hyperlink ref="F13" r:id="rId1" display="systeme@pers.unibe.ch"/>
    <hyperlink ref="E47" r:id="rId2" display="Kürzung der Ferien (Wissensdatenbank Personalrecht)"/>
    <hyperlink ref="G62" r:id="rId3" display="Erklärung Arbeitsmuster"/>
  </hyperlinks>
  <printOptions headings="false" gridLines="false" gridLinesSet="true" horizontalCentered="false" verticalCentered="false"/>
  <pageMargins left="0.7" right="0.7" top="0.7875" bottom="0.7875" header="0.511805555555555" footer="0.3"/>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&amp;L&amp;Z&amp;F&amp;RSeite &amp;P/&amp;N</oddFooter>
  </headerFooter>
  <rowBreaks count="1" manualBreakCount="1">
    <brk id="43" man="true" max="16383" min="0"/>
  </rowBreaks>
  <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61"/>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L37" activeCellId="0" sqref="L37"/>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4" min="4" style="238" width="12.66"/>
    <col collapsed="false" customWidth="true" hidden="false" outlineLevel="0" max="7" min="5" style="117" width="12.66"/>
    <col collapsed="false" customWidth="true" hidden="false" outlineLevel="0" max="8" min="8" style="145" width="12.66"/>
    <col collapsed="false" customWidth="true" hidden="false" outlineLevel="0" max="9" min="9" style="117" width="12.66"/>
    <col collapsed="false" customWidth="true" hidden="false" outlineLevel="0" max="10" min="10" style="117" width="2.84"/>
    <col collapsed="false" customWidth="true" hidden="false" outlineLevel="0" max="12" min="11" style="117"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2"/>
    <col collapsed="false" customWidth="false" hidden="false" outlineLevel="0" max="1024" min="24" style="117" width="11.5"/>
  </cols>
  <sheetData>
    <row r="1" s="117" customFormat="tru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I1" s="24"/>
      <c r="J1" s="121"/>
      <c r="K1" s="121" t="str">
        <f aca="false">Para1!F133</f>
        <v>year of birth (4-digit):</v>
      </c>
      <c r="L1" s="122" t="n">
        <f aca="false">'Jahresübersicht (Overview)'!K2</f>
        <v>1994</v>
      </c>
      <c r="Z1" s="123"/>
    </row>
    <row r="2" customFormat="false" ht="6" hidden="false" customHeight="true" outlineLevel="0" collapsed="false">
      <c r="D2" s="124"/>
      <c r="E2" s="124"/>
      <c r="F2" s="124"/>
      <c r="G2" s="124"/>
      <c r="H2" s="117"/>
      <c r="I2" s="124"/>
      <c r="J2" s="124"/>
      <c r="K2" s="124"/>
      <c r="L2" s="124"/>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(Overview)'!I8</f>
        <v>100</v>
      </c>
      <c r="H3" s="117" t="s">
        <v>11</v>
      </c>
      <c r="I3" s="24"/>
      <c r="J3" s="119"/>
      <c r="K3" s="126" t="str">
        <f aca="false">Para1!F113</f>
        <v>starting date:</v>
      </c>
      <c r="L3" s="127" t="n">
        <f aca="false">'Jahresübersicht (Overview)'!$G$4</f>
        <v>42688</v>
      </c>
      <c r="M3" s="128"/>
      <c r="N3" s="128"/>
    </row>
    <row r="4" customFormat="false" ht="6" hidden="false" customHeight="true" outlineLevel="0" collapsed="false">
      <c r="A4" s="129"/>
      <c r="B4" s="130"/>
      <c r="C4" s="130"/>
      <c r="D4" s="131"/>
      <c r="E4" s="131"/>
      <c r="F4" s="131"/>
      <c r="G4" s="131"/>
      <c r="H4" s="131"/>
      <c r="I4" s="132"/>
      <c r="J4" s="132"/>
      <c r="K4" s="132"/>
      <c r="L4" s="132"/>
      <c r="M4" s="130"/>
      <c r="N4" s="130"/>
    </row>
    <row r="5" customFormat="false" ht="6" hidden="false" customHeight="true" outlineLevel="0" collapsed="false">
      <c r="D5" s="124"/>
      <c r="E5" s="124"/>
      <c r="F5" s="124"/>
      <c r="G5" s="124"/>
      <c r="H5" s="124"/>
      <c r="I5" s="134"/>
      <c r="J5" s="134"/>
      <c r="K5" s="134"/>
      <c r="L5" s="134"/>
    </row>
    <row r="6" customFormat="false" ht="15" hidden="false" customHeight="true" outlineLevel="0" collapsed="false">
      <c r="D6" s="124"/>
      <c r="E6" s="135"/>
      <c r="F6" s="124"/>
      <c r="G6" s="124"/>
      <c r="H6" s="124"/>
      <c r="I6" s="134"/>
      <c r="J6" s="134"/>
      <c r="K6" s="134"/>
      <c r="L6" s="134"/>
    </row>
    <row r="7" customFormat="false" ht="15" hidden="false" customHeight="true" outlineLevel="0" collapsed="false">
      <c r="C7" s="136"/>
      <c r="D7" s="126" t="str">
        <f aca="false">Para1!F117</f>
        <v>holiday</v>
      </c>
      <c r="E7" s="137" t="s">
        <v>12</v>
      </c>
      <c r="H7" s="117"/>
      <c r="I7" s="121" t="str">
        <f aca="false">Para1!F83</f>
        <v>absences</v>
      </c>
      <c r="J7" s="117" t="s">
        <v>12</v>
      </c>
      <c r="L7" s="138" t="str">
        <f aca="false">Para1!F84</f>
        <v>curr. mnth</v>
      </c>
      <c r="M7" s="138" t="str">
        <f aca="false">Para1!F195</f>
        <v>last mnth(s)</v>
      </c>
      <c r="N7" s="139" t="str">
        <f aca="false">Para1!F171</f>
        <v>balance</v>
      </c>
      <c r="O7" s="124"/>
      <c r="P7" s="124"/>
    </row>
    <row r="8" customFormat="false" ht="15" hidden="false" customHeight="true" outlineLevel="0" collapsed="false">
      <c r="D8" s="138" t="str">
        <f aca="false">Para1!B171&amp;" "&amp;Para1!B88&amp;" "&amp;Para1!B154</f>
        <v>Saldo Anfang Monat</v>
      </c>
      <c r="E8" s="141" t="n">
        <f aca="false">Juni!E11</f>
        <v>7.04375</v>
      </c>
      <c r="H8" s="117"/>
      <c r="I8" s="135" t="str">
        <f aca="false">Para1!F141</f>
        <v>illness</v>
      </c>
      <c r="J8" s="142"/>
      <c r="L8" s="143" t="n">
        <f aca="false">D54</f>
        <v>0</v>
      </c>
      <c r="M8" s="143" t="n">
        <f aca="false">Juni!N8</f>
        <v>0</v>
      </c>
      <c r="N8" s="144" t="n">
        <f aca="false">SUM(L8:M8)</f>
        <v>0</v>
      </c>
    </row>
    <row r="9" customFormat="false" ht="15" hidden="false" customHeight="true" outlineLevel="0" collapsed="false">
      <c r="D9" s="138" t="str">
        <f aca="false">"./. "&amp;Para1!F118</f>
        <v>./. holiday taken</v>
      </c>
      <c r="E9" s="141" t="n">
        <f aca="false">COUNTIF($K$23:$L$53,"f")*$P$55-IF(ISNA(F9),0,((S54+T54)/100*G3)/48)-IF(ISNA(G9),0,((S54+T54)/100*G3)/48)</f>
        <v>1.75</v>
      </c>
      <c r="F9" s="145" t="e">
        <f aca="false">INDEX(U23:U53,MATCH("f",U23:U53,0))</f>
        <v>#N/A</v>
      </c>
      <c r="G9" s="145" t="e">
        <f aca="false">INDEX(V23:V53,MATCH("f",V23:V53,0))</f>
        <v>#N/A</v>
      </c>
      <c r="H9" s="117"/>
      <c r="I9" s="135" t="str">
        <f aca="false">Para1!F190</f>
        <v>accident</v>
      </c>
      <c r="J9" s="120" t="str">
        <f aca="false">Para1!F99</f>
        <v>work related</v>
      </c>
      <c r="K9" s="120"/>
      <c r="L9" s="143" t="n">
        <f aca="false">E54</f>
        <v>0</v>
      </c>
      <c r="M9" s="143" t="n">
        <f aca="false">Juni!N9</f>
        <v>0</v>
      </c>
      <c r="N9" s="144" t="n">
        <f aca="false">SUM(L9:M9)</f>
        <v>0</v>
      </c>
    </row>
    <row r="10" customFormat="false" ht="15" hidden="false" customHeight="true" outlineLevel="0" collapsed="false">
      <c r="D10" s="138" t="str">
        <f aca="false">"./ ."&amp;Para1!F119</f>
        <v>./ .reduction of holiday</v>
      </c>
      <c r="E10" s="147" t="n">
        <v>0</v>
      </c>
      <c r="H10" s="117"/>
      <c r="I10" s="135"/>
      <c r="J10" s="120" t="str">
        <f aca="false">Para1!F161&amp;" "&amp;Para1!F100</f>
        <v>not work. rel.</v>
      </c>
      <c r="K10" s="120"/>
      <c r="L10" s="143" t="n">
        <f aca="false">F54</f>
        <v>0</v>
      </c>
      <c r="M10" s="143" t="n">
        <f aca="false">Juni!N10</f>
        <v>0</v>
      </c>
      <c r="N10" s="144" t="n">
        <f aca="false">SUM(L10:M10)</f>
        <v>0</v>
      </c>
    </row>
    <row r="11" customFormat="false" ht="15" hidden="false" customHeight="true" outlineLevel="0" collapsed="false">
      <c r="B11" s="136"/>
      <c r="C11" s="136"/>
      <c r="D11" s="126" t="str">
        <f aca="false">Para1!F171&amp;" "&amp;Para1!F115&amp;" "&amp;Para1!F154</f>
        <v>balance end of the month</v>
      </c>
      <c r="E11" s="148" t="n">
        <f aca="false">$E$8-$E$9-$E$10</f>
        <v>5.29375</v>
      </c>
      <c r="H11" s="117"/>
      <c r="I11" s="149" t="str">
        <f aca="false">Para1!F142</f>
        <v>short vacation</v>
      </c>
      <c r="L11" s="143" t="n">
        <f aca="false">G54</f>
        <v>0</v>
      </c>
      <c r="M11" s="143" t="n">
        <f aca="false">Juni!N11</f>
        <v>0</v>
      </c>
      <c r="N11" s="144" t="n">
        <f aca="false">SUM(L11:M11)</f>
        <v>0</v>
      </c>
    </row>
    <row r="12" s="117" customFormat="true" ht="15" hidden="false" customHeight="true" outlineLevel="0" collapsed="false">
      <c r="A12" s="116"/>
      <c r="B12" s="150" t="str">
        <f aca="false">IF((E11*24+(4.2*'Persönliche Daten (pers. data)'!O8/100))&lt;0,Para1!J224,IF(E11&gt;0,"",Para1!J223))</f>
        <v/>
      </c>
      <c r="I12" s="151" t="str">
        <f aca="false">Para1!F198</f>
        <v>training / education</v>
      </c>
      <c r="L12" s="143" t="n">
        <f aca="false">H54</f>
        <v>0</v>
      </c>
      <c r="M12" s="143" t="n">
        <f aca="false">Juni!N12</f>
        <v>0</v>
      </c>
      <c r="N12" s="144" t="n">
        <f aca="false">SUM(L12:M12)</f>
        <v>0</v>
      </c>
    </row>
    <row r="13" customFormat="false" ht="15" hidden="false" customHeight="true" outlineLevel="0" collapsed="false">
      <c r="B13" s="152" t="str">
        <f aca="false">Para1!F105&amp;" "&amp;Para1!F122&amp;" "&amp;Para1!F83&amp;" in "&amp;Para1!F178&amp;":"</f>
        <v>letters for absences in days:</v>
      </c>
      <c r="C13" s="152"/>
      <c r="D13" s="152"/>
      <c r="E13" s="152"/>
      <c r="H13" s="117"/>
      <c r="I13" s="135" t="str">
        <f aca="false">Para1!F163</f>
        <v>public office</v>
      </c>
      <c r="L13" s="143" t="n">
        <f aca="false">I54</f>
        <v>0</v>
      </c>
      <c r="M13" s="143" t="n">
        <f aca="false">Juni!N13</f>
        <v>0</v>
      </c>
      <c r="N13" s="144" t="n">
        <f aca="false">SUM(L13:M13)</f>
        <v>0</v>
      </c>
    </row>
    <row r="14" customFormat="false" ht="15" hidden="false" customHeight="true" outlineLevel="0" collapsed="false">
      <c r="B14" s="153" t="s">
        <v>13</v>
      </c>
      <c r="C14" s="154" t="str">
        <f aca="false">Para1!F117</f>
        <v>holiday</v>
      </c>
      <c r="D14" s="154"/>
      <c r="E14" s="154"/>
      <c r="H14" s="117"/>
      <c r="I14" s="155" t="str">
        <f aca="false">Para1!F192</f>
        <v>leave</v>
      </c>
      <c r="J14" s="146" t="str">
        <f aca="false">Para1!F101</f>
        <v>paid</v>
      </c>
      <c r="K14" s="157"/>
      <c r="L14" s="146" t="n">
        <f aca="false">COUNTIF($K$23:$L$53,"b")*$P$55-IF(ISNA(O14),0,(($S$54+$T$54)/100*$G$3)/48)-IF(ISNA(P14),0,(($S$54+$T$54)/100*$G$3)/48)</f>
        <v>0</v>
      </c>
      <c r="M14" s="143" t="n">
        <f aca="false">Juni!N14</f>
        <v>0</v>
      </c>
      <c r="N14" s="144" t="n">
        <f aca="false">SUM(L14:M14)</f>
        <v>0</v>
      </c>
      <c r="O14" s="145" t="e">
        <f aca="false">INDEX(U23:U53,MATCH("b",U23:U53,0))</f>
        <v>#N/A</v>
      </c>
      <c r="P14" s="145" t="e">
        <f aca="false">INDEX(V23:V53,MATCH("b",V23:V53,0))</f>
        <v>#N/A</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COUNTIF($K$23:$L$53,"u")*$P$55-IF(ISNA(O15),0,(($S$54+$T$54)/100*$G$3)/48)-IF(ISNA(P15),0,(($S$54+$T$54)/100*$G$3)/48)</f>
        <v>0</v>
      </c>
      <c r="M15" s="143" t="n">
        <f aca="false">Juni!N15</f>
        <v>0</v>
      </c>
      <c r="N15" s="144" t="n">
        <f aca="false">SUM(L15:M15)</f>
        <v>0</v>
      </c>
      <c r="O15" s="145" t="e">
        <f aca="false">INDEX(U23:U53,MATCH("u",U23:U53,0))</f>
        <v>#N/A</v>
      </c>
      <c r="P15" s="145" t="e">
        <f aca="false">INDEX(V23:V53,MATCH("u",V23:V53,0))</f>
        <v>#N/A</v>
      </c>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J16" s="157"/>
      <c r="K16" s="157"/>
      <c r="L16" s="146" t="n">
        <f aca="false">COUNTIF($K$23:$L$53,"m")*$P$55-IF(ISNA(O16),0,(($S$54+$T$54)/100*$G$3)/48)-IF(ISNA(P16),0,(($S$54+$T$54)/100*$G$3)/48)</f>
        <v>0</v>
      </c>
      <c r="M16" s="143" t="n">
        <f aca="false">Juni!N16</f>
        <v>0</v>
      </c>
      <c r="N16" s="144" t="n">
        <f aca="false">SUM(L16:M16)</f>
        <v>0</v>
      </c>
      <c r="O16" s="145" t="e">
        <f aca="false">INDEX(U23:U53,MATCH("m",U23:U53,0))</f>
        <v>#N/A</v>
      </c>
      <c r="P16" s="145" t="e">
        <f aca="false">INDEX(V23:V53,MATCH("m",V23:V53,0))</f>
        <v>#N/A</v>
      </c>
    </row>
    <row r="17" customFormat="false" ht="15" hidden="false" customHeight="true" outlineLevel="0" collapsed="false">
      <c r="B17" s="159" t="s">
        <v>16</v>
      </c>
      <c r="C17" s="156" t="str">
        <f aca="false">Para1!F192&amp;" "&amp;Para1!F101</f>
        <v>leave paid</v>
      </c>
      <c r="D17" s="156"/>
      <c r="E17" s="156"/>
      <c r="G17" s="157"/>
      <c r="H17" s="117"/>
      <c r="I17" s="135" t="str">
        <f aca="false">Para1!F150</f>
        <v>military/civil def./civil serv.</v>
      </c>
      <c r="J17" s="24"/>
      <c r="K17" s="24"/>
      <c r="L17" s="146" t="n">
        <f aca="false">COUNTIF($K$23:$L$53,"z")*$P$55-IF(ISNA(O17),0,(($S$54+$T$54)/100*$G$3)/48)-IF(ISNA(P17),0,(($S$54+$T$54)/100*$G$3)/48)</f>
        <v>0</v>
      </c>
      <c r="M17" s="143" t="n">
        <f aca="false">Juni!N17</f>
        <v>0</v>
      </c>
      <c r="N17" s="144" t="n">
        <f aca="false">SUM(L17:M17)</f>
        <v>0</v>
      </c>
      <c r="O17" s="145" t="e">
        <f aca="false">INDEX(U23:U53,MATCH("z",U23:U53,0))</f>
        <v>#N/A</v>
      </c>
      <c r="P17" s="145" t="e">
        <f aca="false">INDEX(V23:V53,MATCH("z",V23:V53,0))</f>
        <v>#N/A</v>
      </c>
    </row>
    <row r="18" customFormat="false" ht="15" hidden="false" customHeight="true" outlineLevel="0" collapsed="false">
      <c r="B18" s="159" t="s">
        <v>17</v>
      </c>
      <c r="C18" s="154" t="str">
        <f aca="false">Para1!F192&amp;" "&amp;Para1!F189</f>
        <v>leave unpaid</v>
      </c>
      <c r="D18" s="154"/>
      <c r="E18" s="154"/>
      <c r="H18" s="117"/>
      <c r="I18" s="121" t="str">
        <f aca="false">Para1!F180</f>
        <v>total</v>
      </c>
      <c r="L18" s="160" t="n">
        <f aca="false">SUM(L8:L17)</f>
        <v>0</v>
      </c>
      <c r="M18" s="160" t="n">
        <f aca="false">SUM(M8:M17)</f>
        <v>0</v>
      </c>
      <c r="N18" s="160" t="n">
        <f aca="false">SUM(N8:N17)</f>
        <v>0</v>
      </c>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row>
    <row r="21" s="136" customFormat="true" ht="18.75" hidden="false" customHeight="true" outlineLevel="0" collapsed="false">
      <c r="A21" s="167" t="n">
        <f aca="true">TODAY()</f>
        <v>42894</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252"/>
      <c r="K21" s="253" t="str">
        <f aca="false">Para1!F194</f>
        <v>morning</v>
      </c>
      <c r="L21" s="175" t="str">
        <f aca="false">Para1!F158</f>
        <v>afternoon</v>
      </c>
      <c r="M21" s="176"/>
      <c r="P21" s="177" t="str">
        <f aca="false">Para1!F194</f>
        <v>morning</v>
      </c>
      <c r="Q21" s="178" t="str">
        <f aca="false">Para1!F158</f>
        <v>afternoon</v>
      </c>
    </row>
    <row r="22" s="136" customFormat="true" ht="15.75" hidden="false" customHeight="true" outlineLevel="0" collapsed="false">
      <c r="A22" s="180" t="str">
        <f aca="false">Para1!F106</f>
        <v>date</v>
      </c>
      <c r="B22" s="180"/>
      <c r="C22" s="181"/>
      <c r="D22" s="169"/>
      <c r="E22" s="170"/>
      <c r="F22" s="171"/>
      <c r="G22" s="170"/>
      <c r="H22" s="170"/>
      <c r="I22" s="172"/>
      <c r="J22" s="254"/>
      <c r="K22" s="253"/>
      <c r="L22" s="175"/>
      <c r="M22" s="183"/>
      <c r="P22" s="177"/>
      <c r="Q22" s="178"/>
    </row>
    <row r="23" customFormat="false" ht="17" hidden="false" customHeight="true" outlineLevel="0" collapsed="false">
      <c r="A23" s="200" t="s">
        <v>18</v>
      </c>
      <c r="B23" s="297" t="str">
        <f aca="false">IF(Juni!B52=Para1!$F$153,Para1!$F$109,IF(Juni!B52=Para1!$F$109,Para1!$F$148,IF(Juni!B52=Para1!$F$148,Para1!$F$111,IF(Juni!B52=Para1!$F$111,Para1!$F$120,IF(Juni!B52=Para1!$F$120,Para1!$F$170,IF(Juni!B52=Para1!$F$170,Para1!$F$173,Para1!$F$153))))))</f>
        <v>Thu</v>
      </c>
      <c r="C23" s="186"/>
      <c r="D23" s="329"/>
      <c r="E23" s="316"/>
      <c r="F23" s="205"/>
      <c r="G23" s="204"/>
      <c r="H23" s="204"/>
      <c r="I23" s="206"/>
      <c r="J23" s="330"/>
      <c r="K23" s="208"/>
      <c r="L23" s="209"/>
      <c r="M23" s="194"/>
      <c r="N23" s="195"/>
      <c r="O23" s="145"/>
      <c r="P23" s="257" t="n">
        <f aca="false">Juni!P46</f>
        <v>1</v>
      </c>
      <c r="Q23" s="257" t="n">
        <f aca="false">Juni!Q46</f>
        <v>1</v>
      </c>
      <c r="R23" s="145" t="e">
        <f aca="false">IF(VLOOKUP(A23,Para1!$B$67:$E$72,2,0)="7.",VLOOKUP(A23,Para1!$B$67:$E$72,3,0),"")</f>
        <v>#N/A</v>
      </c>
      <c r="S23" s="145" t="str">
        <f aca="false">IF((P23+Q23)=0,"",IF(ISNA(R23),"",IF(R23="","",VLOOKUP(R23,Para1!$D$67:$G$79,3,0)*(IF(P23+Q23=1,0.5,1)))))</f>
        <v/>
      </c>
      <c r="T23" s="145" t="str">
        <f aca="false">IF(P23+Q23=0,"",IF(ISNA(R24),"",IF(R24="","",VLOOKUP(R24,Para1!$D$67:$G$79,4,0)*(IF(P23+Q23=1,0.5,1)))))</f>
        <v/>
      </c>
      <c r="U23" s="145" t="str">
        <f aca="false">IF(SUM(S23:T23)&gt;0,K23,"")</f>
        <v/>
      </c>
      <c r="V23" s="145" t="str">
        <f aca="false">IF(SUM(S23:T23)&gt;0,L23,"")</f>
        <v/>
      </c>
      <c r="W23" s="145" t="n">
        <f aca="false">IF(S23=0,P23+Q23,0)</f>
        <v>0</v>
      </c>
    </row>
    <row r="24" customFormat="false" ht="17" hidden="false" customHeight="true" outlineLevel="0" collapsed="false">
      <c r="A24" s="200" t="s">
        <v>20</v>
      </c>
      <c r="B24" s="297" t="str">
        <f aca="false">IF(B23=Para1!$F$153,Para1!$F$109,IF(B23=Para1!$F$109,Para1!$F$148,IF(B23=Para1!$F$148,Para1!$F$111,IF(B23=Para1!$F$111,Para1!$F$120,IF(B23=Para1!$F$120,Para1!$F$170,IF(B23=Para1!$F$170,Para1!$F$173,Para1!$F$153))))))</f>
        <v>Fri</v>
      </c>
      <c r="C24" s="202"/>
      <c r="D24" s="329"/>
      <c r="E24" s="316"/>
      <c r="F24" s="205"/>
      <c r="G24" s="204"/>
      <c r="H24" s="204"/>
      <c r="I24" s="206"/>
      <c r="J24" s="330"/>
      <c r="K24" s="208"/>
      <c r="L24" s="209"/>
      <c r="M24" s="194"/>
      <c r="N24" s="195"/>
      <c r="O24" s="145"/>
      <c r="P24" s="257" t="n">
        <f aca="false">Juni!P47</f>
        <v>1</v>
      </c>
      <c r="Q24" s="257" t="n">
        <f aca="false">Juni!Q47</f>
        <v>1</v>
      </c>
      <c r="R24" s="145" t="str">
        <f aca="false">IF(VLOOKUP(A24,Para1!$B$67:$E$72,2,0)="7.",VLOOKUP(A24,Para1!$B$67:$E$72,3,0),"")</f>
        <v/>
      </c>
      <c r="S24" s="145" t="str">
        <f aca="false">IF((P24+Q24)=0,"",IF(ISNA(R24),"",IF(R24="","",VLOOKUP(R24,Para1!$D$67:$G$79,3,0)*(IF(P24+Q24=1,0.5,1)))))</f>
        <v/>
      </c>
      <c r="T24" s="145" t="str">
        <f aca="false">IF(P24+Q24=0,"",IF(ISNA(R25),"",IF(R25="","",VLOOKUP(R25,Para1!$D$67:$G$79,4,0)*(IF(P24+Q24=1,0.5,1)))))</f>
        <v/>
      </c>
      <c r="U24" s="145" t="str">
        <f aca="false">IF(SUM(S24:T24)&gt;0,K24,"")</f>
        <v/>
      </c>
      <c r="V24" s="145" t="str">
        <f aca="false">IF(SUM(S24:T24)&gt;0,L24,"")</f>
        <v/>
      </c>
      <c r="W24" s="145" t="n">
        <f aca="false">IF(S24=0,P24+Q24,0)</f>
        <v>0</v>
      </c>
    </row>
    <row r="25" s="258" customFormat="true" ht="17" hidden="false" customHeight="true" outlineLevel="0" collapsed="false">
      <c r="A25" s="200" t="s">
        <v>22</v>
      </c>
      <c r="B25" s="297" t="str">
        <f aca="false">IF(B24=Para1!$F$153,Para1!$F$109,IF(B24=Para1!$F$109,Para1!$F$148,IF(B24=Para1!$F$148,Para1!$F$111,IF(B24=Para1!$F$111,Para1!$F$120,IF(B24=Para1!$F$120,Para1!$F$170,IF(B24=Para1!$F$170,Para1!$F$173,Para1!$F$153))))))</f>
        <v>Sat</v>
      </c>
      <c r="C25" s="202"/>
      <c r="D25" s="329"/>
      <c r="E25" s="316"/>
      <c r="F25" s="205"/>
      <c r="G25" s="204"/>
      <c r="H25" s="204"/>
      <c r="I25" s="206"/>
      <c r="J25" s="330"/>
      <c r="K25" s="208"/>
      <c r="L25" s="209"/>
      <c r="M25" s="210"/>
      <c r="N25" s="195"/>
      <c r="O25" s="145"/>
      <c r="P25" s="257" t="n">
        <f aca="false">Juni!P48</f>
        <v>0</v>
      </c>
      <c r="Q25" s="257" t="n">
        <f aca="false">Juni!Q48</f>
        <v>0</v>
      </c>
      <c r="R25" s="145" t="e">
        <f aca="false">IF(VLOOKUP(A25,Para1!$B$67:$E$72,2,0)="7.",VLOOKUP(A25,Para1!$B$67:$E$72,3,0),"")</f>
        <v>#N/A</v>
      </c>
      <c r="S25" s="145" t="str">
        <f aca="false">IF((P25+Q25)=0,"",IF(ISNA(R25),"",IF(R25="","",VLOOKUP(R25,Para1!$D$67:$G$79,3,0)*(IF(P25+Q25=1,0.5,1)))))</f>
        <v/>
      </c>
      <c r="T25" s="145" t="str">
        <f aca="false">IF(P25+Q25=0,"",IF(ISNA(R26),"",IF(R26="","",VLOOKUP(R26,Para1!$D$67:$G$79,4,0)*(IF(P25+Q25=1,0.5,1)))))</f>
        <v/>
      </c>
      <c r="U25" s="145" t="str">
        <f aca="false">IF(SUM(S25:T25)&gt;0,K25,"")</f>
        <v/>
      </c>
      <c r="V25" s="145" t="str">
        <f aca="false">IF(SUM(S25:T25)&gt;0,L25,"")</f>
        <v/>
      </c>
      <c r="W25" s="145" t="n">
        <f aca="false">IF(S25=0,P25+Q25,0)</f>
        <v>0</v>
      </c>
    </row>
    <row r="26" s="258" customFormat="true" ht="17" hidden="false" customHeight="true" outlineLevel="0" collapsed="false">
      <c r="A26" s="200" t="s">
        <v>23</v>
      </c>
      <c r="B26" s="297" t="str">
        <f aca="false">IF(B25=Para1!$F$153,Para1!$F$109,IF(B25=Para1!$F$109,Para1!$F$148,IF(B25=Para1!$F$148,Para1!$F$111,IF(B25=Para1!$F$111,Para1!$F$120,IF(B25=Para1!$F$120,Para1!$F$170,IF(B25=Para1!$F$170,Para1!$F$173,Para1!$F$153))))))</f>
        <v>Sun</v>
      </c>
      <c r="C26" s="202"/>
      <c r="D26" s="329"/>
      <c r="E26" s="316"/>
      <c r="F26" s="205"/>
      <c r="G26" s="204"/>
      <c r="H26" s="204"/>
      <c r="I26" s="206"/>
      <c r="J26" s="330"/>
      <c r="K26" s="208"/>
      <c r="L26" s="209"/>
      <c r="M26" s="210"/>
      <c r="N26" s="195"/>
      <c r="O26" s="145"/>
      <c r="P26" s="257" t="n">
        <f aca="false">Juni!P49</f>
        <v>0</v>
      </c>
      <c r="Q26" s="257" t="n">
        <f aca="false">Juni!Q49</f>
        <v>0</v>
      </c>
      <c r="R26" s="145" t="str">
        <f aca="false">IF(VLOOKUP(A26,Para1!$B$67:$E$72,2,0)="7.",VLOOKUP(A26,Para1!$B$67:$E$72,3,0),"")</f>
        <v/>
      </c>
      <c r="S26" s="145" t="str">
        <f aca="false">IF((P26+Q26)=0,"",IF(ISNA(R26),"",IF(R26="","",VLOOKUP(R26,Para1!$D$67:$G$79,3,0)*(IF(P26+Q26=1,0.5,1)))))</f>
        <v/>
      </c>
      <c r="T26" s="145" t="str">
        <f aca="false">IF(P26+Q26=0,"",IF(ISNA(R27),"",IF(R27="","",VLOOKUP(R27,Para1!$D$67:$G$79,4,0)*(IF(P26+Q26=1,0.5,1)))))</f>
        <v/>
      </c>
      <c r="U26" s="145" t="str">
        <f aca="false">IF(SUM(S26:T26)&gt;0,K26,"")</f>
        <v/>
      </c>
      <c r="V26" s="145" t="str">
        <f aca="false">IF(SUM(S26:T26)&gt;0,L26,"")</f>
        <v/>
      </c>
      <c r="W26" s="145" t="n">
        <f aca="false">IF(S26=0,P26+Q26,0)</f>
        <v>0</v>
      </c>
    </row>
    <row r="27" customFormat="false" ht="17" hidden="false" customHeight="true" outlineLevel="0" collapsed="false">
      <c r="A27" s="200" t="s">
        <v>24</v>
      </c>
      <c r="B27" s="297" t="str">
        <f aca="false">IF(B26=Para1!$F$153,Para1!$F$109,IF(B26=Para1!$F$109,Para1!$F$148,IF(B26=Para1!$F$148,Para1!$F$111,IF(B26=Para1!$F$111,Para1!$F$120,IF(B26=Para1!$F$120,Para1!$F$170,IF(B26=Para1!$F$170,Para1!$F$173,Para1!$F$153))))))</f>
        <v>Mon</v>
      </c>
      <c r="C27" s="202"/>
      <c r="D27" s="329"/>
      <c r="E27" s="316"/>
      <c r="F27" s="205"/>
      <c r="G27" s="204"/>
      <c r="H27" s="204"/>
      <c r="I27" s="206"/>
      <c r="J27" s="330"/>
      <c r="K27" s="208"/>
      <c r="L27" s="209"/>
      <c r="M27" s="210"/>
      <c r="N27" s="195"/>
      <c r="O27" s="145"/>
      <c r="P27" s="257" t="n">
        <f aca="false">Juni!P50</f>
        <v>1</v>
      </c>
      <c r="Q27" s="257" t="n">
        <f aca="false">Juni!Q50</f>
        <v>1</v>
      </c>
      <c r="R27" s="145" t="str">
        <f aca="false">IF(VLOOKUP(A27,Para1!$B$67:$E$72,2,0)="7.",VLOOKUP(A27,Para1!$B$67:$E$72,3,0),"")</f>
        <v/>
      </c>
      <c r="S27" s="145" t="str">
        <f aca="false">IF((P27+Q27)=0,"",IF(ISNA(R27),"",IF(R27="","",VLOOKUP(R27,Para1!$D$67:$G$79,3,0)*(IF(P27+Q27=1,0.5,1)))))</f>
        <v/>
      </c>
      <c r="T27" s="145" t="str">
        <f aca="false">IF(P27+Q27=0,"",IF(ISNA(R28),"",IF(R28="","",VLOOKUP(R28,Para1!$D$67:$G$79,4,0)*(IF(P27+Q27=1,0.5,1)))))</f>
        <v/>
      </c>
      <c r="U27" s="145" t="str">
        <f aca="false">IF(SUM(S27:T27)&gt;0,K27,"")</f>
        <v/>
      </c>
      <c r="V27" s="145" t="str">
        <f aca="false">IF(SUM(S27:T27)&gt;0,L27,"")</f>
        <v/>
      </c>
      <c r="W27" s="145" t="n">
        <f aca="false">IF(S27=0,P27+Q27,0)</f>
        <v>0</v>
      </c>
    </row>
    <row r="28" customFormat="false" ht="17" hidden="false" customHeight="true" outlineLevel="0" collapsed="false">
      <c r="A28" s="200" t="s">
        <v>25</v>
      </c>
      <c r="B28" s="297" t="str">
        <f aca="false">IF(B27=Para1!$F$153,Para1!$F$109,IF(B27=Para1!$F$109,Para1!$F$148,IF(B27=Para1!$F$148,Para1!$F$111,IF(B27=Para1!$F$111,Para1!$F$120,IF(B27=Para1!$F$120,Para1!$F$170,IF(B27=Para1!$F$170,Para1!$F$173,Para1!$F$153))))))</f>
        <v>Tue</v>
      </c>
      <c r="C28" s="202"/>
      <c r="D28" s="329"/>
      <c r="E28" s="316"/>
      <c r="F28" s="205"/>
      <c r="G28" s="204"/>
      <c r="H28" s="204"/>
      <c r="I28" s="206"/>
      <c r="J28" s="330"/>
      <c r="K28" s="208"/>
      <c r="L28" s="209"/>
      <c r="M28" s="210"/>
      <c r="N28" s="195"/>
      <c r="O28" s="145"/>
      <c r="P28" s="257" t="n">
        <f aca="false">Juni!P51</f>
        <v>1</v>
      </c>
      <c r="Q28" s="257" t="n">
        <f aca="false">Juni!Q51</f>
        <v>1</v>
      </c>
      <c r="R28" s="145" t="e">
        <f aca="false">IF(VLOOKUP(A28,Para1!$B$67:$E$72,2,0)="7.",VLOOKUP(A28,Para1!$B$67:$E$72,3,0),"")</f>
        <v>#N/A</v>
      </c>
      <c r="S28" s="145" t="str">
        <f aca="false">IF((P28+Q28)=0,"",IF(ISNA(R28),"",IF(R28="","",VLOOKUP(R28,Para1!$D$67:$G$79,3,0)*(IF(P28+Q28=1,0.5,1)))))</f>
        <v/>
      </c>
      <c r="T28" s="145" t="str">
        <f aca="false">IF(P28+Q28=0,"",IF(ISNA(R29),"",IF(R29="","",VLOOKUP(R29,Para1!$D$67:$G$79,4,0)*(IF(P28+Q28=1,0.5,1)))))</f>
        <v/>
      </c>
      <c r="U28" s="145" t="str">
        <f aca="false">IF(SUM(S28:T28)&gt;0,K28,"")</f>
        <v/>
      </c>
      <c r="V28" s="145" t="str">
        <f aca="false">IF(SUM(S28:T28)&gt;0,L28,"")</f>
        <v/>
      </c>
      <c r="W28" s="145" t="n">
        <f aca="false">IF(S28=0,P28+Q28,0)</f>
        <v>0</v>
      </c>
    </row>
    <row r="29" customFormat="false" ht="17" hidden="false" customHeight="true" outlineLevel="0" collapsed="false">
      <c r="A29" s="200" t="s">
        <v>26</v>
      </c>
      <c r="B29" s="297" t="str">
        <f aca="false">IF(B28=Para1!$F$153,Para1!$F$109,IF(B28=Para1!$F$109,Para1!$F$148,IF(B28=Para1!$F$148,Para1!$F$111,IF(B28=Para1!$F$111,Para1!$F$120,IF(B28=Para1!$F$120,Para1!$F$170,IF(B28=Para1!$F$170,Para1!$F$173,Para1!$F$153))))))</f>
        <v>Wed</v>
      </c>
      <c r="C29" s="186"/>
      <c r="D29" s="329"/>
      <c r="E29" s="316"/>
      <c r="F29" s="205"/>
      <c r="G29" s="204"/>
      <c r="H29" s="204"/>
      <c r="I29" s="206"/>
      <c r="J29" s="330"/>
      <c r="K29" s="208"/>
      <c r="L29" s="209"/>
      <c r="M29" s="210"/>
      <c r="N29" s="195"/>
      <c r="O29" s="145"/>
      <c r="P29" s="257" t="n">
        <f aca="false">Juni!P52</f>
        <v>1</v>
      </c>
      <c r="Q29" s="257" t="n">
        <f aca="false">Juni!Q52</f>
        <v>1</v>
      </c>
      <c r="R29" s="145" t="e">
        <f aca="false">IF(VLOOKUP(A29,Para1!$B$67:$E$72,2,0)="7.",VLOOKUP(A29,Para1!$B$67:$E$72,3,0),"")</f>
        <v>#N/A</v>
      </c>
      <c r="S29" s="145" t="str">
        <f aca="false">IF((P29+Q29)=0,"",IF(ISNA(R29),"",IF(R29="","",VLOOKUP(R29,Para1!$D$67:$G$79,3,0)*(IF(P29+Q29=1,0.5,1)))))</f>
        <v/>
      </c>
      <c r="T29" s="145" t="str">
        <f aca="false">IF(P29+Q29=0,"",IF(ISNA(R30),"",IF(R30="","",VLOOKUP(R30,Para1!$D$67:$G$79,4,0)*(IF(P29+Q29=1,0.5,1)))))</f>
        <v/>
      </c>
      <c r="U29" s="145" t="str">
        <f aca="false">IF(SUM(S29:T29)&gt;0,K29,"")</f>
        <v/>
      </c>
      <c r="V29" s="145" t="str">
        <f aca="false">IF(SUM(S29:T29)&gt;0,L29,"")</f>
        <v/>
      </c>
      <c r="W29" s="145" t="n">
        <f aca="false">IF(S29=0,P29+Q29,0)</f>
        <v>0</v>
      </c>
    </row>
    <row r="30" customFormat="false" ht="17" hidden="false" customHeight="true" outlineLevel="0" collapsed="false">
      <c r="A30" s="200" t="s">
        <v>27</v>
      </c>
      <c r="B30" s="297" t="str">
        <f aca="false">IF(B29=Para1!$F$153,Para1!$F$109,IF(B29=Para1!$F$109,Para1!$F$148,IF(B29=Para1!$F$148,Para1!$F$111,IF(B29=Para1!$F$111,Para1!$F$120,IF(B29=Para1!$F$120,Para1!$F$170,IF(B29=Para1!$F$170,Para1!$F$173,Para1!$F$153))))))</f>
        <v>Thu</v>
      </c>
      <c r="C30" s="186"/>
      <c r="D30" s="329"/>
      <c r="E30" s="316"/>
      <c r="F30" s="205"/>
      <c r="G30" s="204"/>
      <c r="H30" s="204"/>
      <c r="I30" s="206"/>
      <c r="J30" s="330"/>
      <c r="K30" s="208"/>
      <c r="L30" s="209"/>
      <c r="M30" s="210"/>
      <c r="N30" s="195"/>
      <c r="O30" s="145"/>
      <c r="P30" s="259" t="n">
        <f aca="false">P23</f>
        <v>1</v>
      </c>
      <c r="Q30" s="259" t="n">
        <f aca="false">Q23</f>
        <v>1</v>
      </c>
      <c r="R30" s="145" t="e">
        <f aca="false">IF(VLOOKUP(A30,Para1!$B$67:$E$72,2,0)="7.",VLOOKUP(A30,Para1!$B$67:$E$72,3,0),"")</f>
        <v>#N/A</v>
      </c>
      <c r="S30" s="145" t="str">
        <f aca="false">IF((P30+Q30)=0,"",IF(ISNA(R30),"",IF(R30="","",VLOOKUP(R30,Para1!$D$67:$G$79,3,0)*(IF(P30+Q30=1,0.5,1)))))</f>
        <v/>
      </c>
      <c r="T30" s="145" t="str">
        <f aca="false">IF(P30+Q30=0,"",IF(ISNA(R31),"",IF(R31="","",VLOOKUP(R31,Para1!$D$67:$G$79,4,0)*(IF(P30+Q30=1,0.5,1)))))</f>
        <v/>
      </c>
      <c r="U30" s="145" t="str">
        <f aca="false">IF(SUM(S30:T30)&gt;0,K30,"")</f>
        <v/>
      </c>
      <c r="V30" s="145" t="str">
        <f aca="false">IF(SUM(S30:T30)&gt;0,L30,"")</f>
        <v/>
      </c>
      <c r="W30" s="145" t="n">
        <f aca="false">IF(S30=0,P30+Q30,0)</f>
        <v>0</v>
      </c>
    </row>
    <row r="31" customFormat="false" ht="17" hidden="false" customHeight="true" outlineLevel="0" collapsed="false">
      <c r="A31" s="200" t="s">
        <v>28</v>
      </c>
      <c r="B31" s="297" t="str">
        <f aca="false">IF(B30=Para1!$F$153,Para1!$F$109,IF(B30=Para1!$F$109,Para1!$F$148,IF(B30=Para1!$F$148,Para1!$F$111,IF(B30=Para1!$F$111,Para1!$F$120,IF(B30=Para1!$F$120,Para1!$F$170,IF(B30=Para1!$F$170,Para1!$F$173,Para1!$F$153))))))</f>
        <v>Fri</v>
      </c>
      <c r="C31" s="202"/>
      <c r="D31" s="329"/>
      <c r="E31" s="316"/>
      <c r="F31" s="205"/>
      <c r="G31" s="204"/>
      <c r="H31" s="204"/>
      <c r="I31" s="206"/>
      <c r="J31" s="330"/>
      <c r="K31" s="208"/>
      <c r="L31" s="209"/>
      <c r="M31" s="210"/>
      <c r="N31" s="195"/>
      <c r="O31" s="145"/>
      <c r="P31" s="259" t="n">
        <f aca="false">P24</f>
        <v>1</v>
      </c>
      <c r="Q31" s="259" t="n">
        <f aca="false">Q24</f>
        <v>1</v>
      </c>
      <c r="R31" s="145" t="e">
        <f aca="false">IF(VLOOKUP(A31,Para1!$B$67:$E$72,2,0)="7.",VLOOKUP(A31,Para1!$B$67:$E$72,3,0),"")</f>
        <v>#N/A</v>
      </c>
      <c r="S31" s="145" t="str">
        <f aca="false">IF((P31+Q31)=0,"",IF(ISNA(R31),"",IF(R31="","",VLOOKUP(R31,Para1!$D$67:$G$79,3,0)*(IF(P31+Q31=1,0.5,1)))))</f>
        <v/>
      </c>
      <c r="T31" s="145" t="str">
        <f aca="false">IF(P31+Q31=0,"",IF(ISNA(R32),"",IF(R32="","",VLOOKUP(R32,Para1!$D$67:$G$79,4,0)*(IF(P31+Q31=1,0.5,1)))))</f>
        <v/>
      </c>
      <c r="U31" s="145" t="str">
        <f aca="false">IF(SUM(S31:T31)&gt;0,K31,"")</f>
        <v/>
      </c>
      <c r="V31" s="145" t="str">
        <f aca="false">IF(SUM(S31:T31)&gt;0,L31,"")</f>
        <v/>
      </c>
      <c r="W31" s="145" t="n">
        <f aca="false">IF(S31=0,P31+Q31,0)</f>
        <v>0</v>
      </c>
    </row>
    <row r="32" s="258" customFormat="true" ht="17" hidden="false" customHeight="true" outlineLevel="0" collapsed="false">
      <c r="A32" s="200" t="s">
        <v>29</v>
      </c>
      <c r="B32" s="297" t="str">
        <f aca="false">IF(B31=Para1!$F$153,Para1!$F$109,IF(B31=Para1!$F$109,Para1!$F$148,IF(B31=Para1!$F$148,Para1!$F$111,IF(B31=Para1!$F$111,Para1!$F$120,IF(B31=Para1!$F$120,Para1!$F$170,IF(B31=Para1!$F$170,Para1!$F$173,Para1!$F$153))))))</f>
        <v>Sat</v>
      </c>
      <c r="C32" s="202"/>
      <c r="D32" s="329"/>
      <c r="E32" s="316"/>
      <c r="F32" s="205"/>
      <c r="G32" s="204"/>
      <c r="H32" s="204"/>
      <c r="I32" s="206"/>
      <c r="J32" s="330"/>
      <c r="K32" s="208"/>
      <c r="L32" s="209"/>
      <c r="M32" s="210"/>
      <c r="N32" s="195"/>
      <c r="O32" s="145"/>
      <c r="P32" s="259" t="n">
        <f aca="false">P25</f>
        <v>0</v>
      </c>
      <c r="Q32" s="259" t="n">
        <f aca="false">Q25</f>
        <v>0</v>
      </c>
      <c r="R32" s="145" t="e">
        <f aca="false">IF(VLOOKUP(A32,Para1!$B$67:$E$72,2,0)="7.",VLOOKUP(A32,Para1!$B$67:$E$72,3,0),"")</f>
        <v>#N/A</v>
      </c>
      <c r="S32" s="145" t="str">
        <f aca="false">IF((P32+Q32)=0,"",IF(ISNA(R32),"",IF(R32="","",VLOOKUP(R32,Para1!$D$67:$G$79,3,0)*(IF(P32+Q32=1,0.5,1)))))</f>
        <v/>
      </c>
      <c r="T32" s="145" t="str">
        <f aca="false">IF(P32+Q32=0,"",IF(ISNA(R33),"",IF(R33="","",VLOOKUP(R33,Para1!$D$67:$G$79,4,0)*(IF(P32+Q32=1,0.5,1)))))</f>
        <v/>
      </c>
      <c r="U32" s="145" t="str">
        <f aca="false">IF(SUM(S32:T32)&gt;0,K32,"")</f>
        <v/>
      </c>
      <c r="V32" s="145" t="str">
        <f aca="false">IF(SUM(S32:T32)&gt;0,L32,"")</f>
        <v/>
      </c>
      <c r="W32" s="145" t="n">
        <f aca="false">IF(S32=0,P32+Q32,0)</f>
        <v>0</v>
      </c>
    </row>
    <row r="33" s="258" customFormat="true" ht="17" hidden="false" customHeight="true" outlineLevel="0" collapsed="false">
      <c r="A33" s="200" t="s">
        <v>30</v>
      </c>
      <c r="B33" s="297" t="str">
        <f aca="false">IF(B32=Para1!$F$153,Para1!$F$109,IF(B32=Para1!$F$109,Para1!$F$148,IF(B32=Para1!$F$148,Para1!$F$111,IF(B32=Para1!$F$111,Para1!$F$120,IF(B32=Para1!$F$120,Para1!$F$170,IF(B32=Para1!$F$170,Para1!$F$173,Para1!$F$153))))))</f>
        <v>Sun</v>
      </c>
      <c r="C33" s="202"/>
      <c r="D33" s="329"/>
      <c r="E33" s="316"/>
      <c r="F33" s="205"/>
      <c r="G33" s="204"/>
      <c r="H33" s="204"/>
      <c r="I33" s="206"/>
      <c r="J33" s="330"/>
      <c r="K33" s="208"/>
      <c r="L33" s="209"/>
      <c r="M33" s="210"/>
      <c r="N33" s="195"/>
      <c r="O33" s="145"/>
      <c r="P33" s="259" t="n">
        <f aca="false">P26</f>
        <v>0</v>
      </c>
      <c r="Q33" s="259" t="n">
        <f aca="false">Q26</f>
        <v>0</v>
      </c>
      <c r="R33" s="145" t="e">
        <f aca="false">IF(VLOOKUP(A33,Para1!$B$67:$E$72,2,0)="7.",VLOOKUP(A33,Para1!$B$67:$E$72,3,0),"")</f>
        <v>#N/A</v>
      </c>
      <c r="S33" s="145" t="str">
        <f aca="false">IF((P33+Q33)=0,"",IF(ISNA(R33),"",IF(R33="","",VLOOKUP(R33,Para1!$D$67:$G$79,3,0)*(IF(P33+Q33=1,0.5,1)))))</f>
        <v/>
      </c>
      <c r="T33" s="145" t="str">
        <f aca="false">IF(P33+Q33=0,"",IF(ISNA(R34),"",IF(R34="","",VLOOKUP(R34,Para1!$D$67:$G$79,4,0)*(IF(P33+Q33=1,0.5,1)))))</f>
        <v/>
      </c>
      <c r="U33" s="145" t="str">
        <f aca="false">IF(SUM(S33:T33)&gt;0,K33,"")</f>
        <v/>
      </c>
      <c r="V33" s="145" t="str">
        <f aca="false">IF(SUM(S33:T33)&gt;0,L33,"")</f>
        <v/>
      </c>
      <c r="W33" s="145" t="n">
        <f aca="false">IF(S33=0,P33+Q33,0)</f>
        <v>0</v>
      </c>
    </row>
    <row r="34" customFormat="false" ht="16.5" hidden="false" customHeight="true" outlineLevel="0" collapsed="false">
      <c r="A34" s="200" t="s">
        <v>31</v>
      </c>
      <c r="B34" s="297" t="str">
        <f aca="false">IF(B33=Para1!$F$153,Para1!$F$109,IF(B33=Para1!$F$109,Para1!$F$148,IF(B33=Para1!$F$148,Para1!$F$111,IF(B33=Para1!$F$111,Para1!$F$120,IF(B33=Para1!$F$120,Para1!$F$170,IF(B33=Para1!$F$170,Para1!$F$173,Para1!$F$153))))))</f>
        <v>Mon</v>
      </c>
      <c r="C34" s="202"/>
      <c r="D34" s="329"/>
      <c r="E34" s="316"/>
      <c r="F34" s="205"/>
      <c r="G34" s="204"/>
      <c r="H34" s="204"/>
      <c r="I34" s="206"/>
      <c r="J34" s="330"/>
      <c r="K34" s="208" t="s">
        <v>13</v>
      </c>
      <c r="L34" s="209" t="s">
        <v>13</v>
      </c>
      <c r="M34" s="210"/>
      <c r="N34" s="195"/>
      <c r="O34" s="145"/>
      <c r="P34" s="259" t="n">
        <f aca="false">P27</f>
        <v>1</v>
      </c>
      <c r="Q34" s="259" t="n">
        <f aca="false">Q27</f>
        <v>1</v>
      </c>
      <c r="R34" s="145" t="e">
        <f aca="false">IF(VLOOKUP(A34,Para1!$B$67:$E$72,2,0)="7.",VLOOKUP(A34,Para1!$B$67:$E$72,3,0),"")</f>
        <v>#N/A</v>
      </c>
      <c r="S34" s="145" t="str">
        <f aca="false">IF((P34+Q34)=0,"",IF(ISNA(R34),"",IF(R34="","",VLOOKUP(R34,Para1!$D$67:$G$79,3,0)*(IF(P34+Q34=1,0.5,1)))))</f>
        <v/>
      </c>
      <c r="T34" s="145" t="str">
        <f aca="false">IF(P34+Q34=0,"",IF(ISNA(R35),"",IF(R35="","",VLOOKUP(R35,Para1!$D$67:$G$79,4,0)*(IF(P34+Q34=1,0.5,1)))))</f>
        <v/>
      </c>
      <c r="U34" s="145" t="str">
        <f aca="false">IF(SUM(S34:T34)&gt;0,K34,"")</f>
        <v/>
      </c>
      <c r="V34" s="145" t="str">
        <f aca="false">IF(SUM(S34:T34)&gt;0,L34,"")</f>
        <v/>
      </c>
      <c r="W34" s="145" t="n">
        <f aca="false">IF(S34=0,P34+Q34,0)</f>
        <v>0</v>
      </c>
    </row>
    <row r="35" customFormat="false" ht="17" hidden="false" customHeight="true" outlineLevel="0" collapsed="false">
      <c r="A35" s="200" t="s">
        <v>32</v>
      </c>
      <c r="B35" s="297" t="str">
        <f aca="false">IF(B34=Para1!$F$153,Para1!$F$109,IF(B34=Para1!$F$109,Para1!$F$148,IF(B34=Para1!$F$148,Para1!$F$111,IF(B34=Para1!$F$111,Para1!$F$120,IF(B34=Para1!$F$120,Para1!$F$170,IF(B34=Para1!$F$170,Para1!$F$173,Para1!$F$153))))))</f>
        <v>Tue</v>
      </c>
      <c r="C35" s="202"/>
      <c r="D35" s="329"/>
      <c r="E35" s="316"/>
      <c r="F35" s="205"/>
      <c r="G35" s="204"/>
      <c r="H35" s="204"/>
      <c r="I35" s="206"/>
      <c r="J35" s="330"/>
      <c r="K35" s="208" t="s">
        <v>13</v>
      </c>
      <c r="L35" s="209" t="s">
        <v>13</v>
      </c>
      <c r="M35" s="210"/>
      <c r="N35" s="195"/>
      <c r="O35" s="145"/>
      <c r="P35" s="259" t="n">
        <f aca="false">P28</f>
        <v>1</v>
      </c>
      <c r="Q35" s="259" t="n">
        <f aca="false">Q28</f>
        <v>1</v>
      </c>
      <c r="R35" s="145" t="str">
        <f aca="false">IF(VLOOKUP(A35,Para1!$B$67:$E$72,2,0)="7.",VLOOKUP(A35,Para1!$B$67:$E$72,3,0),"")</f>
        <v/>
      </c>
      <c r="S35" s="145" t="str">
        <f aca="false">IF((P35+Q35)=0,"",IF(ISNA(R35),"",IF(R35="","",VLOOKUP(R35,Para1!$D$67:$G$79,3,0)*(IF(P35+Q35=1,0.5,1)))))</f>
        <v/>
      </c>
      <c r="T35" s="145" t="str">
        <f aca="false">IF(P35+Q35=0,"",IF(ISNA(R36),"",IF(R36="","",VLOOKUP(R36,Para1!$D$67:$G$79,4,0)*(IF(P35+Q35=1,0.5,1)))))</f>
        <v/>
      </c>
      <c r="U35" s="145" t="str">
        <f aca="false">IF(SUM(S35:T35)&gt;0,K35,"")</f>
        <v/>
      </c>
      <c r="V35" s="145" t="str">
        <f aca="false">IF(SUM(S35:T35)&gt;0,L35,"")</f>
        <v/>
      </c>
      <c r="W35" s="145" t="n">
        <f aca="false">IF(S35=0,P35+Q35,0)</f>
        <v>0</v>
      </c>
    </row>
    <row r="36" customFormat="false" ht="17" hidden="false" customHeight="true" outlineLevel="0" collapsed="false">
      <c r="A36" s="200" t="s">
        <v>33</v>
      </c>
      <c r="B36" s="297" t="str">
        <f aca="false">IF(B35=Para1!$F$153,Para1!$F$109,IF(B35=Para1!$F$109,Para1!$F$148,IF(B35=Para1!$F$148,Para1!$F$111,IF(B35=Para1!$F$111,Para1!$F$120,IF(B35=Para1!$F$120,Para1!$F$170,IF(B35=Para1!$F$170,Para1!$F$173,Para1!$F$153))))))</f>
        <v>Wed</v>
      </c>
      <c r="C36" s="186"/>
      <c r="D36" s="329"/>
      <c r="E36" s="316"/>
      <c r="F36" s="205"/>
      <c r="G36" s="204"/>
      <c r="H36" s="204"/>
      <c r="I36" s="206"/>
      <c r="J36" s="330"/>
      <c r="K36" s="208" t="s">
        <v>13</v>
      </c>
      <c r="L36" s="209" t="s">
        <v>13</v>
      </c>
      <c r="M36" s="210"/>
      <c r="N36" s="195"/>
      <c r="O36" s="145"/>
      <c r="P36" s="259" t="n">
        <f aca="false">P29</f>
        <v>1</v>
      </c>
      <c r="Q36" s="259" t="n">
        <f aca="false">Q29</f>
        <v>1</v>
      </c>
      <c r="R36" s="145" t="e">
        <f aca="false">IF(VLOOKUP(A36,Para1!$B$67:$E$72,2,0)="7.",VLOOKUP(A36,Para1!$B$67:$E$72,3,0),"")</f>
        <v>#N/A</v>
      </c>
      <c r="S36" s="145" t="str">
        <f aca="false">IF((P36+Q36)=0,"",IF(ISNA(R36),"",IF(R36="","",VLOOKUP(R36,Para1!$D$67:$G$79,3,0)*(IF(P36+Q36=1,0.5,1)))))</f>
        <v/>
      </c>
      <c r="T36" s="145" t="str">
        <f aca="false">IF(P36+Q36=0,"",IF(ISNA(R37),"",IF(R37="","",VLOOKUP(R37,Para1!$D$67:$G$79,4,0)*(IF(P36+Q36=1,0.5,1)))))</f>
        <v/>
      </c>
      <c r="U36" s="145" t="str">
        <f aca="false">IF(SUM(S36:T36)&gt;0,K36,"")</f>
        <v/>
      </c>
      <c r="V36" s="145" t="str">
        <f aca="false">IF(SUM(S36:T36)&gt;0,L36,"")</f>
        <v/>
      </c>
      <c r="W36" s="145" t="n">
        <f aca="false">IF(S36=0,P36+Q36,0)</f>
        <v>0</v>
      </c>
    </row>
    <row r="37" customFormat="false" ht="17" hidden="false" customHeight="true" outlineLevel="0" collapsed="false">
      <c r="A37" s="200" t="s">
        <v>34</v>
      </c>
      <c r="B37" s="297" t="str">
        <f aca="false">IF(B36=Para1!$F$153,Para1!$F$109,IF(B36=Para1!$F$109,Para1!$F$148,IF(B36=Para1!$F$148,Para1!$F$111,IF(B36=Para1!$F$111,Para1!$F$120,IF(B36=Para1!$F$120,Para1!$F$170,IF(B36=Para1!$F$170,Para1!$F$173,Para1!$F$153))))))</f>
        <v>Thu</v>
      </c>
      <c r="C37" s="186"/>
      <c r="D37" s="329"/>
      <c r="E37" s="316"/>
      <c r="F37" s="205"/>
      <c r="G37" s="204"/>
      <c r="H37" s="204"/>
      <c r="I37" s="206"/>
      <c r="J37" s="330"/>
      <c r="K37" s="208" t="s">
        <v>13</v>
      </c>
      <c r="L37" s="209" t="s">
        <v>13</v>
      </c>
      <c r="M37" s="210"/>
      <c r="N37" s="195"/>
      <c r="O37" s="145"/>
      <c r="P37" s="259" t="n">
        <f aca="false">P30</f>
        <v>1</v>
      </c>
      <c r="Q37" s="259" t="n">
        <f aca="false">Q30</f>
        <v>1</v>
      </c>
      <c r="R37" s="145" t="e">
        <f aca="false">IF(VLOOKUP(A37,Para1!$B$67:$E$72,2,0)="7.",VLOOKUP(A37,Para1!$B$67:$E$72,3,0),"")</f>
        <v>#N/A</v>
      </c>
      <c r="S37" s="145" t="str">
        <f aca="false">IF((P37+Q37)=0,"",IF(ISNA(R37),"",IF(R37="","",VLOOKUP(R37,Para1!$D$67:$G$79,3,0)*(IF(P37+Q37=1,0.5,1)))))</f>
        <v/>
      </c>
      <c r="T37" s="145" t="str">
        <f aca="false">IF(P37+Q37=0,"",IF(ISNA(R38),"",IF(R38="","",VLOOKUP(R38,Para1!$D$67:$G$79,4,0)*(IF(P37+Q37=1,0.5,1)))))</f>
        <v/>
      </c>
      <c r="U37" s="145" t="str">
        <f aca="false">IF(SUM(S37:T37)&gt;0,K37,"")</f>
        <v/>
      </c>
      <c r="V37" s="145" t="str">
        <f aca="false">IF(SUM(S37:T37)&gt;0,L37,"")</f>
        <v/>
      </c>
      <c r="W37" s="145" t="n">
        <f aca="false">IF(S37=0,P37+Q37,0)</f>
        <v>0</v>
      </c>
    </row>
    <row r="38" customFormat="false" ht="17" hidden="false" customHeight="true" outlineLevel="0" collapsed="false">
      <c r="A38" s="200" t="s">
        <v>35</v>
      </c>
      <c r="B38" s="297" t="str">
        <f aca="false">IF(B37=Para1!$F$153,Para1!$F$109,IF(B37=Para1!$F$109,Para1!$F$148,IF(B37=Para1!$F$148,Para1!$F$111,IF(B37=Para1!$F$111,Para1!$F$120,IF(B37=Para1!$F$120,Para1!$F$170,IF(B37=Para1!$F$170,Para1!$F$173,Para1!$F$153))))))</f>
        <v>Fri</v>
      </c>
      <c r="C38" s="202"/>
      <c r="D38" s="329"/>
      <c r="E38" s="316"/>
      <c r="F38" s="205"/>
      <c r="G38" s="204"/>
      <c r="H38" s="204"/>
      <c r="I38" s="206"/>
      <c r="J38" s="330"/>
      <c r="K38" s="208" t="s">
        <v>13</v>
      </c>
      <c r="L38" s="209" t="s">
        <v>13</v>
      </c>
      <c r="M38" s="210"/>
      <c r="N38" s="195"/>
      <c r="O38" s="145"/>
      <c r="P38" s="259" t="n">
        <f aca="false">P31</f>
        <v>1</v>
      </c>
      <c r="Q38" s="259" t="n">
        <f aca="false">Q31</f>
        <v>1</v>
      </c>
      <c r="R38" s="145" t="e">
        <f aca="false">IF(VLOOKUP(A38,Para1!$B$67:$E$72,2,0)="7.",VLOOKUP(A38,Para1!$B$67:$E$72,3,0),"")</f>
        <v>#N/A</v>
      </c>
      <c r="S38" s="145" t="str">
        <f aca="false">IF((P38+Q38)=0,"",IF(ISNA(R38),"",IF(R38="","",VLOOKUP(R38,Para1!$D$67:$G$79,3,0)*(IF(P38+Q38=1,0.5,1)))))</f>
        <v/>
      </c>
      <c r="T38" s="145" t="str">
        <f aca="false">IF(P38+Q38=0,"",IF(ISNA(R39),"",IF(R39="","",VLOOKUP(R39,Para1!$D$67:$G$79,4,0)*(IF(P38+Q38=1,0.5,1)))))</f>
        <v/>
      </c>
      <c r="U38" s="145" t="str">
        <f aca="false">IF(SUM(S38:T38)&gt;0,K38,"")</f>
        <v/>
      </c>
      <c r="V38" s="145" t="str">
        <f aca="false">IF(SUM(S38:T38)&gt;0,L38,"")</f>
        <v/>
      </c>
      <c r="W38" s="145" t="n">
        <f aca="false">IF(S38=0,P38+Q38,0)</f>
        <v>0</v>
      </c>
    </row>
    <row r="39" s="258" customFormat="true" ht="17" hidden="false" customHeight="true" outlineLevel="0" collapsed="false">
      <c r="A39" s="200" t="s">
        <v>36</v>
      </c>
      <c r="B39" s="297" t="str">
        <f aca="false">IF(B38=Para1!$F$153,Para1!$F$109,IF(B38=Para1!$F$109,Para1!$F$148,IF(B38=Para1!$F$148,Para1!$F$111,IF(B38=Para1!$F$111,Para1!$F$120,IF(B38=Para1!$F$120,Para1!$F$170,IF(B38=Para1!$F$170,Para1!$F$173,Para1!$F$153))))))</f>
        <v>Sat</v>
      </c>
      <c r="C39" s="202"/>
      <c r="D39" s="329"/>
      <c r="E39" s="316"/>
      <c r="F39" s="205"/>
      <c r="G39" s="204"/>
      <c r="H39" s="204"/>
      <c r="I39" s="206"/>
      <c r="J39" s="330"/>
      <c r="K39" s="208"/>
      <c r="L39" s="209"/>
      <c r="M39" s="210"/>
      <c r="N39" s="195"/>
      <c r="O39" s="145"/>
      <c r="P39" s="259" t="n">
        <f aca="false">P32</f>
        <v>0</v>
      </c>
      <c r="Q39" s="259" t="n">
        <f aca="false">Q32</f>
        <v>0</v>
      </c>
      <c r="R39" s="145" t="e">
        <f aca="false">IF(VLOOKUP(A39,Para1!$B$67:$E$72,2,0)="7.",VLOOKUP(A39,Para1!$B$67:$E$72,3,0),"")</f>
        <v>#N/A</v>
      </c>
      <c r="S39" s="145" t="str">
        <f aca="false">IF((P39+Q39)=0,"",IF(ISNA(R39),"",IF(R39="","",VLOOKUP(R39,Para1!$D$67:$G$79,3,0)*(IF(P39+Q39=1,0.5,1)))))</f>
        <v/>
      </c>
      <c r="T39" s="145" t="str">
        <f aca="false">IF(P39+Q39=0,"",IF(ISNA(R40),"",IF(R40="","",VLOOKUP(R40,Para1!$D$67:$G$79,4,0)*(IF(P39+Q39=1,0.5,1)))))</f>
        <v/>
      </c>
      <c r="U39" s="145" t="str">
        <f aca="false">IF(SUM(S39:T39)&gt;0,K39,"")</f>
        <v/>
      </c>
      <c r="V39" s="145" t="str">
        <f aca="false">IF(SUM(S39:T39)&gt;0,L39,"")</f>
        <v/>
      </c>
      <c r="W39" s="145" t="n">
        <f aca="false">IF(S39=0,P39+Q39,0)</f>
        <v>0</v>
      </c>
    </row>
    <row r="40" s="258" customFormat="true" ht="17" hidden="false" customHeight="true" outlineLevel="0" collapsed="false">
      <c r="A40" s="200" t="s">
        <v>37</v>
      </c>
      <c r="B40" s="297" t="str">
        <f aca="false">IF(B39=Para1!$F$153,Para1!$F$109,IF(B39=Para1!$F$109,Para1!$F$148,IF(B39=Para1!$F$148,Para1!$F$111,IF(B39=Para1!$F$111,Para1!$F$120,IF(B39=Para1!$F$120,Para1!$F$170,IF(B39=Para1!$F$170,Para1!$F$173,Para1!$F$153))))))</f>
        <v>Sun</v>
      </c>
      <c r="C40" s="202"/>
      <c r="D40" s="329"/>
      <c r="E40" s="316"/>
      <c r="F40" s="205"/>
      <c r="G40" s="204"/>
      <c r="H40" s="204"/>
      <c r="I40" s="206"/>
      <c r="J40" s="330"/>
      <c r="K40" s="208"/>
      <c r="L40" s="209"/>
      <c r="M40" s="210"/>
      <c r="N40" s="195"/>
      <c r="O40" s="145"/>
      <c r="P40" s="259" t="n">
        <f aca="false">P33</f>
        <v>0</v>
      </c>
      <c r="Q40" s="259" t="n">
        <f aca="false">Q33</f>
        <v>0</v>
      </c>
      <c r="R40" s="145" t="e">
        <f aca="false">IF(VLOOKUP(A40,Para1!$B$67:$E$72,2,0)="7.",VLOOKUP(A40,Para1!$B$67:$E$72,3,0),"")</f>
        <v>#N/A</v>
      </c>
      <c r="S40" s="145" t="str">
        <f aca="false">IF((P40+Q40)=0,"",IF(ISNA(R40),"",IF(R40="","",VLOOKUP(R40,Para1!$D$67:$G$79,3,0)*(IF(P40+Q40=1,0.5,1)))))</f>
        <v/>
      </c>
      <c r="T40" s="145" t="str">
        <f aca="false">IF(P40+Q40=0,"",IF(ISNA(R41),"",IF(R41="","",VLOOKUP(R41,Para1!$D$67:$G$79,4,0)*(IF(P40+Q40=1,0.5,1)))))</f>
        <v/>
      </c>
      <c r="U40" s="145" t="str">
        <f aca="false">IF(SUM(S40:T40)&gt;0,K40,"")</f>
        <v/>
      </c>
      <c r="V40" s="145" t="str">
        <f aca="false">IF(SUM(S40:T40)&gt;0,L40,"")</f>
        <v/>
      </c>
      <c r="W40" s="145" t="n">
        <f aca="false">IF(S40=0,P40+Q40,0)</f>
        <v>0</v>
      </c>
    </row>
    <row r="41" customFormat="false" ht="17" hidden="false" customHeight="true" outlineLevel="0" collapsed="false">
      <c r="A41" s="200" t="s">
        <v>38</v>
      </c>
      <c r="B41" s="297" t="str">
        <f aca="false">IF(B40=Para1!$F$153,Para1!$F$109,IF(B40=Para1!$F$109,Para1!$F$148,IF(B40=Para1!$F$148,Para1!$F$111,IF(B40=Para1!$F$111,Para1!$F$120,IF(B40=Para1!$F$120,Para1!$F$170,IF(B40=Para1!$F$170,Para1!$F$173,Para1!$F$153))))))</f>
        <v>Mon</v>
      </c>
      <c r="C41" s="202"/>
      <c r="D41" s="329"/>
      <c r="E41" s="316"/>
      <c r="F41" s="205"/>
      <c r="G41" s="204"/>
      <c r="H41" s="204"/>
      <c r="I41" s="206"/>
      <c r="J41" s="330"/>
      <c r="K41" s="208"/>
      <c r="L41" s="209"/>
      <c r="M41" s="210"/>
      <c r="N41" s="195"/>
      <c r="O41" s="145"/>
      <c r="P41" s="259" t="n">
        <f aca="false">P34</f>
        <v>1</v>
      </c>
      <c r="Q41" s="259" t="n">
        <f aca="false">Q34</f>
        <v>1</v>
      </c>
      <c r="R41" s="145" t="e">
        <f aca="false">IF(VLOOKUP(A41,Para1!$B$67:$E$72,2,0)="7.",VLOOKUP(A41,Para1!$B$67:$E$72,3,0),"")</f>
        <v>#N/A</v>
      </c>
      <c r="S41" s="145" t="str">
        <f aca="false">IF((P41+Q41)=0,"",IF(ISNA(R41),"",IF(R41="","",VLOOKUP(R41,Para1!$D$67:$G$79,3,0)*(IF(P41+Q41=1,0.5,1)))))</f>
        <v/>
      </c>
      <c r="T41" s="145" t="str">
        <f aca="false">IF(P41+Q41=0,"",IF(ISNA(R42),"",IF(R42="","",VLOOKUP(R42,Para1!$D$67:$G$79,4,0)*(IF(P41+Q41=1,0.5,1)))))</f>
        <v/>
      </c>
      <c r="U41" s="145" t="str">
        <f aca="false">IF(SUM(S41:T41)&gt;0,K41,"")</f>
        <v/>
      </c>
      <c r="V41" s="145" t="str">
        <f aca="false">IF(SUM(S41:T41)&gt;0,L41,"")</f>
        <v/>
      </c>
      <c r="W41" s="145" t="n">
        <f aca="false">IF(S41=0,P41+Q41,0)</f>
        <v>0</v>
      </c>
    </row>
    <row r="42" customFormat="false" ht="17" hidden="false" customHeight="true" outlineLevel="0" collapsed="false">
      <c r="A42" s="200" t="s">
        <v>39</v>
      </c>
      <c r="B42" s="297" t="str">
        <f aca="false">IF(B41=Para1!$F$153,Para1!$F$109,IF(B41=Para1!$F$109,Para1!$F$148,IF(B41=Para1!$F$148,Para1!$F$111,IF(B41=Para1!$F$111,Para1!$F$120,IF(B41=Para1!$F$120,Para1!$F$170,IF(B41=Para1!$F$170,Para1!$F$173,Para1!$F$153))))))</f>
        <v>Tue</v>
      </c>
      <c r="C42" s="202"/>
      <c r="D42" s="329"/>
      <c r="E42" s="316"/>
      <c r="F42" s="205"/>
      <c r="G42" s="204"/>
      <c r="H42" s="204"/>
      <c r="I42" s="206"/>
      <c r="J42" s="330"/>
      <c r="K42" s="208"/>
      <c r="L42" s="209"/>
      <c r="M42" s="210"/>
      <c r="N42" s="195"/>
      <c r="O42" s="145"/>
      <c r="P42" s="259" t="n">
        <f aca="false">P35</f>
        <v>1</v>
      </c>
      <c r="Q42" s="259" t="n">
        <f aca="false">Q35</f>
        <v>1</v>
      </c>
      <c r="R42" s="145" t="e">
        <f aca="false">IF(VLOOKUP(A42,Para1!$B$67:$E$72,2,0)="7.",VLOOKUP(A42,Para1!$B$67:$E$72,3,0),"")</f>
        <v>#N/A</v>
      </c>
      <c r="S42" s="145" t="str">
        <f aca="false">IF((P42+Q42)=0,"",IF(ISNA(R42),"",IF(R42="","",VLOOKUP(R42,Para1!$D$67:$G$79,3,0)*(IF(P42+Q42=1,0.5,1)))))</f>
        <v/>
      </c>
      <c r="T42" s="145" t="str">
        <f aca="false">IF(P42+Q42=0,"",IF(ISNA(R43),"",IF(R43="","",VLOOKUP(R43,Para1!$D$67:$G$79,4,0)*(IF(P42+Q42=1,0.5,1)))))</f>
        <v/>
      </c>
      <c r="U42" s="145" t="str">
        <f aca="false">IF(SUM(S42:T42)&gt;0,K42,"")</f>
        <v/>
      </c>
      <c r="V42" s="145" t="str">
        <f aca="false">IF(SUM(S42:T42)&gt;0,L42,"")</f>
        <v/>
      </c>
      <c r="W42" s="145" t="n">
        <f aca="false">IF(S42=0,P42+Q42,0)</f>
        <v>0</v>
      </c>
    </row>
    <row r="43" customFormat="false" ht="17" hidden="false" customHeight="true" outlineLevel="0" collapsed="false">
      <c r="A43" s="200" t="s">
        <v>40</v>
      </c>
      <c r="B43" s="297" t="str">
        <f aca="false">IF(B42=Para1!$F$153,Para1!$F$109,IF(B42=Para1!$F$109,Para1!$F$148,IF(B42=Para1!$F$148,Para1!$F$111,IF(B42=Para1!$F$111,Para1!$F$120,IF(B42=Para1!$F$120,Para1!$F$170,IF(B42=Para1!$F$170,Para1!$F$173,Para1!$F$153))))))</f>
        <v>Wed</v>
      </c>
      <c r="C43" s="186"/>
      <c r="D43" s="329"/>
      <c r="E43" s="316"/>
      <c r="F43" s="205"/>
      <c r="G43" s="204"/>
      <c r="H43" s="204"/>
      <c r="I43" s="206"/>
      <c r="J43" s="330"/>
      <c r="K43" s="208"/>
      <c r="L43" s="209"/>
      <c r="M43" s="210"/>
      <c r="N43" s="195"/>
      <c r="O43" s="145"/>
      <c r="P43" s="259" t="n">
        <f aca="false">P36</f>
        <v>1</v>
      </c>
      <c r="Q43" s="259" t="n">
        <f aca="false">Q36</f>
        <v>1</v>
      </c>
      <c r="R43" s="145" t="e">
        <f aca="false">IF(VLOOKUP(A43,Para1!$B$67:$E$72,2,0)="7.",VLOOKUP(A43,Para1!$B$67:$E$72,3,0),"")</f>
        <v>#N/A</v>
      </c>
      <c r="S43" s="145" t="str">
        <f aca="false">IF((P43+Q43)=0,"",IF(ISNA(R43),"",IF(R43="","",VLOOKUP(R43,Para1!$D$67:$G$79,3,0)*(IF(P43+Q43=1,0.5,1)))))</f>
        <v/>
      </c>
      <c r="T43" s="145" t="str">
        <f aca="false">IF(P43+Q43=0,"",IF(ISNA(R44),"",IF(R44="","",VLOOKUP(R44,Para1!$D$67:$G$79,4,0)*(IF(P43+Q43=1,0.5,1)))))</f>
        <v/>
      </c>
      <c r="U43" s="145" t="str">
        <f aca="false">IF(SUM(S43:T43)&gt;0,K43,"")</f>
        <v/>
      </c>
      <c r="V43" s="145" t="str">
        <f aca="false">IF(SUM(S43:T43)&gt;0,L43,"")</f>
        <v/>
      </c>
      <c r="W43" s="145" t="n">
        <f aca="false">IF(S43=0,P43+Q43,0)</f>
        <v>0</v>
      </c>
    </row>
    <row r="44" customFormat="false" ht="17" hidden="false" customHeight="true" outlineLevel="0" collapsed="false">
      <c r="A44" s="200" t="s">
        <v>41</v>
      </c>
      <c r="B44" s="297" t="str">
        <f aca="false">IF(B43=Para1!$F$153,Para1!$F$109,IF(B43=Para1!$F$109,Para1!$F$148,IF(B43=Para1!$F$148,Para1!$F$111,IF(B43=Para1!$F$111,Para1!$F$120,IF(B43=Para1!$F$120,Para1!$F$170,IF(B43=Para1!$F$170,Para1!$F$173,Para1!$F$153))))))</f>
        <v>Thu</v>
      </c>
      <c r="C44" s="186"/>
      <c r="D44" s="329"/>
      <c r="E44" s="316"/>
      <c r="F44" s="205"/>
      <c r="G44" s="204"/>
      <c r="H44" s="204"/>
      <c r="I44" s="206"/>
      <c r="J44" s="330"/>
      <c r="K44" s="208"/>
      <c r="L44" s="209"/>
      <c r="M44" s="210"/>
      <c r="N44" s="195"/>
      <c r="O44" s="145"/>
      <c r="P44" s="259" t="n">
        <f aca="false">P37</f>
        <v>1</v>
      </c>
      <c r="Q44" s="259" t="n">
        <f aca="false">Q37</f>
        <v>1</v>
      </c>
      <c r="R44" s="145" t="e">
        <f aca="false">IF(VLOOKUP(A44,Para1!$B$67:$E$72,2,0)="7.",VLOOKUP(A44,Para1!$B$67:$E$72,3,0),"")</f>
        <v>#N/A</v>
      </c>
      <c r="S44" s="145" t="str">
        <f aca="false">IF((P44+Q44)=0,"",IF(ISNA(R44),"",IF(R44="","",VLOOKUP(R44,Para1!$D$67:$G$79,3,0)*(IF(P44+Q44=1,0.5,1)))))</f>
        <v/>
      </c>
      <c r="T44" s="145" t="str">
        <f aca="false">IF(P44+Q44=0,"",IF(ISNA(R45),"",IF(R45="","",VLOOKUP(R45,Para1!$D$67:$G$79,4,0)*(IF(P44+Q44=1,0.5,1)))))</f>
        <v/>
      </c>
      <c r="U44" s="145" t="str">
        <f aca="false">IF(SUM(S44:T44)&gt;0,K44,"")</f>
        <v/>
      </c>
      <c r="V44" s="145" t="str">
        <f aca="false">IF(SUM(S44:T44)&gt;0,L44,"")</f>
        <v/>
      </c>
      <c r="W44" s="145" t="n">
        <f aca="false">IF(S44=0,P44+Q44,0)</f>
        <v>0</v>
      </c>
    </row>
    <row r="45" customFormat="false" ht="17" hidden="false" customHeight="true" outlineLevel="0" collapsed="false">
      <c r="A45" s="200" t="s">
        <v>42</v>
      </c>
      <c r="B45" s="297" t="str">
        <f aca="false">IF(B44=Para1!$F$153,Para1!$F$109,IF(B44=Para1!$F$109,Para1!$F$148,IF(B44=Para1!$F$148,Para1!$F$111,IF(B44=Para1!$F$111,Para1!$F$120,IF(B44=Para1!$F$120,Para1!$F$170,IF(B44=Para1!$F$170,Para1!$F$173,Para1!$F$153))))))</f>
        <v>Fri</v>
      </c>
      <c r="C45" s="202"/>
      <c r="D45" s="329"/>
      <c r="E45" s="316"/>
      <c r="F45" s="205"/>
      <c r="G45" s="204"/>
      <c r="H45" s="204"/>
      <c r="I45" s="206"/>
      <c r="J45" s="330"/>
      <c r="K45" s="208"/>
      <c r="L45" s="209"/>
      <c r="M45" s="210"/>
      <c r="N45" s="195"/>
      <c r="O45" s="145"/>
      <c r="P45" s="259" t="n">
        <f aca="false">P38</f>
        <v>1</v>
      </c>
      <c r="Q45" s="259" t="n">
        <f aca="false">Q38</f>
        <v>1</v>
      </c>
      <c r="R45" s="145" t="str">
        <f aca="false">IF(VLOOKUP(A45,Para1!$B$67:$E$72,2,0)="7.",VLOOKUP(A45,Para1!$B$67:$E$72,3,0),"")</f>
        <v/>
      </c>
      <c r="S45" s="145" t="str">
        <f aca="false">IF((P45+Q45)=0,"",IF(ISNA(R45),"",IF(R45="","",VLOOKUP(R45,Para1!$D$67:$G$79,3,0)*(IF(P45+Q45=1,0.5,1)))))</f>
        <v/>
      </c>
      <c r="T45" s="145" t="str">
        <f aca="false">IF(P45+Q45=0,"",IF(ISNA(R46),"",IF(R46="","",VLOOKUP(R46,Para1!$D$67:$G$79,4,0)*(IF(P45+Q45=1,0.5,1)))))</f>
        <v/>
      </c>
      <c r="U45" s="145" t="str">
        <f aca="false">IF(SUM(S45:T45)&gt;0,K45,"")</f>
        <v/>
      </c>
      <c r="V45" s="145" t="str">
        <f aca="false">IF(SUM(S45:T45)&gt;0,L45,"")</f>
        <v/>
      </c>
      <c r="W45" s="145" t="n">
        <f aca="false">IF(S45=0,P45+Q45,0)</f>
        <v>0</v>
      </c>
    </row>
    <row r="46" s="258" customFormat="true" ht="17" hidden="false" customHeight="true" outlineLevel="0" collapsed="false">
      <c r="A46" s="200" t="s">
        <v>43</v>
      </c>
      <c r="B46" s="297" t="str">
        <f aca="false">IF(B45=Para1!$F$153,Para1!$F$109,IF(B45=Para1!$F$109,Para1!$F$148,IF(B45=Para1!$F$148,Para1!$F$111,IF(B45=Para1!$F$111,Para1!$F$120,IF(B45=Para1!$F$120,Para1!$F$170,IF(B45=Para1!$F$170,Para1!$F$173,Para1!$F$153))))))</f>
        <v>Sat</v>
      </c>
      <c r="C46" s="202"/>
      <c r="D46" s="329"/>
      <c r="E46" s="316"/>
      <c r="F46" s="205"/>
      <c r="G46" s="204"/>
      <c r="H46" s="204"/>
      <c r="I46" s="206"/>
      <c r="J46" s="330"/>
      <c r="K46" s="208"/>
      <c r="L46" s="209"/>
      <c r="M46" s="210"/>
      <c r="N46" s="195"/>
      <c r="O46" s="145"/>
      <c r="P46" s="259" t="n">
        <f aca="false">P39</f>
        <v>0</v>
      </c>
      <c r="Q46" s="259" t="n">
        <f aca="false">Q39</f>
        <v>0</v>
      </c>
      <c r="R46" s="145" t="str">
        <f aca="false">IF(VLOOKUP(A46,Para1!$B$67:$E$72,2,0)="7.",VLOOKUP(A46,Para1!$B$67:$E$72,3,0),"")</f>
        <v/>
      </c>
      <c r="S46" s="145" t="str">
        <f aca="false">IF((P46+Q46)=0,"",IF(ISNA(R46),"",IF(R46="","",VLOOKUP(R46,Para1!$D$67:$G$79,3,0)*(IF(P46+Q46=1,0.5,1)))))</f>
        <v/>
      </c>
      <c r="T46" s="145" t="str">
        <f aca="false">IF(P46+Q46=0,"",IF(ISNA(R47),"",IF(R47="","",VLOOKUP(R47,Para1!$D$67:$G$79,4,0)*(IF(P46+Q46=1,0.5,1)))))</f>
        <v/>
      </c>
      <c r="U46" s="145" t="str">
        <f aca="false">IF(SUM(S46:T46)&gt;0,K46,"")</f>
        <v/>
      </c>
      <c r="V46" s="145" t="str">
        <f aca="false">IF(SUM(S46:T46)&gt;0,L46,"")</f>
        <v/>
      </c>
      <c r="W46" s="145" t="n">
        <f aca="false">IF(S46=0,P46+Q46,0)</f>
        <v>0</v>
      </c>
    </row>
    <row r="47" s="258" customFormat="true" ht="17" hidden="false" customHeight="true" outlineLevel="0" collapsed="false">
      <c r="A47" s="200" t="s">
        <v>44</v>
      </c>
      <c r="B47" s="297" t="str">
        <f aca="false">IF(B46=Para1!$F$153,Para1!$F$109,IF(B46=Para1!$F$109,Para1!$F$148,IF(B46=Para1!$F$148,Para1!$F$111,IF(B46=Para1!$F$111,Para1!$F$120,IF(B46=Para1!$F$120,Para1!$F$170,IF(B46=Para1!$F$170,Para1!$F$173,Para1!$F$153))))))</f>
        <v>Sun</v>
      </c>
      <c r="C47" s="202"/>
      <c r="D47" s="329"/>
      <c r="E47" s="316"/>
      <c r="F47" s="205"/>
      <c r="G47" s="204"/>
      <c r="H47" s="204"/>
      <c r="I47" s="206"/>
      <c r="J47" s="330"/>
      <c r="K47" s="208"/>
      <c r="L47" s="209"/>
      <c r="M47" s="210"/>
      <c r="N47" s="195"/>
      <c r="O47" s="145"/>
      <c r="P47" s="259" t="n">
        <f aca="false">P40</f>
        <v>0</v>
      </c>
      <c r="Q47" s="259" t="n">
        <f aca="false">Q40</f>
        <v>0</v>
      </c>
      <c r="R47" s="145" t="e">
        <f aca="false">IF(VLOOKUP(A47,Para1!$B$67:$E$72,2,0)="7.",VLOOKUP(A47,Para1!$B$67:$E$72,3,0),"")</f>
        <v>#N/A</v>
      </c>
      <c r="S47" s="145" t="str">
        <f aca="false">IF((P47+Q47)=0,"",IF(ISNA(R47),"",IF(R47="","",VLOOKUP(R47,Para1!$D$67:$G$79,3,0)*(IF(P47+Q47=1,0.5,1)))))</f>
        <v/>
      </c>
      <c r="T47" s="145" t="str">
        <f aca="false">IF(P47+Q47=0,"",IF(ISNA(R48),"",IF(R48="","",VLOOKUP(R48,Para1!$D$67:$G$79,4,0)*(IF(P47+Q47=1,0.5,1)))))</f>
        <v/>
      </c>
      <c r="U47" s="145" t="str">
        <f aca="false">IF(SUM(S47:T47)&gt;0,K47,"")</f>
        <v/>
      </c>
      <c r="V47" s="145" t="str">
        <f aca="false">IF(SUM(S47:T47)&gt;0,L47,"")</f>
        <v/>
      </c>
      <c r="W47" s="145" t="n">
        <f aca="false">IF(S47=0,P47+Q47,0)</f>
        <v>0</v>
      </c>
    </row>
    <row r="48" customFormat="false" ht="17" hidden="false" customHeight="true" outlineLevel="0" collapsed="false">
      <c r="A48" s="200" t="s">
        <v>45</v>
      </c>
      <c r="B48" s="297" t="str">
        <f aca="false">IF(B47=Para1!$F$153,Para1!$F$109,IF(B47=Para1!$F$109,Para1!$F$148,IF(B47=Para1!$F$148,Para1!$F$111,IF(B47=Para1!$F$111,Para1!$F$120,IF(B47=Para1!$F$120,Para1!$F$170,IF(B47=Para1!$F$170,Para1!$F$173,Para1!$F$153))))))</f>
        <v>Mon</v>
      </c>
      <c r="C48" s="202"/>
      <c r="D48" s="329"/>
      <c r="E48" s="316"/>
      <c r="F48" s="205"/>
      <c r="G48" s="204"/>
      <c r="H48" s="204"/>
      <c r="I48" s="206"/>
      <c r="J48" s="330"/>
      <c r="K48" s="208"/>
      <c r="L48" s="209"/>
      <c r="M48" s="210"/>
      <c r="N48" s="195"/>
      <c r="O48" s="145"/>
      <c r="P48" s="259" t="n">
        <f aca="false">P41</f>
        <v>1</v>
      </c>
      <c r="Q48" s="259" t="n">
        <f aca="false">Q41</f>
        <v>1</v>
      </c>
      <c r="R48" s="145" t="e">
        <f aca="false">IF(VLOOKUP(A48,Para1!$B$67:$E$72,2,0)="7.",VLOOKUP(A48,Para1!$B$67:$E$72,3,0),"")</f>
        <v>#N/A</v>
      </c>
      <c r="S48" s="145" t="str">
        <f aca="false">IF((P48+Q48)=0,"",IF(ISNA(R48),"",IF(R48="","",VLOOKUP(R48,Para1!$D$67:$G$79,3,0)*(IF(P48+Q48=1,0.5,1)))))</f>
        <v/>
      </c>
      <c r="T48" s="145" t="str">
        <f aca="false">IF(P48+Q48=0,"",IF(ISNA(R49),"",IF(R49="","",VLOOKUP(R49,Para1!$D$67:$G$79,4,0)*(IF(P48+Q48=1,0.5,1)))))</f>
        <v/>
      </c>
      <c r="U48" s="145" t="str">
        <f aca="false">IF(SUM(S48:T48)&gt;0,K48,"")</f>
        <v/>
      </c>
      <c r="V48" s="145" t="str">
        <f aca="false">IF(SUM(S48:T48)&gt;0,L48,"")</f>
        <v/>
      </c>
      <c r="W48" s="145" t="n">
        <f aca="false">IF(S48=0,P48+Q48,0)</f>
        <v>0</v>
      </c>
    </row>
    <row r="49" customFormat="false" ht="17" hidden="false" customHeight="true" outlineLevel="0" collapsed="false">
      <c r="A49" s="200" t="s">
        <v>46</v>
      </c>
      <c r="B49" s="297" t="str">
        <f aca="false">IF(B48=Para1!$F$153,Para1!$F$109,IF(B48=Para1!$F$109,Para1!$F$148,IF(B48=Para1!$F$148,Para1!$F$111,IF(B48=Para1!$F$111,Para1!$F$120,IF(B48=Para1!$F$120,Para1!$F$170,IF(B48=Para1!$F$170,Para1!$F$173,Para1!$F$153))))))</f>
        <v>Tue</v>
      </c>
      <c r="C49" s="202"/>
      <c r="D49" s="329"/>
      <c r="E49" s="316"/>
      <c r="F49" s="205"/>
      <c r="G49" s="204"/>
      <c r="H49" s="204"/>
      <c r="I49" s="206"/>
      <c r="J49" s="330"/>
      <c r="K49" s="208"/>
      <c r="L49" s="209"/>
      <c r="M49" s="210"/>
      <c r="N49" s="195"/>
      <c r="O49" s="145"/>
      <c r="P49" s="259" t="n">
        <f aca="false">P42</f>
        <v>1</v>
      </c>
      <c r="Q49" s="259" t="n">
        <f aca="false">Q42</f>
        <v>1</v>
      </c>
      <c r="R49" s="145" t="e">
        <f aca="false">IF(VLOOKUP(A49,Para1!$B$67:$E$72,2,0)="7.",VLOOKUP(A49,Para1!$B$67:$E$72,3,0),"")</f>
        <v>#N/A</v>
      </c>
      <c r="S49" s="145" t="str">
        <f aca="false">IF((P49+Q49)=0,"",IF(ISNA(R49),"",IF(R49="","",VLOOKUP(R49,Para1!$D$67:$G$79,3,0)*(IF(P49+Q49=1,0.5,1)))))</f>
        <v/>
      </c>
      <c r="T49" s="145" t="str">
        <f aca="false">IF(P49+Q49=0,"",IF(ISNA(R50),"",IF(R50="","",VLOOKUP(R50,Para1!$D$67:$G$79,4,0)*(IF(P49+Q49=1,0.5,1)))))</f>
        <v/>
      </c>
      <c r="U49" s="145" t="str">
        <f aca="false">IF(SUM(S49:T49)&gt;0,K49,"")</f>
        <v/>
      </c>
      <c r="V49" s="145" t="str">
        <f aca="false">IF(SUM(S49:T49)&gt;0,L49,"")</f>
        <v/>
      </c>
      <c r="W49" s="145" t="n">
        <f aca="false">IF(S49=0,P49+Q49,0)</f>
        <v>0</v>
      </c>
    </row>
    <row r="50" customFormat="false" ht="16.5" hidden="false" customHeight="true" outlineLevel="0" collapsed="false">
      <c r="A50" s="200" t="s">
        <v>47</v>
      </c>
      <c r="B50" s="297" t="str">
        <f aca="false">IF(B49=Para1!$F$153,Para1!$F$109,IF(B49=Para1!$F$109,Para1!$F$148,IF(B49=Para1!$F$148,Para1!$F$111,IF(B49=Para1!$F$111,Para1!$F$120,IF(B49=Para1!$F$120,Para1!$F$170,IF(B49=Para1!$F$170,Para1!$F$173,Para1!$F$153))))))</f>
        <v>Wed</v>
      </c>
      <c r="C50" s="186"/>
      <c r="D50" s="329"/>
      <c r="E50" s="316"/>
      <c r="F50" s="205"/>
      <c r="G50" s="204"/>
      <c r="H50" s="204"/>
      <c r="I50" s="206"/>
      <c r="J50" s="330"/>
      <c r="K50" s="208"/>
      <c r="L50" s="209"/>
      <c r="M50" s="210"/>
      <c r="N50" s="195"/>
      <c r="O50" s="145"/>
      <c r="P50" s="262" t="n">
        <f aca="false">P43</f>
        <v>1</v>
      </c>
      <c r="Q50" s="262" t="n">
        <f aca="false">Q43</f>
        <v>1</v>
      </c>
      <c r="R50" s="145" t="e">
        <f aca="false">IF(VLOOKUP(A50,Para1!$B$67:$E$72,2,0)="7.",VLOOKUP(A50,Para1!$B$67:$E$72,3,0),"")</f>
        <v>#N/A</v>
      </c>
      <c r="S50" s="145" t="str">
        <f aca="false">IF((P50+Q50)=0,"",IF(ISNA(R50),"",IF(R50="","",VLOOKUP(R50,Para1!$D$67:$G$79,3,0)*(IF(P50+Q50=1,0.5,1)))))</f>
        <v/>
      </c>
      <c r="T50" s="145" t="str">
        <f aca="false">IF(P50+Q50=0,"",IF(ISNA(R51),"",IF(R51="","",VLOOKUP(R51,Para1!$D$67:$G$79,4,0)*(IF(P50+Q50=1,0.5,1)))))</f>
        <v/>
      </c>
      <c r="U50" s="145" t="str">
        <f aca="false">IF(SUM(S50:T50)&gt;0,K50,"")</f>
        <v/>
      </c>
      <c r="V50" s="145" t="str">
        <f aca="false">IF(SUM(S50:T50)&gt;0,L50,"")</f>
        <v/>
      </c>
      <c r="W50" s="145" t="n">
        <f aca="false">IF(S50=0,P50+Q50,0)</f>
        <v>0</v>
      </c>
    </row>
    <row r="51" customFormat="false" ht="16.5" hidden="false" customHeight="true" outlineLevel="0" collapsed="false">
      <c r="A51" s="200" t="s">
        <v>48</v>
      </c>
      <c r="B51" s="297" t="str">
        <f aca="false">IF(B50=Para1!$F$153,Para1!$F$109,IF(B50=Para1!$F$109,Para1!$F$148,IF(B50=Para1!$F$148,Para1!$F$111,IF(B50=Para1!$F$111,Para1!$F$120,IF(B50=Para1!$F$120,Para1!$F$170,IF(B50=Para1!$F$170,Para1!$F$173,Para1!$F$153))))))</f>
        <v>Thu</v>
      </c>
      <c r="C51" s="186"/>
      <c r="D51" s="329"/>
      <c r="E51" s="316"/>
      <c r="F51" s="205"/>
      <c r="G51" s="204"/>
      <c r="H51" s="204"/>
      <c r="I51" s="206"/>
      <c r="J51" s="330"/>
      <c r="K51" s="208"/>
      <c r="L51" s="209"/>
      <c r="M51" s="210"/>
      <c r="N51" s="195"/>
      <c r="O51" s="145"/>
      <c r="P51" s="217" t="n">
        <f aca="false">P44</f>
        <v>1</v>
      </c>
      <c r="Q51" s="259" t="n">
        <f aca="false">Q44</f>
        <v>1</v>
      </c>
      <c r="R51" s="145" t="e">
        <f aca="false">IF(VLOOKUP(A51,Para1!$B$67:$E$72,2,0)="7.",VLOOKUP(A51,Para1!$B$67:$E$72,3,0),"")</f>
        <v>#N/A</v>
      </c>
      <c r="S51" s="145" t="str">
        <f aca="false">IF((P51+Q51)=0,"",IF(ISNA(R51),"",IF(R51="","",VLOOKUP(R51,Para1!$D$67:$G$79,3,0)*(IF(P51+Q51=1,0.5,1)))))</f>
        <v/>
      </c>
      <c r="T51" s="145" t="str">
        <f aca="false">IF(P51+Q51=0,"",IF(ISNA(R52),"",IF(R52="","",VLOOKUP(R52,Para1!$D$67:$G$79,4,0)*(IF(P51+Q51=1,0.5,1)))))</f>
        <v/>
      </c>
      <c r="U51" s="145" t="str">
        <f aca="false">IF(SUM(S51:T51)&gt;0,K51,"")</f>
        <v/>
      </c>
      <c r="V51" s="145" t="str">
        <f aca="false">IF(SUM(S51:T51)&gt;0,L51,"")</f>
        <v/>
      </c>
      <c r="W51" s="145" t="n">
        <f aca="false">IF(S51=0,P51+Q51,0)</f>
        <v>0</v>
      </c>
    </row>
    <row r="52" customFormat="false" ht="16.5" hidden="false" customHeight="true" outlineLevel="0" collapsed="false">
      <c r="A52" s="200" t="s">
        <v>49</v>
      </c>
      <c r="B52" s="297" t="str">
        <f aca="false">IF(B51=Para1!$F$153,Para1!$F$109,IF(B51=Para1!$F$109,Para1!$F$148,IF(B51=Para1!$F$148,Para1!$F$111,IF(B51=Para1!$F$111,Para1!$F$120,IF(B51=Para1!$F$120,Para1!$F$170,IF(B51=Para1!$F$170,Para1!$F$173,Para1!$F$153))))))</f>
        <v>Fri</v>
      </c>
      <c r="C52" s="202"/>
      <c r="D52" s="329"/>
      <c r="E52" s="316"/>
      <c r="F52" s="205"/>
      <c r="G52" s="204"/>
      <c r="H52" s="204"/>
      <c r="I52" s="206"/>
      <c r="J52" s="330"/>
      <c r="K52" s="208"/>
      <c r="L52" s="209"/>
      <c r="M52" s="210"/>
      <c r="N52" s="195"/>
      <c r="O52" s="145"/>
      <c r="P52" s="217" t="n">
        <f aca="false">P45</f>
        <v>1</v>
      </c>
      <c r="Q52" s="259" t="n">
        <f aca="false">Q45</f>
        <v>1</v>
      </c>
      <c r="R52" s="145" t="e">
        <f aca="false">IF(VLOOKUP(A52,Para1!$B$67:$E$72,2,0)="7.",VLOOKUP(A52,Para1!$B$67:$E$72,3,0),"")</f>
        <v>#N/A</v>
      </c>
      <c r="S52" s="145" t="str">
        <f aca="false">IF((P52+Q52)=0,"",IF(ISNA(R52),"",IF(R52="","",VLOOKUP(R52,Para1!$D$67:$G$79,3,0)*(IF(P52+Q52=1,0.5,1)))))</f>
        <v/>
      </c>
      <c r="T52" s="145" t="str">
        <f aca="false">IF(P52+Q52=0,"",IF(ISNA(R53),"",IF(R53="","",VLOOKUP(R53,Para1!$D$67:$G$79,4,0)*(IF(P52+Q52=1,0.5,1)))))</f>
        <v/>
      </c>
      <c r="U52" s="145" t="str">
        <f aca="false">IF(SUM(S52:T52)&gt;0,K52,"")</f>
        <v/>
      </c>
      <c r="V52" s="145" t="str">
        <f aca="false">IF(SUM(S52:T52)&gt;0,L52,"")</f>
        <v/>
      </c>
      <c r="W52" s="145" t="n">
        <f aca="false">IF(S52=0,P52+Q52,0)</f>
        <v>0</v>
      </c>
    </row>
    <row r="53" s="258" customFormat="true" ht="17" hidden="false" customHeight="true" outlineLevel="0" collapsed="false">
      <c r="A53" s="200" t="s">
        <v>50</v>
      </c>
      <c r="B53" s="297" t="str">
        <f aca="false">IF(B52=Para1!$F$153,Para1!$F$109,IF(B52=Para1!$F$109,Para1!$F$148,IF(B52=Para1!$F$148,Para1!$F$111,IF(B52=Para1!$F$111,Para1!$F$120,IF(B52=Para1!$F$120,Para1!$F$170,IF(B52=Para1!$F$170,Para1!$F$173,Para1!$F$153))))))</f>
        <v>Sat</v>
      </c>
      <c r="C53" s="202"/>
      <c r="D53" s="329"/>
      <c r="E53" s="316"/>
      <c r="F53" s="205"/>
      <c r="G53" s="204"/>
      <c r="H53" s="204"/>
      <c r="I53" s="206"/>
      <c r="J53" s="330"/>
      <c r="K53" s="331"/>
      <c r="L53" s="313"/>
      <c r="M53" s="210"/>
      <c r="N53" s="195"/>
      <c r="O53" s="145"/>
      <c r="P53" s="221" t="n">
        <f aca="false">P46</f>
        <v>0</v>
      </c>
      <c r="Q53" s="289" t="n">
        <f aca="false">Q46</f>
        <v>0</v>
      </c>
      <c r="R53" s="145" t="e">
        <f aca="false">IF(VLOOKUP(A53,Para1!$B$67:$E$72,2,0)="7.",VLOOKUP(A53,Para1!$B$67:$E$72,3,0),"")</f>
        <v>#N/A</v>
      </c>
      <c r="S53" s="145" t="str">
        <f aca="false">IF((P53+Q53)=0,"",IF(ISNA(R53),"",IF(R53="","",VLOOKUP(R53,Para1!$D$67:$G$79,3,0)*(IF(P53+Q53=1,0.5,1)))))</f>
        <v/>
      </c>
      <c r="T53" s="145" t="str">
        <f aca="false">IF(P53+Q53=0,"",IF(ISNA(August!R23),"",IF(August!R23="","",VLOOKUP(August!R23,Para1!$D$67:$G$79,4,0)*(IF(P53+Q53=1,0.5,1)))))</f>
        <v/>
      </c>
      <c r="U53" s="145" t="str">
        <f aca="false">IF(SUM(S53:T53)&gt;0,K53,"")</f>
        <v/>
      </c>
      <c r="V53" s="145" t="str">
        <f aca="false">IF(SUM(S53:T53)&gt;0,L53,"")</f>
        <v/>
      </c>
      <c r="W53" s="145" t="n">
        <f aca="false">IF(S53=0,P53+Q53,0)</f>
        <v>0</v>
      </c>
    </row>
    <row r="54" customFormat="false" ht="15" hidden="false" customHeight="false" outlineLevel="0" collapsed="false">
      <c r="A54" s="223"/>
      <c r="B54" s="197"/>
      <c r="C54" s="133"/>
      <c r="D54" s="332" t="n">
        <f aca="false">SUM(D23:D53)</f>
        <v>0</v>
      </c>
      <c r="E54" s="290" t="n">
        <f aca="false">SUM(E23:E53)</f>
        <v>0</v>
      </c>
      <c r="F54" s="225" t="n">
        <f aca="false">SUM(F23:F53)</f>
        <v>0</v>
      </c>
      <c r="G54" s="225" t="n">
        <f aca="false">SUM(G23:G53)</f>
        <v>0</v>
      </c>
      <c r="H54" s="225" t="n">
        <f aca="false">SUM(H23:H53)</f>
        <v>0</v>
      </c>
      <c r="I54" s="226" t="n">
        <f aca="false">SUM(I23:I53)</f>
        <v>0</v>
      </c>
      <c r="J54" s="282"/>
      <c r="P54" s="229" t="str">
        <f aca="false">Para1!F174&amp;" "&amp;Para1!F168</f>
        <v>balance due / half-day</v>
      </c>
      <c r="Q54" s="229"/>
      <c r="R54" s="145" t="n">
        <f aca="false">SUM(W23:W53)</f>
        <v>0</v>
      </c>
      <c r="S54" s="145" t="n">
        <f aca="false">SUM(S23:S53)</f>
        <v>0</v>
      </c>
      <c r="T54" s="145" t="n">
        <f aca="false">SUM(T23:T53)</f>
        <v>0</v>
      </c>
    </row>
    <row r="55" customFormat="false" ht="15" hidden="false" customHeight="false" outlineLevel="0" collapsed="false">
      <c r="A55" s="283"/>
      <c r="B55" s="284"/>
      <c r="C55" s="284"/>
      <c r="D55" s="333" t="n">
        <f aca="false">D54*24</f>
        <v>0</v>
      </c>
      <c r="E55" s="291" t="n">
        <f aca="false">E54*24</f>
        <v>0</v>
      </c>
      <c r="F55" s="231" t="n">
        <f aca="false">F54*24</f>
        <v>0</v>
      </c>
      <c r="G55" s="231" t="n">
        <f aca="false">G54*24</f>
        <v>0</v>
      </c>
      <c r="H55" s="231" t="n">
        <f aca="false">H54*24</f>
        <v>0</v>
      </c>
      <c r="I55" s="232" t="n">
        <f aca="false">I54*24</f>
        <v>0</v>
      </c>
      <c r="J55" s="285"/>
      <c r="M55" s="235" t="str">
        <f aca="false">Para1!G2</f>
        <v>AE v1_01 02.12.2021</v>
      </c>
      <c r="P55" s="236" t="n">
        <f aca="false">(Para1!C60/100*$G$3+((S54+T54)/100*$G$3))/(SUM(P23:Q53)-R54)/24</f>
        <v>0.175</v>
      </c>
      <c r="Q55" s="236"/>
    </row>
    <row r="56" customFormat="false" ht="15" hidden="false" customHeight="false" outlineLevel="0" collapsed="false">
      <c r="D56" s="117"/>
    </row>
    <row r="57" customFormat="false" ht="22.5" hidden="false" customHeight="true" outlineLevel="0" collapsed="false">
      <c r="A57" s="237" t="str">
        <f aca="false">Para1!F106</f>
        <v>date</v>
      </c>
      <c r="B57" s="238"/>
      <c r="C57" s="238"/>
      <c r="D57" s="239"/>
      <c r="E57" s="238"/>
      <c r="F57" s="240" t="str">
        <f aca="false">Para1!F191&amp;" "&amp;Para1!F152</f>
        <v>signature employee</v>
      </c>
      <c r="G57" s="238"/>
      <c r="H57" s="241"/>
      <c r="I57" s="241"/>
      <c r="J57" s="241"/>
      <c r="K57" s="241"/>
      <c r="L57" s="241"/>
      <c r="T57" s="250"/>
      <c r="U57" s="238"/>
      <c r="Y57" s="243"/>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row r="60" customFormat="false" ht="14" hidden="false" customHeight="false" outlineLevel="0" collapsed="false">
      <c r="A60" s="283"/>
      <c r="B60" s="133"/>
      <c r="C60" s="133"/>
      <c r="D60" s="133"/>
      <c r="E60" s="133"/>
      <c r="F60" s="133"/>
      <c r="G60" s="133"/>
      <c r="H60" s="265"/>
      <c r="I60" s="133"/>
      <c r="J60" s="133"/>
    </row>
    <row r="61" customFormat="false" ht="22.5" hidden="false" customHeight="true" outlineLevel="0" collapsed="false">
      <c r="A61" s="247"/>
      <c r="B61" s="238"/>
      <c r="C61" s="238"/>
      <c r="D61" s="248"/>
      <c r="E61" s="249"/>
      <c r="F61" s="248"/>
      <c r="G61" s="242"/>
      <c r="I61" s="134"/>
      <c r="J61" s="250"/>
      <c r="L61" s="250"/>
      <c r="M61" s="238"/>
      <c r="Q61" s="24"/>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3">
    <cfRule type="expression" priority="2" aboveAverage="0" equalAverage="0" bottom="0" percent="0" rank="0" text="" dxfId="43">
      <formula>$S23=0</formula>
    </cfRule>
    <cfRule type="expression" priority="3" aboveAverage="0" equalAverage="0" bottom="0" percent="0" rank="0" text="" dxfId="44">
      <formula>$P23+$Q23=0</formula>
    </cfRule>
  </conditionalFormatting>
  <conditionalFormatting sqref="D23:I53">
    <cfRule type="expression" priority="4" aboveAverage="0" equalAverage="0" bottom="0" percent="0" rank="0" text="" dxfId="45">
      <formula>$P23+$Q23=1</formula>
    </cfRule>
    <cfRule type="expression" priority="5" aboveAverage="0" equalAverage="0" bottom="0" percent="0" rank="0" text="" dxfId="46">
      <formula>$P23+$Q23=0</formula>
    </cfRule>
  </conditionalFormatting>
  <conditionalFormatting sqref="D23:I53 K23:L53 P23:Q53">
    <cfRule type="expression" priority="6" aboveAverage="0" equalAverage="0" bottom="0" percent="0" rank="0" text="" dxfId="47">
      <formula>$S23=0</formula>
    </cfRule>
  </conditionalFormatting>
  <conditionalFormatting sqref="K23:K53 P23:P53">
    <cfRule type="expression" priority="7" aboveAverage="0" equalAverage="0" bottom="0" percent="0" rank="0" text="" dxfId="48">
      <formula>$P23=0</formula>
    </cfRule>
  </conditionalFormatting>
  <conditionalFormatting sqref="L23:L53 Q23:Q53">
    <cfRule type="expression" priority="8" aboveAverage="0" equalAverage="0" bottom="0" percent="0" rank="0" text="" dxfId="49">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 right="0.409722222222222"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61"/>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M35" activeCellId="0" sqref="M35"/>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4" min="4" style="238" width="12.66"/>
    <col collapsed="false" customWidth="true" hidden="false" outlineLevel="0" max="7" min="5" style="117" width="12.66"/>
    <col collapsed="false" customWidth="true" hidden="false" outlineLevel="0" max="8" min="8" style="145" width="12.66"/>
    <col collapsed="false" customWidth="true" hidden="false" outlineLevel="0" max="9" min="9" style="117" width="12.66"/>
    <col collapsed="false" customWidth="true" hidden="false" outlineLevel="0" max="10" min="10" style="117" width="2.84"/>
    <col collapsed="false" customWidth="true" hidden="false" outlineLevel="0" max="12" min="11" style="117"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2"/>
    <col collapsed="false" customWidth="false" hidden="false" outlineLevel="0" max="1024" min="24" style="117" width="11.5"/>
  </cols>
  <sheetData>
    <row r="1" s="117" customFormat="tru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I1" s="24"/>
      <c r="J1" s="121"/>
      <c r="K1" s="121" t="str">
        <f aca="false">Para1!F133</f>
        <v>year of birth (4-digit):</v>
      </c>
      <c r="L1" s="122" t="n">
        <f aca="false">'Jahresübersicht (Overview)'!K2</f>
        <v>1994</v>
      </c>
    </row>
    <row r="2" customFormat="false" ht="6" hidden="false" customHeight="true" outlineLevel="0" collapsed="false">
      <c r="D2" s="124"/>
      <c r="E2" s="124"/>
      <c r="F2" s="124"/>
      <c r="G2" s="124"/>
      <c r="H2" s="117"/>
      <c r="I2" s="124"/>
      <c r="J2" s="124"/>
      <c r="K2" s="124"/>
      <c r="L2" s="124"/>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(Overview)'!J8</f>
        <v>100</v>
      </c>
      <c r="H3" s="117" t="s">
        <v>11</v>
      </c>
      <c r="I3" s="24"/>
      <c r="J3" s="119"/>
      <c r="K3" s="126" t="str">
        <f aca="false">Para1!F113</f>
        <v>starting date:</v>
      </c>
      <c r="L3" s="127" t="n">
        <f aca="false">'Jahresübersicht (Overview)'!$G$4</f>
        <v>42688</v>
      </c>
      <c r="M3" s="128"/>
      <c r="N3" s="128"/>
    </row>
    <row r="4" customFormat="false" ht="6" hidden="false" customHeight="true" outlineLevel="0" collapsed="false">
      <c r="A4" s="129"/>
      <c r="B4" s="130"/>
      <c r="C4" s="130"/>
      <c r="D4" s="131"/>
      <c r="E4" s="131"/>
      <c r="F4" s="131"/>
      <c r="G4" s="131"/>
      <c r="H4" s="131"/>
      <c r="I4" s="132"/>
      <c r="J4" s="132"/>
      <c r="K4" s="132"/>
      <c r="L4" s="132"/>
      <c r="M4" s="130"/>
      <c r="N4" s="130"/>
    </row>
    <row r="5" customFormat="false" ht="6" hidden="false" customHeight="true" outlineLevel="0" collapsed="false">
      <c r="D5" s="124"/>
      <c r="E5" s="124"/>
      <c r="F5" s="124"/>
      <c r="G5" s="124"/>
      <c r="H5" s="124"/>
      <c r="I5" s="134"/>
      <c r="J5" s="134"/>
      <c r="K5" s="134"/>
      <c r="L5" s="134"/>
    </row>
    <row r="6" customFormat="false" ht="15" hidden="false" customHeight="true" outlineLevel="0" collapsed="false">
      <c r="D6" s="124"/>
      <c r="E6" s="135"/>
      <c r="F6" s="124"/>
      <c r="G6" s="124"/>
      <c r="H6" s="124"/>
      <c r="I6" s="134"/>
      <c r="J6" s="134"/>
      <c r="K6" s="134"/>
      <c r="L6" s="134"/>
    </row>
    <row r="7" customFormat="false" ht="15" hidden="false" customHeight="true" outlineLevel="0" collapsed="false">
      <c r="C7" s="136"/>
      <c r="D7" s="126" t="str">
        <f aca="false">Para1!F117</f>
        <v>holiday</v>
      </c>
      <c r="E7" s="137" t="s">
        <v>12</v>
      </c>
      <c r="H7" s="117"/>
      <c r="I7" s="121" t="str">
        <f aca="false">Para1!F83</f>
        <v>absences</v>
      </c>
      <c r="J7" s="117" t="s">
        <v>12</v>
      </c>
      <c r="L7" s="138" t="str">
        <f aca="false">Para1!F84</f>
        <v>curr. mnth</v>
      </c>
      <c r="M7" s="138" t="str">
        <f aca="false">Para1!F195</f>
        <v>last mnth(s)</v>
      </c>
      <c r="N7" s="139" t="str">
        <f aca="false">Para1!F171</f>
        <v>balance</v>
      </c>
    </row>
    <row r="8" customFormat="false" ht="15" hidden="false" customHeight="true" outlineLevel="0" collapsed="false">
      <c r="D8" s="138" t="str">
        <f aca="false">Para1!B171&amp;" "&amp;Para1!B88&amp;" "&amp;Para1!B154</f>
        <v>Saldo Anfang Monat</v>
      </c>
      <c r="E8" s="141" t="n">
        <f aca="false">Juli!E11</f>
        <v>5.29375</v>
      </c>
      <c r="H8" s="117"/>
      <c r="I8" s="135" t="str">
        <f aca="false">Para1!F141</f>
        <v>illness</v>
      </c>
      <c r="J8" s="142"/>
      <c r="L8" s="143" t="n">
        <f aca="false">D54</f>
        <v>0</v>
      </c>
      <c r="M8" s="143" t="n">
        <f aca="false">Juli!N8</f>
        <v>0</v>
      </c>
      <c r="N8" s="144" t="n">
        <f aca="false">SUM(L8:M8)</f>
        <v>0</v>
      </c>
    </row>
    <row r="9" customFormat="false" ht="15" hidden="false" customHeight="true" outlineLevel="0" collapsed="false">
      <c r="D9" s="138" t="str">
        <f aca="false">"./. "&amp;Para1!F118</f>
        <v>./. holiday taken</v>
      </c>
      <c r="E9" s="141" t="n">
        <f aca="false">COUNTIF($K$23:$L$53,"f")*$P$55-IF(ISNA(F9),0,((S54+T54)/100*G3)/48)-IF(ISNA(G9),0,((S54+T54)/100*G3)/48)</f>
        <v>3.5</v>
      </c>
      <c r="F9" s="145" t="e">
        <f aca="false">INDEX(U23:U53,MATCH("f",U23:U53,0))</f>
        <v>#N/A</v>
      </c>
      <c r="G9" s="145" t="e">
        <f aca="false">INDEX(V23:V53,MATCH("f",V23:V53,0))</f>
        <v>#N/A</v>
      </c>
      <c r="H9" s="117"/>
      <c r="I9" s="135" t="str">
        <f aca="false">Para1!F190</f>
        <v>accident</v>
      </c>
      <c r="J9" s="120" t="str">
        <f aca="false">Para1!F99</f>
        <v>work related</v>
      </c>
      <c r="K9" s="120"/>
      <c r="L9" s="143" t="n">
        <f aca="false">E54</f>
        <v>0</v>
      </c>
      <c r="M9" s="143" t="n">
        <f aca="false">Juli!N9</f>
        <v>0</v>
      </c>
      <c r="N9" s="144" t="n">
        <f aca="false">SUM(L9:M9)</f>
        <v>0</v>
      </c>
    </row>
    <row r="10" customFormat="false" ht="15" hidden="false" customHeight="true" outlineLevel="0" collapsed="false">
      <c r="D10" s="138" t="str">
        <f aca="false">"./ ."&amp;Para1!F119</f>
        <v>./ .reduction of holiday</v>
      </c>
      <c r="E10" s="147" t="n">
        <v>0</v>
      </c>
      <c r="H10" s="117"/>
      <c r="I10" s="135"/>
      <c r="J10" s="120" t="str">
        <f aca="false">Para1!F161&amp;" "&amp;Para1!F100</f>
        <v>not work. rel.</v>
      </c>
      <c r="K10" s="120"/>
      <c r="L10" s="143" t="n">
        <f aca="false">F54</f>
        <v>0</v>
      </c>
      <c r="M10" s="143" t="n">
        <f aca="false">Juli!N10</f>
        <v>0</v>
      </c>
      <c r="N10" s="144" t="n">
        <f aca="false">SUM(L10:M10)</f>
        <v>0</v>
      </c>
    </row>
    <row r="11" customFormat="false" ht="15" hidden="false" customHeight="true" outlineLevel="0" collapsed="false">
      <c r="B11" s="136"/>
      <c r="C11" s="136"/>
      <c r="D11" s="126" t="str">
        <f aca="false">Para1!F171&amp;" "&amp;Para1!F115&amp;" "&amp;Para1!F154</f>
        <v>balance end of the month</v>
      </c>
      <c r="E11" s="148" t="n">
        <f aca="false">$E$8-$E$9-$E$10</f>
        <v>1.79375</v>
      </c>
      <c r="H11" s="117"/>
      <c r="I11" s="149" t="str">
        <f aca="false">Para1!F142</f>
        <v>short vacation</v>
      </c>
      <c r="L11" s="143" t="n">
        <f aca="false">G54</f>
        <v>0</v>
      </c>
      <c r="M11" s="143" t="n">
        <f aca="false">Juli!N11</f>
        <v>0</v>
      </c>
      <c r="N11" s="144" t="n">
        <f aca="false">SUM(L11:M11)</f>
        <v>0</v>
      </c>
    </row>
    <row r="12" s="117" customFormat="true" ht="15" hidden="false" customHeight="true" outlineLevel="0" collapsed="false">
      <c r="A12" s="116"/>
      <c r="B12" s="150" t="str">
        <f aca="false">IF((E11*24+(4.2*'Persönliche Daten (pers. data)'!O8/100))&lt;0,Para1!J224,IF(E11&gt;0,"",Para1!J223))</f>
        <v/>
      </c>
      <c r="I12" s="151" t="str">
        <f aca="false">Para1!F198</f>
        <v>training / education</v>
      </c>
      <c r="L12" s="143" t="n">
        <f aca="false">H54</f>
        <v>0</v>
      </c>
      <c r="M12" s="143" t="n">
        <f aca="false">Juli!N12</f>
        <v>0</v>
      </c>
      <c r="N12" s="144" t="n">
        <f aca="false">SUM(L12:M12)</f>
        <v>0</v>
      </c>
    </row>
    <row r="13" customFormat="false" ht="15" hidden="false" customHeight="true" outlineLevel="0" collapsed="false">
      <c r="B13" s="152" t="str">
        <f aca="false">Para1!F105&amp;" "&amp;Para1!F122&amp;" "&amp;Para1!F83&amp;" in "&amp;Para1!F178&amp;":"</f>
        <v>letters for absences in days:</v>
      </c>
      <c r="C13" s="152"/>
      <c r="D13" s="152"/>
      <c r="E13" s="152"/>
      <c r="H13" s="117"/>
      <c r="I13" s="135" t="str">
        <f aca="false">Para1!F163</f>
        <v>public office</v>
      </c>
      <c r="L13" s="143" t="n">
        <f aca="false">I54</f>
        <v>0</v>
      </c>
      <c r="M13" s="143" t="n">
        <f aca="false">Juli!N13</f>
        <v>0</v>
      </c>
      <c r="N13" s="144" t="n">
        <f aca="false">SUM(L13:M13)</f>
        <v>0</v>
      </c>
    </row>
    <row r="14" customFormat="false" ht="15" hidden="false" customHeight="true" outlineLevel="0" collapsed="false">
      <c r="B14" s="153" t="s">
        <v>13</v>
      </c>
      <c r="C14" s="154" t="str">
        <f aca="false">Para1!F117</f>
        <v>holiday</v>
      </c>
      <c r="D14" s="154"/>
      <c r="E14" s="154"/>
      <c r="H14" s="117"/>
      <c r="I14" s="155" t="str">
        <f aca="false">Para1!F192</f>
        <v>leave</v>
      </c>
      <c r="J14" s="146" t="str">
        <f aca="false">Para1!F101</f>
        <v>paid</v>
      </c>
      <c r="K14" s="157"/>
      <c r="L14" s="146" t="n">
        <f aca="false">COUNTIF($K$23:$L$53,"b")*$P$55-IF(ISNA(O14),0,(($S$54+$T$54)/100*$G$3)/48)-IF(ISNA(P14),0,(($S$54+$T$54)/100*$G$3)/48)</f>
        <v>0</v>
      </c>
      <c r="M14" s="143" t="n">
        <f aca="false">Juli!N14</f>
        <v>0</v>
      </c>
      <c r="N14" s="144" t="n">
        <f aca="false">SUM(L14:M14)</f>
        <v>0</v>
      </c>
      <c r="O14" s="145" t="e">
        <f aca="false">INDEX(U23:U53,MATCH("b",U23:U53,0))</f>
        <v>#N/A</v>
      </c>
      <c r="P14" s="145" t="e">
        <f aca="false">INDEX(V23:V53,MATCH("b",V23:V53,0))</f>
        <v>#N/A</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COUNTIF($K$23:$L$53,"u")*$P$55-IF(ISNA(O15),0,(($S$54+$T$54)/100*$G$3)/48)-IF(ISNA(P15),0,(($S$54+$T$54)/100*$G$3)/48)</f>
        <v>0</v>
      </c>
      <c r="M15" s="143" t="n">
        <f aca="false">Juli!N15</f>
        <v>0</v>
      </c>
      <c r="N15" s="144" t="n">
        <f aca="false">SUM(L15:M15)</f>
        <v>0</v>
      </c>
      <c r="O15" s="145" t="e">
        <f aca="false">INDEX(U23:U53,MATCH("u",U23:U53,0))</f>
        <v>#N/A</v>
      </c>
      <c r="P15" s="145" t="e">
        <f aca="false">INDEX(V23:V53,MATCH("u",V23:V53,0))</f>
        <v>#N/A</v>
      </c>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J16" s="157"/>
      <c r="K16" s="157"/>
      <c r="L16" s="146" t="n">
        <f aca="false">COUNTIF($K$23:$L$53,"m")*$P$55-IF(ISNA(O16),0,(($S$54+$T$54)/100*$G$3)/48)-IF(ISNA(P16),0,(($S$54+$T$54)/100*$G$3)/48)</f>
        <v>0</v>
      </c>
      <c r="M16" s="143" t="n">
        <f aca="false">Juli!N16</f>
        <v>0</v>
      </c>
      <c r="N16" s="144" t="n">
        <f aca="false">SUM(L16:M16)</f>
        <v>0</v>
      </c>
      <c r="O16" s="145" t="e">
        <f aca="false">INDEX(U23:U53,MATCH("m",U23:U53,0))</f>
        <v>#N/A</v>
      </c>
      <c r="P16" s="145" t="e">
        <f aca="false">INDEX(V23:V53,MATCH("m",V23:V53,0))</f>
        <v>#N/A</v>
      </c>
    </row>
    <row r="17" customFormat="false" ht="15" hidden="false" customHeight="true" outlineLevel="0" collapsed="false">
      <c r="B17" s="159" t="s">
        <v>16</v>
      </c>
      <c r="C17" s="156" t="str">
        <f aca="false">Para1!F192&amp;" "&amp;Para1!F101</f>
        <v>leave paid</v>
      </c>
      <c r="D17" s="156"/>
      <c r="E17" s="156"/>
      <c r="G17" s="157"/>
      <c r="H17" s="157"/>
      <c r="I17" s="135" t="str">
        <f aca="false">Para1!F150</f>
        <v>military/civil def./civil serv.</v>
      </c>
      <c r="J17" s="24"/>
      <c r="K17" s="24"/>
      <c r="L17" s="146" t="n">
        <f aca="false">COUNTIF($K$23:$L$53,"z")*$P$55-IF(ISNA(O17),0,(($S$54+$T$54)/100*$G$3)/48)-IF(ISNA(P17),0,(($S$54+$T$54)/100*$G$3)/48)</f>
        <v>0</v>
      </c>
      <c r="M17" s="143" t="n">
        <f aca="false">Juli!N17</f>
        <v>0</v>
      </c>
      <c r="N17" s="144" t="n">
        <f aca="false">SUM(L17:M17)</f>
        <v>0</v>
      </c>
      <c r="O17" s="145" t="e">
        <f aca="false">INDEX(U23:U53,MATCH("z",U23:U53,0))</f>
        <v>#N/A</v>
      </c>
      <c r="P17" s="145" t="e">
        <f aca="false">INDEX(V23:V53,MATCH("z",V23:V53,0))</f>
        <v>#N/A</v>
      </c>
    </row>
    <row r="18" customFormat="false" ht="15" hidden="false" customHeight="true" outlineLevel="0" collapsed="false">
      <c r="B18" s="159" t="s">
        <v>17</v>
      </c>
      <c r="C18" s="154" t="str">
        <f aca="false">Para1!F192&amp;" "&amp;Para1!F189</f>
        <v>leave unpaid</v>
      </c>
      <c r="D18" s="154"/>
      <c r="E18" s="154"/>
      <c r="H18" s="117"/>
      <c r="I18" s="121" t="str">
        <f aca="false">Para1!F180</f>
        <v>total</v>
      </c>
      <c r="L18" s="160" t="n">
        <f aca="false">SUM(L8:L17)</f>
        <v>0</v>
      </c>
      <c r="M18" s="160" t="n">
        <f aca="false">SUM(M8:M17)</f>
        <v>0</v>
      </c>
      <c r="N18" s="160" t="n">
        <f aca="false">SUM(N8:N17)</f>
        <v>0</v>
      </c>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row>
    <row r="21" s="136" customFormat="true" ht="18.75" hidden="false" customHeight="true" outlineLevel="0" collapsed="false">
      <c r="A21" s="167" t="n">
        <f aca="true">TODAY()</f>
        <v>42894</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252"/>
      <c r="K21" s="253" t="str">
        <f aca="false">Para1!F194</f>
        <v>morning</v>
      </c>
      <c r="L21" s="175" t="str">
        <f aca="false">Para1!F158</f>
        <v>afternoon</v>
      </c>
      <c r="M21" s="176"/>
      <c r="P21" s="177" t="str">
        <f aca="false">Para1!F194</f>
        <v>morning</v>
      </c>
      <c r="Q21" s="178" t="str">
        <f aca="false">Para1!F158</f>
        <v>afternoon</v>
      </c>
    </row>
    <row r="22" s="136" customFormat="true" ht="15.75" hidden="false" customHeight="true" outlineLevel="0" collapsed="false">
      <c r="A22" s="180" t="str">
        <f aca="false">Para1!F106</f>
        <v>date</v>
      </c>
      <c r="B22" s="180"/>
      <c r="C22" s="181"/>
      <c r="D22" s="169"/>
      <c r="E22" s="170"/>
      <c r="F22" s="171"/>
      <c r="G22" s="170"/>
      <c r="H22" s="170"/>
      <c r="I22" s="172"/>
      <c r="J22" s="254"/>
      <c r="K22" s="253"/>
      <c r="L22" s="175"/>
      <c r="M22" s="183"/>
      <c r="P22" s="177"/>
      <c r="Q22" s="178"/>
    </row>
    <row r="23" customFormat="false" ht="17" hidden="false" customHeight="true" outlineLevel="0" collapsed="false">
      <c r="A23" s="200" t="s">
        <v>18</v>
      </c>
      <c r="B23" s="201" t="str">
        <f aca="false">IF(Juli!B53=Para1!$F$153,Para1!$F$109,IF(Juli!B53=Para1!$F$109,Para1!$F$148,IF(Juli!B53=Para1!$F$148,Para1!$F$111,IF(Juli!B53=Para1!$F$111,Para1!$F$120,IF(Juli!B53=Para1!$F$120,Para1!$F$170,IF(Juli!B53=Para1!$F$170,Para1!$F$173,Para1!$F$153))))))</f>
        <v>Sun</v>
      </c>
      <c r="C23" s="186"/>
      <c r="D23" s="329"/>
      <c r="E23" s="316"/>
      <c r="F23" s="205"/>
      <c r="G23" s="204"/>
      <c r="H23" s="204"/>
      <c r="I23" s="206"/>
      <c r="J23" s="330"/>
      <c r="K23" s="208"/>
      <c r="L23" s="209"/>
      <c r="M23" s="194"/>
      <c r="N23" s="195"/>
      <c r="O23" s="145"/>
      <c r="P23" s="257" t="n">
        <v>0</v>
      </c>
      <c r="Q23" s="257" t="n">
        <v>0</v>
      </c>
      <c r="R23" s="145" t="s">
        <v>51</v>
      </c>
      <c r="S23" s="145" t="str">
        <f aca="false">IF((P23+Q23)=0,"",IF(ISNA(R23),"",IF(R23="","",VLOOKUP(R23,Para1!$D$67:$G$79,3,0)*(IF(P23+Q23=1,0.5,1)))))</f>
        <v/>
      </c>
      <c r="T23" s="145" t="str">
        <f aca="false">IF(P23+Q23=0,"",IF(ISNA(R24),"",IF(R24="","",VLOOKUP(R24,Para1!$D$67:$G$79,4,0)*(IF(P23+Q23=1,0.5,1)))))</f>
        <v/>
      </c>
      <c r="U23" s="145" t="str">
        <f aca="false">IF(SUM(S23:T23)&gt;0,K23,"")</f>
        <v/>
      </c>
      <c r="V23" s="145" t="str">
        <f aca="false">IF(SUM(S23:T23)&gt;0,L23,"")</f>
        <v/>
      </c>
      <c r="W23" s="145" t="n">
        <f aca="false">IF(S23=0,P23+Q23,0)</f>
        <v>0</v>
      </c>
    </row>
    <row r="24" customFormat="false" ht="17" hidden="false" customHeight="true" outlineLevel="0" collapsed="false">
      <c r="A24" s="216" t="s">
        <v>20</v>
      </c>
      <c r="B24" s="297" t="str">
        <f aca="false">IF(B23=Para1!$F$153,Para1!$F$109,IF(B23=Para1!$F$109,Para1!$F$148,IF(B23=Para1!$F$148,Para1!$F$111,IF(B23=Para1!$F$111,Para1!$F$120,IF(B23=Para1!$F$120,Para1!$F$170,IF(B23=Para1!$F$170,Para1!$F$173,Para1!$F$153))))))</f>
        <v>Mon</v>
      </c>
      <c r="C24" s="202"/>
      <c r="D24" s="329"/>
      <c r="E24" s="316"/>
      <c r="F24" s="205"/>
      <c r="G24" s="204"/>
      <c r="H24" s="204"/>
      <c r="I24" s="206"/>
      <c r="J24" s="330"/>
      <c r="K24" s="208" t="s">
        <v>13</v>
      </c>
      <c r="L24" s="209" t="s">
        <v>13</v>
      </c>
      <c r="M24" s="194"/>
      <c r="N24" s="195"/>
      <c r="O24" s="145"/>
      <c r="P24" s="257" t="n">
        <f aca="false">Juli!P48</f>
        <v>1</v>
      </c>
      <c r="Q24" s="257" t="n">
        <f aca="false">Juli!Q48</f>
        <v>1</v>
      </c>
      <c r="R24" s="145" t="str">
        <f aca="false">IF(VLOOKUP(A24,Para1!$B$67:$E$72,2,0)="8.",VLOOKUP(A24,Para1!$B$67:$E$72,3,0),"")</f>
        <v/>
      </c>
      <c r="S24" s="145" t="str">
        <f aca="false">IF((P24+Q24)=0,"",IF(ISNA(R24),"",IF(R24="","",VLOOKUP(R24,Para1!$D$67:$G$79,3,0)*(IF(P24+Q24=1,0.5,1)))))</f>
        <v/>
      </c>
      <c r="T24" s="145" t="str">
        <f aca="false">IF(P24+Q24=0,"",IF(ISNA(R25),"",IF(R25="","",VLOOKUP(R25,Para1!$D$67:$G$79,4,0)*(IF(P24+Q24=1,0.5,1)))))</f>
        <v/>
      </c>
      <c r="U24" s="145" t="str">
        <f aca="false">IF(SUM(S24:T24)&gt;0,K24,"")</f>
        <v/>
      </c>
      <c r="V24" s="145" t="str">
        <f aca="false">IF(SUM(S24:T24)&gt;0,L24,"")</f>
        <v/>
      </c>
      <c r="W24" s="145" t="n">
        <f aca="false">IF(S24=0,P24+Q24,0)</f>
        <v>0</v>
      </c>
    </row>
    <row r="25" customFormat="false" ht="17" hidden="false" customHeight="true" outlineLevel="0" collapsed="false">
      <c r="A25" s="216" t="s">
        <v>22</v>
      </c>
      <c r="B25" s="297" t="str">
        <f aca="false">IF(B24=Para1!$F$153,Para1!$F$109,IF(B24=Para1!$F$109,Para1!$F$148,IF(B24=Para1!$F$148,Para1!$F$111,IF(B24=Para1!$F$111,Para1!$F$120,IF(B24=Para1!$F$120,Para1!$F$170,IF(B24=Para1!$F$170,Para1!$F$173,Para1!$F$153))))))</f>
        <v>Tue</v>
      </c>
      <c r="C25" s="202"/>
      <c r="D25" s="329"/>
      <c r="E25" s="316"/>
      <c r="F25" s="205"/>
      <c r="G25" s="204"/>
      <c r="H25" s="204"/>
      <c r="I25" s="206"/>
      <c r="J25" s="330"/>
      <c r="K25" s="208" t="s">
        <v>13</v>
      </c>
      <c r="L25" s="209" t="s">
        <v>13</v>
      </c>
      <c r="M25" s="210"/>
      <c r="N25" s="195"/>
      <c r="O25" s="145"/>
      <c r="P25" s="257" t="n">
        <f aca="false">Juli!P49</f>
        <v>1</v>
      </c>
      <c r="Q25" s="257" t="n">
        <f aca="false">Juli!Q49</f>
        <v>1</v>
      </c>
      <c r="R25" s="145" t="e">
        <f aca="false">IF(VLOOKUP(A25,Para1!$B$67:$E$72,2,0)="8.",VLOOKUP(A25,Para1!$B$67:$E$72,3,0),"")</f>
        <v>#N/A</v>
      </c>
      <c r="S25" s="145" t="str">
        <f aca="false">IF((P25+Q25)=0,"",IF(ISNA(R25),"",IF(R25="","",VLOOKUP(R25,Para1!$D$67:$G$79,3,0)*(IF(P25+Q25=1,0.5,1)))))</f>
        <v/>
      </c>
      <c r="T25" s="145" t="str">
        <f aca="false">IF(P25+Q25=0,"",IF(ISNA(R26),"",IF(R26="","",VLOOKUP(R26,Para1!$D$67:$G$79,4,0)*(IF(P25+Q25=1,0.5,1)))))</f>
        <v/>
      </c>
      <c r="U25" s="145" t="str">
        <f aca="false">IF(SUM(S25:T25)&gt;0,K25,"")</f>
        <v/>
      </c>
      <c r="V25" s="145" t="str">
        <f aca="false">IF(SUM(S25:T25)&gt;0,L25,"")</f>
        <v/>
      </c>
      <c r="W25" s="145" t="n">
        <f aca="false">IF(S25=0,P25+Q25,0)</f>
        <v>0</v>
      </c>
    </row>
    <row r="26" customFormat="false" ht="17" hidden="false" customHeight="true" outlineLevel="0" collapsed="false">
      <c r="A26" s="216" t="s">
        <v>23</v>
      </c>
      <c r="B26" s="297" t="str">
        <f aca="false">IF(B25=Para1!$F$153,Para1!$F$109,IF(B25=Para1!$F$109,Para1!$F$148,IF(B25=Para1!$F$148,Para1!$F$111,IF(B25=Para1!$F$111,Para1!$F$120,IF(B25=Para1!$F$120,Para1!$F$170,IF(B25=Para1!$F$170,Para1!$F$173,Para1!$F$153))))))</f>
        <v>Wed</v>
      </c>
      <c r="C26" s="186"/>
      <c r="D26" s="329"/>
      <c r="E26" s="316"/>
      <c r="F26" s="205"/>
      <c r="G26" s="204"/>
      <c r="H26" s="204"/>
      <c r="I26" s="206"/>
      <c r="J26" s="330"/>
      <c r="K26" s="208" t="s">
        <v>13</v>
      </c>
      <c r="L26" s="209" t="s">
        <v>13</v>
      </c>
      <c r="M26" s="210"/>
      <c r="N26" s="195"/>
      <c r="O26" s="145"/>
      <c r="P26" s="257" t="n">
        <f aca="false">Juli!P50</f>
        <v>1</v>
      </c>
      <c r="Q26" s="257" t="n">
        <f aca="false">Juli!Q50</f>
        <v>1</v>
      </c>
      <c r="R26" s="145" t="str">
        <f aca="false">IF(VLOOKUP(A26,Para1!$B$67:$E$72,2,0)="8.",VLOOKUP(A26,Para1!$B$67:$E$72,3,0),"")</f>
        <v/>
      </c>
      <c r="S26" s="145" t="str">
        <f aca="false">IF((P26+Q26)=0,"",IF(ISNA(R26),"",IF(R26="","",VLOOKUP(R26,Para1!$D$67:$G$79,3,0)*(IF(P26+Q26=1,0.5,1)))))</f>
        <v/>
      </c>
      <c r="T26" s="145" t="str">
        <f aca="false">IF(P26+Q26=0,"",IF(ISNA(R27),"",IF(R27="","",VLOOKUP(R27,Para1!$D$67:$G$79,4,0)*(IF(P26+Q26=1,0.5,1)))))</f>
        <v/>
      </c>
      <c r="U26" s="145" t="str">
        <f aca="false">IF(SUM(S26:T26)&gt;0,K26,"")</f>
        <v/>
      </c>
      <c r="V26" s="145" t="str">
        <f aca="false">IF(SUM(S26:T26)&gt;0,L26,"")</f>
        <v/>
      </c>
      <c r="W26" s="145" t="n">
        <f aca="false">IF(S26=0,P26+Q26,0)</f>
        <v>0</v>
      </c>
    </row>
    <row r="27" customFormat="false" ht="17" hidden="false" customHeight="true" outlineLevel="0" collapsed="false">
      <c r="A27" s="200" t="s">
        <v>24</v>
      </c>
      <c r="B27" s="297" t="str">
        <f aca="false">IF(B26=Para1!$F$153,Para1!$F$109,IF(B26=Para1!$F$109,Para1!$F$148,IF(B26=Para1!$F$148,Para1!$F$111,IF(B26=Para1!$F$111,Para1!$F$120,IF(B26=Para1!$F$120,Para1!$F$170,IF(B26=Para1!$F$170,Para1!$F$173,Para1!$F$153))))))</f>
        <v>Thu</v>
      </c>
      <c r="C27" s="186"/>
      <c r="D27" s="329"/>
      <c r="E27" s="316"/>
      <c r="F27" s="205"/>
      <c r="G27" s="204"/>
      <c r="H27" s="204"/>
      <c r="I27" s="206"/>
      <c r="J27" s="330"/>
      <c r="K27" s="208" t="s">
        <v>13</v>
      </c>
      <c r="L27" s="209" t="s">
        <v>13</v>
      </c>
      <c r="M27" s="210"/>
      <c r="N27" s="195"/>
      <c r="O27" s="145"/>
      <c r="P27" s="257" t="n">
        <f aca="false">Juli!P51</f>
        <v>1</v>
      </c>
      <c r="Q27" s="257" t="n">
        <f aca="false">Juli!Q51</f>
        <v>1</v>
      </c>
      <c r="R27" s="145" t="str">
        <f aca="false">IF(VLOOKUP(A27,Para1!$B$67:$E$72,2,0)="8.",VLOOKUP(A27,Para1!$B$67:$E$72,3,0),"")</f>
        <v/>
      </c>
      <c r="S27" s="145" t="str">
        <f aca="false">IF((P27+Q27)=0,"",IF(ISNA(R27),"",IF(R27="","",VLOOKUP(R27,Para1!$D$67:$G$79,3,0)*(IF(P27+Q27=1,0.5,1)))))</f>
        <v/>
      </c>
      <c r="T27" s="145" t="str">
        <f aca="false">IF(P27+Q27=0,"",IF(ISNA(R28),"",IF(R28="","",VLOOKUP(R28,Para1!$D$67:$G$79,4,0)*(IF(P27+Q27=1,0.5,1)))))</f>
        <v/>
      </c>
      <c r="U27" s="145" t="str">
        <f aca="false">IF(SUM(S27:T27)&gt;0,K27,"")</f>
        <v/>
      </c>
      <c r="V27" s="145" t="str">
        <f aca="false">IF(SUM(S27:T27)&gt;0,L27,"")</f>
        <v/>
      </c>
      <c r="W27" s="145" t="n">
        <f aca="false">IF(S27=0,P27+Q27,0)</f>
        <v>0</v>
      </c>
    </row>
    <row r="28" customFormat="false" ht="17" hidden="false" customHeight="true" outlineLevel="0" collapsed="false">
      <c r="A28" s="216" t="s">
        <v>25</v>
      </c>
      <c r="B28" s="297" t="str">
        <f aca="false">IF(B27=Para1!$F$153,Para1!$F$109,IF(B27=Para1!$F$109,Para1!$F$148,IF(B27=Para1!$F$148,Para1!$F$111,IF(B27=Para1!$F$111,Para1!$F$120,IF(B27=Para1!$F$120,Para1!$F$170,IF(B27=Para1!$F$170,Para1!$F$173,Para1!$F$153))))))</f>
        <v>Fri</v>
      </c>
      <c r="C28" s="202"/>
      <c r="D28" s="329"/>
      <c r="E28" s="316"/>
      <c r="F28" s="205"/>
      <c r="G28" s="204"/>
      <c r="H28" s="204"/>
      <c r="I28" s="206"/>
      <c r="J28" s="330"/>
      <c r="K28" s="208" t="s">
        <v>13</v>
      </c>
      <c r="L28" s="209" t="s">
        <v>13</v>
      </c>
      <c r="M28" s="210"/>
      <c r="N28" s="195"/>
      <c r="O28" s="145"/>
      <c r="P28" s="257" t="n">
        <f aca="false">Juli!P52</f>
        <v>1</v>
      </c>
      <c r="Q28" s="257" t="n">
        <f aca="false">Juli!Q52</f>
        <v>1</v>
      </c>
      <c r="R28" s="145" t="e">
        <f aca="false">IF(VLOOKUP(A28,Para1!$B$67:$E$72,2,0)="8.",VLOOKUP(A28,Para1!$B$67:$E$72,3,0),"")</f>
        <v>#N/A</v>
      </c>
      <c r="S28" s="145" t="str">
        <f aca="false">IF((P28+Q28)=0,"",IF(ISNA(R28),"",IF(R28="","",VLOOKUP(R28,Para1!$D$67:$G$79,3,0)*(IF(P28+Q28=1,0.5,1)))))</f>
        <v/>
      </c>
      <c r="T28" s="145" t="str">
        <f aca="false">IF(P28+Q28=0,"",IF(ISNA(R29),"",IF(R29="","",VLOOKUP(R29,Para1!$D$67:$G$79,4,0)*(IF(P28+Q28=1,0.5,1)))))</f>
        <v/>
      </c>
      <c r="U28" s="145" t="str">
        <f aca="false">IF(SUM(S28:T28)&gt;0,K28,"")</f>
        <v/>
      </c>
      <c r="V28" s="145" t="str">
        <f aca="false">IF(SUM(S28:T28)&gt;0,L28,"")</f>
        <v/>
      </c>
      <c r="W28" s="145" t="n">
        <f aca="false">IF(S28=0,P28+Q28,0)</f>
        <v>0</v>
      </c>
    </row>
    <row r="29" s="258" customFormat="true" ht="17" hidden="false" customHeight="true" outlineLevel="0" collapsed="false">
      <c r="A29" s="200" t="s">
        <v>26</v>
      </c>
      <c r="B29" s="297" t="str">
        <f aca="false">IF(B28=Para1!$F$153,Para1!$F$109,IF(B28=Para1!$F$109,Para1!$F$148,IF(B28=Para1!$F$148,Para1!$F$111,IF(B28=Para1!$F$111,Para1!$F$120,IF(B28=Para1!$F$120,Para1!$F$170,IF(B28=Para1!$F$170,Para1!$F$173,Para1!$F$153))))))</f>
        <v>Sat</v>
      </c>
      <c r="C29" s="202"/>
      <c r="D29" s="329"/>
      <c r="E29" s="316"/>
      <c r="F29" s="205"/>
      <c r="G29" s="204"/>
      <c r="H29" s="204"/>
      <c r="I29" s="206"/>
      <c r="J29" s="330"/>
      <c r="K29" s="208"/>
      <c r="L29" s="209"/>
      <c r="M29" s="210"/>
      <c r="N29" s="195"/>
      <c r="O29" s="145"/>
      <c r="P29" s="257" t="n">
        <f aca="false">Juli!P53</f>
        <v>0</v>
      </c>
      <c r="Q29" s="257" t="n">
        <f aca="false">Juli!Q53</f>
        <v>0</v>
      </c>
      <c r="R29" s="145" t="e">
        <f aca="false">IF(VLOOKUP(A29,Para1!$B$67:$E$72,2,0)="8.",VLOOKUP(A29,Para1!$B$67:$E$72,3,0),"")</f>
        <v>#N/A</v>
      </c>
      <c r="S29" s="145" t="str">
        <f aca="false">IF((P29+Q29)=0,"",IF(ISNA(R29),"",IF(R29="","",VLOOKUP(R29,Para1!$D$67:$G$79,3,0)*(IF(P29+Q29=1,0.5,1)))))</f>
        <v/>
      </c>
      <c r="T29" s="145" t="str">
        <f aca="false">IF(P29+Q29=0,"",IF(ISNA(R30),"",IF(R30="","",VLOOKUP(R30,Para1!$D$67:$G$79,4,0)*(IF(P29+Q29=1,0.5,1)))))</f>
        <v/>
      </c>
      <c r="U29" s="145" t="str">
        <f aca="false">IF(SUM(S29:T29)&gt;0,K29,"")</f>
        <v/>
      </c>
      <c r="V29" s="145" t="str">
        <f aca="false">IF(SUM(S29:T29)&gt;0,L29,"")</f>
        <v/>
      </c>
      <c r="W29" s="145" t="n">
        <f aca="false">IF(S29=0,P29+Q29,0)</f>
        <v>0</v>
      </c>
    </row>
    <row r="30" s="258" customFormat="true" ht="17" hidden="false" customHeight="true" outlineLevel="0" collapsed="false">
      <c r="A30" s="200" t="s">
        <v>27</v>
      </c>
      <c r="B30" s="297" t="str">
        <f aca="false">IF(B29=Para1!$F$153,Para1!$F$109,IF(B29=Para1!$F$109,Para1!$F$148,IF(B29=Para1!$F$148,Para1!$F$111,IF(B29=Para1!$F$111,Para1!$F$120,IF(B29=Para1!$F$120,Para1!$F$170,IF(B29=Para1!$F$170,Para1!$F$173,Para1!$F$153))))))</f>
        <v>Sun</v>
      </c>
      <c r="C30" s="202"/>
      <c r="D30" s="329"/>
      <c r="E30" s="316"/>
      <c r="F30" s="205"/>
      <c r="G30" s="204"/>
      <c r="H30" s="204"/>
      <c r="I30" s="206"/>
      <c r="J30" s="330"/>
      <c r="K30" s="208"/>
      <c r="L30" s="209"/>
      <c r="M30" s="210"/>
      <c r="N30" s="195"/>
      <c r="O30" s="145"/>
      <c r="P30" s="259" t="n">
        <f aca="false">Juli!P47</f>
        <v>0</v>
      </c>
      <c r="Q30" s="259" t="n">
        <f aca="false">Juli!Q47</f>
        <v>0</v>
      </c>
      <c r="R30" s="145" t="e">
        <f aca="false">IF(VLOOKUP(A30,Para1!$B$67:$E$72,2,0)="8.",VLOOKUP(A30,Para1!$B$67:$E$72,3,0),"")</f>
        <v>#N/A</v>
      </c>
      <c r="S30" s="145" t="str">
        <f aca="false">IF((P30+Q30)=0,"",IF(ISNA(R30),"",IF(R30="","",VLOOKUP(R30,Para1!$D$67:$G$79,3,0)*(IF(P30+Q30=1,0.5,1)))))</f>
        <v/>
      </c>
      <c r="T30" s="145" t="str">
        <f aca="false">IF(P30+Q30=0,"",IF(ISNA(R31),"",IF(R31="","",VLOOKUP(R31,Para1!$D$67:$G$79,4,0)*(IF(P30+Q30=1,0.5,1)))))</f>
        <v/>
      </c>
      <c r="U30" s="145" t="str">
        <f aca="false">IF(SUM(S30:T30)&gt;0,K30,"")</f>
        <v/>
      </c>
      <c r="V30" s="145" t="str">
        <f aca="false">IF(SUM(S30:T30)&gt;0,L30,"")</f>
        <v/>
      </c>
      <c r="W30" s="145" t="n">
        <f aca="false">IF(S30=0,P30+Q30,0)</f>
        <v>0</v>
      </c>
    </row>
    <row r="31" customFormat="false" ht="17" hidden="false" customHeight="true" outlineLevel="0" collapsed="false">
      <c r="A31" s="216" t="s">
        <v>28</v>
      </c>
      <c r="B31" s="297" t="str">
        <f aca="false">IF(B30=Para1!$F$153,Para1!$F$109,IF(B30=Para1!$F$109,Para1!$F$148,IF(B30=Para1!$F$148,Para1!$F$111,IF(B30=Para1!$F$111,Para1!$F$120,IF(B30=Para1!$F$120,Para1!$F$170,IF(B30=Para1!$F$170,Para1!$F$173,Para1!$F$153))))))</f>
        <v>Mon</v>
      </c>
      <c r="C31" s="202"/>
      <c r="D31" s="329"/>
      <c r="E31" s="316"/>
      <c r="F31" s="205"/>
      <c r="G31" s="204"/>
      <c r="H31" s="204"/>
      <c r="I31" s="206"/>
      <c r="J31" s="330"/>
      <c r="K31" s="208" t="s">
        <v>13</v>
      </c>
      <c r="L31" s="209" t="s">
        <v>13</v>
      </c>
      <c r="M31" s="210"/>
      <c r="N31" s="195"/>
      <c r="O31" s="145"/>
      <c r="P31" s="259" t="n">
        <f aca="false">P24</f>
        <v>1</v>
      </c>
      <c r="Q31" s="259" t="n">
        <f aca="false">Q24</f>
        <v>1</v>
      </c>
      <c r="R31" s="145" t="e">
        <f aca="false">IF(VLOOKUP(A31,Para1!$B$67:$E$72,2,0)="8.",VLOOKUP(A31,Para1!$B$67:$E$72,3,0),"")</f>
        <v>#N/A</v>
      </c>
      <c r="S31" s="145" t="str">
        <f aca="false">IF((P31+Q31)=0,"",IF(ISNA(R31),"",IF(R31="","",VLOOKUP(R31,Para1!$D$67:$G$79,3,0)*(IF(P31+Q31=1,0.5,1)))))</f>
        <v/>
      </c>
      <c r="T31" s="145" t="str">
        <f aca="false">IF(P31+Q31=0,"",IF(ISNA(R32),"",IF(R32="","",VLOOKUP(R32,Para1!$D$67:$G$79,4,0)*(IF(P31+Q31=1,0.5,1)))))</f>
        <v/>
      </c>
      <c r="U31" s="145" t="str">
        <f aca="false">IF(SUM(S31:T31)&gt;0,K31,"")</f>
        <v/>
      </c>
      <c r="V31" s="145" t="str">
        <f aca="false">IF(SUM(S31:T31)&gt;0,L31,"")</f>
        <v/>
      </c>
      <c r="W31" s="145" t="n">
        <f aca="false">IF(S31=0,P31+Q31,0)</f>
        <v>0</v>
      </c>
    </row>
    <row r="32" customFormat="false" ht="17" hidden="false" customHeight="true" outlineLevel="0" collapsed="false">
      <c r="A32" s="216" t="s">
        <v>29</v>
      </c>
      <c r="B32" s="297" t="str">
        <f aca="false">IF(B31=Para1!$F$153,Para1!$F$109,IF(B31=Para1!$F$109,Para1!$F$148,IF(B31=Para1!$F$148,Para1!$F$111,IF(B31=Para1!$F$111,Para1!$F$120,IF(B31=Para1!$F$120,Para1!$F$170,IF(B31=Para1!$F$170,Para1!$F$173,Para1!$F$153))))))</f>
        <v>Tue</v>
      </c>
      <c r="C32" s="202"/>
      <c r="D32" s="329"/>
      <c r="E32" s="316"/>
      <c r="F32" s="205"/>
      <c r="G32" s="204"/>
      <c r="H32" s="204"/>
      <c r="I32" s="206"/>
      <c r="J32" s="330"/>
      <c r="K32" s="208" t="s">
        <v>13</v>
      </c>
      <c r="L32" s="209" t="s">
        <v>13</v>
      </c>
      <c r="M32" s="210"/>
      <c r="N32" s="195"/>
      <c r="O32" s="145"/>
      <c r="P32" s="259" t="n">
        <f aca="false">P25</f>
        <v>1</v>
      </c>
      <c r="Q32" s="259" t="n">
        <f aca="false">Q25</f>
        <v>1</v>
      </c>
      <c r="R32" s="145" t="e">
        <f aca="false">IF(VLOOKUP(A32,Para1!$B$67:$E$72,2,0)="8.",VLOOKUP(A32,Para1!$B$67:$E$72,3,0),"")</f>
        <v>#N/A</v>
      </c>
      <c r="S32" s="145" t="str">
        <f aca="false">IF((P32+Q32)=0,"",IF(ISNA(R32),"",IF(R32="","",VLOOKUP(R32,Para1!$D$67:$G$79,3,0)*(IF(P32+Q32=1,0.5,1)))))</f>
        <v/>
      </c>
      <c r="T32" s="145" t="str">
        <f aca="false">IF(P32+Q32=0,"",IF(ISNA(R33),"",IF(R33="","",VLOOKUP(R33,Para1!$D$67:$G$79,4,0)*(IF(P32+Q32=1,0.5,1)))))</f>
        <v/>
      </c>
      <c r="U32" s="145" t="str">
        <f aca="false">IF(SUM(S32:T32)&gt;0,K32,"")</f>
        <v/>
      </c>
      <c r="V32" s="145" t="str">
        <f aca="false">IF(SUM(S32:T32)&gt;0,L32,"")</f>
        <v/>
      </c>
      <c r="W32" s="145" t="n">
        <f aca="false">IF(S32=0,P32+Q32,0)</f>
        <v>0</v>
      </c>
    </row>
    <row r="33" customFormat="false" ht="17" hidden="false" customHeight="true" outlineLevel="0" collapsed="false">
      <c r="A33" s="216" t="s">
        <v>30</v>
      </c>
      <c r="B33" s="297" t="str">
        <f aca="false">IF(B32=Para1!$F$153,Para1!$F$109,IF(B32=Para1!$F$109,Para1!$F$148,IF(B32=Para1!$F$148,Para1!$F$111,IF(B32=Para1!$F$111,Para1!$F$120,IF(B32=Para1!$F$120,Para1!$F$170,IF(B32=Para1!$F$170,Para1!$F$173,Para1!$F$153))))))</f>
        <v>Wed</v>
      </c>
      <c r="C33" s="186"/>
      <c r="D33" s="329"/>
      <c r="E33" s="316"/>
      <c r="F33" s="205"/>
      <c r="G33" s="204"/>
      <c r="H33" s="204"/>
      <c r="I33" s="206"/>
      <c r="J33" s="330"/>
      <c r="K33" s="208" t="s">
        <v>13</v>
      </c>
      <c r="L33" s="209" t="s">
        <v>13</v>
      </c>
      <c r="M33" s="210"/>
      <c r="N33" s="195"/>
      <c r="O33" s="145"/>
      <c r="P33" s="259" t="n">
        <f aca="false">P26</f>
        <v>1</v>
      </c>
      <c r="Q33" s="259" t="n">
        <f aca="false">Q26</f>
        <v>1</v>
      </c>
      <c r="R33" s="145" t="e">
        <f aca="false">IF(VLOOKUP(A33,Para1!$B$67:$E$72,2,0)="8.",VLOOKUP(A33,Para1!$B$67:$E$72,3,0),"")</f>
        <v>#N/A</v>
      </c>
      <c r="S33" s="145" t="str">
        <f aca="false">IF((P33+Q33)=0,"",IF(ISNA(R33),"",IF(R33="","",VLOOKUP(R33,Para1!$D$67:$G$79,3,0)*(IF(P33+Q33=1,0.5,1)))))</f>
        <v/>
      </c>
      <c r="T33" s="145" t="str">
        <f aca="false">IF(P33+Q33=0,"",IF(ISNA(R34),"",IF(R34="","",VLOOKUP(R34,Para1!$D$67:$G$79,4,0)*(IF(P33+Q33=1,0.5,1)))))</f>
        <v/>
      </c>
      <c r="U33" s="145" t="str">
        <f aca="false">IF(SUM(S33:T33)&gt;0,K33,"")</f>
        <v/>
      </c>
      <c r="V33" s="145" t="str">
        <f aca="false">IF(SUM(S33:T33)&gt;0,L33,"")</f>
        <v/>
      </c>
      <c r="W33" s="145" t="n">
        <f aca="false">IF(S33=0,P33+Q33,0)</f>
        <v>0</v>
      </c>
    </row>
    <row r="34" customFormat="false" ht="17" hidden="false" customHeight="true" outlineLevel="0" collapsed="false">
      <c r="A34" s="200" t="s">
        <v>31</v>
      </c>
      <c r="B34" s="297" t="str">
        <f aca="false">IF(B33=Para1!$F$153,Para1!$F$109,IF(B33=Para1!$F$109,Para1!$F$148,IF(B33=Para1!$F$148,Para1!$F$111,IF(B33=Para1!$F$111,Para1!$F$120,IF(B33=Para1!$F$120,Para1!$F$170,IF(B33=Para1!$F$170,Para1!$F$173,Para1!$F$153))))))</f>
        <v>Thu</v>
      </c>
      <c r="C34" s="186"/>
      <c r="D34" s="329"/>
      <c r="E34" s="316"/>
      <c r="F34" s="205"/>
      <c r="G34" s="204"/>
      <c r="H34" s="204"/>
      <c r="I34" s="206"/>
      <c r="J34" s="330"/>
      <c r="K34" s="208" t="s">
        <v>13</v>
      </c>
      <c r="L34" s="209" t="s">
        <v>13</v>
      </c>
      <c r="M34" s="210"/>
      <c r="N34" s="195"/>
      <c r="O34" s="145"/>
      <c r="P34" s="259" t="n">
        <f aca="false">P27</f>
        <v>1</v>
      </c>
      <c r="Q34" s="259" t="n">
        <f aca="false">Q27</f>
        <v>1</v>
      </c>
      <c r="R34" s="145" t="e">
        <f aca="false">IF(VLOOKUP(A34,Para1!$B$67:$E$72,2,0)="8.",VLOOKUP(A34,Para1!$B$67:$E$72,3,0),"")</f>
        <v>#N/A</v>
      </c>
      <c r="S34" s="145" t="str">
        <f aca="false">IF((P34+Q34)=0,"",IF(ISNA(R34),"",IF(R34="","",VLOOKUP(R34,Para1!$D$67:$G$79,3,0)*(IF(P34+Q34=1,0.5,1)))))</f>
        <v/>
      </c>
      <c r="T34" s="145" t="str">
        <f aca="false">IF(P34+Q34=0,"",IF(ISNA(R35),"",IF(R35="","",VLOOKUP(R35,Para1!$D$67:$G$79,4,0)*(IF(P34+Q34=1,0.5,1)))))</f>
        <v/>
      </c>
      <c r="U34" s="145" t="str">
        <f aca="false">IF(SUM(S34:T34)&gt;0,K34,"")</f>
        <v/>
      </c>
      <c r="V34" s="145" t="str">
        <f aca="false">IF(SUM(S34:T34)&gt;0,L34,"")</f>
        <v/>
      </c>
      <c r="W34" s="145" t="n">
        <f aca="false">IF(S34=0,P34+Q34,0)</f>
        <v>0</v>
      </c>
    </row>
    <row r="35" customFormat="false" ht="17" hidden="false" customHeight="true" outlineLevel="0" collapsed="false">
      <c r="A35" s="216" t="s">
        <v>32</v>
      </c>
      <c r="B35" s="297" t="str">
        <f aca="false">IF(B34=Para1!$F$153,Para1!$F$109,IF(B34=Para1!$F$109,Para1!$F$148,IF(B34=Para1!$F$148,Para1!$F$111,IF(B34=Para1!$F$111,Para1!$F$120,IF(B34=Para1!$F$120,Para1!$F$170,IF(B34=Para1!$F$170,Para1!$F$173,Para1!$F$153))))))</f>
        <v>Fri</v>
      </c>
      <c r="C35" s="202"/>
      <c r="D35" s="329"/>
      <c r="E35" s="316"/>
      <c r="F35" s="205"/>
      <c r="G35" s="204"/>
      <c r="H35" s="204"/>
      <c r="I35" s="206"/>
      <c r="J35" s="330"/>
      <c r="K35" s="208" t="s">
        <v>13</v>
      </c>
      <c r="L35" s="209" t="s">
        <v>13</v>
      </c>
      <c r="M35" s="210"/>
      <c r="N35" s="195"/>
      <c r="O35" s="145"/>
      <c r="P35" s="259" t="n">
        <f aca="false">P28</f>
        <v>1</v>
      </c>
      <c r="Q35" s="259" t="n">
        <f aca="false">Q28</f>
        <v>1</v>
      </c>
      <c r="R35" s="145" t="str">
        <f aca="false">IF(VLOOKUP(A35,Para1!$B$67:$E$72,2,0)="8.",VLOOKUP(A35,Para1!$B$67:$E$72,3,0),"")</f>
        <v/>
      </c>
      <c r="S35" s="145" t="str">
        <f aca="false">IF((P35+Q35)=0,"",IF(ISNA(R35),"",IF(R35="","",VLOOKUP(R35,Para1!$D$67:$G$79,3,0)*(IF(P35+Q35=1,0.5,1)))))</f>
        <v/>
      </c>
      <c r="T35" s="145" t="str">
        <f aca="false">IF(P35+Q35=0,"",IF(ISNA(R36),"",IF(R36="","",VLOOKUP(R36,Para1!$D$67:$G$79,4,0)*(IF(P35+Q35=1,0.5,1)))))</f>
        <v/>
      </c>
      <c r="U35" s="145" t="str">
        <f aca="false">IF(SUM(S35:T35)&gt;0,K35,"")</f>
        <v/>
      </c>
      <c r="V35" s="145" t="str">
        <f aca="false">IF(SUM(S35:T35)&gt;0,L35,"")</f>
        <v/>
      </c>
      <c r="W35" s="145" t="n">
        <f aca="false">IF(S35=0,P35+Q35,0)</f>
        <v>0</v>
      </c>
    </row>
    <row r="36" s="258" customFormat="true" ht="17" hidden="false" customHeight="true" outlineLevel="0" collapsed="false">
      <c r="A36" s="200" t="s">
        <v>33</v>
      </c>
      <c r="B36" s="297" t="str">
        <f aca="false">IF(B35=Para1!$F$153,Para1!$F$109,IF(B35=Para1!$F$109,Para1!$F$148,IF(B35=Para1!$F$148,Para1!$F$111,IF(B35=Para1!$F$111,Para1!$F$120,IF(B35=Para1!$F$120,Para1!$F$170,IF(B35=Para1!$F$170,Para1!$F$173,Para1!$F$153))))))</f>
        <v>Sat</v>
      </c>
      <c r="C36" s="202"/>
      <c r="D36" s="329"/>
      <c r="E36" s="316"/>
      <c r="F36" s="205"/>
      <c r="G36" s="204"/>
      <c r="H36" s="204"/>
      <c r="I36" s="206"/>
      <c r="J36" s="330"/>
      <c r="K36" s="208"/>
      <c r="L36" s="209"/>
      <c r="M36" s="210"/>
      <c r="N36" s="195"/>
      <c r="O36" s="145"/>
      <c r="P36" s="259" t="n">
        <f aca="false">P29</f>
        <v>0</v>
      </c>
      <c r="Q36" s="259" t="n">
        <f aca="false">Q29</f>
        <v>0</v>
      </c>
      <c r="R36" s="145" t="e">
        <f aca="false">IF(VLOOKUP(A36,Para1!$B$67:$E$72,2,0)="8.",VLOOKUP(A36,Para1!$B$67:$E$72,3,0),"")</f>
        <v>#N/A</v>
      </c>
      <c r="S36" s="145" t="str">
        <f aca="false">IF((P36+Q36)=0,"",IF(ISNA(R36),"",IF(R36="","",VLOOKUP(R36,Para1!$D$67:$G$79,3,0)*(IF(P36+Q36=1,0.5,1)))))</f>
        <v/>
      </c>
      <c r="T36" s="145" t="str">
        <f aca="false">IF(P36+Q36=0,"",IF(ISNA(R37),"",IF(R37="","",VLOOKUP(R37,Para1!$D$67:$G$79,4,0)*(IF(P36+Q36=1,0.5,1)))))</f>
        <v/>
      </c>
      <c r="U36" s="145" t="str">
        <f aca="false">IF(SUM(S36:T36)&gt;0,K36,"")</f>
        <v/>
      </c>
      <c r="V36" s="145" t="str">
        <f aca="false">IF(SUM(S36:T36)&gt;0,L36,"")</f>
        <v/>
      </c>
      <c r="W36" s="145" t="n">
        <f aca="false">IF(S36=0,P36+Q36,0)</f>
        <v>0</v>
      </c>
    </row>
    <row r="37" s="258" customFormat="true" ht="17" hidden="false" customHeight="true" outlineLevel="0" collapsed="false">
      <c r="A37" s="200" t="s">
        <v>34</v>
      </c>
      <c r="B37" s="297" t="str">
        <f aca="false">IF(B36=Para1!$F$153,Para1!$F$109,IF(B36=Para1!$F$109,Para1!$F$148,IF(B36=Para1!$F$148,Para1!$F$111,IF(B36=Para1!$F$111,Para1!$F$120,IF(B36=Para1!$F$120,Para1!$F$170,IF(B36=Para1!$F$170,Para1!$F$173,Para1!$F$153))))))</f>
        <v>Sun</v>
      </c>
      <c r="C37" s="202"/>
      <c r="D37" s="329"/>
      <c r="E37" s="316"/>
      <c r="F37" s="205"/>
      <c r="G37" s="204"/>
      <c r="H37" s="204"/>
      <c r="I37" s="206"/>
      <c r="J37" s="330"/>
      <c r="K37" s="208"/>
      <c r="L37" s="209"/>
      <c r="M37" s="210"/>
      <c r="N37" s="195"/>
      <c r="O37" s="145"/>
      <c r="P37" s="259" t="n">
        <f aca="false">P30</f>
        <v>0</v>
      </c>
      <c r="Q37" s="259" t="n">
        <f aca="false">Q30</f>
        <v>0</v>
      </c>
      <c r="R37" s="145" t="e">
        <f aca="false">IF(VLOOKUP(A37,Para1!$B$67:$E$72,2,0)="8.",VLOOKUP(A37,Para1!$B$67:$E$72,3,0),"")</f>
        <v>#N/A</v>
      </c>
      <c r="S37" s="145" t="str">
        <f aca="false">IF((P37+Q37)=0,"",IF(ISNA(R37),"",IF(R37="","",VLOOKUP(R37,Para1!$D$67:$G$79,3,0)*(IF(P37+Q37=1,0.5,1)))))</f>
        <v/>
      </c>
      <c r="T37" s="145" t="str">
        <f aca="false">IF(P37+Q37=0,"",IF(ISNA(R38),"",IF(R38="","",VLOOKUP(R38,Para1!$D$67:$G$79,4,0)*(IF(P37+Q37=1,0.5,1)))))</f>
        <v/>
      </c>
      <c r="U37" s="145" t="str">
        <f aca="false">IF(SUM(S37:T37)&gt;0,K37,"")</f>
        <v/>
      </c>
      <c r="V37" s="145" t="str">
        <f aca="false">IF(SUM(S37:T37)&gt;0,L37,"")</f>
        <v/>
      </c>
      <c r="W37" s="145" t="n">
        <f aca="false">IF(S37=0,P37+Q37,0)</f>
        <v>0</v>
      </c>
    </row>
    <row r="38" customFormat="false" ht="17" hidden="false" customHeight="true" outlineLevel="0" collapsed="false">
      <c r="A38" s="216" t="s">
        <v>35</v>
      </c>
      <c r="B38" s="297" t="str">
        <f aca="false">IF(B37=Para1!$F$153,Para1!$F$109,IF(B37=Para1!$F$109,Para1!$F$148,IF(B37=Para1!$F$148,Para1!$F$111,IF(B37=Para1!$F$111,Para1!$F$120,IF(B37=Para1!$F$120,Para1!$F$170,IF(B37=Para1!$F$170,Para1!$F$173,Para1!$F$153))))))</f>
        <v>Mon</v>
      </c>
      <c r="C38" s="202"/>
      <c r="D38" s="329"/>
      <c r="E38" s="316"/>
      <c r="F38" s="205"/>
      <c r="G38" s="204"/>
      <c r="H38" s="204"/>
      <c r="I38" s="206"/>
      <c r="J38" s="330"/>
      <c r="K38" s="208"/>
      <c r="L38" s="209"/>
      <c r="M38" s="210"/>
      <c r="N38" s="195"/>
      <c r="O38" s="145"/>
      <c r="P38" s="259" t="n">
        <f aca="false">P31</f>
        <v>1</v>
      </c>
      <c r="Q38" s="259" t="n">
        <f aca="false">Q31</f>
        <v>1</v>
      </c>
      <c r="R38" s="145" t="e">
        <f aca="false">IF(VLOOKUP(A38,Para1!$B$67:$E$72,2,0)="8.",VLOOKUP(A38,Para1!$B$67:$E$72,3,0),"")</f>
        <v>#N/A</v>
      </c>
      <c r="S38" s="145" t="str">
        <f aca="false">IF((P38+Q38)=0,"",IF(ISNA(R38),"",IF(R38="","",VLOOKUP(R38,Para1!$D$67:$G$79,3,0)*(IF(P38+Q38=1,0.5,1)))))</f>
        <v/>
      </c>
      <c r="T38" s="145" t="str">
        <f aca="false">IF(P38+Q38=0,"",IF(ISNA(R39),"",IF(R39="","",VLOOKUP(R39,Para1!$D$67:$G$79,4,0)*(IF(P38+Q38=1,0.5,1)))))</f>
        <v/>
      </c>
      <c r="U38" s="145" t="str">
        <f aca="false">IF(SUM(S38:T38)&gt;0,K38,"")</f>
        <v/>
      </c>
      <c r="V38" s="145" t="str">
        <f aca="false">IF(SUM(S38:T38)&gt;0,L38,"")</f>
        <v/>
      </c>
      <c r="W38" s="145" t="n">
        <f aca="false">IF(S38=0,P38+Q38,0)</f>
        <v>0</v>
      </c>
    </row>
    <row r="39" customFormat="false" ht="17" hidden="false" customHeight="true" outlineLevel="0" collapsed="false">
      <c r="A39" s="216" t="s">
        <v>36</v>
      </c>
      <c r="B39" s="297" t="str">
        <f aca="false">IF(B38=Para1!$F$153,Para1!$F$109,IF(B38=Para1!$F$109,Para1!$F$148,IF(B38=Para1!$F$148,Para1!$F$111,IF(B38=Para1!$F$111,Para1!$F$120,IF(B38=Para1!$F$120,Para1!$F$170,IF(B38=Para1!$F$170,Para1!$F$173,Para1!$F$153))))))</f>
        <v>Tue</v>
      </c>
      <c r="C39" s="202"/>
      <c r="D39" s="329"/>
      <c r="E39" s="316"/>
      <c r="F39" s="205"/>
      <c r="G39" s="204"/>
      <c r="H39" s="204"/>
      <c r="I39" s="206"/>
      <c r="J39" s="330"/>
      <c r="K39" s="208"/>
      <c r="L39" s="209"/>
      <c r="M39" s="210"/>
      <c r="N39" s="195"/>
      <c r="O39" s="145"/>
      <c r="P39" s="259" t="n">
        <f aca="false">P32</f>
        <v>1</v>
      </c>
      <c r="Q39" s="259" t="n">
        <f aca="false">Q32</f>
        <v>1</v>
      </c>
      <c r="R39" s="145" t="e">
        <f aca="false">IF(VLOOKUP(A39,Para1!$B$67:$E$72,2,0)="8.",VLOOKUP(A39,Para1!$B$67:$E$72,3,0),"")</f>
        <v>#N/A</v>
      </c>
      <c r="S39" s="145" t="str">
        <f aca="false">IF((P39+Q39)=0,"",IF(ISNA(R39),"",IF(R39="","",VLOOKUP(R39,Para1!$D$67:$G$79,3,0)*(IF(P39+Q39=1,0.5,1)))))</f>
        <v/>
      </c>
      <c r="T39" s="145" t="str">
        <f aca="false">IF(P39+Q39=0,"",IF(ISNA(R40),"",IF(R40="","",VLOOKUP(R40,Para1!$D$67:$G$79,4,0)*(IF(P39+Q39=1,0.5,1)))))</f>
        <v/>
      </c>
      <c r="U39" s="145" t="str">
        <f aca="false">IF(SUM(S39:T39)&gt;0,K39,"")</f>
        <v/>
      </c>
      <c r="V39" s="145" t="str">
        <f aca="false">IF(SUM(S39:T39)&gt;0,L39,"")</f>
        <v/>
      </c>
      <c r="W39" s="145" t="n">
        <f aca="false">IF(S39=0,P39+Q39,0)</f>
        <v>0</v>
      </c>
    </row>
    <row r="40" customFormat="false" ht="17" hidden="false" customHeight="true" outlineLevel="0" collapsed="false">
      <c r="A40" s="216" t="s">
        <v>37</v>
      </c>
      <c r="B40" s="297" t="str">
        <f aca="false">IF(B39=Para1!$F$153,Para1!$F$109,IF(B39=Para1!$F$109,Para1!$F$148,IF(B39=Para1!$F$148,Para1!$F$111,IF(B39=Para1!$F$111,Para1!$F$120,IF(B39=Para1!$F$120,Para1!$F$170,IF(B39=Para1!$F$170,Para1!$F$173,Para1!$F$153))))))</f>
        <v>Wed</v>
      </c>
      <c r="C40" s="186"/>
      <c r="D40" s="329"/>
      <c r="E40" s="316"/>
      <c r="F40" s="205"/>
      <c r="G40" s="204"/>
      <c r="H40" s="204"/>
      <c r="I40" s="206"/>
      <c r="J40" s="330"/>
      <c r="K40" s="208"/>
      <c r="L40" s="209"/>
      <c r="M40" s="210"/>
      <c r="N40" s="195"/>
      <c r="O40" s="145"/>
      <c r="P40" s="259" t="n">
        <f aca="false">P33</f>
        <v>1</v>
      </c>
      <c r="Q40" s="259" t="n">
        <f aca="false">Q33</f>
        <v>1</v>
      </c>
      <c r="R40" s="145" t="e">
        <f aca="false">IF(VLOOKUP(A40,Para1!$B$67:$E$72,2,0)="8.",VLOOKUP(A40,Para1!$B$67:$E$72,3,0),"")</f>
        <v>#N/A</v>
      </c>
      <c r="S40" s="145" t="str">
        <f aca="false">IF((P40+Q40)=0,"",IF(ISNA(R40),"",IF(R40="","",VLOOKUP(R40,Para1!$D$67:$G$79,3,0)*(IF(P40+Q40=1,0.5,1)))))</f>
        <v/>
      </c>
      <c r="T40" s="145" t="str">
        <f aca="false">IF(P40+Q40=0,"",IF(ISNA(R41),"",IF(R41="","",VLOOKUP(R41,Para1!$D$67:$G$79,4,0)*(IF(P40+Q40=1,0.5,1)))))</f>
        <v/>
      </c>
      <c r="U40" s="145" t="str">
        <f aca="false">IF(SUM(S40:T40)&gt;0,K40,"")</f>
        <v/>
      </c>
      <c r="V40" s="145" t="str">
        <f aca="false">IF(SUM(S40:T40)&gt;0,L40,"")</f>
        <v/>
      </c>
      <c r="W40" s="145" t="n">
        <f aca="false">IF(S40=0,P40+Q40,0)</f>
        <v>0</v>
      </c>
    </row>
    <row r="41" customFormat="false" ht="17" hidden="false" customHeight="true" outlineLevel="0" collapsed="false">
      <c r="A41" s="200" t="s">
        <v>38</v>
      </c>
      <c r="B41" s="297" t="str">
        <f aca="false">IF(B40=Para1!$F$153,Para1!$F$109,IF(B40=Para1!$F$109,Para1!$F$148,IF(B40=Para1!$F$148,Para1!$F$111,IF(B40=Para1!$F$111,Para1!$F$120,IF(B40=Para1!$F$120,Para1!$F$170,IF(B40=Para1!$F$170,Para1!$F$173,Para1!$F$153))))))</f>
        <v>Thu</v>
      </c>
      <c r="C41" s="186"/>
      <c r="D41" s="329"/>
      <c r="E41" s="316"/>
      <c r="F41" s="205"/>
      <c r="G41" s="204"/>
      <c r="H41" s="204"/>
      <c r="I41" s="206"/>
      <c r="J41" s="330"/>
      <c r="K41" s="208"/>
      <c r="L41" s="209"/>
      <c r="M41" s="210"/>
      <c r="N41" s="195"/>
      <c r="O41" s="145"/>
      <c r="P41" s="259" t="n">
        <f aca="false">P34</f>
        <v>1</v>
      </c>
      <c r="Q41" s="259" t="n">
        <f aca="false">Q34</f>
        <v>1</v>
      </c>
      <c r="R41" s="145" t="e">
        <f aca="false">IF(VLOOKUP(A41,Para1!$B$67:$E$72,2,0)="8.",VLOOKUP(A41,Para1!$B$67:$E$72,3,0),"")</f>
        <v>#N/A</v>
      </c>
      <c r="S41" s="145" t="str">
        <f aca="false">IF((P41+Q41)=0,"",IF(ISNA(R41),"",IF(R41="","",VLOOKUP(R41,Para1!$D$67:$G$79,3,0)*(IF(P41+Q41=1,0.5,1)))))</f>
        <v/>
      </c>
      <c r="T41" s="145" t="str">
        <f aca="false">IF(P41+Q41=0,"",IF(ISNA(R42),"",IF(R42="","",VLOOKUP(R42,Para1!$D$67:$G$79,4,0)*(IF(P41+Q41=1,0.5,1)))))</f>
        <v/>
      </c>
      <c r="U41" s="145" t="str">
        <f aca="false">IF(SUM(S41:T41)&gt;0,K41,"")</f>
        <v/>
      </c>
      <c r="V41" s="145" t="str">
        <f aca="false">IF(SUM(S41:T41)&gt;0,L41,"")</f>
        <v/>
      </c>
      <c r="W41" s="145" t="n">
        <f aca="false">IF(S41=0,P41+Q41,0)</f>
        <v>0</v>
      </c>
    </row>
    <row r="42" customFormat="false" ht="17" hidden="false" customHeight="true" outlineLevel="0" collapsed="false">
      <c r="A42" s="216" t="s">
        <v>39</v>
      </c>
      <c r="B42" s="297" t="str">
        <f aca="false">IF(B41=Para1!$F$153,Para1!$F$109,IF(B41=Para1!$F$109,Para1!$F$148,IF(B41=Para1!$F$148,Para1!$F$111,IF(B41=Para1!$F$111,Para1!$F$120,IF(B41=Para1!$F$120,Para1!$F$170,IF(B41=Para1!$F$170,Para1!$F$173,Para1!$F$153))))))</f>
        <v>Fri</v>
      </c>
      <c r="C42" s="202"/>
      <c r="D42" s="329"/>
      <c r="E42" s="316"/>
      <c r="F42" s="205"/>
      <c r="G42" s="204"/>
      <c r="H42" s="204"/>
      <c r="I42" s="206"/>
      <c r="J42" s="330"/>
      <c r="K42" s="208"/>
      <c r="L42" s="209"/>
      <c r="M42" s="210"/>
      <c r="N42" s="195"/>
      <c r="O42" s="145"/>
      <c r="P42" s="259" t="n">
        <f aca="false">P35</f>
        <v>1</v>
      </c>
      <c r="Q42" s="259" t="n">
        <f aca="false">Q35</f>
        <v>1</v>
      </c>
      <c r="R42" s="145" t="e">
        <f aca="false">IF(VLOOKUP(A42,Para1!$B$67:$E$72,2,0)="8.",VLOOKUP(A42,Para1!$B$67:$E$72,3,0),"")</f>
        <v>#N/A</v>
      </c>
      <c r="S42" s="145" t="str">
        <f aca="false">IF((P42+Q42)=0,"",IF(ISNA(R42),"",IF(R42="","",VLOOKUP(R42,Para1!$D$67:$G$79,3,0)*(IF(P42+Q42=1,0.5,1)))))</f>
        <v/>
      </c>
      <c r="T42" s="145" t="str">
        <f aca="false">IF(P42+Q42=0,"",IF(ISNA(R43),"",IF(R43="","",VLOOKUP(R43,Para1!$D$67:$G$79,4,0)*(IF(P42+Q42=1,0.5,1)))))</f>
        <v/>
      </c>
      <c r="U42" s="145" t="str">
        <f aca="false">IF(SUM(S42:T42)&gt;0,K42,"")</f>
        <v/>
      </c>
      <c r="V42" s="145" t="str">
        <f aca="false">IF(SUM(S42:T42)&gt;0,L42,"")</f>
        <v/>
      </c>
      <c r="W42" s="145" t="n">
        <f aca="false">IF(S42=0,P42+Q42,0)</f>
        <v>0</v>
      </c>
    </row>
    <row r="43" s="258" customFormat="true" ht="17" hidden="false" customHeight="true" outlineLevel="0" collapsed="false">
      <c r="A43" s="200" t="s">
        <v>40</v>
      </c>
      <c r="B43" s="297" t="str">
        <f aca="false">IF(B42=Para1!$F$153,Para1!$F$109,IF(B42=Para1!$F$109,Para1!$F$148,IF(B42=Para1!$F$148,Para1!$F$111,IF(B42=Para1!$F$111,Para1!$F$120,IF(B42=Para1!$F$120,Para1!$F$170,IF(B42=Para1!$F$170,Para1!$F$173,Para1!$F$153))))))</f>
        <v>Sat</v>
      </c>
      <c r="C43" s="202"/>
      <c r="D43" s="329"/>
      <c r="E43" s="316"/>
      <c r="F43" s="205"/>
      <c r="G43" s="204"/>
      <c r="H43" s="204"/>
      <c r="I43" s="206"/>
      <c r="J43" s="330"/>
      <c r="K43" s="208"/>
      <c r="L43" s="209"/>
      <c r="M43" s="210"/>
      <c r="N43" s="195"/>
      <c r="O43" s="145"/>
      <c r="P43" s="259" t="n">
        <f aca="false">P36</f>
        <v>0</v>
      </c>
      <c r="Q43" s="259" t="n">
        <f aca="false">Q36</f>
        <v>0</v>
      </c>
      <c r="R43" s="145" t="e">
        <f aca="false">IF(VLOOKUP(A43,Para1!$B$67:$E$72,2,0)="8.",VLOOKUP(A43,Para1!$B$67:$E$72,3,0),"")</f>
        <v>#N/A</v>
      </c>
      <c r="S43" s="145" t="str">
        <f aca="false">IF((P43+Q43)=0,"",IF(ISNA(R43),"",IF(R43="","",VLOOKUP(R43,Para1!$D$67:$G$79,3,0)*(IF(P43+Q43=1,0.5,1)))))</f>
        <v/>
      </c>
      <c r="T43" s="145" t="str">
        <f aca="false">IF(P43+Q43=0,"",IF(ISNA(R44),"",IF(R44="","",VLOOKUP(R44,Para1!$D$67:$G$79,4,0)*(IF(P43+Q43=1,0.5,1)))))</f>
        <v/>
      </c>
      <c r="U43" s="145" t="str">
        <f aca="false">IF(SUM(S43:T43)&gt;0,K43,"")</f>
        <v/>
      </c>
      <c r="V43" s="145" t="str">
        <f aca="false">IF(SUM(S43:T43)&gt;0,L43,"")</f>
        <v/>
      </c>
      <c r="W43" s="145" t="n">
        <f aca="false">IF(S43=0,P43+Q43,0)</f>
        <v>0</v>
      </c>
    </row>
    <row r="44" s="258" customFormat="true" ht="17" hidden="false" customHeight="true" outlineLevel="0" collapsed="false">
      <c r="A44" s="200" t="s">
        <v>41</v>
      </c>
      <c r="B44" s="297" t="str">
        <f aca="false">IF(B43=Para1!$F$153,Para1!$F$109,IF(B43=Para1!$F$109,Para1!$F$148,IF(B43=Para1!$F$148,Para1!$F$111,IF(B43=Para1!$F$111,Para1!$F$120,IF(B43=Para1!$F$120,Para1!$F$170,IF(B43=Para1!$F$170,Para1!$F$173,Para1!$F$153))))))</f>
        <v>Sun</v>
      </c>
      <c r="C44" s="202"/>
      <c r="D44" s="329"/>
      <c r="E44" s="316"/>
      <c r="F44" s="205"/>
      <c r="G44" s="204"/>
      <c r="H44" s="204"/>
      <c r="I44" s="206"/>
      <c r="J44" s="330"/>
      <c r="K44" s="208"/>
      <c r="L44" s="209"/>
      <c r="M44" s="210"/>
      <c r="N44" s="195"/>
      <c r="O44" s="145"/>
      <c r="P44" s="259" t="n">
        <f aca="false">P37</f>
        <v>0</v>
      </c>
      <c r="Q44" s="259" t="n">
        <f aca="false">Q37</f>
        <v>0</v>
      </c>
      <c r="R44" s="145" t="e">
        <f aca="false">IF(VLOOKUP(A44,Para1!$B$67:$E$72,2,0)="8.",VLOOKUP(A44,Para1!$B$67:$E$72,3,0),"")</f>
        <v>#N/A</v>
      </c>
      <c r="S44" s="145" t="str">
        <f aca="false">IF((P44+Q44)=0,"",IF(ISNA(R44),"",IF(R44="","",VLOOKUP(R44,Para1!$D$67:$G$79,3,0)*(IF(P44+Q44=1,0.5,1)))))</f>
        <v/>
      </c>
      <c r="T44" s="145" t="str">
        <f aca="false">IF(P44+Q44=0,"",IF(ISNA(R45),"",IF(R45="","",VLOOKUP(R45,Para1!$D$67:$G$79,4,0)*(IF(P44+Q44=1,0.5,1)))))</f>
        <v/>
      </c>
      <c r="U44" s="145" t="str">
        <f aca="false">IF(SUM(S44:T44)&gt;0,K44,"")</f>
        <v/>
      </c>
      <c r="V44" s="145" t="str">
        <f aca="false">IF(SUM(S44:T44)&gt;0,L44,"")</f>
        <v/>
      </c>
      <c r="W44" s="145" t="n">
        <f aca="false">IF(S44=0,P44+Q44,0)</f>
        <v>0</v>
      </c>
    </row>
    <row r="45" customFormat="false" ht="17" hidden="false" customHeight="true" outlineLevel="0" collapsed="false">
      <c r="A45" s="216" t="s">
        <v>42</v>
      </c>
      <c r="B45" s="297" t="str">
        <f aca="false">IF(B44=Para1!$F$153,Para1!$F$109,IF(B44=Para1!$F$109,Para1!$F$148,IF(B44=Para1!$F$148,Para1!$F$111,IF(B44=Para1!$F$111,Para1!$F$120,IF(B44=Para1!$F$120,Para1!$F$170,IF(B44=Para1!$F$170,Para1!$F$173,Para1!$F$153))))))</f>
        <v>Mon</v>
      </c>
      <c r="C45" s="202"/>
      <c r="D45" s="329"/>
      <c r="E45" s="316"/>
      <c r="F45" s="205"/>
      <c r="G45" s="204"/>
      <c r="H45" s="204"/>
      <c r="I45" s="206"/>
      <c r="J45" s="330"/>
      <c r="K45" s="208"/>
      <c r="L45" s="209"/>
      <c r="M45" s="210"/>
      <c r="N45" s="195"/>
      <c r="O45" s="145"/>
      <c r="P45" s="259" t="n">
        <f aca="false">P38</f>
        <v>1</v>
      </c>
      <c r="Q45" s="259" t="n">
        <f aca="false">Q38</f>
        <v>1</v>
      </c>
      <c r="R45" s="145" t="str">
        <f aca="false">IF(VLOOKUP(A45,Para1!$B$67:$E$72,2,0)="8.",VLOOKUP(A45,Para1!$B$67:$E$72,3,0),"")</f>
        <v/>
      </c>
      <c r="S45" s="145" t="str">
        <f aca="false">IF((P45+Q45)=0,"",IF(ISNA(R45),"",IF(R45="","",VLOOKUP(R45,Para1!$D$67:$G$79,3,0)*(IF(P45+Q45=1,0.5,1)))))</f>
        <v/>
      </c>
      <c r="T45" s="145" t="str">
        <f aca="false">IF(P45+Q45=0,"",IF(ISNA(R46),"",IF(R46="","",VLOOKUP(R46,Para1!$D$67:$G$79,4,0)*(IF(P45+Q45=1,0.5,1)))))</f>
        <v/>
      </c>
      <c r="U45" s="145" t="str">
        <f aca="false">IF(SUM(S45:T45)&gt;0,K45,"")</f>
        <v/>
      </c>
      <c r="V45" s="145" t="str">
        <f aca="false">IF(SUM(S45:T45)&gt;0,L45,"")</f>
        <v/>
      </c>
      <c r="W45" s="145" t="n">
        <f aca="false">IF(S45=0,P45+Q45,0)</f>
        <v>0</v>
      </c>
    </row>
    <row r="46" customFormat="false" ht="17" hidden="false" customHeight="true" outlineLevel="0" collapsed="false">
      <c r="A46" s="216" t="s">
        <v>43</v>
      </c>
      <c r="B46" s="297" t="str">
        <f aca="false">IF(B45=Para1!$F$153,Para1!$F$109,IF(B45=Para1!$F$109,Para1!$F$148,IF(B45=Para1!$F$148,Para1!$F$111,IF(B45=Para1!$F$111,Para1!$F$120,IF(B45=Para1!$F$120,Para1!$F$170,IF(B45=Para1!$F$170,Para1!$F$173,Para1!$F$153))))))</f>
        <v>Tue</v>
      </c>
      <c r="C46" s="202"/>
      <c r="D46" s="329"/>
      <c r="E46" s="316"/>
      <c r="F46" s="205"/>
      <c r="G46" s="204"/>
      <c r="H46" s="204"/>
      <c r="I46" s="206"/>
      <c r="J46" s="330"/>
      <c r="K46" s="208"/>
      <c r="L46" s="209"/>
      <c r="M46" s="210"/>
      <c r="N46" s="195"/>
      <c r="O46" s="145"/>
      <c r="P46" s="259" t="n">
        <f aca="false">P39</f>
        <v>1</v>
      </c>
      <c r="Q46" s="259" t="n">
        <f aca="false">Q39</f>
        <v>1</v>
      </c>
      <c r="R46" s="145" t="str">
        <f aca="false">IF(VLOOKUP(A46,Para1!$B$67:$E$72,2,0)="8.",VLOOKUP(A46,Para1!$B$67:$E$72,3,0),"")</f>
        <v/>
      </c>
      <c r="S46" s="145" t="str">
        <f aca="false">IF((P46+Q46)=0,"",IF(ISNA(R46),"",IF(R46="","",VLOOKUP(R46,Para1!$D$67:$G$79,3,0)*(IF(P46+Q46=1,0.5,1)))))</f>
        <v/>
      </c>
      <c r="T46" s="145" t="str">
        <f aca="false">IF(P46+Q46=0,"",IF(ISNA(R47),"",IF(R47="","",VLOOKUP(R47,Para1!$D$67:$G$79,4,0)*(IF(P46+Q46=1,0.5,1)))))</f>
        <v/>
      </c>
      <c r="U46" s="145" t="str">
        <f aca="false">IF(SUM(S46:T46)&gt;0,K46,"")</f>
        <v/>
      </c>
      <c r="V46" s="145" t="str">
        <f aca="false">IF(SUM(S46:T46)&gt;0,L46,"")</f>
        <v/>
      </c>
      <c r="W46" s="145" t="n">
        <f aca="false">IF(S46=0,P46+Q46,0)</f>
        <v>0</v>
      </c>
    </row>
    <row r="47" customFormat="false" ht="17" hidden="false" customHeight="true" outlineLevel="0" collapsed="false">
      <c r="A47" s="216" t="s">
        <v>44</v>
      </c>
      <c r="B47" s="297" t="str">
        <f aca="false">IF(B46=Para1!$F$153,Para1!$F$109,IF(B46=Para1!$F$109,Para1!$F$148,IF(B46=Para1!$F$148,Para1!$F$111,IF(B46=Para1!$F$111,Para1!$F$120,IF(B46=Para1!$F$120,Para1!$F$170,IF(B46=Para1!$F$170,Para1!$F$173,Para1!$F$153))))))</f>
        <v>Wed</v>
      </c>
      <c r="C47" s="186"/>
      <c r="D47" s="329"/>
      <c r="E47" s="316"/>
      <c r="F47" s="205"/>
      <c r="G47" s="204"/>
      <c r="H47" s="204"/>
      <c r="I47" s="206"/>
      <c r="J47" s="330"/>
      <c r="K47" s="208"/>
      <c r="L47" s="209"/>
      <c r="M47" s="210"/>
      <c r="N47" s="195"/>
      <c r="O47" s="145"/>
      <c r="P47" s="259" t="n">
        <f aca="false">P40</f>
        <v>1</v>
      </c>
      <c r="Q47" s="259" t="n">
        <f aca="false">Q40</f>
        <v>1</v>
      </c>
      <c r="R47" s="145" t="e">
        <f aca="false">IF(VLOOKUP(A47,Para1!$B$67:$E$72,2,0)="8.",VLOOKUP(A47,Para1!$B$67:$E$72,3,0),"")</f>
        <v>#N/A</v>
      </c>
      <c r="S47" s="145" t="str">
        <f aca="false">IF((P47+Q47)=0,"",IF(ISNA(R47),"",IF(R47="","",VLOOKUP(R47,Para1!$D$67:$G$79,3,0)*(IF(P47+Q47=1,0.5,1)))))</f>
        <v/>
      </c>
      <c r="T47" s="145" t="str">
        <f aca="false">IF(P47+Q47=0,"",IF(ISNA(R48),"",IF(R48="","",VLOOKUP(R48,Para1!$D$67:$G$79,4,0)*(IF(P47+Q47=1,0.5,1)))))</f>
        <v/>
      </c>
      <c r="U47" s="145" t="str">
        <f aca="false">IF(SUM(S47:T47)&gt;0,K47,"")</f>
        <v/>
      </c>
      <c r="V47" s="145" t="str">
        <f aca="false">IF(SUM(S47:T47)&gt;0,L47,"")</f>
        <v/>
      </c>
      <c r="W47" s="145" t="n">
        <f aca="false">IF(S47=0,P47+Q47,0)</f>
        <v>0</v>
      </c>
    </row>
    <row r="48" customFormat="false" ht="17" hidden="false" customHeight="true" outlineLevel="0" collapsed="false">
      <c r="A48" s="200" t="s">
        <v>45</v>
      </c>
      <c r="B48" s="297" t="str">
        <f aca="false">IF(B47=Para1!$F$153,Para1!$F$109,IF(B47=Para1!$F$109,Para1!$F$148,IF(B47=Para1!$F$148,Para1!$F$111,IF(B47=Para1!$F$111,Para1!$F$120,IF(B47=Para1!$F$120,Para1!$F$170,IF(B47=Para1!$F$170,Para1!$F$173,Para1!$F$153))))))</f>
        <v>Thu</v>
      </c>
      <c r="C48" s="186"/>
      <c r="D48" s="329"/>
      <c r="E48" s="316"/>
      <c r="F48" s="205"/>
      <c r="G48" s="204"/>
      <c r="H48" s="204"/>
      <c r="I48" s="206"/>
      <c r="J48" s="330"/>
      <c r="K48" s="208"/>
      <c r="L48" s="209"/>
      <c r="M48" s="210"/>
      <c r="N48" s="195"/>
      <c r="O48" s="145"/>
      <c r="P48" s="259" t="n">
        <f aca="false">P41</f>
        <v>1</v>
      </c>
      <c r="Q48" s="259" t="n">
        <f aca="false">Q41</f>
        <v>1</v>
      </c>
      <c r="R48" s="145" t="e">
        <f aca="false">IF(VLOOKUP(A48,Para1!$B$67:$E$72,2,0)="8.",VLOOKUP(A48,Para1!$B$67:$E$72,3,0),"")</f>
        <v>#N/A</v>
      </c>
      <c r="S48" s="145" t="str">
        <f aca="false">IF((P48+Q48)=0,"",IF(ISNA(R48),"",IF(R48="","",VLOOKUP(R48,Para1!$D$67:$G$79,3,0)*(IF(P48+Q48=1,0.5,1)))))</f>
        <v/>
      </c>
      <c r="T48" s="145" t="str">
        <f aca="false">IF(P48+Q48=0,"",IF(ISNA(R49),"",IF(R49="","",VLOOKUP(R49,Para1!$D$67:$G$79,4,0)*(IF(P48+Q48=1,0.5,1)))))</f>
        <v/>
      </c>
      <c r="U48" s="145" t="str">
        <f aca="false">IF(SUM(S48:T48)&gt;0,K48,"")</f>
        <v/>
      </c>
      <c r="V48" s="145" t="str">
        <f aca="false">IF(SUM(S48:T48)&gt;0,L48,"")</f>
        <v/>
      </c>
      <c r="W48" s="145" t="n">
        <f aca="false">IF(S48=0,P48+Q48,0)</f>
        <v>0</v>
      </c>
    </row>
    <row r="49" customFormat="false" ht="17" hidden="false" customHeight="true" outlineLevel="0" collapsed="false">
      <c r="A49" s="216" t="s">
        <v>46</v>
      </c>
      <c r="B49" s="297" t="str">
        <f aca="false">IF(B48=Para1!$F$153,Para1!$F$109,IF(B48=Para1!$F$109,Para1!$F$148,IF(B48=Para1!$F$148,Para1!$F$111,IF(B48=Para1!$F$111,Para1!$F$120,IF(B48=Para1!$F$120,Para1!$F$170,IF(B48=Para1!$F$170,Para1!$F$173,Para1!$F$153))))))</f>
        <v>Fri</v>
      </c>
      <c r="C49" s="202"/>
      <c r="D49" s="329"/>
      <c r="E49" s="316"/>
      <c r="F49" s="205"/>
      <c r="G49" s="204"/>
      <c r="H49" s="204"/>
      <c r="I49" s="206"/>
      <c r="J49" s="330"/>
      <c r="K49" s="208"/>
      <c r="L49" s="209"/>
      <c r="M49" s="210"/>
      <c r="N49" s="195"/>
      <c r="O49" s="145"/>
      <c r="P49" s="259" t="n">
        <f aca="false">P42</f>
        <v>1</v>
      </c>
      <c r="Q49" s="259" t="n">
        <f aca="false">Q42</f>
        <v>1</v>
      </c>
      <c r="R49" s="145" t="e">
        <f aca="false">IF(VLOOKUP(A49,Para1!$B$67:$E$72,2,0)="8.",VLOOKUP(A49,Para1!$B$67:$E$72,3,0),"")</f>
        <v>#N/A</v>
      </c>
      <c r="S49" s="145" t="str">
        <f aca="false">IF((P49+Q49)=0,"",IF(ISNA(R49),"",IF(R49="","",VLOOKUP(R49,Para1!$D$67:$G$79,3,0)*(IF(P49+Q49=1,0.5,1)))))</f>
        <v/>
      </c>
      <c r="T49" s="145" t="str">
        <f aca="false">IF(P49+Q49=0,"",IF(ISNA(R50),"",IF(R50="","",VLOOKUP(R50,Para1!$D$67:$G$79,4,0)*(IF(P49+Q49=1,0.5,1)))))</f>
        <v/>
      </c>
      <c r="U49" s="145" t="str">
        <f aca="false">IF(SUM(S49:T49)&gt;0,K49,"")</f>
        <v/>
      </c>
      <c r="V49" s="145" t="str">
        <f aca="false">IF(SUM(S49:T49)&gt;0,L49,"")</f>
        <v/>
      </c>
      <c r="W49" s="145" t="n">
        <f aca="false">IF(S49=0,P49+Q49,0)</f>
        <v>0</v>
      </c>
    </row>
    <row r="50" s="258" customFormat="true" ht="16.5" hidden="false" customHeight="true" outlineLevel="0" collapsed="false">
      <c r="A50" s="200" t="s">
        <v>47</v>
      </c>
      <c r="B50" s="297" t="str">
        <f aca="false">IF(B49=Para1!$F$153,Para1!$F$109,IF(B49=Para1!$F$109,Para1!$F$148,IF(B49=Para1!$F$148,Para1!$F$111,IF(B49=Para1!$F$111,Para1!$F$120,IF(B49=Para1!$F$120,Para1!$F$170,IF(B49=Para1!$F$170,Para1!$F$173,Para1!$F$153))))))</f>
        <v>Sat</v>
      </c>
      <c r="C50" s="202"/>
      <c r="D50" s="329"/>
      <c r="E50" s="316"/>
      <c r="F50" s="205"/>
      <c r="G50" s="204"/>
      <c r="H50" s="204"/>
      <c r="I50" s="206"/>
      <c r="J50" s="330"/>
      <c r="K50" s="208"/>
      <c r="L50" s="209"/>
      <c r="M50" s="210"/>
      <c r="N50" s="195"/>
      <c r="O50" s="145"/>
      <c r="P50" s="262" t="n">
        <f aca="false">P43</f>
        <v>0</v>
      </c>
      <c r="Q50" s="262" t="n">
        <f aca="false">Q43</f>
        <v>0</v>
      </c>
      <c r="R50" s="145" t="e">
        <f aca="false">IF(VLOOKUP(A50,Para1!$B$67:$E$72,2,0)="8.",VLOOKUP(A50,Para1!$B$67:$E$72,3,0),"")</f>
        <v>#N/A</v>
      </c>
      <c r="S50" s="145" t="str">
        <f aca="false">IF((P50+Q50)=0,"",IF(ISNA(R50),"",IF(R50="","",VLOOKUP(R50,Para1!$D$67:$G$79,3,0)*(IF(P50+Q50=1,0.5,1)))))</f>
        <v/>
      </c>
      <c r="T50" s="145" t="str">
        <f aca="false">IF(P50+Q50=0,"",IF(ISNA(R51),"",IF(R51="","",VLOOKUP(R51,Para1!$D$67:$G$79,4,0)*(IF(P50+Q50=1,0.5,1)))))</f>
        <v/>
      </c>
      <c r="U50" s="145" t="str">
        <f aca="false">IF(SUM(S50:T50)&gt;0,K50,"")</f>
        <v/>
      </c>
      <c r="V50" s="145" t="str">
        <f aca="false">IF(SUM(S50:T50)&gt;0,L50,"")</f>
        <v/>
      </c>
      <c r="W50" s="145" t="n">
        <f aca="false">IF(S50=0,P50+Q50,0)</f>
        <v>0</v>
      </c>
    </row>
    <row r="51" s="258" customFormat="true" ht="16.5" hidden="false" customHeight="true" outlineLevel="0" collapsed="false">
      <c r="A51" s="200" t="s">
        <v>48</v>
      </c>
      <c r="B51" s="297" t="str">
        <f aca="false">IF(B50=Para1!$F$153,Para1!$F$109,IF(B50=Para1!$F$109,Para1!$F$148,IF(B50=Para1!$F$148,Para1!$F$111,IF(B50=Para1!$F$111,Para1!$F$120,IF(B50=Para1!$F$120,Para1!$F$170,IF(B50=Para1!$F$170,Para1!$F$173,Para1!$F$153))))))</f>
        <v>Sun</v>
      </c>
      <c r="C51" s="202"/>
      <c r="D51" s="329"/>
      <c r="E51" s="316"/>
      <c r="F51" s="205"/>
      <c r="G51" s="204"/>
      <c r="H51" s="204"/>
      <c r="I51" s="206"/>
      <c r="J51" s="330"/>
      <c r="K51" s="208"/>
      <c r="L51" s="209"/>
      <c r="M51" s="210"/>
      <c r="N51" s="195"/>
      <c r="O51" s="145"/>
      <c r="P51" s="217" t="n">
        <f aca="false">P44</f>
        <v>0</v>
      </c>
      <c r="Q51" s="259" t="n">
        <f aca="false">Q44</f>
        <v>0</v>
      </c>
      <c r="R51" s="145" t="e">
        <f aca="false">IF(VLOOKUP(A51,Para1!$B$67:$E$72,2,0)="8.",VLOOKUP(A51,Para1!$B$67:$E$72,3,0),"")</f>
        <v>#N/A</v>
      </c>
      <c r="S51" s="145" t="str">
        <f aca="false">IF((P51+Q51)=0,"",IF(ISNA(R51),"",IF(R51="","",VLOOKUP(R51,Para1!$D$67:$G$79,3,0)*(IF(P51+Q51=1,0.5,1)))))</f>
        <v/>
      </c>
      <c r="T51" s="145" t="str">
        <f aca="false">IF(P51+Q51=0,"",IF(ISNA(R52),"",IF(R52="","",VLOOKUP(R52,Para1!$D$67:$G$79,4,0)*(IF(P51+Q51=1,0.5,1)))))</f>
        <v/>
      </c>
      <c r="U51" s="145" t="str">
        <f aca="false">IF(SUM(S51:T51)&gt;0,K51,"")</f>
        <v/>
      </c>
      <c r="V51" s="145" t="str">
        <f aca="false">IF(SUM(S51:T51)&gt;0,L51,"")</f>
        <v/>
      </c>
      <c r="W51" s="145" t="n">
        <f aca="false">IF(S51=0,P51+Q51,0)</f>
        <v>0</v>
      </c>
    </row>
    <row r="52" customFormat="false" ht="16.5" hidden="false" customHeight="true" outlineLevel="0" collapsed="false">
      <c r="A52" s="216" t="s">
        <v>49</v>
      </c>
      <c r="B52" s="297" t="str">
        <f aca="false">IF(B51=Para1!$F$153,Para1!$F$109,IF(B51=Para1!$F$109,Para1!$F$148,IF(B51=Para1!$F$148,Para1!$F$111,IF(B51=Para1!$F$111,Para1!$F$120,IF(B51=Para1!$F$120,Para1!$F$170,IF(B51=Para1!$F$170,Para1!$F$173,Para1!$F$153))))))</f>
        <v>Mon</v>
      </c>
      <c r="C52" s="202"/>
      <c r="D52" s="329"/>
      <c r="E52" s="316"/>
      <c r="F52" s="205"/>
      <c r="G52" s="204"/>
      <c r="H52" s="204"/>
      <c r="I52" s="206"/>
      <c r="J52" s="330"/>
      <c r="K52" s="208"/>
      <c r="L52" s="209"/>
      <c r="M52" s="210"/>
      <c r="N52" s="195"/>
      <c r="O52" s="145"/>
      <c r="P52" s="217" t="n">
        <f aca="false">P45</f>
        <v>1</v>
      </c>
      <c r="Q52" s="259" t="n">
        <f aca="false">Q45</f>
        <v>1</v>
      </c>
      <c r="R52" s="145" t="e">
        <f aca="false">IF(VLOOKUP(A52,Para1!$B$67:$E$72,2,0)="8.",VLOOKUP(A52,Para1!$B$67:$E$72,3,0),"")</f>
        <v>#N/A</v>
      </c>
      <c r="S52" s="145" t="str">
        <f aca="false">IF((P52+Q52)=0,"",IF(ISNA(R52),"",IF(R52="","",VLOOKUP(R52,Para1!$D$67:$G$79,3,0)*(IF(P52+Q52=1,0.5,1)))))</f>
        <v/>
      </c>
      <c r="T52" s="145" t="str">
        <f aca="false">IF(P52+Q52=0,"",IF(ISNA(R53),"",IF(R53="","",VLOOKUP(R53,Para1!$D$67:$G$79,4,0)*(IF(P52+Q52=1,0.5,1)))))</f>
        <v/>
      </c>
      <c r="U52" s="145" t="str">
        <f aca="false">IF(SUM(S52:T52)&gt;0,K52,"")</f>
        <v/>
      </c>
      <c r="V52" s="145" t="str">
        <f aca="false">IF(SUM(S52:T52)&gt;0,L52,"")</f>
        <v/>
      </c>
      <c r="W52" s="145" t="n">
        <f aca="false">IF(S52=0,P52+Q52,0)</f>
        <v>0</v>
      </c>
    </row>
    <row r="53" customFormat="false" ht="16.5" hidden="false" customHeight="true" outlineLevel="0" collapsed="false">
      <c r="A53" s="216" t="s">
        <v>50</v>
      </c>
      <c r="B53" s="297" t="str">
        <f aca="false">IF(B52=Para1!$F$153,Para1!$F$109,IF(B52=Para1!$F$109,Para1!$F$148,IF(B52=Para1!$F$148,Para1!$F$111,IF(B52=Para1!$F$111,Para1!$F$120,IF(B52=Para1!$F$120,Para1!$F$170,IF(B52=Para1!$F$170,Para1!$F$173,Para1!$F$153))))))</f>
        <v>Tue</v>
      </c>
      <c r="C53" s="202"/>
      <c r="D53" s="329"/>
      <c r="E53" s="316"/>
      <c r="F53" s="205"/>
      <c r="G53" s="204"/>
      <c r="H53" s="204"/>
      <c r="I53" s="206"/>
      <c r="J53" s="330"/>
      <c r="K53" s="331"/>
      <c r="L53" s="313"/>
      <c r="M53" s="210"/>
      <c r="N53" s="195"/>
      <c r="O53" s="145"/>
      <c r="P53" s="221" t="n">
        <f aca="false">P46</f>
        <v>1</v>
      </c>
      <c r="Q53" s="289" t="n">
        <f aca="false">Q46</f>
        <v>1</v>
      </c>
      <c r="R53" s="145" t="e">
        <f aca="false">IF(VLOOKUP(A53,Para1!$B$67:$E$72,2,0)="8.",VLOOKUP(A53,Para1!$B$67:$E$72,3,0),"")</f>
        <v>#N/A</v>
      </c>
      <c r="S53" s="145" t="str">
        <f aca="false">IF((P53+Q53)=0,"",IF(ISNA(R53),"",IF(R53="","",VLOOKUP(R53,Para1!$D$67:$G$79,3,0)*(IF(P53+Q53=1,0.5,1)))))</f>
        <v/>
      </c>
      <c r="T53" s="145" t="str">
        <f aca="false">IF(P53+Q53=0,"",IF(ISNA(September!R23),"",IF(September!R23="","",VLOOKUP(September!R23,Para1!$D$67:$G$79,4,0)*(IF(P53+Q53=1,0.5,1)))))</f>
        <v/>
      </c>
      <c r="U53" s="145" t="str">
        <f aca="false">IF(SUM(S53:T53)&gt;0,K53,"")</f>
        <v/>
      </c>
      <c r="V53" s="145" t="str">
        <f aca="false">IF(SUM(S53:T53)&gt;0,L53,"")</f>
        <v/>
      </c>
      <c r="W53" s="145" t="n">
        <f aca="false">IF(S53=0,P53+Q53,0)</f>
        <v>0</v>
      </c>
    </row>
    <row r="54" customFormat="false" ht="15" hidden="false" customHeight="false" outlineLevel="0" collapsed="false">
      <c r="A54" s="223"/>
      <c r="B54" s="197"/>
      <c r="C54" s="133"/>
      <c r="D54" s="332" t="n">
        <f aca="false">SUM(D23:D53)</f>
        <v>0</v>
      </c>
      <c r="E54" s="290" t="n">
        <f aca="false">SUM(E23:E53)</f>
        <v>0</v>
      </c>
      <c r="F54" s="225" t="n">
        <f aca="false">SUM(F23:F53)</f>
        <v>0</v>
      </c>
      <c r="G54" s="225" t="n">
        <f aca="false">SUM(G23:G53)</f>
        <v>0</v>
      </c>
      <c r="H54" s="225" t="n">
        <f aca="false">SUM(H23:H53)</f>
        <v>0</v>
      </c>
      <c r="I54" s="226" t="n">
        <f aca="false">SUM(I23:I53)</f>
        <v>0</v>
      </c>
      <c r="J54" s="282"/>
      <c r="O54" s="145"/>
      <c r="P54" s="229" t="str">
        <f aca="false">Para1!F174&amp;" "&amp;Para1!F168</f>
        <v>balance due / half-day</v>
      </c>
      <c r="Q54" s="229"/>
      <c r="R54" s="145" t="n">
        <f aca="false">SUM(W23:W53)</f>
        <v>0</v>
      </c>
      <c r="S54" s="145" t="n">
        <f aca="false">SUM(S23:S53)</f>
        <v>0</v>
      </c>
      <c r="T54" s="145" t="n">
        <f aca="false">SUM(T23:T53)</f>
        <v>0</v>
      </c>
    </row>
    <row r="55" customFormat="false" ht="15" hidden="false" customHeight="false" outlineLevel="0" collapsed="false">
      <c r="A55" s="283"/>
      <c r="B55" s="284"/>
      <c r="C55" s="284"/>
      <c r="D55" s="334" t="n">
        <f aca="false">D54*24</f>
        <v>0</v>
      </c>
      <c r="E55" s="292" t="n">
        <f aca="false">E54*24</f>
        <v>0</v>
      </c>
      <c r="F55" s="231" t="n">
        <f aca="false">F54*24</f>
        <v>0</v>
      </c>
      <c r="G55" s="231" t="n">
        <f aca="false">G54*24</f>
        <v>0</v>
      </c>
      <c r="H55" s="231" t="n">
        <f aca="false">H54*24</f>
        <v>0</v>
      </c>
      <c r="I55" s="232" t="n">
        <f aca="false">I54*24</f>
        <v>0</v>
      </c>
      <c r="J55" s="285"/>
      <c r="M55" s="235" t="str">
        <f aca="false">Para1!G2</f>
        <v>AE v1_01 02.12.2021</v>
      </c>
      <c r="P55" s="236" t="n">
        <f aca="false">(Para1!E60/100*$G$3+((S54+T54)/100*$G$3))/(SUM(P23:Q53)-R54)/24</f>
        <v>0.175</v>
      </c>
      <c r="Q55" s="236"/>
    </row>
    <row r="56" customFormat="false" ht="15" hidden="false" customHeight="false" outlineLevel="0" collapsed="false">
      <c r="D56" s="117"/>
    </row>
    <row r="57" customFormat="false" ht="22.5" hidden="false" customHeight="true" outlineLevel="0" collapsed="false">
      <c r="A57" s="237" t="str">
        <f aca="false">Para1!F106</f>
        <v>date</v>
      </c>
      <c r="B57" s="238"/>
      <c r="C57" s="238"/>
      <c r="D57" s="239"/>
      <c r="E57" s="238"/>
      <c r="F57" s="240" t="str">
        <f aca="false">Para1!F191&amp;" "&amp;Para1!F152</f>
        <v>signature employee</v>
      </c>
      <c r="G57" s="238"/>
      <c r="H57" s="241"/>
      <c r="I57" s="241"/>
      <c r="J57" s="241"/>
      <c r="K57" s="241"/>
      <c r="L57" s="241"/>
      <c r="T57" s="250"/>
      <c r="U57" s="238"/>
      <c r="Y57" s="243"/>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row r="61" customFormat="false" ht="22.5" hidden="false" customHeight="true" outlineLevel="0" collapsed="false">
      <c r="A61" s="247"/>
      <c r="B61" s="238"/>
      <c r="C61" s="238"/>
      <c r="D61" s="248"/>
      <c r="E61" s="249"/>
      <c r="F61" s="248"/>
      <c r="G61" s="242"/>
      <c r="I61" s="134"/>
      <c r="J61" s="250"/>
      <c r="L61" s="250"/>
      <c r="M61" s="238"/>
      <c r="Q61" s="24"/>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3">
    <cfRule type="expression" priority="2" aboveAverage="0" equalAverage="0" bottom="0" percent="0" rank="0" text="" dxfId="50">
      <formula>$S23=0</formula>
    </cfRule>
    <cfRule type="expression" priority="3" aboveAverage="0" equalAverage="0" bottom="0" percent="0" rank="0" text="" dxfId="51">
      <formula>$P23+$Q23=0</formula>
    </cfRule>
  </conditionalFormatting>
  <conditionalFormatting sqref="D23:I53">
    <cfRule type="expression" priority="4" aboveAverage="0" equalAverage="0" bottom="0" percent="0" rank="0" text="" dxfId="52">
      <formula>$P23+$Q23=1</formula>
    </cfRule>
    <cfRule type="expression" priority="5" aboveAverage="0" equalAverage="0" bottom="0" percent="0" rank="0" text="" dxfId="53">
      <formula>$P23+$Q23=0</formula>
    </cfRule>
  </conditionalFormatting>
  <conditionalFormatting sqref="K23:K53 P23:P53">
    <cfRule type="expression" priority="6" aboveAverage="0" equalAverage="0" bottom="0" percent="0" rank="0" text="" dxfId="54">
      <formula>$P23=0</formula>
    </cfRule>
  </conditionalFormatting>
  <conditionalFormatting sqref="L23:L53 Q23:Q53">
    <cfRule type="expression" priority="7" aboveAverage="0" equalAverage="0" bottom="0" percent="0" rank="0" text="" dxfId="55">
      <formula>$Q23=0</formula>
    </cfRule>
  </conditionalFormatting>
  <conditionalFormatting sqref="D23:I53 K23:L53 P23:Q53">
    <cfRule type="expression" priority="8" aboveAverage="0" equalAverage="0" bottom="0" percent="0" rank="0" text="" dxfId="56">
      <formula>$S23=0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 right="0.409722222222222"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61"/>
  <sheetViews>
    <sheetView showFormulas="false" showGridLines="false" showRowColHeaders="true" showZeros="true" rightToLeft="false" tabSelected="false" showOutlineSymbols="true" defaultGridColor="true" view="normal" topLeftCell="A16" colorId="64" zoomScale="85" zoomScaleNormal="85" zoomScalePageLayoutView="100" workbookViewId="0">
      <selection pane="topLeft" activeCell="P48" activeCellId="0" sqref="P48"/>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4" min="4" style="238" width="12.66"/>
    <col collapsed="false" customWidth="true" hidden="false" outlineLevel="0" max="7" min="5" style="117" width="12.66"/>
    <col collapsed="false" customWidth="true" hidden="false" outlineLevel="0" max="8" min="8" style="145" width="12.66"/>
    <col collapsed="false" customWidth="true" hidden="false" outlineLevel="0" max="9" min="9" style="117" width="12.66"/>
    <col collapsed="false" customWidth="true" hidden="false" outlineLevel="0" max="10" min="10" style="117" width="2.84"/>
    <col collapsed="false" customWidth="true" hidden="false" outlineLevel="0" max="12" min="11" style="117"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2"/>
    <col collapsed="false" customWidth="false" hidden="false" outlineLevel="0" max="1024" min="24" style="117" width="11.5"/>
  </cols>
  <sheetData>
    <row r="1" s="117" customFormat="tru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I1" s="24"/>
      <c r="J1" s="121"/>
      <c r="K1" s="121" t="str">
        <f aca="false">Para1!F133</f>
        <v>year of birth (4-digit):</v>
      </c>
      <c r="L1" s="122" t="n">
        <f aca="false">'Jahresübersicht (Overview)'!K2</f>
        <v>1994</v>
      </c>
    </row>
    <row r="2" customFormat="false" ht="6" hidden="false" customHeight="true" outlineLevel="0" collapsed="false">
      <c r="D2" s="124"/>
      <c r="E2" s="124"/>
      <c r="F2" s="124"/>
      <c r="G2" s="124"/>
      <c r="H2" s="117"/>
      <c r="I2" s="124"/>
      <c r="J2" s="124"/>
      <c r="K2" s="124"/>
      <c r="L2" s="124"/>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(Overview)'!K8</f>
        <v>100</v>
      </c>
      <c r="H3" s="117" t="s">
        <v>11</v>
      </c>
      <c r="I3" s="24"/>
      <c r="J3" s="119"/>
      <c r="K3" s="126" t="str">
        <f aca="false">Para1!F113</f>
        <v>starting date:</v>
      </c>
      <c r="L3" s="127" t="n">
        <f aca="false">'Jahresübersicht (Overview)'!$G$4</f>
        <v>42688</v>
      </c>
      <c r="M3" s="128"/>
      <c r="N3" s="128"/>
    </row>
    <row r="4" customFormat="false" ht="6" hidden="false" customHeight="true" outlineLevel="0" collapsed="false">
      <c r="A4" s="129"/>
      <c r="B4" s="130"/>
      <c r="C4" s="130"/>
      <c r="D4" s="131"/>
      <c r="E4" s="131"/>
      <c r="F4" s="131"/>
      <c r="G4" s="131"/>
      <c r="H4" s="131"/>
      <c r="I4" s="132"/>
      <c r="J4" s="132"/>
      <c r="K4" s="132"/>
      <c r="L4" s="132"/>
      <c r="M4" s="130"/>
      <c r="N4" s="130"/>
    </row>
    <row r="5" customFormat="false" ht="6" hidden="false" customHeight="true" outlineLevel="0" collapsed="false">
      <c r="D5" s="124"/>
      <c r="E5" s="124"/>
      <c r="F5" s="124"/>
      <c r="G5" s="124"/>
      <c r="H5" s="124"/>
      <c r="I5" s="134"/>
      <c r="J5" s="134"/>
      <c r="K5" s="134"/>
      <c r="L5" s="134"/>
    </row>
    <row r="6" customFormat="false" ht="15" hidden="false" customHeight="true" outlineLevel="0" collapsed="false">
      <c r="D6" s="124"/>
      <c r="E6" s="135"/>
      <c r="F6" s="124"/>
      <c r="G6" s="124"/>
      <c r="H6" s="124"/>
      <c r="I6" s="134"/>
      <c r="J6" s="134"/>
      <c r="K6" s="134"/>
      <c r="L6" s="134"/>
    </row>
    <row r="7" customFormat="false" ht="15" hidden="false" customHeight="true" outlineLevel="0" collapsed="false">
      <c r="C7" s="136"/>
      <c r="D7" s="126" t="str">
        <f aca="false">Para1!F117</f>
        <v>holiday</v>
      </c>
      <c r="E7" s="137" t="s">
        <v>12</v>
      </c>
      <c r="H7" s="117"/>
      <c r="I7" s="121" t="str">
        <f aca="false">Para1!F83</f>
        <v>absences</v>
      </c>
      <c r="J7" s="117" t="s">
        <v>12</v>
      </c>
      <c r="L7" s="138" t="str">
        <f aca="false">Para1!F84</f>
        <v>curr. mnth</v>
      </c>
      <c r="M7" s="138" t="str">
        <f aca="false">Para1!F195</f>
        <v>last mnth(s)</v>
      </c>
      <c r="N7" s="139" t="str">
        <f aca="false">Para1!F171</f>
        <v>balance</v>
      </c>
    </row>
    <row r="8" customFormat="false" ht="15" hidden="false" customHeight="true" outlineLevel="0" collapsed="false">
      <c r="D8" s="138" t="str">
        <f aca="false">Para1!B171&amp;" "&amp;Para1!B88&amp;" "&amp;Para1!B154</f>
        <v>Saldo Anfang Monat</v>
      </c>
      <c r="E8" s="141" t="n">
        <f aca="false">August!E11</f>
        <v>1.79375</v>
      </c>
      <c r="H8" s="117"/>
      <c r="I8" s="135" t="str">
        <f aca="false">Para1!F141</f>
        <v>illness</v>
      </c>
      <c r="J8" s="142"/>
      <c r="L8" s="143" t="n">
        <f aca="false">D54</f>
        <v>0</v>
      </c>
      <c r="M8" s="143" t="n">
        <f aca="false">August!N8</f>
        <v>0</v>
      </c>
      <c r="N8" s="144" t="n">
        <f aca="false">SUM(L8:M8)</f>
        <v>0</v>
      </c>
    </row>
    <row r="9" customFormat="false" ht="15" hidden="false" customHeight="true" outlineLevel="0" collapsed="false">
      <c r="D9" s="138" t="str">
        <f aca="false">"./. "&amp;Para1!F118</f>
        <v>./. holiday taken</v>
      </c>
      <c r="E9" s="141" t="n">
        <f aca="false">COUNTIF($K$23:$L$53,"f")*$P$55-IF(ISNA(F9),0,((S54+T54)/100*G3)/48)-IF(ISNA(G9),0,((S54+T54)/100*G3)/48)</f>
        <v>0</v>
      </c>
      <c r="F9" s="145" t="e">
        <f aca="false">INDEX(U23:U53,MATCH("f",U23:U53,0))</f>
        <v>#N/A</v>
      </c>
      <c r="G9" s="145" t="e">
        <f aca="false">INDEX(V23:V53,MATCH("f",V23:V53,0))</f>
        <v>#N/A</v>
      </c>
      <c r="H9" s="117"/>
      <c r="I9" s="135" t="str">
        <f aca="false">Para1!F190</f>
        <v>accident</v>
      </c>
      <c r="J9" s="120" t="str">
        <f aca="false">Para1!F99</f>
        <v>work related</v>
      </c>
      <c r="K9" s="120"/>
      <c r="L9" s="143" t="n">
        <f aca="false">E54</f>
        <v>0</v>
      </c>
      <c r="M9" s="143" t="n">
        <f aca="false">August!N9</f>
        <v>0</v>
      </c>
      <c r="N9" s="144" t="n">
        <f aca="false">SUM(L9:M9)</f>
        <v>0</v>
      </c>
    </row>
    <row r="10" customFormat="false" ht="15" hidden="false" customHeight="true" outlineLevel="0" collapsed="false">
      <c r="D10" s="138" t="str">
        <f aca="false">"./ ."&amp;Para1!F119</f>
        <v>./ .reduction of holiday</v>
      </c>
      <c r="E10" s="147" t="n">
        <v>0</v>
      </c>
      <c r="H10" s="117"/>
      <c r="I10" s="135"/>
      <c r="J10" s="120" t="str">
        <f aca="false">Para1!F161&amp;" "&amp;Para1!F100</f>
        <v>not work. rel.</v>
      </c>
      <c r="K10" s="120"/>
      <c r="L10" s="143" t="n">
        <f aca="false">F54</f>
        <v>0</v>
      </c>
      <c r="M10" s="143" t="n">
        <f aca="false">August!N10</f>
        <v>0</v>
      </c>
      <c r="N10" s="144" t="n">
        <f aca="false">SUM(L10:M10)</f>
        <v>0</v>
      </c>
    </row>
    <row r="11" customFormat="false" ht="15" hidden="false" customHeight="true" outlineLevel="0" collapsed="false">
      <c r="B11" s="136"/>
      <c r="C11" s="136"/>
      <c r="D11" s="126" t="str">
        <f aca="false">Para1!F171&amp;" "&amp;Para1!F115&amp;" "&amp;Para1!F154</f>
        <v>balance end of the month</v>
      </c>
      <c r="E11" s="148" t="n">
        <f aca="false">$E$8-$E$9-$E$10</f>
        <v>1.79375</v>
      </c>
      <c r="H11" s="117"/>
      <c r="I11" s="149" t="str">
        <f aca="false">Para1!F142</f>
        <v>short vacation</v>
      </c>
      <c r="L11" s="143" t="n">
        <f aca="false">G54</f>
        <v>0</v>
      </c>
      <c r="M11" s="143" t="n">
        <f aca="false">August!N11</f>
        <v>0</v>
      </c>
      <c r="N11" s="144" t="n">
        <f aca="false">SUM(L11:M11)</f>
        <v>0</v>
      </c>
    </row>
    <row r="12" s="117" customFormat="true" ht="15" hidden="false" customHeight="true" outlineLevel="0" collapsed="false">
      <c r="A12" s="116"/>
      <c r="B12" s="150" t="str">
        <f aca="false">IF((E11*24+(4.2*'Persönliche Daten (pers. data)'!O8/100))&lt;0,Para1!J224,IF(E11&gt;0,"",Para1!J223))</f>
        <v/>
      </c>
      <c r="I12" s="151" t="str">
        <f aca="false">Para1!F198</f>
        <v>training / education</v>
      </c>
      <c r="L12" s="143" t="n">
        <f aca="false">H54</f>
        <v>0</v>
      </c>
      <c r="M12" s="143" t="n">
        <f aca="false">August!N12</f>
        <v>0</v>
      </c>
      <c r="N12" s="144" t="n">
        <f aca="false">SUM(L12:M12)</f>
        <v>0</v>
      </c>
    </row>
    <row r="13" customFormat="false" ht="15" hidden="false" customHeight="true" outlineLevel="0" collapsed="false">
      <c r="B13" s="152" t="str">
        <f aca="false">Para1!F105&amp;" "&amp;Para1!F122&amp;" "&amp;Para1!F83&amp;" in "&amp;Para1!F178&amp;":"</f>
        <v>letters for absences in days:</v>
      </c>
      <c r="C13" s="152"/>
      <c r="D13" s="152"/>
      <c r="E13" s="152"/>
      <c r="H13" s="117"/>
      <c r="I13" s="135" t="str">
        <f aca="false">Para1!F163</f>
        <v>public office</v>
      </c>
      <c r="L13" s="143" t="n">
        <f aca="false">I54</f>
        <v>0</v>
      </c>
      <c r="M13" s="143" t="n">
        <f aca="false">August!N13</f>
        <v>0</v>
      </c>
      <c r="N13" s="144" t="n">
        <f aca="false">SUM(L13:M13)</f>
        <v>0</v>
      </c>
    </row>
    <row r="14" customFormat="false" ht="15" hidden="false" customHeight="true" outlineLevel="0" collapsed="false">
      <c r="B14" s="153" t="s">
        <v>13</v>
      </c>
      <c r="C14" s="154" t="str">
        <f aca="false">Para1!F117</f>
        <v>holiday</v>
      </c>
      <c r="D14" s="154"/>
      <c r="E14" s="154"/>
      <c r="H14" s="117"/>
      <c r="I14" s="155" t="str">
        <f aca="false">Para1!F192</f>
        <v>leave</v>
      </c>
      <c r="J14" s="146" t="str">
        <f aca="false">Para1!F101</f>
        <v>paid</v>
      </c>
      <c r="K14" s="157"/>
      <c r="L14" s="146" t="n">
        <f aca="false">COUNTIF($K$23:$L$53,"b")*$P$55-IF(ISNA(O14),0,(($S$54+$T$54)/100*$G$3)/48)-IF(ISNA(P14),0,(($S$54+$T$54)/100*$G$3)/48)</f>
        <v>0</v>
      </c>
      <c r="M14" s="143" t="n">
        <f aca="false">August!N14</f>
        <v>0</v>
      </c>
      <c r="N14" s="144" t="n">
        <f aca="false">SUM(L14:M14)</f>
        <v>0</v>
      </c>
      <c r="O14" s="145" t="e">
        <f aca="false">INDEX(U23:U53,MATCH("b",U23:U53,0))</f>
        <v>#N/A</v>
      </c>
      <c r="P14" s="145" t="e">
        <f aca="false">INDEX(V23:V53,MATCH("b",V23:V53,0))</f>
        <v>#N/A</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COUNTIF($K$23:$L$53,"u")*$P$55-IF(ISNA(O15),0,(($S$54+$T$54)/100*$G$3)/48)-IF(ISNA(P15),0,(($S$54+$T$54)/100*$G$3)/48)</f>
        <v>0</v>
      </c>
      <c r="M15" s="143" t="n">
        <f aca="false">August!N15</f>
        <v>0</v>
      </c>
      <c r="N15" s="144" t="n">
        <f aca="false">SUM(L15:M15)</f>
        <v>0</v>
      </c>
      <c r="O15" s="145" t="e">
        <f aca="false">INDEX(U23:U53,MATCH("u",U23:U53,0))</f>
        <v>#N/A</v>
      </c>
      <c r="P15" s="145" t="e">
        <f aca="false">INDEX(V23:V53,MATCH("u",V23:V53,0))</f>
        <v>#N/A</v>
      </c>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J16" s="157"/>
      <c r="K16" s="157"/>
      <c r="L16" s="146" t="n">
        <f aca="false">COUNTIF($K$23:$L$53,"m")*$P$55-IF(ISNA(O16),0,(($S$54+$T$54)/100*$G$3)/48)-IF(ISNA(P16),0,(($S$54+$T$54)/100*$G$3)/48)</f>
        <v>0</v>
      </c>
      <c r="M16" s="143" t="n">
        <f aca="false">August!N16</f>
        <v>0</v>
      </c>
      <c r="N16" s="144" t="n">
        <f aca="false">SUM(L16:M16)</f>
        <v>0</v>
      </c>
      <c r="O16" s="145" t="e">
        <f aca="false">INDEX(U23:U53,MATCH("m",U23:U53,0))</f>
        <v>#N/A</v>
      </c>
      <c r="P16" s="145" t="e">
        <f aca="false">INDEX(V23:V53,MATCH("m",V23:V53,0))</f>
        <v>#N/A</v>
      </c>
    </row>
    <row r="17" customFormat="false" ht="15" hidden="false" customHeight="true" outlineLevel="0" collapsed="false">
      <c r="B17" s="159" t="s">
        <v>16</v>
      </c>
      <c r="C17" s="156" t="str">
        <f aca="false">Para1!F192&amp;" "&amp;Para1!F101</f>
        <v>leave paid</v>
      </c>
      <c r="D17" s="156"/>
      <c r="E17" s="156"/>
      <c r="G17" s="157"/>
      <c r="H17" s="117"/>
      <c r="I17" s="135" t="str">
        <f aca="false">Para1!F150</f>
        <v>military/civil def./civil serv.</v>
      </c>
      <c r="J17" s="24"/>
      <c r="K17" s="24"/>
      <c r="L17" s="146" t="n">
        <f aca="false">COUNTIF($K$23:$L$53,"z")*$P$55-IF(ISNA(O17),0,(($S$54+$T$54)/100*$G$3)/48)-IF(ISNA(P17),0,(($S$54+$T$54)/100*$G$3)/48)</f>
        <v>0</v>
      </c>
      <c r="M17" s="143" t="n">
        <f aca="false">August!N17</f>
        <v>0</v>
      </c>
      <c r="N17" s="144" t="n">
        <f aca="false">SUM(L17:M17)</f>
        <v>0</v>
      </c>
      <c r="O17" s="145" t="e">
        <f aca="false">INDEX(U23:U53,MATCH("z",U23:U53,0))</f>
        <v>#N/A</v>
      </c>
      <c r="P17" s="145" t="e">
        <f aca="false">INDEX(V23:V53,MATCH("z",V23:V53,0))</f>
        <v>#N/A</v>
      </c>
    </row>
    <row r="18" customFormat="false" ht="15" hidden="false" customHeight="true" outlineLevel="0" collapsed="false">
      <c r="B18" s="159" t="s">
        <v>17</v>
      </c>
      <c r="C18" s="154" t="str">
        <f aca="false">Para1!F192&amp;" "&amp;Para1!F189</f>
        <v>leave unpaid</v>
      </c>
      <c r="D18" s="154"/>
      <c r="E18" s="154"/>
      <c r="H18" s="117"/>
      <c r="I18" s="121" t="str">
        <f aca="false">Para1!F180</f>
        <v>total</v>
      </c>
      <c r="L18" s="160" t="n">
        <f aca="false">SUM(L8:L17)</f>
        <v>0</v>
      </c>
      <c r="M18" s="160" t="n">
        <f aca="false">SUM(M8:M17)</f>
        <v>0</v>
      </c>
      <c r="N18" s="160" t="n">
        <f aca="false">SUM(N8:N17)</f>
        <v>0</v>
      </c>
      <c r="O18" s="145"/>
      <c r="P18" s="145"/>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row>
    <row r="21" s="136" customFormat="true" ht="18.75" hidden="false" customHeight="true" outlineLevel="0" collapsed="false">
      <c r="A21" s="167" t="n">
        <f aca="true">TODAY()</f>
        <v>42894</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252"/>
      <c r="K21" s="253" t="str">
        <f aca="false">Para1!F194</f>
        <v>morning</v>
      </c>
      <c r="L21" s="175" t="str">
        <f aca="false">Para1!F158</f>
        <v>afternoon</v>
      </c>
      <c r="M21" s="176"/>
      <c r="P21" s="177" t="str">
        <f aca="false">Para1!F194</f>
        <v>morning</v>
      </c>
      <c r="Q21" s="178" t="str">
        <f aca="false">Para1!F158</f>
        <v>afternoon</v>
      </c>
    </row>
    <row r="22" s="136" customFormat="true" ht="15.75" hidden="false" customHeight="true" outlineLevel="0" collapsed="false">
      <c r="A22" s="180" t="str">
        <f aca="false">Para1!F106</f>
        <v>date</v>
      </c>
      <c r="B22" s="180"/>
      <c r="C22" s="181"/>
      <c r="D22" s="169"/>
      <c r="E22" s="170"/>
      <c r="F22" s="171"/>
      <c r="G22" s="170"/>
      <c r="H22" s="170"/>
      <c r="I22" s="172"/>
      <c r="J22" s="254"/>
      <c r="K22" s="253"/>
      <c r="L22" s="175"/>
      <c r="M22" s="183"/>
      <c r="P22" s="177"/>
      <c r="Q22" s="178"/>
    </row>
    <row r="23" customFormat="false" ht="17" hidden="false" customHeight="true" outlineLevel="0" collapsed="false">
      <c r="A23" s="200" t="s">
        <v>18</v>
      </c>
      <c r="B23" s="297" t="str">
        <f aca="false">IF(August!B53=Para1!$F$153,Para1!$F$109,IF(August!B53=Para1!$F$109,Para1!$F$148,IF(August!B53=Para1!$F$148,Para1!$F$111,IF(August!B53=Para1!$F$111,Para1!$F$120,IF(August!B53=Para1!$F$120,Para1!$F$170,IF(August!B53=Para1!$F$170,Para1!$F$173,Para1!$F$153))))))</f>
        <v>Wed</v>
      </c>
      <c r="C23" s="186"/>
      <c r="D23" s="329"/>
      <c r="E23" s="316"/>
      <c r="F23" s="205"/>
      <c r="G23" s="204"/>
      <c r="H23" s="204"/>
      <c r="I23" s="206"/>
      <c r="J23" s="330"/>
      <c r="K23" s="208"/>
      <c r="L23" s="209"/>
      <c r="M23" s="194"/>
      <c r="N23" s="195"/>
      <c r="O23" s="145"/>
      <c r="P23" s="257" t="n">
        <f aca="false">August!P47</f>
        <v>1</v>
      </c>
      <c r="Q23" s="257" t="n">
        <f aca="false">August!Q47</f>
        <v>1</v>
      </c>
      <c r="R23" s="145" t="e">
        <f aca="false">IF(VLOOKUP(A23,Para1!$B$67:$E$72,2,0)="9.",VLOOKUP(A23,Para1!$B$67:$E$72,3,0),"")</f>
        <v>#N/A</v>
      </c>
      <c r="S23" s="145" t="str">
        <f aca="false">IF((P23+Q23)=0,"",IF(ISNA(R23),"",IF(R23="","",VLOOKUP(R23,Para1!$D$67:$G$79,3,0)*(IF(P23+Q23=1,0.5,1)))))</f>
        <v/>
      </c>
      <c r="T23" s="145" t="str">
        <f aca="false">IF(P23+Q23=0,"",IF(ISNA(R24),"",IF(R24="","",VLOOKUP(R24,Para1!$D$67:$G$79,4,0)*(IF(P23+Q23=1,0.5,1)))))</f>
        <v/>
      </c>
      <c r="U23" s="145" t="str">
        <f aca="false">IF(SUM(S23:T23)&gt;0,K23,"")</f>
        <v/>
      </c>
      <c r="V23" s="145" t="str">
        <f aca="false">IF(SUM(S23:T23)&gt;0,L23,"")</f>
        <v/>
      </c>
      <c r="W23" s="145" t="n">
        <f aca="false">IF(S23=0,P23+Q23,0)</f>
        <v>0</v>
      </c>
    </row>
    <row r="24" customFormat="false" ht="17" hidden="false" customHeight="true" outlineLevel="0" collapsed="false">
      <c r="A24" s="200" t="s">
        <v>20</v>
      </c>
      <c r="B24" s="201" t="str">
        <f aca="false">IF(B23=Para1!$F$153,Para1!$F$109,IF(B23=Para1!$F$109,Para1!$F$148,IF(B23=Para1!$F$148,Para1!$F$111,IF(B23=Para1!$F$111,Para1!$F$120,IF(B23=Para1!$F$120,Para1!$F$170,IF(B23=Para1!$F$170,Para1!$F$173,Para1!$F$153))))))</f>
        <v>Thu</v>
      </c>
      <c r="C24" s="186"/>
      <c r="D24" s="329"/>
      <c r="E24" s="316"/>
      <c r="F24" s="205"/>
      <c r="G24" s="204"/>
      <c r="H24" s="204"/>
      <c r="I24" s="206"/>
      <c r="J24" s="330"/>
      <c r="K24" s="208"/>
      <c r="L24" s="209"/>
      <c r="M24" s="194"/>
      <c r="N24" s="195"/>
      <c r="O24" s="145"/>
      <c r="P24" s="257" t="n">
        <f aca="false">August!P48</f>
        <v>1</v>
      </c>
      <c r="Q24" s="257" t="n">
        <f aca="false">August!Q48</f>
        <v>1</v>
      </c>
      <c r="R24" s="145" t="str">
        <f aca="false">IF(VLOOKUP(A24,Para1!$B$67:$E$72,2,0)="9.",VLOOKUP(A24,Para1!$B$67:$E$72,3,0),"")</f>
        <v/>
      </c>
      <c r="S24" s="145" t="str">
        <f aca="false">IF((P24+Q24)=0,"",IF(ISNA(R24),"",IF(R24="","",VLOOKUP(R24,Para1!$D$67:$G$79,3,0)*(IF(P24+Q24=1,0.5,1)))))</f>
        <v/>
      </c>
      <c r="T24" s="145" t="str">
        <f aca="false">IF(P24+Q24=0,"",IF(ISNA(R25),"",IF(R25="","",VLOOKUP(R25,Para1!$D$67:$G$79,4,0)*(IF(P24+Q24=1,0.5,1)))))</f>
        <v/>
      </c>
      <c r="U24" s="145" t="str">
        <f aca="false">IF(SUM(S24:T24)&gt;0,K24,"")</f>
        <v/>
      </c>
      <c r="V24" s="145" t="str">
        <f aca="false">IF(SUM(S24:T24)&gt;0,L24,"")</f>
        <v/>
      </c>
      <c r="W24" s="145" t="n">
        <f aca="false">IF(S24=0,P24+Q24,0)</f>
        <v>0</v>
      </c>
    </row>
    <row r="25" customFormat="false" ht="17" hidden="false" customHeight="true" outlineLevel="0" collapsed="false">
      <c r="A25" s="200" t="s">
        <v>22</v>
      </c>
      <c r="B25" s="201" t="str">
        <f aca="false">IF(B24=Para1!$F$153,Para1!$F$109,IF(B24=Para1!$F$109,Para1!$F$148,IF(B24=Para1!$F$148,Para1!$F$111,IF(B24=Para1!$F$111,Para1!$F$120,IF(B24=Para1!$F$120,Para1!$F$170,IF(B24=Para1!$F$170,Para1!$F$173,Para1!$F$153))))))</f>
        <v>Fri</v>
      </c>
      <c r="C25" s="202"/>
      <c r="D25" s="329"/>
      <c r="E25" s="316"/>
      <c r="F25" s="205"/>
      <c r="G25" s="204"/>
      <c r="H25" s="204"/>
      <c r="I25" s="206"/>
      <c r="J25" s="330"/>
      <c r="K25" s="208"/>
      <c r="L25" s="209"/>
      <c r="M25" s="210"/>
      <c r="N25" s="195"/>
      <c r="O25" s="145"/>
      <c r="P25" s="257" t="n">
        <f aca="false">August!P49</f>
        <v>1</v>
      </c>
      <c r="Q25" s="257" t="n">
        <f aca="false">August!Q49</f>
        <v>1</v>
      </c>
      <c r="R25" s="145" t="e">
        <f aca="false">IF(VLOOKUP(A25,Para1!$B$67:$E$72,2,0)="9.",VLOOKUP(A25,Para1!$B$67:$E$72,3,0),"")</f>
        <v>#N/A</v>
      </c>
      <c r="S25" s="145" t="str">
        <f aca="false">IF((P25+Q25)=0,"",IF(ISNA(R25),"",IF(R25="","",VLOOKUP(R25,Para1!$D$67:$G$79,3,0)*(IF(P25+Q25=1,0.5,1)))))</f>
        <v/>
      </c>
      <c r="T25" s="145" t="str">
        <f aca="false">IF(P25+Q25=0,"",IF(ISNA(R26),"",IF(R26="","",VLOOKUP(R26,Para1!$D$67:$G$79,4,0)*(IF(P25+Q25=1,0.5,1)))))</f>
        <v/>
      </c>
      <c r="U25" s="145" t="str">
        <f aca="false">IF(SUM(S25:T25)&gt;0,K25,"")</f>
        <v/>
      </c>
      <c r="V25" s="145" t="str">
        <f aca="false">IF(SUM(S25:T25)&gt;0,L25,"")</f>
        <v/>
      </c>
      <c r="W25" s="145" t="n">
        <f aca="false">IF(S25=0,P25+Q25,0)</f>
        <v>0</v>
      </c>
    </row>
    <row r="26" s="258" customFormat="true" ht="17" hidden="false" customHeight="true" outlineLevel="0" collapsed="false">
      <c r="A26" s="200" t="s">
        <v>23</v>
      </c>
      <c r="B26" s="201" t="str">
        <f aca="false">IF(B25=Para1!$F$153,Para1!$F$109,IF(B25=Para1!$F$109,Para1!$F$148,IF(B25=Para1!$F$148,Para1!$F$111,IF(B25=Para1!$F$111,Para1!$F$120,IF(B25=Para1!$F$120,Para1!$F$170,IF(B25=Para1!$F$170,Para1!$F$173,Para1!$F$153))))))</f>
        <v>Sat</v>
      </c>
      <c r="C26" s="202"/>
      <c r="D26" s="329"/>
      <c r="E26" s="316"/>
      <c r="F26" s="205"/>
      <c r="G26" s="204"/>
      <c r="H26" s="204"/>
      <c r="I26" s="206"/>
      <c r="J26" s="330"/>
      <c r="K26" s="208"/>
      <c r="L26" s="209"/>
      <c r="M26" s="210"/>
      <c r="N26" s="195"/>
      <c r="O26" s="145"/>
      <c r="P26" s="257" t="n">
        <f aca="false">August!P50</f>
        <v>0</v>
      </c>
      <c r="Q26" s="257" t="n">
        <f aca="false">August!Q50</f>
        <v>0</v>
      </c>
      <c r="R26" s="145" t="str">
        <f aca="false">IF(VLOOKUP(A26,Para1!$B$67:$E$72,2,0)="9.",VLOOKUP(A26,Para1!$B$67:$E$72,3,0),"")</f>
        <v/>
      </c>
      <c r="S26" s="145" t="str">
        <f aca="false">IF((P26+Q26)=0,"",IF(ISNA(R26),"",IF(R26="","",VLOOKUP(R26,Para1!$D$67:$G$79,3,0)*(IF(P26+Q26=1,0.5,1)))))</f>
        <v/>
      </c>
      <c r="T26" s="145" t="str">
        <f aca="false">IF(P26+Q26=0,"",IF(ISNA(R27),"",IF(R27="","",VLOOKUP(R27,Para1!$D$67:$G$79,4,0)*(IF(P26+Q26=1,0.5,1)))))</f>
        <v/>
      </c>
      <c r="U26" s="145" t="str">
        <f aca="false">IF(SUM(S26:T26)&gt;0,K26,"")</f>
        <v/>
      </c>
      <c r="V26" s="145" t="str">
        <f aca="false">IF(SUM(S26:T26)&gt;0,L26,"")</f>
        <v/>
      </c>
      <c r="W26" s="145" t="n">
        <f aca="false">IF(S26=0,P26+Q26,0)</f>
        <v>0</v>
      </c>
    </row>
    <row r="27" s="258" customFormat="true" ht="17" hidden="false" customHeight="true" outlineLevel="0" collapsed="false">
      <c r="A27" s="200" t="s">
        <v>24</v>
      </c>
      <c r="B27" s="201" t="str">
        <f aca="false">IF(B26=Para1!$F$153,Para1!$F$109,IF(B26=Para1!$F$109,Para1!$F$148,IF(B26=Para1!$F$148,Para1!$F$111,IF(B26=Para1!$F$111,Para1!$F$120,IF(B26=Para1!$F$120,Para1!$F$170,IF(B26=Para1!$F$170,Para1!$F$173,Para1!$F$153))))))</f>
        <v>Sun</v>
      </c>
      <c r="C27" s="202"/>
      <c r="D27" s="329"/>
      <c r="E27" s="316"/>
      <c r="F27" s="205"/>
      <c r="G27" s="204"/>
      <c r="H27" s="204"/>
      <c r="I27" s="206"/>
      <c r="J27" s="330"/>
      <c r="K27" s="208"/>
      <c r="L27" s="209"/>
      <c r="M27" s="210"/>
      <c r="N27" s="195"/>
      <c r="O27" s="145"/>
      <c r="P27" s="257" t="n">
        <f aca="false">August!P51</f>
        <v>0</v>
      </c>
      <c r="Q27" s="257" t="n">
        <f aca="false">August!Q51</f>
        <v>0</v>
      </c>
      <c r="R27" s="145" t="str">
        <f aca="false">IF(VLOOKUP(A27,Para1!$B$67:$E$72,2,0)="9.",VLOOKUP(A27,Para1!$B$67:$E$72,3,0),"")</f>
        <v/>
      </c>
      <c r="S27" s="145" t="str">
        <f aca="false">IF((P27+Q27)=0,"",IF(ISNA(R27),"",IF(R27="","",VLOOKUP(R27,Para1!$D$67:$G$79,3,0)*(IF(P27+Q27=1,0.5,1)))))</f>
        <v/>
      </c>
      <c r="T27" s="145" t="str">
        <f aca="false">IF(P27+Q27=0,"",IF(ISNA(R28),"",IF(R28="","",VLOOKUP(R28,Para1!$D$67:$G$79,4,0)*(IF(P27+Q27=1,0.5,1)))))</f>
        <v/>
      </c>
      <c r="U27" s="145" t="str">
        <f aca="false">IF(SUM(S27:T27)&gt;0,K27,"")</f>
        <v/>
      </c>
      <c r="V27" s="145" t="str">
        <f aca="false">IF(SUM(S27:T27)&gt;0,L27,"")</f>
        <v/>
      </c>
      <c r="W27" s="145" t="n">
        <f aca="false">IF(S27=0,P27+Q27,0)</f>
        <v>0</v>
      </c>
    </row>
    <row r="28" customFormat="false" ht="17" hidden="false" customHeight="true" outlineLevel="0" collapsed="false">
      <c r="A28" s="200" t="s">
        <v>25</v>
      </c>
      <c r="B28" s="201" t="str">
        <f aca="false">IF(B27=Para1!$F$153,Para1!$F$109,IF(B27=Para1!$F$109,Para1!$F$148,IF(B27=Para1!$F$148,Para1!$F$111,IF(B27=Para1!$F$111,Para1!$F$120,IF(B27=Para1!$F$120,Para1!$F$170,IF(B27=Para1!$F$170,Para1!$F$173,Para1!$F$153))))))</f>
        <v>Mon</v>
      </c>
      <c r="C28" s="202"/>
      <c r="D28" s="329"/>
      <c r="E28" s="316"/>
      <c r="F28" s="205"/>
      <c r="G28" s="204"/>
      <c r="H28" s="204"/>
      <c r="I28" s="206"/>
      <c r="J28" s="330"/>
      <c r="K28" s="208"/>
      <c r="L28" s="209"/>
      <c r="M28" s="210"/>
      <c r="N28" s="195"/>
      <c r="O28" s="145"/>
      <c r="P28" s="257" t="n">
        <f aca="false">August!P52</f>
        <v>1</v>
      </c>
      <c r="Q28" s="257" t="n">
        <f aca="false">August!Q52</f>
        <v>1</v>
      </c>
      <c r="R28" s="145" t="e">
        <f aca="false">IF(VLOOKUP(A28,Para1!$B$67:$E$72,2,0)="9.",VLOOKUP(A28,Para1!$B$67:$E$72,3,0),"")</f>
        <v>#N/A</v>
      </c>
      <c r="S28" s="145" t="str">
        <f aca="false">IF((P28+Q28)=0,"",IF(ISNA(R28),"",IF(R28="","",VLOOKUP(R28,Para1!$D$67:$G$79,3,0)*(IF(P28+Q28=1,0.5,1)))))</f>
        <v/>
      </c>
      <c r="T28" s="145" t="str">
        <f aca="false">IF(P28+Q28=0,"",IF(ISNA(R29),"",IF(R29="","",VLOOKUP(R29,Para1!$D$67:$G$79,4,0)*(IF(P28+Q28=1,0.5,1)))))</f>
        <v/>
      </c>
      <c r="U28" s="145" t="str">
        <f aca="false">IF(SUM(S28:T28)&gt;0,K28,"")</f>
        <v/>
      </c>
      <c r="V28" s="145" t="str">
        <f aca="false">IF(SUM(S28:T28)&gt;0,L28,"")</f>
        <v/>
      </c>
      <c r="W28" s="145" t="n">
        <f aca="false">IF(S28=0,P28+Q28,0)</f>
        <v>0</v>
      </c>
    </row>
    <row r="29" customFormat="false" ht="17" hidden="false" customHeight="true" outlineLevel="0" collapsed="false">
      <c r="A29" s="200" t="s">
        <v>26</v>
      </c>
      <c r="B29" s="201" t="str">
        <f aca="false">IF(B28=Para1!$F$153,Para1!$F$109,IF(B28=Para1!$F$109,Para1!$F$148,IF(B28=Para1!$F$148,Para1!$F$111,IF(B28=Para1!$F$111,Para1!$F$120,IF(B28=Para1!$F$120,Para1!$F$170,IF(B28=Para1!$F$170,Para1!$F$173,Para1!$F$153))))))</f>
        <v>Tue</v>
      </c>
      <c r="C29" s="202"/>
      <c r="D29" s="329"/>
      <c r="E29" s="316"/>
      <c r="F29" s="205"/>
      <c r="G29" s="204"/>
      <c r="H29" s="204"/>
      <c r="I29" s="206"/>
      <c r="J29" s="330"/>
      <c r="K29" s="208"/>
      <c r="L29" s="209"/>
      <c r="M29" s="210"/>
      <c r="N29" s="195"/>
      <c r="O29" s="145"/>
      <c r="P29" s="257" t="n">
        <f aca="false">August!P53</f>
        <v>1</v>
      </c>
      <c r="Q29" s="257" t="n">
        <f aca="false">August!Q53</f>
        <v>1</v>
      </c>
      <c r="R29" s="145" t="e">
        <f aca="false">IF(VLOOKUP(A29,Para1!$B$67:$E$72,2,0)="9.",VLOOKUP(A29,Para1!$B$67:$E$72,3,0),"")</f>
        <v>#N/A</v>
      </c>
      <c r="S29" s="145" t="str">
        <f aca="false">IF((P29+Q29)=0,"",IF(ISNA(R29),"",IF(R29="","",VLOOKUP(R29,Para1!$D$67:$G$79,3,0)*(IF(P29+Q29=1,0.5,1)))))</f>
        <v/>
      </c>
      <c r="T29" s="145" t="str">
        <f aca="false">IF(P29+Q29=0,"",IF(ISNA(R30),"",IF(R30="","",VLOOKUP(R30,Para1!$D$67:$G$79,4,0)*(IF(P29+Q29=1,0.5,1)))))</f>
        <v/>
      </c>
      <c r="U29" s="145" t="str">
        <f aca="false">IF(SUM(S29:T29)&gt;0,K29,"")</f>
        <v/>
      </c>
      <c r="V29" s="145" t="str">
        <f aca="false">IF(SUM(S29:T29)&gt;0,L29,"")</f>
        <v/>
      </c>
      <c r="W29" s="145" t="n">
        <f aca="false">IF(S29=0,P29+Q29,0)</f>
        <v>0</v>
      </c>
    </row>
    <row r="30" customFormat="false" ht="17" hidden="false" customHeight="true" outlineLevel="0" collapsed="false">
      <c r="A30" s="200" t="s">
        <v>27</v>
      </c>
      <c r="B30" s="201" t="str">
        <f aca="false">IF(B29=Para1!$F$153,Para1!$F$109,IF(B29=Para1!$F$109,Para1!$F$148,IF(B29=Para1!$F$148,Para1!$F$111,IF(B29=Para1!$F$111,Para1!$F$120,IF(B29=Para1!$F$120,Para1!$F$170,IF(B29=Para1!$F$170,Para1!$F$173,Para1!$F$153))))))</f>
        <v>Wed</v>
      </c>
      <c r="C30" s="186"/>
      <c r="D30" s="329"/>
      <c r="E30" s="316"/>
      <c r="F30" s="205"/>
      <c r="G30" s="204"/>
      <c r="H30" s="204"/>
      <c r="I30" s="206"/>
      <c r="J30" s="330"/>
      <c r="K30" s="208"/>
      <c r="L30" s="209"/>
      <c r="M30" s="210"/>
      <c r="N30" s="195"/>
      <c r="O30" s="145"/>
      <c r="P30" s="259" t="n">
        <f aca="false">P23</f>
        <v>1</v>
      </c>
      <c r="Q30" s="259" t="n">
        <f aca="false">Q23</f>
        <v>1</v>
      </c>
      <c r="R30" s="145" t="e">
        <f aca="false">IF(VLOOKUP(A30,Para1!$B$67:$E$72,2,0)="9.",VLOOKUP(A30,Para1!$B$67:$E$72,3,0),"")</f>
        <v>#N/A</v>
      </c>
      <c r="S30" s="145" t="str">
        <f aca="false">IF((P30+Q30)=0,"",IF(ISNA(R30),"",IF(R30="","",VLOOKUP(R30,Para1!$D$67:$G$79,3,0)*(IF(P30+Q30=1,0.5,1)))))</f>
        <v/>
      </c>
      <c r="T30" s="145" t="str">
        <f aca="false">IF(P30+Q30=0,"",IF(ISNA(R31),"",IF(R31="","",VLOOKUP(R31,Para1!$D$67:$G$79,4,0)*(IF(P30+Q30=1,0.5,1)))))</f>
        <v/>
      </c>
      <c r="U30" s="145" t="str">
        <f aca="false">IF(SUM(S30:T30)&gt;0,K30,"")</f>
        <v/>
      </c>
      <c r="V30" s="145" t="str">
        <f aca="false">IF(SUM(S30:T30)&gt;0,L30,"")</f>
        <v/>
      </c>
      <c r="W30" s="145" t="n">
        <f aca="false">IF(S30=0,P30+Q30,0)</f>
        <v>0</v>
      </c>
    </row>
    <row r="31" customFormat="false" ht="17" hidden="false" customHeight="true" outlineLevel="0" collapsed="false">
      <c r="A31" s="200" t="s">
        <v>28</v>
      </c>
      <c r="B31" s="201" t="str">
        <f aca="false">IF(B30=Para1!$F$153,Para1!$F$109,IF(B30=Para1!$F$109,Para1!$F$148,IF(B30=Para1!$F$148,Para1!$F$111,IF(B30=Para1!$F$111,Para1!$F$120,IF(B30=Para1!$F$120,Para1!$F$170,IF(B30=Para1!$F$170,Para1!$F$173,Para1!$F$153))))))</f>
        <v>Thu</v>
      </c>
      <c r="C31" s="186"/>
      <c r="D31" s="329"/>
      <c r="E31" s="316"/>
      <c r="F31" s="205"/>
      <c r="G31" s="204"/>
      <c r="H31" s="204"/>
      <c r="I31" s="206"/>
      <c r="J31" s="330"/>
      <c r="K31" s="208"/>
      <c r="L31" s="209"/>
      <c r="M31" s="210"/>
      <c r="N31" s="195"/>
      <c r="O31" s="145"/>
      <c r="P31" s="259" t="n">
        <f aca="false">P24</f>
        <v>1</v>
      </c>
      <c r="Q31" s="259" t="n">
        <f aca="false">Q24</f>
        <v>1</v>
      </c>
      <c r="R31" s="145" t="e">
        <f aca="false">IF(VLOOKUP(A31,Para1!$B$67:$E$72,2,0)="9.",VLOOKUP(A31,Para1!$B$67:$E$72,3,0),"")</f>
        <v>#N/A</v>
      </c>
      <c r="S31" s="145" t="str">
        <f aca="false">IF((P31+Q31)=0,"",IF(ISNA(R31),"",IF(R31="","",VLOOKUP(R31,Para1!$D$67:$G$79,3,0)*(IF(P31+Q31=1,0.5,1)))))</f>
        <v/>
      </c>
      <c r="T31" s="145" t="str">
        <f aca="false">IF(P31+Q31=0,"",IF(ISNA(R32),"",IF(R32="","",VLOOKUP(R32,Para1!$D$67:$G$79,4,0)*(IF(P31+Q31=1,0.5,1)))))</f>
        <v/>
      </c>
      <c r="U31" s="145" t="str">
        <f aca="false">IF(SUM(S31:T31)&gt;0,K31,"")</f>
        <v/>
      </c>
      <c r="V31" s="145" t="str">
        <f aca="false">IF(SUM(S31:T31)&gt;0,L31,"")</f>
        <v/>
      </c>
      <c r="W31" s="145" t="n">
        <f aca="false">IF(S31=0,P31+Q31,0)</f>
        <v>0</v>
      </c>
    </row>
    <row r="32" customFormat="false" ht="17" hidden="false" customHeight="true" outlineLevel="0" collapsed="false">
      <c r="A32" s="200" t="s">
        <v>29</v>
      </c>
      <c r="B32" s="201" t="str">
        <f aca="false">IF(B31=Para1!$F$153,Para1!$F$109,IF(B31=Para1!$F$109,Para1!$F$148,IF(B31=Para1!$F$148,Para1!$F$111,IF(B31=Para1!$F$111,Para1!$F$120,IF(B31=Para1!$F$120,Para1!$F$170,IF(B31=Para1!$F$170,Para1!$F$173,Para1!$F$153))))))</f>
        <v>Fri</v>
      </c>
      <c r="C32" s="202"/>
      <c r="D32" s="329"/>
      <c r="E32" s="316"/>
      <c r="F32" s="205"/>
      <c r="G32" s="204"/>
      <c r="H32" s="204"/>
      <c r="I32" s="206"/>
      <c r="J32" s="330"/>
      <c r="K32" s="208"/>
      <c r="L32" s="209"/>
      <c r="M32" s="210"/>
      <c r="N32" s="195"/>
      <c r="O32" s="145"/>
      <c r="P32" s="259" t="n">
        <f aca="false">P25</f>
        <v>1</v>
      </c>
      <c r="Q32" s="259" t="n">
        <f aca="false">Q25</f>
        <v>1</v>
      </c>
      <c r="R32" s="145" t="e">
        <f aca="false">IF(VLOOKUP(A32,Para1!$B$67:$E$72,2,0)="9.",VLOOKUP(A32,Para1!$B$67:$E$72,3,0),"")</f>
        <v>#N/A</v>
      </c>
      <c r="S32" s="145" t="str">
        <f aca="false">IF((P32+Q32)=0,"",IF(ISNA(R32),"",IF(R32="","",VLOOKUP(R32,Para1!$D$67:$G$79,3,0)*(IF(P32+Q32=1,0.5,1)))))</f>
        <v/>
      </c>
      <c r="T32" s="145" t="str">
        <f aca="false">IF(P32+Q32=0,"",IF(ISNA(R33),"",IF(R33="","",VLOOKUP(R33,Para1!$D$67:$G$79,4,0)*(IF(P32+Q32=1,0.5,1)))))</f>
        <v/>
      </c>
      <c r="U32" s="145" t="str">
        <f aca="false">IF(SUM(S32:T32)&gt;0,K32,"")</f>
        <v/>
      </c>
      <c r="V32" s="145" t="str">
        <f aca="false">IF(SUM(S32:T32)&gt;0,L32,"")</f>
        <v/>
      </c>
      <c r="W32" s="145" t="n">
        <f aca="false">IF(S32=0,P32+Q32,0)</f>
        <v>0</v>
      </c>
    </row>
    <row r="33" s="258" customFormat="true" ht="17" hidden="false" customHeight="true" outlineLevel="0" collapsed="false">
      <c r="A33" s="200" t="s">
        <v>30</v>
      </c>
      <c r="B33" s="201" t="str">
        <f aca="false">IF(B32=Para1!$F$153,Para1!$F$109,IF(B32=Para1!$F$109,Para1!$F$148,IF(B32=Para1!$F$148,Para1!$F$111,IF(B32=Para1!$F$111,Para1!$F$120,IF(B32=Para1!$F$120,Para1!$F$170,IF(B32=Para1!$F$170,Para1!$F$173,Para1!$F$153))))))</f>
        <v>Sat</v>
      </c>
      <c r="C33" s="202"/>
      <c r="D33" s="329"/>
      <c r="E33" s="316"/>
      <c r="F33" s="205"/>
      <c r="G33" s="204"/>
      <c r="H33" s="204"/>
      <c r="I33" s="206"/>
      <c r="J33" s="330"/>
      <c r="K33" s="208"/>
      <c r="L33" s="209"/>
      <c r="M33" s="210"/>
      <c r="N33" s="195"/>
      <c r="O33" s="145"/>
      <c r="P33" s="259" t="n">
        <f aca="false">P26</f>
        <v>0</v>
      </c>
      <c r="Q33" s="259" t="n">
        <f aca="false">Q26</f>
        <v>0</v>
      </c>
      <c r="R33" s="145" t="e">
        <f aca="false">IF(VLOOKUP(A33,Para1!$B$67:$E$72,2,0)="9.",VLOOKUP(A33,Para1!$B$67:$E$72,3,0),"")</f>
        <v>#N/A</v>
      </c>
      <c r="S33" s="145" t="str">
        <f aca="false">IF((P33+Q33)=0,"",IF(ISNA(R33),"",IF(R33="","",VLOOKUP(R33,Para1!$D$67:$G$79,3,0)*(IF(P33+Q33=1,0.5,1)))))</f>
        <v/>
      </c>
      <c r="T33" s="145" t="str">
        <f aca="false">IF(P33+Q33=0,"",IF(ISNA(R34),"",IF(R34="","",VLOOKUP(R34,Para1!$D$67:$G$79,4,0)*(IF(P33+Q33=1,0.5,1)))))</f>
        <v/>
      </c>
      <c r="U33" s="145" t="str">
        <f aca="false">IF(SUM(S33:T33)&gt;0,K33,"")</f>
        <v/>
      </c>
      <c r="V33" s="145" t="str">
        <f aca="false">IF(SUM(S33:T33)&gt;0,L33,"")</f>
        <v/>
      </c>
      <c r="W33" s="145" t="n">
        <f aca="false">IF(S33=0,P33+Q33,0)</f>
        <v>0</v>
      </c>
    </row>
    <row r="34" s="258" customFormat="true" ht="17" hidden="false" customHeight="true" outlineLevel="0" collapsed="false">
      <c r="A34" s="200" t="s">
        <v>31</v>
      </c>
      <c r="B34" s="201" t="str">
        <f aca="false">IF(B33=Para1!$F$153,Para1!$F$109,IF(B33=Para1!$F$109,Para1!$F$148,IF(B33=Para1!$F$148,Para1!$F$111,IF(B33=Para1!$F$111,Para1!$F$120,IF(B33=Para1!$F$120,Para1!$F$170,IF(B33=Para1!$F$170,Para1!$F$173,Para1!$F$153))))))</f>
        <v>Sun</v>
      </c>
      <c r="C34" s="202"/>
      <c r="D34" s="329"/>
      <c r="E34" s="316"/>
      <c r="F34" s="205"/>
      <c r="G34" s="204"/>
      <c r="H34" s="204"/>
      <c r="I34" s="206"/>
      <c r="J34" s="330"/>
      <c r="K34" s="208"/>
      <c r="L34" s="209"/>
      <c r="M34" s="210"/>
      <c r="N34" s="195"/>
      <c r="O34" s="145"/>
      <c r="P34" s="259" t="n">
        <f aca="false">P27</f>
        <v>0</v>
      </c>
      <c r="Q34" s="259" t="n">
        <f aca="false">Q27</f>
        <v>0</v>
      </c>
      <c r="R34" s="145" t="e">
        <f aca="false">IF(VLOOKUP(A34,Para1!$B$67:$E$72,2,0)="9.",VLOOKUP(A34,Para1!$B$67:$E$72,3,0),"")</f>
        <v>#N/A</v>
      </c>
      <c r="S34" s="145" t="str">
        <f aca="false">IF((P34+Q34)=0,"",IF(ISNA(R34),"",IF(R34="","",VLOOKUP(R34,Para1!$D$67:$G$79,3,0)*(IF(P34+Q34=1,0.5,1)))))</f>
        <v/>
      </c>
      <c r="T34" s="145" t="str">
        <f aca="false">IF(P34+Q34=0,"",IF(ISNA(R35),"",IF(R35="","",VLOOKUP(R35,Para1!$D$67:$G$79,4,0)*(IF(P34+Q34=1,0.5,1)))))</f>
        <v/>
      </c>
      <c r="U34" s="145" t="str">
        <f aca="false">IF(SUM(S34:T34)&gt;0,K34,"")</f>
        <v/>
      </c>
      <c r="V34" s="145" t="str">
        <f aca="false">IF(SUM(S34:T34)&gt;0,L34,"")</f>
        <v/>
      </c>
      <c r="W34" s="145" t="n">
        <f aca="false">IF(S34=0,P34+Q34,0)</f>
        <v>0</v>
      </c>
    </row>
    <row r="35" customFormat="false" ht="16.5" hidden="false" customHeight="true" outlineLevel="0" collapsed="false">
      <c r="A35" s="200" t="s">
        <v>32</v>
      </c>
      <c r="B35" s="201" t="str">
        <f aca="false">IF(B34=Para1!$F$153,Para1!$F$109,IF(B34=Para1!$F$109,Para1!$F$148,IF(B34=Para1!$F$148,Para1!$F$111,IF(B34=Para1!$F$111,Para1!$F$120,IF(B34=Para1!$F$120,Para1!$F$170,IF(B34=Para1!$F$170,Para1!$F$173,Para1!$F$153))))))</f>
        <v>Mon</v>
      </c>
      <c r="C35" s="202"/>
      <c r="D35" s="329"/>
      <c r="E35" s="316"/>
      <c r="F35" s="205"/>
      <c r="G35" s="204"/>
      <c r="H35" s="204"/>
      <c r="I35" s="206"/>
      <c r="J35" s="330"/>
      <c r="K35" s="208"/>
      <c r="L35" s="209"/>
      <c r="M35" s="210"/>
      <c r="N35" s="195"/>
      <c r="O35" s="145"/>
      <c r="P35" s="259" t="n">
        <f aca="false">P28</f>
        <v>1</v>
      </c>
      <c r="Q35" s="259" t="n">
        <f aca="false">Q28</f>
        <v>1</v>
      </c>
      <c r="R35" s="145" t="str">
        <f aca="false">IF(VLOOKUP(A35,Para1!$B$67:$E$72,2,0)="9.",VLOOKUP(A35,Para1!$B$67:$E$72,3,0),"")</f>
        <v/>
      </c>
      <c r="S35" s="145" t="str">
        <f aca="false">IF((P35+Q35)=0,"",IF(ISNA(R35),"",IF(R35="","",VLOOKUP(R35,Para1!$D$67:$G$79,3,0)*(IF(P35+Q35=1,0.5,1)))))</f>
        <v/>
      </c>
      <c r="T35" s="145" t="str">
        <f aca="false">IF(P35+Q35=0,"",IF(ISNA(R36),"",IF(R36="","",VLOOKUP(R36,Para1!$D$67:$G$79,4,0)*(IF(P35+Q35=1,0.5,1)))))</f>
        <v/>
      </c>
      <c r="U35" s="145" t="str">
        <f aca="false">IF(SUM(S35:T35)&gt;0,K35,"")</f>
        <v/>
      </c>
      <c r="V35" s="145" t="str">
        <f aca="false">IF(SUM(S35:T35)&gt;0,L35,"")</f>
        <v/>
      </c>
      <c r="W35" s="145" t="n">
        <f aca="false">IF(S35=0,P35+Q35,0)</f>
        <v>0</v>
      </c>
    </row>
    <row r="36" customFormat="false" ht="17" hidden="false" customHeight="true" outlineLevel="0" collapsed="false">
      <c r="A36" s="200" t="s">
        <v>33</v>
      </c>
      <c r="B36" s="201" t="str">
        <f aca="false">IF(B35=Para1!$F$153,Para1!$F$109,IF(B35=Para1!$F$109,Para1!$F$148,IF(B35=Para1!$F$148,Para1!$F$111,IF(B35=Para1!$F$111,Para1!$F$120,IF(B35=Para1!$F$120,Para1!$F$170,IF(B35=Para1!$F$170,Para1!$F$173,Para1!$F$153))))))</f>
        <v>Tue</v>
      </c>
      <c r="C36" s="202"/>
      <c r="D36" s="329"/>
      <c r="E36" s="316"/>
      <c r="F36" s="205"/>
      <c r="G36" s="204"/>
      <c r="H36" s="204"/>
      <c r="I36" s="206"/>
      <c r="J36" s="330"/>
      <c r="K36" s="208"/>
      <c r="L36" s="209"/>
      <c r="M36" s="210"/>
      <c r="N36" s="195"/>
      <c r="O36" s="145"/>
      <c r="P36" s="259" t="n">
        <f aca="false">P29</f>
        <v>1</v>
      </c>
      <c r="Q36" s="259" t="n">
        <f aca="false">Q29</f>
        <v>1</v>
      </c>
      <c r="R36" s="145" t="e">
        <f aca="false">IF(VLOOKUP(A36,Para1!$B$67:$E$72,2,0)="9.",VLOOKUP(A36,Para1!$B$67:$E$72,3,0),"")</f>
        <v>#N/A</v>
      </c>
      <c r="S36" s="145" t="str">
        <f aca="false">IF((P36+Q36)=0,"",IF(ISNA(R36),"",IF(R36="","",VLOOKUP(R36,Para1!$D$67:$G$79,3,0)*(IF(P36+Q36=1,0.5,1)))))</f>
        <v/>
      </c>
      <c r="T36" s="145" t="str">
        <f aca="false">IF(P36+Q36=0,"",IF(ISNA(R37),"",IF(R37="","",VLOOKUP(R37,Para1!$D$67:$G$79,4,0)*(IF(P36+Q36=1,0.5,1)))))</f>
        <v/>
      </c>
      <c r="U36" s="145" t="str">
        <f aca="false">IF(SUM(S36:T36)&gt;0,K36,"")</f>
        <v/>
      </c>
      <c r="V36" s="145" t="str">
        <f aca="false">IF(SUM(S36:T36)&gt;0,L36,"")</f>
        <v/>
      </c>
      <c r="W36" s="145" t="n">
        <f aca="false">IF(S36=0,P36+Q36,0)</f>
        <v>0</v>
      </c>
    </row>
    <row r="37" customFormat="false" ht="17" hidden="false" customHeight="true" outlineLevel="0" collapsed="false">
      <c r="A37" s="200" t="s">
        <v>34</v>
      </c>
      <c r="B37" s="201" t="str">
        <f aca="false">IF(B36=Para1!$F$153,Para1!$F$109,IF(B36=Para1!$F$109,Para1!$F$148,IF(B36=Para1!$F$148,Para1!$F$111,IF(B36=Para1!$F$111,Para1!$F$120,IF(B36=Para1!$F$120,Para1!$F$170,IF(B36=Para1!$F$170,Para1!$F$173,Para1!$F$153))))))</f>
        <v>Wed</v>
      </c>
      <c r="C37" s="186"/>
      <c r="D37" s="329"/>
      <c r="E37" s="316"/>
      <c r="F37" s="205"/>
      <c r="G37" s="204"/>
      <c r="H37" s="204"/>
      <c r="I37" s="206"/>
      <c r="J37" s="330"/>
      <c r="K37" s="208"/>
      <c r="L37" s="209"/>
      <c r="M37" s="210"/>
      <c r="N37" s="195"/>
      <c r="O37" s="145"/>
      <c r="P37" s="259" t="n">
        <f aca="false">P30</f>
        <v>1</v>
      </c>
      <c r="Q37" s="259" t="n">
        <f aca="false">Q30</f>
        <v>1</v>
      </c>
      <c r="R37" s="145" t="e">
        <f aca="false">IF(VLOOKUP(A37,Para1!$B$67:$E$72,2,0)="9.",VLOOKUP(A37,Para1!$B$67:$E$72,3,0),"")</f>
        <v>#N/A</v>
      </c>
      <c r="S37" s="145" t="str">
        <f aca="false">IF((P37+Q37)=0,"",IF(ISNA(R37),"",IF(R37="","",VLOOKUP(R37,Para1!$D$67:$G$79,3,0)*(IF(P37+Q37=1,0.5,1)))))</f>
        <v/>
      </c>
      <c r="T37" s="145" t="str">
        <f aca="false">IF(P37+Q37=0,"",IF(ISNA(R38),"",IF(R38="","",VLOOKUP(R38,Para1!$D$67:$G$79,4,0)*(IF(P37+Q37=1,0.5,1)))))</f>
        <v/>
      </c>
      <c r="U37" s="145" t="str">
        <f aca="false">IF(SUM(S37:T37)&gt;0,K37,"")</f>
        <v/>
      </c>
      <c r="V37" s="145" t="str">
        <f aca="false">IF(SUM(S37:T37)&gt;0,L37,"")</f>
        <v/>
      </c>
      <c r="W37" s="145" t="n">
        <f aca="false">IF(S37=0,P37+Q37,0)</f>
        <v>0</v>
      </c>
    </row>
    <row r="38" customFormat="false" ht="17" hidden="false" customHeight="true" outlineLevel="0" collapsed="false">
      <c r="A38" s="200" t="s">
        <v>35</v>
      </c>
      <c r="B38" s="201" t="str">
        <f aca="false">IF(B37=Para1!$F$153,Para1!$F$109,IF(B37=Para1!$F$109,Para1!$F$148,IF(B37=Para1!$F$148,Para1!$F$111,IF(B37=Para1!$F$111,Para1!$F$120,IF(B37=Para1!$F$120,Para1!$F$170,IF(B37=Para1!$F$170,Para1!$F$173,Para1!$F$153))))))</f>
        <v>Thu</v>
      </c>
      <c r="C38" s="186"/>
      <c r="D38" s="329"/>
      <c r="E38" s="316"/>
      <c r="F38" s="205"/>
      <c r="G38" s="204"/>
      <c r="H38" s="204"/>
      <c r="I38" s="206"/>
      <c r="J38" s="330"/>
      <c r="K38" s="208"/>
      <c r="L38" s="209"/>
      <c r="M38" s="210"/>
      <c r="N38" s="195"/>
      <c r="O38" s="145"/>
      <c r="P38" s="259" t="n">
        <f aca="false">P31</f>
        <v>1</v>
      </c>
      <c r="Q38" s="259" t="n">
        <f aca="false">Q31</f>
        <v>1</v>
      </c>
      <c r="R38" s="145" t="e">
        <f aca="false">IF(VLOOKUP(A38,Para1!$B$67:$E$72,2,0)="9.",VLOOKUP(A38,Para1!$B$67:$E$72,3,0),"")</f>
        <v>#N/A</v>
      </c>
      <c r="S38" s="145" t="str">
        <f aca="false">IF((P38+Q38)=0,"",IF(ISNA(R38),"",IF(R38="","",VLOOKUP(R38,Para1!$D$67:$G$79,3,0)*(IF(P38+Q38=1,0.5,1)))))</f>
        <v/>
      </c>
      <c r="T38" s="145" t="str">
        <f aca="false">IF(P38+Q38=0,"",IF(ISNA(R39),"",IF(R39="","",VLOOKUP(R39,Para1!$D$67:$G$79,4,0)*(IF(P38+Q38=1,0.5,1)))))</f>
        <v/>
      </c>
      <c r="U38" s="145" t="str">
        <f aca="false">IF(SUM(S38:T38)&gt;0,K38,"")</f>
        <v/>
      </c>
      <c r="V38" s="145" t="str">
        <f aca="false">IF(SUM(S38:T38)&gt;0,L38,"")</f>
        <v/>
      </c>
      <c r="W38" s="145" t="n">
        <f aca="false">IF(S38=0,P38+Q38,0)</f>
        <v>0</v>
      </c>
    </row>
    <row r="39" customFormat="false" ht="17" hidden="false" customHeight="true" outlineLevel="0" collapsed="false">
      <c r="A39" s="200" t="s">
        <v>36</v>
      </c>
      <c r="B39" s="201" t="str">
        <f aca="false">IF(B38=Para1!$F$153,Para1!$F$109,IF(B38=Para1!$F$109,Para1!$F$148,IF(B38=Para1!$F$148,Para1!$F$111,IF(B38=Para1!$F$111,Para1!$F$120,IF(B38=Para1!$F$120,Para1!$F$170,IF(B38=Para1!$F$170,Para1!$F$173,Para1!$F$153))))))</f>
        <v>Fri</v>
      </c>
      <c r="C39" s="202"/>
      <c r="D39" s="329"/>
      <c r="E39" s="316"/>
      <c r="F39" s="205"/>
      <c r="G39" s="204"/>
      <c r="H39" s="204"/>
      <c r="I39" s="206"/>
      <c r="J39" s="330"/>
      <c r="K39" s="208"/>
      <c r="L39" s="209"/>
      <c r="M39" s="210"/>
      <c r="N39" s="195"/>
      <c r="O39" s="145"/>
      <c r="P39" s="259" t="n">
        <f aca="false">P32</f>
        <v>1</v>
      </c>
      <c r="Q39" s="259" t="n">
        <f aca="false">Q32</f>
        <v>1</v>
      </c>
      <c r="R39" s="145" t="e">
        <f aca="false">IF(VLOOKUP(A39,Para1!$B$67:$E$72,2,0)="9.",VLOOKUP(A39,Para1!$B$67:$E$72,3,0),"")</f>
        <v>#N/A</v>
      </c>
      <c r="S39" s="145" t="str">
        <f aca="false">IF((P39+Q39)=0,"",IF(ISNA(R39),"",IF(R39="","",VLOOKUP(R39,Para1!$D$67:$G$79,3,0)*(IF(P39+Q39=1,0.5,1)))))</f>
        <v/>
      </c>
      <c r="T39" s="145" t="str">
        <f aca="false">IF(P39+Q39=0,"",IF(ISNA(R40),"",IF(R40="","",VLOOKUP(R40,Para1!$D$67:$G$79,4,0)*(IF(P39+Q39=1,0.5,1)))))</f>
        <v/>
      </c>
      <c r="U39" s="145" t="str">
        <f aca="false">IF(SUM(S39:T39)&gt;0,K39,"")</f>
        <v/>
      </c>
      <c r="V39" s="145" t="str">
        <f aca="false">IF(SUM(S39:T39)&gt;0,L39,"")</f>
        <v/>
      </c>
      <c r="W39" s="145" t="n">
        <f aca="false">IF(S39=0,P39+Q39,0)</f>
        <v>0</v>
      </c>
    </row>
    <row r="40" s="258" customFormat="true" ht="17" hidden="false" customHeight="true" outlineLevel="0" collapsed="false">
      <c r="A40" s="200" t="s">
        <v>37</v>
      </c>
      <c r="B40" s="201" t="str">
        <f aca="false">IF(B39=Para1!$F$153,Para1!$F$109,IF(B39=Para1!$F$109,Para1!$F$148,IF(B39=Para1!$F$148,Para1!$F$111,IF(B39=Para1!$F$111,Para1!$F$120,IF(B39=Para1!$F$120,Para1!$F$170,IF(B39=Para1!$F$170,Para1!$F$173,Para1!$F$153))))))</f>
        <v>Sat</v>
      </c>
      <c r="C40" s="202"/>
      <c r="D40" s="329"/>
      <c r="E40" s="316"/>
      <c r="F40" s="205"/>
      <c r="G40" s="204"/>
      <c r="H40" s="204"/>
      <c r="I40" s="206"/>
      <c r="J40" s="330"/>
      <c r="K40" s="208"/>
      <c r="L40" s="209"/>
      <c r="M40" s="210"/>
      <c r="N40" s="195"/>
      <c r="O40" s="145"/>
      <c r="P40" s="259" t="n">
        <f aca="false">P33</f>
        <v>0</v>
      </c>
      <c r="Q40" s="259" t="n">
        <f aca="false">Q33</f>
        <v>0</v>
      </c>
      <c r="R40" s="145" t="e">
        <f aca="false">IF(VLOOKUP(A40,Para1!$B$67:$E$72,2,0)="9.",VLOOKUP(A40,Para1!$B$67:$E$72,3,0),"")</f>
        <v>#N/A</v>
      </c>
      <c r="S40" s="145" t="str">
        <f aca="false">IF((P40+Q40)=0,"",IF(ISNA(R40),"",IF(R40="","",VLOOKUP(R40,Para1!$D$67:$G$79,3,0)*(IF(P40+Q40=1,0.5,1)))))</f>
        <v/>
      </c>
      <c r="T40" s="145" t="str">
        <f aca="false">IF(P40+Q40=0,"",IF(ISNA(R41),"",IF(R41="","",VLOOKUP(R41,Para1!$D$67:$G$79,4,0)*(IF(P40+Q40=1,0.5,1)))))</f>
        <v/>
      </c>
      <c r="U40" s="145" t="str">
        <f aca="false">IF(SUM(S40:T40)&gt;0,K40,"")</f>
        <v/>
      </c>
      <c r="V40" s="145" t="str">
        <f aca="false">IF(SUM(S40:T40)&gt;0,L40,"")</f>
        <v/>
      </c>
      <c r="W40" s="145" t="n">
        <f aca="false">IF(S40=0,P40+Q40,0)</f>
        <v>0</v>
      </c>
    </row>
    <row r="41" s="258" customFormat="true" ht="17" hidden="false" customHeight="true" outlineLevel="0" collapsed="false">
      <c r="A41" s="200" t="s">
        <v>38</v>
      </c>
      <c r="B41" s="201" t="str">
        <f aca="false">IF(B40=Para1!$F$153,Para1!$F$109,IF(B40=Para1!$F$109,Para1!$F$148,IF(B40=Para1!$F$148,Para1!$F$111,IF(B40=Para1!$F$111,Para1!$F$120,IF(B40=Para1!$F$120,Para1!$F$170,IF(B40=Para1!$F$170,Para1!$F$173,Para1!$F$153))))))</f>
        <v>Sun</v>
      </c>
      <c r="C41" s="202"/>
      <c r="D41" s="329"/>
      <c r="E41" s="316"/>
      <c r="F41" s="205"/>
      <c r="G41" s="204"/>
      <c r="H41" s="204"/>
      <c r="I41" s="206"/>
      <c r="J41" s="330"/>
      <c r="K41" s="208"/>
      <c r="L41" s="209"/>
      <c r="M41" s="210"/>
      <c r="N41" s="195"/>
      <c r="O41" s="145"/>
      <c r="P41" s="259" t="n">
        <f aca="false">P34</f>
        <v>0</v>
      </c>
      <c r="Q41" s="259" t="n">
        <f aca="false">Q34</f>
        <v>0</v>
      </c>
      <c r="R41" s="145" t="e">
        <f aca="false">IF(VLOOKUP(A41,Para1!$B$67:$E$72,2,0)="9.",VLOOKUP(A41,Para1!$B$67:$E$72,3,0),"")</f>
        <v>#N/A</v>
      </c>
      <c r="S41" s="145" t="str">
        <f aca="false">IF((P41+Q41)=0,"",IF(ISNA(R41),"",IF(R41="","",VLOOKUP(R41,Para1!$D$67:$G$79,3,0)*(IF(P41+Q41=1,0.5,1)))))</f>
        <v/>
      </c>
      <c r="T41" s="145" t="str">
        <f aca="false">IF(P41+Q41=0,"",IF(ISNA(R42),"",IF(R42="","",VLOOKUP(R42,Para1!$D$67:$G$79,4,0)*(IF(P41+Q41=1,0.5,1)))))</f>
        <v/>
      </c>
      <c r="U41" s="145" t="str">
        <f aca="false">IF(SUM(S41:T41)&gt;0,K41,"")</f>
        <v/>
      </c>
      <c r="V41" s="145" t="str">
        <f aca="false">IF(SUM(S41:T41)&gt;0,L41,"")</f>
        <v/>
      </c>
      <c r="W41" s="145" t="n">
        <f aca="false">IF(S41=0,P41+Q41,0)</f>
        <v>0</v>
      </c>
    </row>
    <row r="42" customFormat="false" ht="17" hidden="false" customHeight="true" outlineLevel="0" collapsed="false">
      <c r="A42" s="200" t="s">
        <v>39</v>
      </c>
      <c r="B42" s="201" t="str">
        <f aca="false">IF(B41=Para1!$F$153,Para1!$F$109,IF(B41=Para1!$F$109,Para1!$F$148,IF(B41=Para1!$F$148,Para1!$F$111,IF(B41=Para1!$F$111,Para1!$F$120,IF(B41=Para1!$F$120,Para1!$F$170,IF(B41=Para1!$F$170,Para1!$F$173,Para1!$F$153))))))</f>
        <v>Mon</v>
      </c>
      <c r="C42" s="202"/>
      <c r="D42" s="329"/>
      <c r="E42" s="316"/>
      <c r="F42" s="205"/>
      <c r="G42" s="204"/>
      <c r="H42" s="204"/>
      <c r="I42" s="206"/>
      <c r="J42" s="330"/>
      <c r="K42" s="208"/>
      <c r="L42" s="209"/>
      <c r="M42" s="210"/>
      <c r="N42" s="195"/>
      <c r="O42" s="145"/>
      <c r="P42" s="259" t="n">
        <f aca="false">P35</f>
        <v>1</v>
      </c>
      <c r="Q42" s="259" t="n">
        <f aca="false">Q35</f>
        <v>1</v>
      </c>
      <c r="R42" s="145" t="e">
        <f aca="false">IF(VLOOKUP(A42,Para1!$B$67:$E$72,2,0)="9.",VLOOKUP(A42,Para1!$B$67:$E$72,3,0),"")</f>
        <v>#N/A</v>
      </c>
      <c r="S42" s="145" t="str">
        <f aca="false">IF((P42+Q42)=0,"",IF(ISNA(R42),"",IF(R42="","",VLOOKUP(R42,Para1!$D$67:$G$79,3,0)*(IF(P42+Q42=1,0.5,1)))))</f>
        <v/>
      </c>
      <c r="T42" s="145" t="str">
        <f aca="false">IF(P42+Q42=0,"",IF(ISNA(R43),"",IF(R43="","",VLOOKUP(R43,Para1!$D$67:$G$79,4,0)*(IF(P42+Q42=1,0.5,1)))))</f>
        <v/>
      </c>
      <c r="U42" s="145" t="str">
        <f aca="false">IF(SUM(S42:T42)&gt;0,K42,"")</f>
        <v/>
      </c>
      <c r="V42" s="145" t="str">
        <f aca="false">IF(SUM(S42:T42)&gt;0,L42,"")</f>
        <v/>
      </c>
      <c r="W42" s="145" t="n">
        <f aca="false">IF(S42=0,P42+Q42,0)</f>
        <v>0</v>
      </c>
    </row>
    <row r="43" customFormat="false" ht="17" hidden="false" customHeight="true" outlineLevel="0" collapsed="false">
      <c r="A43" s="200" t="s">
        <v>40</v>
      </c>
      <c r="B43" s="201" t="str">
        <f aca="false">IF(B42=Para1!$F$153,Para1!$F$109,IF(B42=Para1!$F$109,Para1!$F$148,IF(B42=Para1!$F$148,Para1!$F$111,IF(B42=Para1!$F$111,Para1!$F$120,IF(B42=Para1!$F$120,Para1!$F$170,IF(B42=Para1!$F$170,Para1!$F$173,Para1!$F$153))))))</f>
        <v>Tue</v>
      </c>
      <c r="C43" s="202"/>
      <c r="D43" s="329"/>
      <c r="E43" s="316"/>
      <c r="F43" s="205"/>
      <c r="G43" s="204"/>
      <c r="H43" s="204"/>
      <c r="I43" s="206"/>
      <c r="J43" s="330"/>
      <c r="K43" s="208"/>
      <c r="L43" s="209"/>
      <c r="M43" s="210"/>
      <c r="N43" s="195"/>
      <c r="O43" s="145"/>
      <c r="P43" s="259" t="n">
        <f aca="false">P36</f>
        <v>1</v>
      </c>
      <c r="Q43" s="259" t="n">
        <f aca="false">Q36</f>
        <v>1</v>
      </c>
      <c r="R43" s="145" t="e">
        <f aca="false">IF(VLOOKUP(A43,Para1!$B$67:$E$72,2,0)="9.",VLOOKUP(A43,Para1!$B$67:$E$72,3,0),"")</f>
        <v>#N/A</v>
      </c>
      <c r="S43" s="145" t="str">
        <f aca="false">IF((P43+Q43)=0,"",IF(ISNA(R43),"",IF(R43="","",VLOOKUP(R43,Para1!$D$67:$G$79,3,0)*(IF(P43+Q43=1,0.5,1)))))</f>
        <v/>
      </c>
      <c r="T43" s="145" t="str">
        <f aca="false">IF(P43+Q43=0,"",IF(ISNA(R44),"",IF(R44="","",VLOOKUP(R44,Para1!$D$67:$G$79,4,0)*(IF(P43+Q43=1,0.5,1)))))</f>
        <v/>
      </c>
      <c r="U43" s="145" t="str">
        <f aca="false">IF(SUM(S43:T43)&gt;0,K43,"")</f>
        <v/>
      </c>
      <c r="V43" s="145" t="str">
        <f aca="false">IF(SUM(S43:T43)&gt;0,L43,"")</f>
        <v/>
      </c>
      <c r="W43" s="145" t="n">
        <f aca="false">IF(S43=0,P43+Q43,0)</f>
        <v>0</v>
      </c>
    </row>
    <row r="44" customFormat="false" ht="17" hidden="false" customHeight="true" outlineLevel="0" collapsed="false">
      <c r="A44" s="200" t="s">
        <v>41</v>
      </c>
      <c r="B44" s="201" t="str">
        <f aca="false">IF(B43=Para1!$F$153,Para1!$F$109,IF(B43=Para1!$F$109,Para1!$F$148,IF(B43=Para1!$F$148,Para1!$F$111,IF(B43=Para1!$F$111,Para1!$F$120,IF(B43=Para1!$F$120,Para1!$F$170,IF(B43=Para1!$F$170,Para1!$F$173,Para1!$F$153))))))</f>
        <v>Wed</v>
      </c>
      <c r="C44" s="186"/>
      <c r="D44" s="329"/>
      <c r="E44" s="316"/>
      <c r="F44" s="205"/>
      <c r="G44" s="204"/>
      <c r="H44" s="204"/>
      <c r="I44" s="206"/>
      <c r="J44" s="330"/>
      <c r="K44" s="208"/>
      <c r="L44" s="209"/>
      <c r="M44" s="210"/>
      <c r="N44" s="195"/>
      <c r="O44" s="145"/>
      <c r="P44" s="259" t="n">
        <f aca="false">P37</f>
        <v>1</v>
      </c>
      <c r="Q44" s="259" t="n">
        <f aca="false">Q37</f>
        <v>1</v>
      </c>
      <c r="R44" s="145" t="e">
        <f aca="false">IF(VLOOKUP(A44,Para1!$B$67:$E$72,2,0)="9.",VLOOKUP(A44,Para1!$B$67:$E$72,3,0),"")</f>
        <v>#N/A</v>
      </c>
      <c r="S44" s="145" t="str">
        <f aca="false">IF((P44+Q44)=0,"",IF(ISNA(R44),"",IF(R44="","",VLOOKUP(R44,Para1!$D$67:$G$79,3,0)*(IF(P44+Q44=1,0.5,1)))))</f>
        <v/>
      </c>
      <c r="T44" s="145" t="str">
        <f aca="false">IF(P44+Q44=0,"",IF(ISNA(R45),"",IF(R45="","",VLOOKUP(R45,Para1!$D$67:$G$79,4,0)*(IF(P44+Q44=1,0.5,1)))))</f>
        <v/>
      </c>
      <c r="U44" s="145" t="str">
        <f aca="false">IF(SUM(S44:T44)&gt;0,K44,"")</f>
        <v/>
      </c>
      <c r="V44" s="145" t="str">
        <f aca="false">IF(SUM(S44:T44)&gt;0,L44,"")</f>
        <v/>
      </c>
      <c r="W44" s="145" t="n">
        <f aca="false">IF(S44=0,P44+Q44,0)</f>
        <v>0</v>
      </c>
    </row>
    <row r="45" customFormat="false" ht="17" hidden="false" customHeight="true" outlineLevel="0" collapsed="false">
      <c r="A45" s="200" t="s">
        <v>42</v>
      </c>
      <c r="B45" s="201" t="str">
        <f aca="false">IF(B44=Para1!$F$153,Para1!$F$109,IF(B44=Para1!$F$109,Para1!$F$148,IF(B44=Para1!$F$148,Para1!$F$111,IF(B44=Para1!$F$111,Para1!$F$120,IF(B44=Para1!$F$120,Para1!$F$170,IF(B44=Para1!$F$170,Para1!$F$173,Para1!$F$153))))))</f>
        <v>Thu</v>
      </c>
      <c r="C45" s="186"/>
      <c r="D45" s="329"/>
      <c r="E45" s="316"/>
      <c r="F45" s="205"/>
      <c r="G45" s="204"/>
      <c r="H45" s="204"/>
      <c r="I45" s="206"/>
      <c r="J45" s="330"/>
      <c r="K45" s="208"/>
      <c r="L45" s="209"/>
      <c r="M45" s="210"/>
      <c r="N45" s="195"/>
      <c r="O45" s="145"/>
      <c r="P45" s="259" t="n">
        <f aca="false">P38</f>
        <v>1</v>
      </c>
      <c r="Q45" s="259" t="n">
        <f aca="false">Q38</f>
        <v>1</v>
      </c>
      <c r="R45" s="145" t="str">
        <f aca="false">IF(VLOOKUP(A45,Para1!$B$67:$E$72,2,0)="9.",VLOOKUP(A45,Para1!$B$67:$E$72,3,0),"")</f>
        <v/>
      </c>
      <c r="S45" s="145" t="str">
        <f aca="false">IF((P45+Q45)=0,"",IF(ISNA(R45),"",IF(R45="","",VLOOKUP(R45,Para1!$D$67:$G$79,3,0)*(IF(P45+Q45=1,0.5,1)))))</f>
        <v/>
      </c>
      <c r="T45" s="145" t="str">
        <f aca="false">IF(P45+Q45=0,"",IF(ISNA(R46),"",IF(R46="","",VLOOKUP(R46,Para1!$D$67:$G$79,4,0)*(IF(P45+Q45=1,0.5,1)))))</f>
        <v/>
      </c>
      <c r="U45" s="145" t="str">
        <f aca="false">IF(SUM(S45:T45)&gt;0,K45,"")</f>
        <v/>
      </c>
      <c r="V45" s="145" t="str">
        <f aca="false">IF(SUM(S45:T45)&gt;0,L45,"")</f>
        <v/>
      </c>
      <c r="W45" s="145" t="n">
        <f aca="false">IF(S45=0,P45+Q45,0)</f>
        <v>0</v>
      </c>
    </row>
    <row r="46" customFormat="false" ht="17" hidden="false" customHeight="true" outlineLevel="0" collapsed="false">
      <c r="A46" s="200" t="s">
        <v>43</v>
      </c>
      <c r="B46" s="201" t="str">
        <f aca="false">IF(B45=Para1!$F$153,Para1!$F$109,IF(B45=Para1!$F$109,Para1!$F$148,IF(B45=Para1!$F$148,Para1!$F$111,IF(B45=Para1!$F$111,Para1!$F$120,IF(B45=Para1!$F$120,Para1!$F$170,IF(B45=Para1!$F$170,Para1!$F$173,Para1!$F$153))))))</f>
        <v>Fri</v>
      </c>
      <c r="C46" s="202"/>
      <c r="D46" s="329"/>
      <c r="E46" s="316"/>
      <c r="F46" s="205"/>
      <c r="G46" s="204"/>
      <c r="H46" s="204"/>
      <c r="I46" s="206"/>
      <c r="J46" s="330"/>
      <c r="K46" s="208"/>
      <c r="L46" s="209"/>
      <c r="M46" s="210"/>
      <c r="N46" s="195"/>
      <c r="O46" s="145"/>
      <c r="P46" s="259" t="n">
        <f aca="false">P39</f>
        <v>1</v>
      </c>
      <c r="Q46" s="259" t="n">
        <f aca="false">Q39</f>
        <v>1</v>
      </c>
      <c r="R46" s="145" t="str">
        <f aca="false">IF(VLOOKUP(A46,Para1!$B$67:$E$72,2,0)="9.",VLOOKUP(A46,Para1!$B$67:$E$72,3,0),"")</f>
        <v/>
      </c>
      <c r="S46" s="145" t="str">
        <f aca="false">IF((P46+Q46)=0,"",IF(ISNA(R46),"",IF(R46="","",VLOOKUP(R46,Para1!$D$67:$G$79,3,0)*(IF(P46+Q46=1,0.5,1)))))</f>
        <v/>
      </c>
      <c r="T46" s="145" t="str">
        <f aca="false">IF(P46+Q46=0,"",IF(ISNA(R47),"",IF(R47="","",VLOOKUP(R47,Para1!$D$67:$G$79,4,0)*(IF(P46+Q46=1,0.5,1)))))</f>
        <v/>
      </c>
      <c r="U46" s="145" t="str">
        <f aca="false">IF(SUM(S46:T46)&gt;0,K46,"")</f>
        <v/>
      </c>
      <c r="V46" s="145" t="str">
        <f aca="false">IF(SUM(S46:T46)&gt;0,L46,"")</f>
        <v/>
      </c>
      <c r="W46" s="145" t="n">
        <f aca="false">IF(S46=0,P46+Q46,0)</f>
        <v>0</v>
      </c>
    </row>
    <row r="47" s="258" customFormat="true" ht="17" hidden="false" customHeight="true" outlineLevel="0" collapsed="false">
      <c r="A47" s="200" t="s">
        <v>44</v>
      </c>
      <c r="B47" s="201" t="str">
        <f aca="false">IF(B46=Para1!$F$153,Para1!$F$109,IF(B46=Para1!$F$109,Para1!$F$148,IF(B46=Para1!$F$148,Para1!$F$111,IF(B46=Para1!$F$111,Para1!$F$120,IF(B46=Para1!$F$120,Para1!$F$170,IF(B46=Para1!$F$170,Para1!$F$173,Para1!$F$153))))))</f>
        <v>Sat</v>
      </c>
      <c r="C47" s="202"/>
      <c r="D47" s="329"/>
      <c r="E47" s="316"/>
      <c r="F47" s="205"/>
      <c r="G47" s="204"/>
      <c r="H47" s="204"/>
      <c r="I47" s="206"/>
      <c r="J47" s="330"/>
      <c r="K47" s="208"/>
      <c r="L47" s="209"/>
      <c r="M47" s="210"/>
      <c r="N47" s="195"/>
      <c r="O47" s="145"/>
      <c r="P47" s="259" t="n">
        <f aca="false">P40</f>
        <v>0</v>
      </c>
      <c r="Q47" s="259" t="n">
        <f aca="false">Q40</f>
        <v>0</v>
      </c>
      <c r="R47" s="145" t="e">
        <f aca="false">IF(VLOOKUP(A47,Para1!$B$67:$E$72,2,0)="9.",VLOOKUP(A47,Para1!$B$67:$E$72,3,0),"")</f>
        <v>#N/A</v>
      </c>
      <c r="S47" s="145" t="str">
        <f aca="false">IF((P47+Q47)=0,"",IF(ISNA(R47),"",IF(R47="","",VLOOKUP(R47,Para1!$D$67:$G$79,3,0)*(IF(P47+Q47=1,0.5,1)))))</f>
        <v/>
      </c>
      <c r="T47" s="145" t="str">
        <f aca="false">IF(P47+Q47=0,"",IF(ISNA(R48),"",IF(R48="","",VLOOKUP(R48,Para1!$D$67:$G$79,4,0)*(IF(P47+Q47=1,0.5,1)))))</f>
        <v/>
      </c>
      <c r="U47" s="145" t="str">
        <f aca="false">IF(SUM(S47:T47)&gt;0,K47,"")</f>
        <v/>
      </c>
      <c r="V47" s="145" t="str">
        <f aca="false">IF(SUM(S47:T47)&gt;0,L47,"")</f>
        <v/>
      </c>
      <c r="W47" s="145" t="n">
        <f aca="false">IF(S47=0,P47+Q47,0)</f>
        <v>0</v>
      </c>
    </row>
    <row r="48" s="258" customFormat="true" ht="16.5" hidden="false" customHeight="true" outlineLevel="0" collapsed="false">
      <c r="A48" s="200" t="s">
        <v>45</v>
      </c>
      <c r="B48" s="201" t="str">
        <f aca="false">IF(B47=Para1!$F$153,Para1!$F$109,IF(B47=Para1!$F$109,Para1!$F$148,IF(B47=Para1!$F$148,Para1!$F$111,IF(B47=Para1!$F$111,Para1!$F$120,IF(B47=Para1!$F$120,Para1!$F$170,IF(B47=Para1!$F$170,Para1!$F$173,Para1!$F$153))))))</f>
        <v>Sun</v>
      </c>
      <c r="C48" s="202"/>
      <c r="D48" s="329"/>
      <c r="E48" s="316"/>
      <c r="F48" s="205"/>
      <c r="G48" s="204"/>
      <c r="H48" s="204"/>
      <c r="I48" s="206"/>
      <c r="J48" s="330"/>
      <c r="K48" s="208"/>
      <c r="L48" s="209"/>
      <c r="M48" s="210"/>
      <c r="N48" s="195"/>
      <c r="O48" s="145"/>
      <c r="P48" s="259" t="n">
        <f aca="false">P41</f>
        <v>0</v>
      </c>
      <c r="Q48" s="259" t="n">
        <f aca="false">Q41</f>
        <v>0</v>
      </c>
      <c r="R48" s="145" t="e">
        <f aca="false">IF(VLOOKUP(A48,Para1!$B$67:$E$72,2,0)="9.",VLOOKUP(A48,Para1!$B$67:$E$72,3,0),"")</f>
        <v>#N/A</v>
      </c>
      <c r="S48" s="145" t="str">
        <f aca="false">IF((P48+Q48)=0,"",IF(ISNA(R48),"",IF(R48="","",VLOOKUP(R48,Para1!$D$67:$G$79,3,0)*(IF(P48+Q48=1,0.5,1)))))</f>
        <v/>
      </c>
      <c r="T48" s="145" t="str">
        <f aca="false">IF(P48+Q48=0,"",IF(ISNA(R49),"",IF(R49="","",VLOOKUP(R49,Para1!$D$67:$G$79,4,0)*(IF(P48+Q48=1,0.5,1)))))</f>
        <v/>
      </c>
      <c r="U48" s="145" t="str">
        <f aca="false">IF(SUM(S48:T48)&gt;0,K48,"")</f>
        <v/>
      </c>
      <c r="V48" s="145" t="str">
        <f aca="false">IF(SUM(S48:T48)&gt;0,L48,"")</f>
        <v/>
      </c>
      <c r="W48" s="145" t="n">
        <f aca="false">IF(S48=0,P48+Q48,0)</f>
        <v>0</v>
      </c>
    </row>
    <row r="49" customFormat="false" ht="16.5" hidden="false" customHeight="true" outlineLevel="0" collapsed="false">
      <c r="A49" s="200" t="s">
        <v>46</v>
      </c>
      <c r="B49" s="201" t="str">
        <f aca="false">IF(B48=Para1!$F$153,Para1!$F$109,IF(B48=Para1!$F$109,Para1!$F$148,IF(B48=Para1!$F$148,Para1!$F$111,IF(B48=Para1!$F$111,Para1!$F$120,IF(B48=Para1!$F$120,Para1!$F$170,IF(B48=Para1!$F$170,Para1!$F$173,Para1!$F$153))))))</f>
        <v>Mon</v>
      </c>
      <c r="C49" s="202"/>
      <c r="D49" s="329"/>
      <c r="E49" s="316"/>
      <c r="F49" s="205"/>
      <c r="G49" s="204"/>
      <c r="H49" s="204"/>
      <c r="I49" s="206"/>
      <c r="J49" s="330"/>
      <c r="K49" s="208"/>
      <c r="L49" s="209"/>
      <c r="M49" s="210"/>
      <c r="N49" s="195"/>
      <c r="O49" s="145"/>
      <c r="P49" s="259" t="n">
        <f aca="false">P42</f>
        <v>1</v>
      </c>
      <c r="Q49" s="259" t="n">
        <f aca="false">Q42</f>
        <v>1</v>
      </c>
      <c r="R49" s="145" t="e">
        <f aca="false">IF(VLOOKUP(A49,Para1!$B$67:$E$72,2,0)="9.",VLOOKUP(A49,Para1!$B$67:$E$72,3,0),"")</f>
        <v>#N/A</v>
      </c>
      <c r="S49" s="145" t="str">
        <f aca="false">IF((P49+Q49)=0,"",IF(ISNA(R49),"",IF(R49="","",VLOOKUP(R49,Para1!$D$67:$G$79,3,0)*(IF(P49+Q49=1,0.5,1)))))</f>
        <v/>
      </c>
      <c r="T49" s="145" t="str">
        <f aca="false">IF(P49+Q49=0,"",IF(ISNA(R50),"",IF(R50="","",VLOOKUP(R50,Para1!$D$67:$G$79,4,0)*(IF(P49+Q49=1,0.5,1)))))</f>
        <v/>
      </c>
      <c r="U49" s="145" t="str">
        <f aca="false">IF(SUM(S49:T49)&gt;0,K49,"")</f>
        <v/>
      </c>
      <c r="V49" s="145" t="str">
        <f aca="false">IF(SUM(S49:T49)&gt;0,L49,"")</f>
        <v/>
      </c>
      <c r="W49" s="145" t="n">
        <f aca="false">IF(S49=0,P49+Q49,0)</f>
        <v>0</v>
      </c>
    </row>
    <row r="50" customFormat="false" ht="17" hidden="false" customHeight="true" outlineLevel="0" collapsed="false">
      <c r="A50" s="200" t="s">
        <v>47</v>
      </c>
      <c r="B50" s="201" t="str">
        <f aca="false">IF(B49=Para1!$F$153,Para1!$F$109,IF(B49=Para1!$F$109,Para1!$F$148,IF(B49=Para1!$F$148,Para1!$F$111,IF(B49=Para1!$F$111,Para1!$F$120,IF(B49=Para1!$F$120,Para1!$F$170,IF(B49=Para1!$F$170,Para1!$F$173,Para1!$F$153))))))</f>
        <v>Tue</v>
      </c>
      <c r="C50" s="202"/>
      <c r="D50" s="329"/>
      <c r="E50" s="316"/>
      <c r="F50" s="205"/>
      <c r="G50" s="204"/>
      <c r="H50" s="204"/>
      <c r="I50" s="206"/>
      <c r="J50" s="330"/>
      <c r="K50" s="208"/>
      <c r="L50" s="209"/>
      <c r="M50" s="210"/>
      <c r="N50" s="195"/>
      <c r="O50" s="145"/>
      <c r="P50" s="262" t="n">
        <f aca="false">P43</f>
        <v>1</v>
      </c>
      <c r="Q50" s="262" t="n">
        <f aca="false">Q43</f>
        <v>1</v>
      </c>
      <c r="R50" s="145" t="e">
        <f aca="false">IF(VLOOKUP(A50,Para1!$B$67:$E$72,2,0)="9.",VLOOKUP(A50,Para1!$B$67:$E$72,3,0),"")</f>
        <v>#N/A</v>
      </c>
      <c r="S50" s="145" t="str">
        <f aca="false">IF((P50+Q50)=0,"",IF(ISNA(R50),"",IF(R50="","",VLOOKUP(R50,Para1!$D$67:$G$79,3,0)*(IF(P50+Q50=1,0.5,1)))))</f>
        <v/>
      </c>
      <c r="T50" s="145" t="str">
        <f aca="false">IF(P50+Q50=0,"",IF(ISNA(R51),"",IF(R51="","",VLOOKUP(R51,Para1!$D$67:$G$79,4,0)*(IF(P50+Q50=1,0.5,1)))))</f>
        <v/>
      </c>
      <c r="U50" s="145" t="str">
        <f aca="false">IF(SUM(S50:T50)&gt;0,K50,"")</f>
        <v/>
      </c>
      <c r="V50" s="145" t="str">
        <f aca="false">IF(SUM(S50:T50)&gt;0,L50,"")</f>
        <v/>
      </c>
      <c r="W50" s="145" t="n">
        <f aca="false">IF(S50=0,P50+Q50,0)</f>
        <v>0</v>
      </c>
    </row>
    <row r="51" customFormat="false" ht="17" hidden="false" customHeight="true" outlineLevel="0" collapsed="false">
      <c r="A51" s="200" t="s">
        <v>48</v>
      </c>
      <c r="B51" s="201" t="str">
        <f aca="false">IF(B50=Para1!$F$153,Para1!$F$109,IF(B50=Para1!$F$109,Para1!$F$148,IF(B50=Para1!$F$148,Para1!$F$111,IF(B50=Para1!$F$111,Para1!$F$120,IF(B50=Para1!$F$120,Para1!$F$170,IF(B50=Para1!$F$170,Para1!$F$173,Para1!$F$153))))))</f>
        <v>Wed</v>
      </c>
      <c r="C51" s="186"/>
      <c r="D51" s="329"/>
      <c r="E51" s="316"/>
      <c r="F51" s="205"/>
      <c r="G51" s="204"/>
      <c r="H51" s="204"/>
      <c r="I51" s="206"/>
      <c r="J51" s="330"/>
      <c r="K51" s="208"/>
      <c r="L51" s="209"/>
      <c r="M51" s="210"/>
      <c r="N51" s="195"/>
      <c r="O51" s="145"/>
      <c r="P51" s="217" t="n">
        <f aca="false">P44</f>
        <v>1</v>
      </c>
      <c r="Q51" s="259" t="n">
        <f aca="false">Q44</f>
        <v>1</v>
      </c>
      <c r="R51" s="145" t="e">
        <f aca="false">IF(VLOOKUP(A51,Para1!$B$67:$E$72,2,0)="9.",VLOOKUP(A51,Para1!$B$67:$E$72,3,0),"")</f>
        <v>#N/A</v>
      </c>
      <c r="S51" s="145" t="str">
        <f aca="false">IF((P51+Q51)=0,"",IF(ISNA(R51),"",IF(R51="","",VLOOKUP(R51,Para1!$D$67:$G$79,3,0)*(IF(P51+Q51=1,0.5,1)))))</f>
        <v/>
      </c>
      <c r="T51" s="145" t="str">
        <f aca="false">IF(P51+Q51=0,"",IF(ISNA(R52),"",IF(R52="","",VLOOKUP(R52,Para1!$D$67:$G$79,4,0)*(IF(P51+Q51=1,0.5,1)))))</f>
        <v/>
      </c>
      <c r="U51" s="145" t="str">
        <f aca="false">IF(SUM(S51:T51)&gt;0,K51,"")</f>
        <v/>
      </c>
      <c r="V51" s="145" t="str">
        <f aca="false">IF(SUM(S51:T51)&gt;0,L51,"")</f>
        <v/>
      </c>
      <c r="W51" s="145" t="n">
        <f aca="false">IF(S51=0,P51+Q51,0)</f>
        <v>0</v>
      </c>
    </row>
    <row r="52" customFormat="false" ht="17" hidden="false" customHeight="true" outlineLevel="0" collapsed="false">
      <c r="A52" s="200" t="s">
        <v>49</v>
      </c>
      <c r="B52" s="201" t="str">
        <f aca="false">IF(B51=Para1!$F$153,Para1!$F$109,IF(B51=Para1!$F$109,Para1!$F$148,IF(B51=Para1!$F$148,Para1!$F$111,IF(B51=Para1!$F$111,Para1!$F$120,IF(B51=Para1!$F$120,Para1!$F$170,IF(B51=Para1!$F$170,Para1!$F$173,Para1!$F$153))))))</f>
        <v>Thu</v>
      </c>
      <c r="C52" s="186"/>
      <c r="D52" s="329"/>
      <c r="E52" s="316"/>
      <c r="F52" s="205"/>
      <c r="G52" s="204"/>
      <c r="H52" s="204"/>
      <c r="I52" s="206"/>
      <c r="J52" s="330"/>
      <c r="K52" s="208"/>
      <c r="L52" s="209"/>
      <c r="M52" s="210"/>
      <c r="N52" s="195"/>
      <c r="O52" s="145"/>
      <c r="P52" s="318" t="n">
        <f aca="false">P45</f>
        <v>1</v>
      </c>
      <c r="Q52" s="262" t="n">
        <f aca="false">Q45</f>
        <v>1</v>
      </c>
      <c r="R52" s="145" t="e">
        <f aca="false">IF(VLOOKUP(A52,Para1!$B$67:$E$72,2,0)="9.",VLOOKUP(A52,Para1!$B$67:$E$72,3,0),"")</f>
        <v>#N/A</v>
      </c>
      <c r="S52" s="145" t="str">
        <f aca="false">IF((P52+Q52)=0,"",IF(ISNA(R52),"",IF(R52="","",VLOOKUP(R52,Para1!$D$67:$G$79,3,0)*(IF(P52+Q52=1,0.5,1)))))</f>
        <v/>
      </c>
      <c r="T52" s="145" t="str">
        <f aca="false">IF(P52+Q52=0,"",IF(ISNA(Oktober!R23),"",IF(Oktober!R23="","",VLOOKUP(Oktober!R23,Para1!$D$67:$G$79,4,0)*(IF(P52+Q52=1,0.5,1)))))</f>
        <v/>
      </c>
      <c r="U52" s="145" t="str">
        <f aca="false">IF(SUM(S52:T52)&gt;0,K52,"")</f>
        <v/>
      </c>
      <c r="V52" s="145" t="str">
        <f aca="false">IF(SUM(S52:T52)&gt;0,L52,"")</f>
        <v/>
      </c>
      <c r="W52" s="145" t="n">
        <f aca="false">IF(S52=0,P52+Q52,0)</f>
        <v>0</v>
      </c>
    </row>
    <row r="53" customFormat="false" ht="17" hidden="false" customHeight="true" outlineLevel="0" collapsed="false">
      <c r="A53" s="300"/>
      <c r="B53" s="301"/>
      <c r="C53" s="302"/>
      <c r="D53" s="335"/>
      <c r="E53" s="336"/>
      <c r="F53" s="189"/>
      <c r="G53" s="188"/>
      <c r="H53" s="188"/>
      <c r="I53" s="190"/>
      <c r="J53" s="330"/>
      <c r="K53" s="307"/>
      <c r="L53" s="308"/>
      <c r="M53" s="210"/>
      <c r="N53" s="195"/>
      <c r="O53" s="145"/>
      <c r="P53" s="325"/>
      <c r="Q53" s="325"/>
      <c r="R53" s="145" t="e">
        <f aca="false">IF(VLOOKUP(A53,Para1!$B$67:$E$72,2,0)="9.",VLOOKUP(A53,Para1!$B$67:$E$72,3,0),"")</f>
        <v>#N/A</v>
      </c>
      <c r="S53" s="145"/>
      <c r="T53" s="145"/>
      <c r="U53" s="145" t="str">
        <f aca="false">IF(SUM(S53:T53)&gt;0,K53,"")</f>
        <v/>
      </c>
      <c r="V53" s="145" t="str">
        <f aca="false">IF(SUM(S53:T53)&gt;0,L53,"")</f>
        <v/>
      </c>
      <c r="W53" s="145" t="n">
        <f aca="false">IF(S53=0,P53+Q53,0)</f>
        <v>0</v>
      </c>
    </row>
    <row r="54" customFormat="false" ht="15" hidden="false" customHeight="false" outlineLevel="0" collapsed="false">
      <c r="A54" s="223"/>
      <c r="B54" s="197"/>
      <c r="C54" s="133"/>
      <c r="D54" s="332" t="n">
        <f aca="false">SUM(D23:D53)</f>
        <v>0</v>
      </c>
      <c r="E54" s="290" t="n">
        <f aca="false">SUM(E23:E53)</f>
        <v>0</v>
      </c>
      <c r="F54" s="225" t="n">
        <f aca="false">SUM(F23:F53)</f>
        <v>0</v>
      </c>
      <c r="G54" s="225" t="n">
        <f aca="false">SUM(G23:G53)</f>
        <v>0</v>
      </c>
      <c r="H54" s="225" t="n">
        <f aca="false">SUM(H23:H53)</f>
        <v>0</v>
      </c>
      <c r="I54" s="226" t="n">
        <f aca="false">SUM(I23:I53)</f>
        <v>0</v>
      </c>
      <c r="J54" s="282"/>
      <c r="P54" s="229" t="str">
        <f aca="false">Para1!F174&amp;" "&amp;Para1!F168</f>
        <v>balance due / half-day</v>
      </c>
      <c r="Q54" s="229"/>
      <c r="R54" s="145" t="n">
        <f aca="false">SUM(W23:W53)</f>
        <v>0</v>
      </c>
      <c r="S54" s="145" t="n">
        <f aca="false">SUM(S23:S53)</f>
        <v>0</v>
      </c>
      <c r="T54" s="145" t="n">
        <f aca="false">SUM(T23:T53)</f>
        <v>0</v>
      </c>
    </row>
    <row r="55" customFormat="false" ht="15" hidden="false" customHeight="false" outlineLevel="0" collapsed="false">
      <c r="A55" s="283"/>
      <c r="B55" s="284"/>
      <c r="C55" s="284"/>
      <c r="D55" s="334" t="n">
        <f aca="false">D54*24</f>
        <v>0</v>
      </c>
      <c r="E55" s="292" t="n">
        <f aca="false">E54*24</f>
        <v>0</v>
      </c>
      <c r="F55" s="231" t="n">
        <f aca="false">F54*24</f>
        <v>0</v>
      </c>
      <c r="G55" s="231" t="n">
        <f aca="false">G54*24</f>
        <v>0</v>
      </c>
      <c r="H55" s="231" t="n">
        <f aca="false">H54*24</f>
        <v>0</v>
      </c>
      <c r="I55" s="232" t="n">
        <f aca="false">I54*24</f>
        <v>0</v>
      </c>
      <c r="J55" s="285"/>
      <c r="M55" s="235" t="str">
        <f aca="false">Para1!G2</f>
        <v>AE v1_01 02.12.2021</v>
      </c>
      <c r="P55" s="236" t="n">
        <f aca="false">(Para1!G60/100*$G$3+((S54+T54)/100*$G$3))/(SUM(P23:Q53)-R54)/24</f>
        <v>0.175</v>
      </c>
      <c r="Q55" s="236"/>
    </row>
    <row r="56" customFormat="false" ht="15" hidden="false" customHeight="false" outlineLevel="0" collapsed="false">
      <c r="D56" s="117"/>
      <c r="K56" s="133"/>
      <c r="Q56" s="133"/>
      <c r="R56" s="133"/>
      <c r="S56" s="133"/>
      <c r="T56" s="133"/>
      <c r="U56" s="133"/>
      <c r="V56" s="133"/>
      <c r="W56" s="133"/>
      <c r="X56" s="133"/>
      <c r="Y56" s="133"/>
      <c r="Z56" s="133"/>
      <c r="AA56" s="133"/>
    </row>
    <row r="57" customFormat="false" ht="22.5" hidden="false" customHeight="true" outlineLevel="0" collapsed="false">
      <c r="A57" s="237" t="str">
        <f aca="false">Para1!F106</f>
        <v>date</v>
      </c>
      <c r="B57" s="238"/>
      <c r="C57" s="238"/>
      <c r="D57" s="239"/>
      <c r="E57" s="238"/>
      <c r="F57" s="240" t="str">
        <f aca="false">Para1!F191&amp;" "&amp;Para1!F152</f>
        <v>signature employee</v>
      </c>
      <c r="G57" s="238"/>
      <c r="H57" s="241"/>
      <c r="I57" s="241"/>
      <c r="J57" s="241"/>
      <c r="K57" s="241"/>
      <c r="L57" s="241"/>
      <c r="Q57" s="133"/>
      <c r="R57" s="133"/>
      <c r="S57" s="133"/>
      <c r="T57" s="242"/>
      <c r="U57" s="237"/>
      <c r="V57" s="133"/>
      <c r="W57" s="133"/>
      <c r="X57" s="133"/>
      <c r="Y57" s="286"/>
      <c r="Z57" s="133"/>
      <c r="AA57" s="133"/>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row r="60" customFormat="false" ht="14" hidden="false" customHeight="false" outlineLevel="0" collapsed="false">
      <c r="D60" s="117"/>
    </row>
    <row r="61" customFormat="false" ht="22.5" hidden="false" customHeight="true" outlineLevel="0" collapsed="false">
      <c r="A61" s="247"/>
      <c r="B61" s="238"/>
      <c r="C61" s="238"/>
      <c r="D61" s="248"/>
      <c r="E61" s="249"/>
      <c r="F61" s="248"/>
      <c r="G61" s="242"/>
      <c r="I61" s="134"/>
      <c r="J61" s="250"/>
      <c r="L61" s="250"/>
      <c r="M61" s="238"/>
      <c r="Q61" s="24"/>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2">
    <cfRule type="expression" priority="2" aboveAverage="0" equalAverage="0" bottom="0" percent="0" rank="0" text="" dxfId="57">
      <formula>$P23+$Q23=0</formula>
    </cfRule>
    <cfRule type="expression" priority="3" aboveAverage="0" equalAverage="0" bottom="0" percent="0" rank="0" text="" dxfId="58">
      <formula>$S23=0</formula>
    </cfRule>
  </conditionalFormatting>
  <conditionalFormatting sqref="D23:I52">
    <cfRule type="expression" priority="4" aboveAverage="0" equalAverage="0" bottom="0" percent="0" rank="0" text="" dxfId="59">
      <formula>$P23+$Q23=1</formula>
    </cfRule>
    <cfRule type="expression" priority="5" aboveAverage="0" equalAverage="0" bottom="0" percent="0" rank="0" text="" dxfId="60">
      <formula>$P23+$Q23=0</formula>
    </cfRule>
  </conditionalFormatting>
  <conditionalFormatting sqref="D23:I52 K23:L52 P23:Q52">
    <cfRule type="expression" priority="6" aboveAverage="0" equalAverage="0" bottom="0" percent="0" rank="0" text="" dxfId="61">
      <formula>$S23=0</formula>
    </cfRule>
  </conditionalFormatting>
  <conditionalFormatting sqref="K23:K52 P23:P52">
    <cfRule type="expression" priority="7" aboveAverage="0" equalAverage="0" bottom="0" percent="0" rank="0" text="" dxfId="62">
      <formula>$P23=0</formula>
    </cfRule>
  </conditionalFormatting>
  <conditionalFormatting sqref="L23:L52 Q23:Q52">
    <cfRule type="expression" priority="8" aboveAverage="0" equalAverage="0" bottom="0" percent="0" rank="0" text="" dxfId="63">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 right="0.4"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61"/>
  <sheetViews>
    <sheetView showFormulas="false" showGridLines="false" showRowColHeaders="true" showZeros="true" rightToLeft="false" tabSelected="false" showOutlineSymbols="true" defaultGridColor="true" view="normal" topLeftCell="A10" colorId="64" zoomScale="85" zoomScaleNormal="85" zoomScalePageLayoutView="100" workbookViewId="0">
      <selection pane="topLeft" activeCell="A1" activeCellId="0" sqref="A1"/>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4" min="4" style="238" width="12.66"/>
    <col collapsed="false" customWidth="true" hidden="false" outlineLevel="0" max="7" min="5" style="117" width="12.66"/>
    <col collapsed="false" customWidth="true" hidden="false" outlineLevel="0" max="8" min="8" style="145" width="12.66"/>
    <col collapsed="false" customWidth="true" hidden="false" outlineLevel="0" max="9" min="9" style="117" width="12.66"/>
    <col collapsed="false" customWidth="true" hidden="false" outlineLevel="0" max="10" min="10" style="117" width="2.84"/>
    <col collapsed="false" customWidth="true" hidden="false" outlineLevel="0" max="12" min="11" style="117"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2"/>
    <col collapsed="false" customWidth="false" hidden="false" outlineLevel="0" max="1024" min="24" style="117" width="11.5"/>
  </cols>
  <sheetData>
    <row r="1" s="117" customFormat="tru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I1" s="24"/>
      <c r="J1" s="121"/>
      <c r="K1" s="121" t="str">
        <f aca="false">Para1!F133</f>
        <v>year of birth (4-digit):</v>
      </c>
      <c r="L1" s="122" t="n">
        <f aca="false">'Jahresübersicht (Overview)'!K2</f>
        <v>1994</v>
      </c>
    </row>
    <row r="2" customFormat="false" ht="6" hidden="false" customHeight="true" outlineLevel="0" collapsed="false">
      <c r="D2" s="124"/>
      <c r="E2" s="124"/>
      <c r="F2" s="124"/>
      <c r="G2" s="124"/>
      <c r="H2" s="117"/>
      <c r="I2" s="124"/>
      <c r="J2" s="124"/>
      <c r="K2" s="124"/>
      <c r="L2" s="124"/>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(Overview)'!L8</f>
        <v>100</v>
      </c>
      <c r="H3" s="117" t="s">
        <v>11</v>
      </c>
      <c r="I3" s="24"/>
      <c r="J3" s="119"/>
      <c r="K3" s="126" t="str">
        <f aca="false">Para1!F113</f>
        <v>starting date:</v>
      </c>
      <c r="L3" s="127" t="n">
        <f aca="false">'Jahresübersicht (Overview)'!$G$4</f>
        <v>42688</v>
      </c>
      <c r="M3" s="128"/>
      <c r="N3" s="128"/>
    </row>
    <row r="4" customFormat="false" ht="6" hidden="false" customHeight="true" outlineLevel="0" collapsed="false">
      <c r="A4" s="129"/>
      <c r="B4" s="130"/>
      <c r="C4" s="130"/>
      <c r="D4" s="131"/>
      <c r="E4" s="131"/>
      <c r="F4" s="131"/>
      <c r="G4" s="131"/>
      <c r="H4" s="131"/>
      <c r="I4" s="132"/>
      <c r="J4" s="132"/>
      <c r="K4" s="132"/>
      <c r="L4" s="132"/>
      <c r="M4" s="130"/>
      <c r="N4" s="130"/>
    </row>
    <row r="5" customFormat="false" ht="6" hidden="false" customHeight="true" outlineLevel="0" collapsed="false">
      <c r="D5" s="124"/>
      <c r="E5" s="124"/>
      <c r="F5" s="124"/>
      <c r="G5" s="124"/>
      <c r="H5" s="124"/>
      <c r="I5" s="134"/>
      <c r="J5" s="134"/>
      <c r="K5" s="134"/>
      <c r="L5" s="134"/>
    </row>
    <row r="6" customFormat="false" ht="15" hidden="false" customHeight="true" outlineLevel="0" collapsed="false">
      <c r="D6" s="124"/>
      <c r="E6" s="135"/>
      <c r="F6" s="124"/>
      <c r="G6" s="124"/>
      <c r="H6" s="124"/>
      <c r="I6" s="134"/>
      <c r="J6" s="134"/>
      <c r="K6" s="134"/>
      <c r="L6" s="134"/>
    </row>
    <row r="7" customFormat="false" ht="15" hidden="false" customHeight="true" outlineLevel="0" collapsed="false">
      <c r="C7" s="136"/>
      <c r="D7" s="126" t="str">
        <f aca="false">Para1!F117</f>
        <v>holiday</v>
      </c>
      <c r="E7" s="137" t="s">
        <v>12</v>
      </c>
      <c r="H7" s="117"/>
      <c r="I7" s="121" t="str">
        <f aca="false">Para1!F83</f>
        <v>absences</v>
      </c>
      <c r="J7" s="117" t="s">
        <v>12</v>
      </c>
      <c r="L7" s="138" t="str">
        <f aca="false">Para1!F84</f>
        <v>curr. mnth</v>
      </c>
      <c r="M7" s="138" t="str">
        <f aca="false">Para1!F195</f>
        <v>last mnth(s)</v>
      </c>
      <c r="N7" s="139" t="str">
        <f aca="false">Para1!F171</f>
        <v>balance</v>
      </c>
    </row>
    <row r="8" customFormat="false" ht="15" hidden="false" customHeight="true" outlineLevel="0" collapsed="false">
      <c r="D8" s="138" t="str">
        <f aca="false">Para1!B171&amp;" "&amp;Para1!B88&amp;" "&amp;Para1!B154</f>
        <v>Saldo Anfang Monat</v>
      </c>
      <c r="E8" s="141" t="n">
        <f aca="false">September!E11</f>
        <v>1.79375</v>
      </c>
      <c r="H8" s="117"/>
      <c r="I8" s="135" t="str">
        <f aca="false">Para1!F141</f>
        <v>illness</v>
      </c>
      <c r="J8" s="142"/>
      <c r="L8" s="143" t="n">
        <f aca="false">D54</f>
        <v>0</v>
      </c>
      <c r="M8" s="143" t="n">
        <f aca="false">September!N8</f>
        <v>0</v>
      </c>
      <c r="N8" s="144" t="n">
        <f aca="false">SUM(L8:M8)</f>
        <v>0</v>
      </c>
    </row>
    <row r="9" customFormat="false" ht="15" hidden="false" customHeight="true" outlineLevel="0" collapsed="false">
      <c r="D9" s="138" t="str">
        <f aca="false">"./. "&amp;Para1!F118</f>
        <v>./. holiday taken</v>
      </c>
      <c r="E9" s="141" t="n">
        <f aca="false">COUNTIF($K$23:$L$53,"f")*$P$55-IF(ISNA(F9),0,((S54+T54)/100*G3)/48)-IF(ISNA(G9),0,((S54+T54)/100*G3)/48)</f>
        <v>0</v>
      </c>
      <c r="F9" s="145" t="e">
        <f aca="false">INDEX(U23:U53,MATCH("f",U23:U53,0))</f>
        <v>#N/A</v>
      </c>
      <c r="G9" s="145" t="e">
        <f aca="false">INDEX(V23:V53,MATCH("f",V23:V53,0))</f>
        <v>#N/A</v>
      </c>
      <c r="H9" s="117"/>
      <c r="I9" s="135" t="str">
        <f aca="false">Para1!F190</f>
        <v>accident</v>
      </c>
      <c r="J9" s="120" t="str">
        <f aca="false">Para1!F99</f>
        <v>work related</v>
      </c>
      <c r="K9" s="120"/>
      <c r="L9" s="143" t="n">
        <f aca="false">E54</f>
        <v>0</v>
      </c>
      <c r="M9" s="143" t="n">
        <f aca="false">September!N9</f>
        <v>0</v>
      </c>
      <c r="N9" s="144" t="n">
        <f aca="false">SUM(L9:M9)</f>
        <v>0</v>
      </c>
    </row>
    <row r="10" customFormat="false" ht="15" hidden="false" customHeight="true" outlineLevel="0" collapsed="false">
      <c r="D10" s="138" t="str">
        <f aca="false">"./ ."&amp;Para1!F119</f>
        <v>./ .reduction of holiday</v>
      </c>
      <c r="E10" s="147" t="n">
        <v>0</v>
      </c>
      <c r="H10" s="117"/>
      <c r="I10" s="135"/>
      <c r="J10" s="120" t="str">
        <f aca="false">Para1!F161&amp;" "&amp;Para1!F100</f>
        <v>not work. rel.</v>
      </c>
      <c r="K10" s="120"/>
      <c r="L10" s="143" t="n">
        <f aca="false">F54</f>
        <v>0</v>
      </c>
      <c r="M10" s="143" t="n">
        <f aca="false">September!N10</f>
        <v>0</v>
      </c>
      <c r="N10" s="144" t="n">
        <f aca="false">SUM(L10:M10)</f>
        <v>0</v>
      </c>
    </row>
    <row r="11" customFormat="false" ht="15" hidden="false" customHeight="true" outlineLevel="0" collapsed="false">
      <c r="B11" s="136"/>
      <c r="C11" s="136"/>
      <c r="D11" s="126" t="str">
        <f aca="false">Para1!F171&amp;" "&amp;Para1!F115&amp;" "&amp;Para1!F154</f>
        <v>balance end of the month</v>
      </c>
      <c r="E11" s="148" t="n">
        <f aca="false">$E$8-$E$9-$E$10</f>
        <v>1.79375</v>
      </c>
      <c r="H11" s="117"/>
      <c r="I11" s="149" t="str">
        <f aca="false">Para1!F142</f>
        <v>short vacation</v>
      </c>
      <c r="L11" s="143" t="n">
        <f aca="false">G54</f>
        <v>0</v>
      </c>
      <c r="M11" s="143" t="n">
        <f aca="false">September!N11</f>
        <v>0</v>
      </c>
      <c r="N11" s="144" t="n">
        <f aca="false">SUM(L11:M11)</f>
        <v>0</v>
      </c>
    </row>
    <row r="12" s="117" customFormat="true" ht="15" hidden="false" customHeight="true" outlineLevel="0" collapsed="false">
      <c r="A12" s="116"/>
      <c r="B12" s="150" t="str">
        <f aca="false">IF((E11*24+(4.2*'Persönliche Daten (pers. data)'!O8/100))&lt;0,Para1!J224,IF(E11&gt;0,"",Para1!J223))</f>
        <v/>
      </c>
      <c r="I12" s="151" t="str">
        <f aca="false">Para1!F198</f>
        <v>training / education</v>
      </c>
      <c r="L12" s="143" t="n">
        <f aca="false">H54</f>
        <v>0</v>
      </c>
      <c r="M12" s="143" t="n">
        <f aca="false">September!N12</f>
        <v>0</v>
      </c>
      <c r="N12" s="144" t="n">
        <f aca="false">SUM(L12:M12)</f>
        <v>0</v>
      </c>
    </row>
    <row r="13" customFormat="false" ht="15" hidden="false" customHeight="true" outlineLevel="0" collapsed="false">
      <c r="B13" s="152" t="str">
        <f aca="false">Para1!F105&amp;" "&amp;Para1!F122&amp;" "&amp;Para1!F83&amp;" in "&amp;Para1!F178&amp;":"</f>
        <v>letters for absences in days:</v>
      </c>
      <c r="C13" s="152"/>
      <c r="D13" s="152"/>
      <c r="E13" s="152"/>
      <c r="H13" s="117"/>
      <c r="I13" s="135" t="str">
        <f aca="false">Para1!F163</f>
        <v>public office</v>
      </c>
      <c r="L13" s="143" t="n">
        <f aca="false">I54</f>
        <v>0</v>
      </c>
      <c r="M13" s="143" t="n">
        <f aca="false">September!N13</f>
        <v>0</v>
      </c>
      <c r="N13" s="144" t="n">
        <f aca="false">SUM(L13:M13)</f>
        <v>0</v>
      </c>
    </row>
    <row r="14" customFormat="false" ht="15" hidden="false" customHeight="true" outlineLevel="0" collapsed="false">
      <c r="B14" s="153" t="s">
        <v>13</v>
      </c>
      <c r="C14" s="154" t="str">
        <f aca="false">Para1!F117</f>
        <v>holiday</v>
      </c>
      <c r="D14" s="154"/>
      <c r="E14" s="154"/>
      <c r="H14" s="117"/>
      <c r="I14" s="155" t="str">
        <f aca="false">Para1!F192</f>
        <v>leave</v>
      </c>
      <c r="J14" s="146" t="str">
        <f aca="false">Para1!F101</f>
        <v>paid</v>
      </c>
      <c r="K14" s="157"/>
      <c r="L14" s="146" t="n">
        <f aca="false">COUNTIF($K$23:$L$53,"b")*$P$55-IF(ISNA(O14),0,(($S$54+$T$54)/100*$G$3)/48)-IF(ISNA(P14),0,(($S$54+$T$54)/100*$G$3)/48)</f>
        <v>0</v>
      </c>
      <c r="M14" s="143" t="n">
        <f aca="false">September!N14</f>
        <v>0</v>
      </c>
      <c r="N14" s="144" t="n">
        <f aca="false">SUM(L14:M14)</f>
        <v>0</v>
      </c>
      <c r="O14" s="145" t="e">
        <f aca="false">INDEX(U23:U53,MATCH("b",U23:U53,0))</f>
        <v>#N/A</v>
      </c>
      <c r="P14" s="145" t="e">
        <f aca="false">INDEX(V23:V53,MATCH("b",V23:V53,0))</f>
        <v>#N/A</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COUNTIF($K$23:$L$53,"u")*$P$55-IF(ISNA(O15),0,(($S$54+$T$54)/100*$G$3)/48)-IF(ISNA(P15),0,(($S$54+$T$54)/100*$G$3)/48)</f>
        <v>0</v>
      </c>
      <c r="M15" s="143" t="n">
        <f aca="false">September!N15</f>
        <v>0</v>
      </c>
      <c r="N15" s="144" t="n">
        <f aca="false">SUM(L15:M15)</f>
        <v>0</v>
      </c>
      <c r="O15" s="145" t="e">
        <f aca="false">INDEX(U23:U53,MATCH("u",U23:U53,0))</f>
        <v>#N/A</v>
      </c>
      <c r="P15" s="145" t="e">
        <f aca="false">INDEX(V23:V53,MATCH("u",V23:V53,0))</f>
        <v>#N/A</v>
      </c>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J16" s="157"/>
      <c r="K16" s="157"/>
      <c r="L16" s="146" t="n">
        <f aca="false">COUNTIF($K$23:$L$53,"m")*$P$55-IF(ISNA(O16),0,(($S$54+$T$54)/100*$G$3)/48)-IF(ISNA(P16),0,(($S$54+$T$54)/100*$G$3)/48)</f>
        <v>0</v>
      </c>
      <c r="M16" s="143" t="n">
        <f aca="false">September!N16</f>
        <v>0</v>
      </c>
      <c r="N16" s="144" t="n">
        <f aca="false">SUM(L16:M16)</f>
        <v>0</v>
      </c>
      <c r="O16" s="145" t="e">
        <f aca="false">INDEX(U23:U53,MATCH("m",U23:U53,0))</f>
        <v>#N/A</v>
      </c>
      <c r="P16" s="145" t="e">
        <f aca="false">INDEX(V23:V53,MATCH("m",V23:V53,0))</f>
        <v>#N/A</v>
      </c>
    </row>
    <row r="17" customFormat="false" ht="15" hidden="false" customHeight="true" outlineLevel="0" collapsed="false">
      <c r="B17" s="159" t="s">
        <v>16</v>
      </c>
      <c r="C17" s="156" t="str">
        <f aca="false">Para1!F192&amp;" "&amp;Para1!F101</f>
        <v>leave paid</v>
      </c>
      <c r="D17" s="156"/>
      <c r="E17" s="156"/>
      <c r="G17" s="157"/>
      <c r="H17" s="157"/>
      <c r="I17" s="135" t="str">
        <f aca="false">Para1!F150</f>
        <v>military/civil def./civil serv.</v>
      </c>
      <c r="J17" s="24"/>
      <c r="K17" s="24"/>
      <c r="L17" s="146" t="n">
        <f aca="false">COUNTIF($K$23:$L$53,"z")*$P$55-IF(ISNA(O17),0,(($S$54+$T$54)/100*$G$3)/48)-IF(ISNA(P17),0,(($S$54+$T$54)/100*$G$3)/48)</f>
        <v>0</v>
      </c>
      <c r="M17" s="143" t="n">
        <f aca="false">September!N17</f>
        <v>0</v>
      </c>
      <c r="N17" s="144" t="n">
        <f aca="false">SUM(L17:M17)</f>
        <v>0</v>
      </c>
      <c r="O17" s="145" t="e">
        <f aca="false">INDEX(U23:U53,MATCH("z",U23:U53,0))</f>
        <v>#N/A</v>
      </c>
      <c r="P17" s="145" t="e">
        <f aca="false">INDEX(V23:V53,MATCH("z",V23:V53,0))</f>
        <v>#N/A</v>
      </c>
    </row>
    <row r="18" customFormat="false" ht="15" hidden="false" customHeight="true" outlineLevel="0" collapsed="false">
      <c r="B18" s="159" t="s">
        <v>17</v>
      </c>
      <c r="C18" s="154" t="str">
        <f aca="false">Para1!F192&amp;" "&amp;Para1!F189</f>
        <v>leave unpaid</v>
      </c>
      <c r="D18" s="154"/>
      <c r="E18" s="154"/>
      <c r="H18" s="117"/>
      <c r="I18" s="121" t="str">
        <f aca="false">Para1!F180</f>
        <v>total</v>
      </c>
      <c r="L18" s="160" t="n">
        <f aca="false">SUM(L8:L17)</f>
        <v>0</v>
      </c>
      <c r="M18" s="160" t="n">
        <f aca="false">SUM(M8:M17)</f>
        <v>0</v>
      </c>
      <c r="N18" s="160" t="n">
        <f aca="false">SUM(N8:N17)</f>
        <v>0</v>
      </c>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row>
    <row r="21" s="136" customFormat="true" ht="18.75" hidden="false" customHeight="true" outlineLevel="0" collapsed="false">
      <c r="A21" s="167" t="n">
        <f aca="true">TODAY()</f>
        <v>42894</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252"/>
      <c r="K21" s="253" t="str">
        <f aca="false">Para1!F194</f>
        <v>morning</v>
      </c>
      <c r="L21" s="175" t="str">
        <f aca="false">Para1!F158</f>
        <v>afternoon</v>
      </c>
      <c r="M21" s="176"/>
      <c r="P21" s="177" t="str">
        <f aca="false">Para1!F194</f>
        <v>morning</v>
      </c>
      <c r="Q21" s="178" t="str">
        <f aca="false">Para1!F158</f>
        <v>afternoon</v>
      </c>
    </row>
    <row r="22" s="136" customFormat="true" ht="15.75" hidden="false" customHeight="true" outlineLevel="0" collapsed="false">
      <c r="A22" s="180" t="str">
        <f aca="false">Para1!F106</f>
        <v>date</v>
      </c>
      <c r="B22" s="180"/>
      <c r="C22" s="181"/>
      <c r="D22" s="169"/>
      <c r="E22" s="170"/>
      <c r="F22" s="171"/>
      <c r="G22" s="170"/>
      <c r="H22" s="170"/>
      <c r="I22" s="172"/>
      <c r="J22" s="254"/>
      <c r="K22" s="253"/>
      <c r="L22" s="175"/>
      <c r="M22" s="183"/>
      <c r="P22" s="177"/>
      <c r="Q22" s="178"/>
    </row>
    <row r="23" customFormat="false" ht="17" hidden="false" customHeight="true" outlineLevel="0" collapsed="false">
      <c r="A23" s="200" t="s">
        <v>18</v>
      </c>
      <c r="B23" s="201" t="str">
        <f aca="false">IF(September!B52=Para1!$F$153,Para1!$F$109,IF(September!B52=Para1!$F$109,Para1!$F$148,IF(September!B52=Para1!$F$148,Para1!$F$111,IF(September!B52=Para1!$F$111,Para1!$F$120,IF(September!B52=Para1!$F$120,Para1!$F$170,IF(September!B52=Para1!$F$170,Para1!$F$173,Para1!$F$153))))))</f>
        <v>Fri</v>
      </c>
      <c r="C23" s="202"/>
      <c r="D23" s="329"/>
      <c r="E23" s="316"/>
      <c r="F23" s="205"/>
      <c r="G23" s="204"/>
      <c r="H23" s="204"/>
      <c r="I23" s="206"/>
      <c r="J23" s="330"/>
      <c r="K23" s="208"/>
      <c r="L23" s="209"/>
      <c r="M23" s="194"/>
      <c r="N23" s="195"/>
      <c r="O23" s="145"/>
      <c r="P23" s="257" t="n">
        <f aca="false">September!P46</f>
        <v>1</v>
      </c>
      <c r="Q23" s="257" t="n">
        <f aca="false">September!Q46</f>
        <v>1</v>
      </c>
      <c r="R23" s="145" t="e">
        <f aca="false">IF(VLOOKUP(A23,Para1!$B$67:$E$72,2,0)="10.",VLOOKUP(A23,Para1!$B$67:$E$72,3,0),"")</f>
        <v>#N/A</v>
      </c>
      <c r="S23" s="145" t="str">
        <f aca="false">IF((P23+Q23)=0,"",IF(ISNA(R23),"",IF(R23="","",VLOOKUP(R23,Para1!$D$67:$G$79,3,0)*(IF(P23+Q23=1,0.5,1)))))</f>
        <v/>
      </c>
      <c r="T23" s="145" t="str">
        <f aca="false">IF(P23+Q23=0,"",IF(ISNA(R24),"",IF(R24="","",VLOOKUP(R24,Para1!$D$67:$G$79,4,0)*(IF(P23+Q23=1,0.5,1)))))</f>
        <v/>
      </c>
      <c r="U23" s="145" t="str">
        <f aca="false">IF(SUM(S23:T23)&gt;0,K23,"")</f>
        <v/>
      </c>
      <c r="V23" s="145" t="str">
        <f aca="false">IF(SUM(S23:T23)&gt;0,L23,"")</f>
        <v/>
      </c>
      <c r="W23" s="145" t="n">
        <f aca="false">IF(S23=0,P23+Q23,0)</f>
        <v>0</v>
      </c>
    </row>
    <row r="24" customFormat="false" ht="16.5" hidden="false" customHeight="true" outlineLevel="0" collapsed="false">
      <c r="A24" s="200" t="s">
        <v>20</v>
      </c>
      <c r="B24" s="297" t="str">
        <f aca="false">IF(B23=Para1!$F$153,Para1!$F$109,IF(B23=Para1!$F$109,Para1!$F$148,IF(B23=Para1!$F$148,Para1!$F$111,IF(B23=Para1!$F$111,Para1!$F$120,IF(B23=Para1!$F$120,Para1!$F$170,IF(B23=Para1!$F$170,Para1!$F$173,Para1!$F$153))))))</f>
        <v>Sat</v>
      </c>
      <c r="C24" s="202"/>
      <c r="D24" s="329"/>
      <c r="E24" s="316"/>
      <c r="F24" s="205"/>
      <c r="G24" s="204"/>
      <c r="H24" s="204"/>
      <c r="I24" s="206"/>
      <c r="J24" s="330"/>
      <c r="K24" s="208"/>
      <c r="L24" s="209"/>
      <c r="M24" s="194"/>
      <c r="N24" s="195"/>
      <c r="O24" s="145"/>
      <c r="P24" s="257" t="n">
        <f aca="false">September!P47</f>
        <v>0</v>
      </c>
      <c r="Q24" s="257" t="n">
        <f aca="false">September!Q47</f>
        <v>0</v>
      </c>
      <c r="R24" s="145" t="str">
        <f aca="false">IF(VLOOKUP(A24,Para1!$B$67:$E$72,2,0)="10.",VLOOKUP(A24,Para1!$B$67:$E$72,3,0),"")</f>
        <v/>
      </c>
      <c r="S24" s="145" t="str">
        <f aca="false">IF((P24+Q24)=0,"",IF(ISNA(R24),"",IF(R24="","",VLOOKUP(R24,Para1!$D$67:$G$79,3,0)*(IF(P24+Q24=1,0.5,1)))))</f>
        <v/>
      </c>
      <c r="T24" s="145" t="str">
        <f aca="false">IF(P24+Q24=0,"",IF(ISNA(R25),"",IF(R25="","",VLOOKUP(R25,Para1!$D$67:$G$79,4,0)*(IF(P24+Q24=1,0.5,1)))))</f>
        <v/>
      </c>
      <c r="U24" s="145" t="str">
        <f aca="false">IF(SUM(S24:T24)&gt;0,K24,"")</f>
        <v/>
      </c>
      <c r="V24" s="145" t="str">
        <f aca="false">IF(SUM(S24:T24)&gt;0,L24,"")</f>
        <v/>
      </c>
      <c r="W24" s="145" t="n">
        <f aca="false">IF(S24=0,P24+Q24,0)</f>
        <v>0</v>
      </c>
    </row>
    <row r="25" customFormat="false" ht="17" hidden="false" customHeight="true" outlineLevel="0" collapsed="false">
      <c r="A25" s="200" t="s">
        <v>22</v>
      </c>
      <c r="B25" s="297" t="str">
        <f aca="false">IF(B24=Para1!$F$153,Para1!$F$109,IF(B24=Para1!$F$109,Para1!$F$148,IF(B24=Para1!$F$148,Para1!$F$111,IF(B24=Para1!$F$111,Para1!$F$120,IF(B24=Para1!$F$120,Para1!$F$170,IF(B24=Para1!$F$170,Para1!$F$173,Para1!$F$153))))))</f>
        <v>Sun</v>
      </c>
      <c r="C25" s="202"/>
      <c r="D25" s="329"/>
      <c r="E25" s="316"/>
      <c r="F25" s="205"/>
      <c r="G25" s="204"/>
      <c r="H25" s="204"/>
      <c r="I25" s="206"/>
      <c r="J25" s="330"/>
      <c r="K25" s="208"/>
      <c r="L25" s="209"/>
      <c r="M25" s="210"/>
      <c r="N25" s="195"/>
      <c r="O25" s="145"/>
      <c r="P25" s="257" t="n">
        <f aca="false">September!P48</f>
        <v>0</v>
      </c>
      <c r="Q25" s="257" t="n">
        <f aca="false">September!Q48</f>
        <v>0</v>
      </c>
      <c r="R25" s="145" t="e">
        <f aca="false">IF(VLOOKUP(A25,Para1!$B$67:$E$72,2,0)="10.",VLOOKUP(A25,Para1!$B$67:$E$72,3,0),"")</f>
        <v>#N/A</v>
      </c>
      <c r="S25" s="145" t="str">
        <f aca="false">IF((P25+Q25)=0,"",IF(ISNA(R25),"",IF(R25="","",VLOOKUP(R25,Para1!$D$67:$G$79,3,0)*(IF(P25+Q25=1,0.5,1)))))</f>
        <v/>
      </c>
      <c r="T25" s="145" t="str">
        <f aca="false">IF(P25+Q25=0,"",IF(ISNA(R26),"",IF(R26="","",VLOOKUP(R26,Para1!$D$67:$G$79,4,0)*(IF(P25+Q25=1,0.5,1)))))</f>
        <v/>
      </c>
      <c r="U25" s="145" t="str">
        <f aca="false">IF(SUM(S25:T25)&gt;0,K25,"")</f>
        <v/>
      </c>
      <c r="V25" s="145" t="str">
        <f aca="false">IF(SUM(S25:T25)&gt;0,L25,"")</f>
        <v/>
      </c>
      <c r="W25" s="145" t="n">
        <f aca="false">IF(S25=0,P25+Q25,0)</f>
        <v>0</v>
      </c>
    </row>
    <row r="26" customFormat="false" ht="17" hidden="false" customHeight="true" outlineLevel="0" collapsed="false">
      <c r="A26" s="200" t="s">
        <v>23</v>
      </c>
      <c r="B26" s="297" t="str">
        <f aca="false">IF(B25=Para1!$F$153,Para1!$F$109,IF(B25=Para1!$F$109,Para1!$F$148,IF(B25=Para1!$F$148,Para1!$F$111,IF(B25=Para1!$F$111,Para1!$F$120,IF(B25=Para1!$F$120,Para1!$F$170,IF(B25=Para1!$F$170,Para1!$F$173,Para1!$F$153))))))</f>
        <v>Mon</v>
      </c>
      <c r="C26" s="202"/>
      <c r="D26" s="329"/>
      <c r="E26" s="316"/>
      <c r="F26" s="205"/>
      <c r="G26" s="204"/>
      <c r="H26" s="204"/>
      <c r="I26" s="206"/>
      <c r="J26" s="330"/>
      <c r="K26" s="208"/>
      <c r="L26" s="209"/>
      <c r="M26" s="210"/>
      <c r="N26" s="195"/>
      <c r="O26" s="145"/>
      <c r="P26" s="257" t="n">
        <f aca="false">September!P49</f>
        <v>1</v>
      </c>
      <c r="Q26" s="257" t="n">
        <f aca="false">September!Q49</f>
        <v>1</v>
      </c>
      <c r="R26" s="145" t="str">
        <f aca="false">IF(VLOOKUP(A26,Para1!$B$67:$E$72,2,0)="10.",VLOOKUP(A26,Para1!$B$67:$E$72,3,0),"")</f>
        <v/>
      </c>
      <c r="S26" s="145" t="str">
        <f aca="false">IF((P26+Q26)=0,"",IF(ISNA(R26),"",IF(R26="","",VLOOKUP(R26,Para1!$D$67:$G$79,3,0)*(IF(P26+Q26=1,0.5,1)))))</f>
        <v/>
      </c>
      <c r="T26" s="145" t="str">
        <f aca="false">IF(P26+Q26=0,"",IF(ISNA(R27),"",IF(R27="","",VLOOKUP(R27,Para1!$D$67:$G$79,4,0)*(IF(P26+Q26=1,0.5,1)))))</f>
        <v/>
      </c>
      <c r="U26" s="145" t="str">
        <f aca="false">IF(SUM(S26:T26)&gt;0,K26,"")</f>
        <v/>
      </c>
      <c r="V26" s="145" t="str">
        <f aca="false">IF(SUM(S26:T26)&gt;0,L26,"")</f>
        <v/>
      </c>
      <c r="W26" s="145" t="n">
        <f aca="false">IF(S26=0,P26+Q26,0)</f>
        <v>0</v>
      </c>
    </row>
    <row r="27" customFormat="false" ht="17" hidden="false" customHeight="true" outlineLevel="0" collapsed="false">
      <c r="A27" s="200" t="s">
        <v>24</v>
      </c>
      <c r="B27" s="297" t="str">
        <f aca="false">IF(B26=Para1!$F$153,Para1!$F$109,IF(B26=Para1!$F$109,Para1!$F$148,IF(B26=Para1!$F$148,Para1!$F$111,IF(B26=Para1!$F$111,Para1!$F$120,IF(B26=Para1!$F$120,Para1!$F$170,IF(B26=Para1!$F$170,Para1!$F$173,Para1!$F$153))))))</f>
        <v>Tue</v>
      </c>
      <c r="C27" s="202"/>
      <c r="D27" s="329"/>
      <c r="E27" s="316"/>
      <c r="F27" s="205"/>
      <c r="G27" s="204"/>
      <c r="H27" s="204"/>
      <c r="I27" s="206"/>
      <c r="J27" s="330"/>
      <c r="K27" s="208"/>
      <c r="L27" s="209"/>
      <c r="M27" s="210"/>
      <c r="N27" s="195"/>
      <c r="O27" s="145"/>
      <c r="P27" s="257" t="n">
        <f aca="false">September!P50</f>
        <v>1</v>
      </c>
      <c r="Q27" s="257" t="n">
        <f aca="false">September!Q50</f>
        <v>1</v>
      </c>
      <c r="R27" s="145" t="str">
        <f aca="false">IF(VLOOKUP(A27,Para1!$B$67:$E$72,2,0)="10.",VLOOKUP(A27,Para1!$B$67:$E$72,3,0),"")</f>
        <v/>
      </c>
      <c r="S27" s="145" t="str">
        <f aca="false">IF((P27+Q27)=0,"",IF(ISNA(R27),"",IF(R27="","",VLOOKUP(R27,Para1!$D$67:$G$79,3,0)*(IF(P27+Q27=1,0.5,1)))))</f>
        <v/>
      </c>
      <c r="T27" s="145" t="str">
        <f aca="false">IF(P27+Q27=0,"",IF(ISNA(R28),"",IF(R28="","",VLOOKUP(R28,Para1!$D$67:$G$79,4,0)*(IF(P27+Q27=1,0.5,1)))))</f>
        <v/>
      </c>
      <c r="U27" s="145" t="str">
        <f aca="false">IF(SUM(S27:T27)&gt;0,K27,"")</f>
        <v/>
      </c>
      <c r="V27" s="145" t="str">
        <f aca="false">IF(SUM(S27:T27)&gt;0,L27,"")</f>
        <v/>
      </c>
      <c r="W27" s="145" t="n">
        <f aca="false">IF(S27=0,P27+Q27,0)</f>
        <v>0</v>
      </c>
    </row>
    <row r="28" customFormat="false" ht="17" hidden="false" customHeight="true" outlineLevel="0" collapsed="false">
      <c r="A28" s="200" t="s">
        <v>25</v>
      </c>
      <c r="B28" s="297" t="str">
        <f aca="false">IF(B27=Para1!$F$153,Para1!$F$109,IF(B27=Para1!$F$109,Para1!$F$148,IF(B27=Para1!$F$148,Para1!$F$111,IF(B27=Para1!$F$111,Para1!$F$120,IF(B27=Para1!$F$120,Para1!$F$170,IF(B27=Para1!$F$170,Para1!$F$173,Para1!$F$153))))))</f>
        <v>Wed</v>
      </c>
      <c r="C28" s="186"/>
      <c r="D28" s="329"/>
      <c r="E28" s="316"/>
      <c r="F28" s="205"/>
      <c r="G28" s="204"/>
      <c r="H28" s="204"/>
      <c r="I28" s="206"/>
      <c r="J28" s="330"/>
      <c r="K28" s="208"/>
      <c r="L28" s="209"/>
      <c r="M28" s="210"/>
      <c r="N28" s="195"/>
      <c r="O28" s="145"/>
      <c r="P28" s="257" t="n">
        <f aca="false">September!P51</f>
        <v>1</v>
      </c>
      <c r="Q28" s="257" t="n">
        <f aca="false">September!Q51</f>
        <v>1</v>
      </c>
      <c r="R28" s="145" t="e">
        <f aca="false">IF(VLOOKUP(A28,Para1!$B$67:$E$72,2,0)="10.",VLOOKUP(A28,Para1!$B$67:$E$72,3,0),"")</f>
        <v>#N/A</v>
      </c>
      <c r="S28" s="145" t="str">
        <f aca="false">IF((P28+Q28)=0,"",IF(ISNA(R28),"",IF(R28="","",VLOOKUP(R28,Para1!$D$67:$G$79,3,0)*(IF(P28+Q28=1,0.5,1)))))</f>
        <v/>
      </c>
      <c r="T28" s="145" t="str">
        <f aca="false">IF(P28+Q28=0,"",IF(ISNA(R29),"",IF(R29="","",VLOOKUP(R29,Para1!$D$67:$G$79,4,0)*(IF(P28+Q28=1,0.5,1)))))</f>
        <v/>
      </c>
      <c r="U28" s="145" t="str">
        <f aca="false">IF(SUM(S28:T28)&gt;0,K28,"")</f>
        <v/>
      </c>
      <c r="V28" s="145" t="str">
        <f aca="false">IF(SUM(S28:T28)&gt;0,L28,"")</f>
        <v/>
      </c>
      <c r="W28" s="145" t="n">
        <f aca="false">IF(S28=0,P28+Q28,0)</f>
        <v>0</v>
      </c>
    </row>
    <row r="29" customFormat="false" ht="17" hidden="false" customHeight="true" outlineLevel="0" collapsed="false">
      <c r="A29" s="200" t="s">
        <v>26</v>
      </c>
      <c r="B29" s="297" t="str">
        <f aca="false">IF(B28=Para1!$F$153,Para1!$F$109,IF(B28=Para1!$F$109,Para1!$F$148,IF(B28=Para1!$F$148,Para1!$F$111,IF(B28=Para1!$F$111,Para1!$F$120,IF(B28=Para1!$F$120,Para1!$F$170,IF(B28=Para1!$F$170,Para1!$F$173,Para1!$F$153))))))</f>
        <v>Thu</v>
      </c>
      <c r="C29" s="186"/>
      <c r="D29" s="329"/>
      <c r="E29" s="316"/>
      <c r="F29" s="205"/>
      <c r="G29" s="204"/>
      <c r="H29" s="204"/>
      <c r="I29" s="206"/>
      <c r="J29" s="330"/>
      <c r="K29" s="208"/>
      <c r="L29" s="209"/>
      <c r="M29" s="210"/>
      <c r="N29" s="195"/>
      <c r="O29" s="145"/>
      <c r="P29" s="257" t="n">
        <f aca="false">September!P52</f>
        <v>1</v>
      </c>
      <c r="Q29" s="257" t="n">
        <f aca="false">September!Q52</f>
        <v>1</v>
      </c>
      <c r="R29" s="145" t="e">
        <f aca="false">IF(VLOOKUP(A29,Para1!$B$67:$E$72,2,0)="10.",VLOOKUP(A29,Para1!$B$67:$E$72,3,0),"")</f>
        <v>#N/A</v>
      </c>
      <c r="S29" s="145" t="str">
        <f aca="false">IF((P29+Q29)=0,"",IF(ISNA(R29),"",IF(R29="","",VLOOKUP(R29,Para1!$D$67:$G$79,3,0)*(IF(P29+Q29=1,0.5,1)))))</f>
        <v/>
      </c>
      <c r="T29" s="145" t="str">
        <f aca="false">IF(P29+Q29=0,"",IF(ISNA(R30),"",IF(R30="","",VLOOKUP(R30,Para1!$D$67:$G$79,4,0)*(IF(P29+Q29=1,0.5,1)))))</f>
        <v/>
      </c>
      <c r="U29" s="145" t="str">
        <f aca="false">IF(SUM(S29:T29)&gt;0,K29,"")</f>
        <v/>
      </c>
      <c r="V29" s="145" t="str">
        <f aca="false">IF(SUM(S29:T29)&gt;0,L29,"")</f>
        <v/>
      </c>
      <c r="W29" s="145" t="n">
        <f aca="false">IF(S29=0,P29+Q29,0)</f>
        <v>0</v>
      </c>
    </row>
    <row r="30" customFormat="false" ht="17" hidden="false" customHeight="true" outlineLevel="0" collapsed="false">
      <c r="A30" s="200" t="s">
        <v>27</v>
      </c>
      <c r="B30" s="297" t="str">
        <f aca="false">IF(B29=Para1!$F$153,Para1!$F$109,IF(B29=Para1!$F$109,Para1!$F$148,IF(B29=Para1!$F$148,Para1!$F$111,IF(B29=Para1!$F$111,Para1!$F$120,IF(B29=Para1!$F$120,Para1!$F$170,IF(B29=Para1!$F$170,Para1!$F$173,Para1!$F$153))))))</f>
        <v>Fri</v>
      </c>
      <c r="C30" s="202"/>
      <c r="D30" s="329"/>
      <c r="E30" s="316"/>
      <c r="F30" s="205"/>
      <c r="G30" s="204"/>
      <c r="H30" s="204"/>
      <c r="I30" s="206"/>
      <c r="J30" s="330"/>
      <c r="K30" s="208"/>
      <c r="L30" s="209"/>
      <c r="M30" s="210"/>
      <c r="N30" s="195"/>
      <c r="O30" s="145"/>
      <c r="P30" s="259" t="n">
        <f aca="false">P23</f>
        <v>1</v>
      </c>
      <c r="Q30" s="259" t="n">
        <f aca="false">Q23</f>
        <v>1</v>
      </c>
      <c r="R30" s="145" t="e">
        <f aca="false">IF(VLOOKUP(A30,Para1!$B$67:$E$72,2,0)="10.",VLOOKUP(A30,Para1!$B$67:$E$72,3,0),"")</f>
        <v>#N/A</v>
      </c>
      <c r="S30" s="145" t="str">
        <f aca="false">IF((P30+Q30)=0,"",IF(ISNA(R30),"",IF(R30="","",VLOOKUP(R30,Para1!$D$67:$G$79,3,0)*(IF(P30+Q30=1,0.5,1)))))</f>
        <v/>
      </c>
      <c r="T30" s="145" t="str">
        <f aca="false">IF(P30+Q30=0,"",IF(ISNA(R31),"",IF(R31="","",VLOOKUP(R31,Para1!$D$67:$G$79,4,0)*(IF(P30+Q30=1,0.5,1)))))</f>
        <v/>
      </c>
      <c r="U30" s="145" t="str">
        <f aca="false">IF(SUM(S30:T30)&gt;0,K30,"")</f>
        <v/>
      </c>
      <c r="V30" s="145" t="str">
        <f aca="false">IF(SUM(S30:T30)&gt;0,L30,"")</f>
        <v/>
      </c>
      <c r="W30" s="145" t="n">
        <f aca="false">IF(S30=0,P30+Q30,0)</f>
        <v>0</v>
      </c>
    </row>
    <row r="31" s="258" customFormat="true" ht="17" hidden="false" customHeight="true" outlineLevel="0" collapsed="false">
      <c r="A31" s="200" t="s">
        <v>28</v>
      </c>
      <c r="B31" s="297" t="str">
        <f aca="false">IF(B30=Para1!$F$153,Para1!$F$109,IF(B30=Para1!$F$109,Para1!$F$148,IF(B30=Para1!$F$148,Para1!$F$111,IF(B30=Para1!$F$111,Para1!$F$120,IF(B30=Para1!$F$120,Para1!$F$170,IF(B30=Para1!$F$170,Para1!$F$173,Para1!$F$153))))))</f>
        <v>Sat</v>
      </c>
      <c r="C31" s="202"/>
      <c r="D31" s="329"/>
      <c r="E31" s="316"/>
      <c r="F31" s="205"/>
      <c r="G31" s="204"/>
      <c r="H31" s="204"/>
      <c r="I31" s="206"/>
      <c r="J31" s="330"/>
      <c r="K31" s="208"/>
      <c r="L31" s="209"/>
      <c r="M31" s="210"/>
      <c r="N31" s="195"/>
      <c r="O31" s="145"/>
      <c r="P31" s="259" t="n">
        <f aca="false">P24</f>
        <v>0</v>
      </c>
      <c r="Q31" s="259" t="n">
        <f aca="false">Q24</f>
        <v>0</v>
      </c>
      <c r="R31" s="145" t="e">
        <f aca="false">IF(VLOOKUP(A31,Para1!$B$67:$E$72,2,0)="10.",VLOOKUP(A31,Para1!$B$67:$E$72,3,0),"")</f>
        <v>#N/A</v>
      </c>
      <c r="S31" s="145" t="str">
        <f aca="false">IF((P31+Q31)=0,"",IF(ISNA(R31),"",IF(R31="","",VLOOKUP(R31,Para1!$D$67:$G$79,3,0)*(IF(P31+Q31=1,0.5,1)))))</f>
        <v/>
      </c>
      <c r="T31" s="145" t="str">
        <f aca="false">IF(P31+Q31=0,"",IF(ISNA(R32),"",IF(R32="","",VLOOKUP(R32,Para1!$D$67:$G$79,4,0)*(IF(P31+Q31=1,0.5,1)))))</f>
        <v/>
      </c>
      <c r="U31" s="145" t="str">
        <f aca="false">IF(SUM(S31:T31)&gt;0,K31,"")</f>
        <v/>
      </c>
      <c r="V31" s="145" t="str">
        <f aca="false">IF(SUM(S31:T31)&gt;0,L31,"")</f>
        <v/>
      </c>
      <c r="W31" s="145" t="n">
        <f aca="false">IF(S31=0,P31+Q31,0)</f>
        <v>0</v>
      </c>
    </row>
    <row r="32" s="258" customFormat="true" ht="17" hidden="false" customHeight="true" outlineLevel="0" collapsed="false">
      <c r="A32" s="200" t="s">
        <v>29</v>
      </c>
      <c r="B32" s="297" t="str">
        <f aca="false">IF(B31=Para1!$F$153,Para1!$F$109,IF(B31=Para1!$F$109,Para1!$F$148,IF(B31=Para1!$F$148,Para1!$F$111,IF(B31=Para1!$F$111,Para1!$F$120,IF(B31=Para1!$F$120,Para1!$F$170,IF(B31=Para1!$F$170,Para1!$F$173,Para1!$F$153))))))</f>
        <v>Sun</v>
      </c>
      <c r="C32" s="202"/>
      <c r="D32" s="329"/>
      <c r="E32" s="316"/>
      <c r="F32" s="205"/>
      <c r="G32" s="204"/>
      <c r="H32" s="204"/>
      <c r="I32" s="206"/>
      <c r="J32" s="330"/>
      <c r="K32" s="208"/>
      <c r="L32" s="209"/>
      <c r="M32" s="210"/>
      <c r="N32" s="195"/>
      <c r="O32" s="145"/>
      <c r="P32" s="259" t="n">
        <f aca="false">P25</f>
        <v>0</v>
      </c>
      <c r="Q32" s="259" t="n">
        <f aca="false">Q25</f>
        <v>0</v>
      </c>
      <c r="R32" s="145" t="e">
        <f aca="false">IF(VLOOKUP(A32,Para1!$B$67:$E$72,2,0)="10.",VLOOKUP(A32,Para1!$B$67:$E$72,3,0),"")</f>
        <v>#N/A</v>
      </c>
      <c r="S32" s="145" t="str">
        <f aca="false">IF((P32+Q32)=0,"",IF(ISNA(R32),"",IF(R32="","",VLOOKUP(R32,Para1!$D$67:$G$79,3,0)*(IF(P32+Q32=1,0.5,1)))))</f>
        <v/>
      </c>
      <c r="T32" s="145" t="str">
        <f aca="false">IF(P32+Q32=0,"",IF(ISNA(R33),"",IF(R33="","",VLOOKUP(R33,Para1!$D$67:$G$79,4,0)*(IF(P32+Q32=1,0.5,1)))))</f>
        <v/>
      </c>
      <c r="U32" s="145" t="str">
        <f aca="false">IF(SUM(S32:T32)&gt;0,K32,"")</f>
        <v/>
      </c>
      <c r="V32" s="145" t="str">
        <f aca="false">IF(SUM(S32:T32)&gt;0,L32,"")</f>
        <v/>
      </c>
      <c r="W32" s="145" t="n">
        <f aca="false">IF(S32=0,P32+Q32,0)</f>
        <v>0</v>
      </c>
    </row>
    <row r="33" customFormat="false" ht="17" hidden="false" customHeight="true" outlineLevel="0" collapsed="false">
      <c r="A33" s="200" t="s">
        <v>30</v>
      </c>
      <c r="B33" s="297" t="str">
        <f aca="false">IF(B32=Para1!$F$153,Para1!$F$109,IF(B32=Para1!$F$109,Para1!$F$148,IF(B32=Para1!$F$148,Para1!$F$111,IF(B32=Para1!$F$111,Para1!$F$120,IF(B32=Para1!$F$120,Para1!$F$170,IF(B32=Para1!$F$170,Para1!$F$173,Para1!$F$153))))))</f>
        <v>Mon</v>
      </c>
      <c r="C33" s="202"/>
      <c r="D33" s="329"/>
      <c r="E33" s="316"/>
      <c r="F33" s="205"/>
      <c r="G33" s="204"/>
      <c r="H33" s="204"/>
      <c r="I33" s="206"/>
      <c r="J33" s="330"/>
      <c r="K33" s="208"/>
      <c r="L33" s="209"/>
      <c r="M33" s="210"/>
      <c r="N33" s="195"/>
      <c r="O33" s="145"/>
      <c r="P33" s="259" t="n">
        <f aca="false">P26</f>
        <v>1</v>
      </c>
      <c r="Q33" s="259" t="n">
        <f aca="false">Q26</f>
        <v>1</v>
      </c>
      <c r="R33" s="145" t="e">
        <f aca="false">IF(VLOOKUP(A33,Para1!$B$67:$E$72,2,0)="10.",VLOOKUP(A33,Para1!$B$67:$E$72,3,0),"")</f>
        <v>#N/A</v>
      </c>
      <c r="S33" s="145" t="str">
        <f aca="false">IF((P33+Q33)=0,"",IF(ISNA(R33),"",IF(R33="","",VLOOKUP(R33,Para1!$D$67:$G$79,3,0)*(IF(P33+Q33=1,0.5,1)))))</f>
        <v/>
      </c>
      <c r="T33" s="145" t="str">
        <f aca="false">IF(P33+Q33=0,"",IF(ISNA(R34),"",IF(R34="","",VLOOKUP(R34,Para1!$D$67:$G$79,4,0)*(IF(P33+Q33=1,0.5,1)))))</f>
        <v/>
      </c>
      <c r="U33" s="145" t="str">
        <f aca="false">IF(SUM(S33:T33)&gt;0,K33,"")</f>
        <v/>
      </c>
      <c r="V33" s="145" t="str">
        <f aca="false">IF(SUM(S33:T33)&gt;0,L33,"")</f>
        <v/>
      </c>
      <c r="W33" s="145" t="n">
        <f aca="false">IF(S33=0,P33+Q33,0)</f>
        <v>0</v>
      </c>
    </row>
    <row r="34" customFormat="false" ht="17" hidden="false" customHeight="true" outlineLevel="0" collapsed="false">
      <c r="A34" s="200" t="s">
        <v>31</v>
      </c>
      <c r="B34" s="297" t="str">
        <f aca="false">IF(B33=Para1!$F$153,Para1!$F$109,IF(B33=Para1!$F$109,Para1!$F$148,IF(B33=Para1!$F$148,Para1!$F$111,IF(B33=Para1!$F$111,Para1!$F$120,IF(B33=Para1!$F$120,Para1!$F$170,IF(B33=Para1!$F$170,Para1!$F$173,Para1!$F$153))))))</f>
        <v>Tue</v>
      </c>
      <c r="C34" s="202"/>
      <c r="D34" s="329"/>
      <c r="E34" s="316"/>
      <c r="F34" s="205"/>
      <c r="G34" s="204"/>
      <c r="H34" s="204"/>
      <c r="I34" s="206"/>
      <c r="J34" s="330"/>
      <c r="K34" s="208"/>
      <c r="L34" s="209"/>
      <c r="M34" s="210"/>
      <c r="N34" s="195"/>
      <c r="O34" s="145"/>
      <c r="P34" s="259" t="n">
        <f aca="false">P27</f>
        <v>1</v>
      </c>
      <c r="Q34" s="259" t="n">
        <f aca="false">Q27</f>
        <v>1</v>
      </c>
      <c r="R34" s="145" t="e">
        <f aca="false">IF(VLOOKUP(A34,Para1!$B$67:$E$72,2,0)="10.",VLOOKUP(A34,Para1!$B$67:$E$72,3,0),"")</f>
        <v>#N/A</v>
      </c>
      <c r="S34" s="145" t="str">
        <f aca="false">IF((P34+Q34)=0,"",IF(ISNA(R34),"",IF(R34="","",VLOOKUP(R34,Para1!$D$67:$G$79,3,0)*(IF(P34+Q34=1,0.5,1)))))</f>
        <v/>
      </c>
      <c r="T34" s="145" t="str">
        <f aca="false">IF(P34+Q34=0,"",IF(ISNA(R35),"",IF(R35="","",VLOOKUP(R35,Para1!$D$67:$G$79,4,0)*(IF(P34+Q34=1,0.5,1)))))</f>
        <v/>
      </c>
      <c r="U34" s="145" t="str">
        <f aca="false">IF(SUM(S34:T34)&gt;0,K34,"")</f>
        <v/>
      </c>
      <c r="V34" s="145" t="str">
        <f aca="false">IF(SUM(S34:T34)&gt;0,L34,"")</f>
        <v/>
      </c>
      <c r="W34" s="145" t="n">
        <f aca="false">IF(S34=0,P34+Q34,0)</f>
        <v>0</v>
      </c>
    </row>
    <row r="35" customFormat="false" ht="17" hidden="false" customHeight="true" outlineLevel="0" collapsed="false">
      <c r="A35" s="200" t="s">
        <v>32</v>
      </c>
      <c r="B35" s="297" t="str">
        <f aca="false">IF(B34=Para1!$F$153,Para1!$F$109,IF(B34=Para1!$F$109,Para1!$F$148,IF(B34=Para1!$F$148,Para1!$F$111,IF(B34=Para1!$F$111,Para1!$F$120,IF(B34=Para1!$F$120,Para1!$F$170,IF(B34=Para1!$F$170,Para1!$F$173,Para1!$F$153))))))</f>
        <v>Wed</v>
      </c>
      <c r="C35" s="186"/>
      <c r="D35" s="329"/>
      <c r="E35" s="316"/>
      <c r="F35" s="205"/>
      <c r="G35" s="204"/>
      <c r="H35" s="204"/>
      <c r="I35" s="206"/>
      <c r="J35" s="330"/>
      <c r="K35" s="208"/>
      <c r="L35" s="209"/>
      <c r="M35" s="210"/>
      <c r="N35" s="195"/>
      <c r="O35" s="145"/>
      <c r="P35" s="259" t="n">
        <f aca="false">P28</f>
        <v>1</v>
      </c>
      <c r="Q35" s="259" t="n">
        <f aca="false">Q28</f>
        <v>1</v>
      </c>
      <c r="R35" s="145" t="str">
        <f aca="false">IF(VLOOKUP(A35,Para1!$B$67:$E$72,2,0)="10.",VLOOKUP(A35,Para1!$B$67:$E$72,3,0),"")</f>
        <v/>
      </c>
      <c r="S35" s="145" t="str">
        <f aca="false">IF((P35+Q35)=0,"",IF(ISNA(R35),"",IF(R35="","",VLOOKUP(R35,Para1!$D$67:$G$79,3,0)*(IF(P35+Q35=1,0.5,1)))))</f>
        <v/>
      </c>
      <c r="T35" s="145" t="str">
        <f aca="false">IF(P35+Q35=0,"",IF(ISNA(R36),"",IF(R36="","",VLOOKUP(R36,Para1!$D$67:$G$79,4,0)*(IF(P35+Q35=1,0.5,1)))))</f>
        <v/>
      </c>
      <c r="U35" s="145" t="str">
        <f aca="false">IF(SUM(S35:T35)&gt;0,K35,"")</f>
        <v/>
      </c>
      <c r="V35" s="145" t="str">
        <f aca="false">IF(SUM(S35:T35)&gt;0,L35,"")</f>
        <v/>
      </c>
      <c r="W35" s="145" t="n">
        <f aca="false">IF(S35=0,P35+Q35,0)</f>
        <v>0</v>
      </c>
    </row>
    <row r="36" customFormat="false" ht="17" hidden="false" customHeight="true" outlineLevel="0" collapsed="false">
      <c r="A36" s="200" t="s">
        <v>33</v>
      </c>
      <c r="B36" s="297" t="str">
        <f aca="false">IF(B35=Para1!$F$153,Para1!$F$109,IF(B35=Para1!$F$109,Para1!$F$148,IF(B35=Para1!$F$148,Para1!$F$111,IF(B35=Para1!$F$111,Para1!$F$120,IF(B35=Para1!$F$120,Para1!$F$170,IF(B35=Para1!$F$170,Para1!$F$173,Para1!$F$153))))))</f>
        <v>Thu</v>
      </c>
      <c r="C36" s="186"/>
      <c r="D36" s="329"/>
      <c r="E36" s="316"/>
      <c r="F36" s="205"/>
      <c r="G36" s="204"/>
      <c r="H36" s="204"/>
      <c r="I36" s="206"/>
      <c r="J36" s="330"/>
      <c r="K36" s="208"/>
      <c r="L36" s="209"/>
      <c r="M36" s="210"/>
      <c r="N36" s="195"/>
      <c r="O36" s="145"/>
      <c r="P36" s="259" t="n">
        <f aca="false">P29</f>
        <v>1</v>
      </c>
      <c r="Q36" s="259" t="n">
        <f aca="false">Q29</f>
        <v>1</v>
      </c>
      <c r="R36" s="145" t="e">
        <f aca="false">IF(VLOOKUP(A36,Para1!$B$67:$E$72,2,0)="10.",VLOOKUP(A36,Para1!$B$67:$E$72,3,0),"")</f>
        <v>#N/A</v>
      </c>
      <c r="S36" s="145" t="str">
        <f aca="false">IF((P36+Q36)=0,"",IF(ISNA(R36),"",IF(R36="","",VLOOKUP(R36,Para1!$D$67:$G$79,3,0)*(IF(P36+Q36=1,0.5,1)))))</f>
        <v/>
      </c>
      <c r="T36" s="145" t="str">
        <f aca="false">IF(P36+Q36=0,"",IF(ISNA(R37),"",IF(R37="","",VLOOKUP(R37,Para1!$D$67:$G$79,4,0)*(IF(P36+Q36=1,0.5,1)))))</f>
        <v/>
      </c>
      <c r="U36" s="145" t="str">
        <f aca="false">IF(SUM(S36:T36)&gt;0,K36,"")</f>
        <v/>
      </c>
      <c r="V36" s="145" t="str">
        <f aca="false">IF(SUM(S36:T36)&gt;0,L36,"")</f>
        <v/>
      </c>
      <c r="W36" s="145" t="n">
        <f aca="false">IF(S36=0,P36+Q36,0)</f>
        <v>0</v>
      </c>
    </row>
    <row r="37" customFormat="false" ht="17" hidden="false" customHeight="true" outlineLevel="0" collapsed="false">
      <c r="A37" s="200" t="s">
        <v>34</v>
      </c>
      <c r="B37" s="297" t="str">
        <f aca="false">IF(B36=Para1!$F$153,Para1!$F$109,IF(B36=Para1!$F$109,Para1!$F$148,IF(B36=Para1!$F$148,Para1!$F$111,IF(B36=Para1!$F$111,Para1!$F$120,IF(B36=Para1!$F$120,Para1!$F$170,IF(B36=Para1!$F$170,Para1!$F$173,Para1!$F$153))))))</f>
        <v>Fri</v>
      </c>
      <c r="C37" s="202"/>
      <c r="D37" s="329"/>
      <c r="E37" s="316"/>
      <c r="F37" s="205"/>
      <c r="G37" s="204"/>
      <c r="H37" s="204"/>
      <c r="I37" s="206"/>
      <c r="J37" s="330"/>
      <c r="K37" s="208"/>
      <c r="L37" s="209"/>
      <c r="M37" s="210"/>
      <c r="N37" s="195"/>
      <c r="O37" s="145"/>
      <c r="P37" s="259" t="n">
        <f aca="false">P30</f>
        <v>1</v>
      </c>
      <c r="Q37" s="259" t="n">
        <f aca="false">Q30</f>
        <v>1</v>
      </c>
      <c r="R37" s="145" t="e">
        <f aca="false">IF(VLOOKUP(A37,Para1!$B$67:$E$72,2,0)="10.",VLOOKUP(A37,Para1!$B$67:$E$72,3,0),"")</f>
        <v>#N/A</v>
      </c>
      <c r="S37" s="145" t="str">
        <f aca="false">IF((P37+Q37)=0,"",IF(ISNA(R37),"",IF(R37="","",VLOOKUP(R37,Para1!$D$67:$G$79,3,0)*(IF(P37+Q37=1,0.5,1)))))</f>
        <v/>
      </c>
      <c r="T37" s="145" t="str">
        <f aca="false">IF(P37+Q37=0,"",IF(ISNA(R38),"",IF(R38="","",VLOOKUP(R38,Para1!$D$67:$G$79,4,0)*(IF(P37+Q37=1,0.5,1)))))</f>
        <v/>
      </c>
      <c r="U37" s="145" t="str">
        <f aca="false">IF(SUM(S37:T37)&gt;0,K37,"")</f>
        <v/>
      </c>
      <c r="V37" s="145" t="str">
        <f aca="false">IF(SUM(S37:T37)&gt;0,L37,"")</f>
        <v/>
      </c>
      <c r="W37" s="145" t="n">
        <f aca="false">IF(S37=0,P37+Q37,0)</f>
        <v>0</v>
      </c>
    </row>
    <row r="38" s="258" customFormat="true" ht="17" hidden="false" customHeight="true" outlineLevel="0" collapsed="false">
      <c r="A38" s="200" t="s">
        <v>35</v>
      </c>
      <c r="B38" s="297" t="str">
        <f aca="false">IF(B37=Para1!$F$153,Para1!$F$109,IF(B37=Para1!$F$109,Para1!$F$148,IF(B37=Para1!$F$148,Para1!$F$111,IF(B37=Para1!$F$111,Para1!$F$120,IF(B37=Para1!$F$120,Para1!$F$170,IF(B37=Para1!$F$170,Para1!$F$173,Para1!$F$153))))))</f>
        <v>Sat</v>
      </c>
      <c r="C38" s="202"/>
      <c r="D38" s="329"/>
      <c r="E38" s="316"/>
      <c r="F38" s="205"/>
      <c r="G38" s="204"/>
      <c r="H38" s="204"/>
      <c r="I38" s="206"/>
      <c r="J38" s="330"/>
      <c r="K38" s="208"/>
      <c r="L38" s="209"/>
      <c r="M38" s="210"/>
      <c r="N38" s="195"/>
      <c r="O38" s="145"/>
      <c r="P38" s="259" t="n">
        <f aca="false">P31</f>
        <v>0</v>
      </c>
      <c r="Q38" s="259" t="n">
        <f aca="false">Q31</f>
        <v>0</v>
      </c>
      <c r="R38" s="145" t="e">
        <f aca="false">IF(VLOOKUP(A38,Para1!$B$67:$E$72,2,0)="10.",VLOOKUP(A38,Para1!$B$67:$E$72,3,0),"")</f>
        <v>#N/A</v>
      </c>
      <c r="S38" s="145" t="str">
        <f aca="false">IF((P38+Q38)=0,"",IF(ISNA(R38),"",IF(R38="","",VLOOKUP(R38,Para1!$D$67:$G$79,3,0)*(IF(P38+Q38=1,0.5,1)))))</f>
        <v/>
      </c>
      <c r="T38" s="145" t="str">
        <f aca="false">IF(P38+Q38=0,"",IF(ISNA(R39),"",IF(R39="","",VLOOKUP(R39,Para1!$D$67:$G$79,4,0)*(IF(P38+Q38=1,0.5,1)))))</f>
        <v/>
      </c>
      <c r="U38" s="145" t="str">
        <f aca="false">IF(SUM(S38:T38)&gt;0,K38,"")</f>
        <v/>
      </c>
      <c r="V38" s="145" t="str">
        <f aca="false">IF(SUM(S38:T38)&gt;0,L38,"")</f>
        <v/>
      </c>
      <c r="W38" s="145" t="n">
        <f aca="false">IF(S38=0,P38+Q38,0)</f>
        <v>0</v>
      </c>
    </row>
    <row r="39" s="258" customFormat="true" ht="17" hidden="false" customHeight="true" outlineLevel="0" collapsed="false">
      <c r="A39" s="200" t="s">
        <v>36</v>
      </c>
      <c r="B39" s="297" t="str">
        <f aca="false">IF(B38=Para1!$F$153,Para1!$F$109,IF(B38=Para1!$F$109,Para1!$F$148,IF(B38=Para1!$F$148,Para1!$F$111,IF(B38=Para1!$F$111,Para1!$F$120,IF(B38=Para1!$F$120,Para1!$F$170,IF(B38=Para1!$F$170,Para1!$F$173,Para1!$F$153))))))</f>
        <v>Sun</v>
      </c>
      <c r="C39" s="202"/>
      <c r="D39" s="329"/>
      <c r="E39" s="316"/>
      <c r="F39" s="205"/>
      <c r="G39" s="204"/>
      <c r="H39" s="204"/>
      <c r="I39" s="206"/>
      <c r="J39" s="330"/>
      <c r="K39" s="208"/>
      <c r="L39" s="209"/>
      <c r="M39" s="210"/>
      <c r="N39" s="195"/>
      <c r="O39" s="145"/>
      <c r="P39" s="259" t="n">
        <f aca="false">P32</f>
        <v>0</v>
      </c>
      <c r="Q39" s="259" t="n">
        <f aca="false">Q32</f>
        <v>0</v>
      </c>
      <c r="R39" s="145" t="e">
        <f aca="false">IF(VLOOKUP(A39,Para1!$B$67:$E$72,2,0)="10.",VLOOKUP(A39,Para1!$B$67:$E$72,3,0),"")</f>
        <v>#N/A</v>
      </c>
      <c r="S39" s="145" t="str">
        <f aca="false">IF((P39+Q39)=0,"",IF(ISNA(R39),"",IF(R39="","",VLOOKUP(R39,Para1!$D$67:$G$79,3,0)*(IF(P39+Q39=1,0.5,1)))))</f>
        <v/>
      </c>
      <c r="T39" s="145" t="str">
        <f aca="false">IF(P39+Q39=0,"",IF(ISNA(R40),"",IF(R40="","",VLOOKUP(R40,Para1!$D$67:$G$79,4,0)*(IF(P39+Q39=1,0.5,1)))))</f>
        <v/>
      </c>
      <c r="U39" s="145" t="str">
        <f aca="false">IF(SUM(S39:T39)&gt;0,K39,"")</f>
        <v/>
      </c>
      <c r="V39" s="145" t="str">
        <f aca="false">IF(SUM(S39:T39)&gt;0,L39,"")</f>
        <v/>
      </c>
      <c r="W39" s="145" t="n">
        <f aca="false">IF(S39=0,P39+Q39,0)</f>
        <v>0</v>
      </c>
    </row>
    <row r="40" customFormat="false" ht="17" hidden="false" customHeight="true" outlineLevel="0" collapsed="false">
      <c r="A40" s="200" t="s">
        <v>37</v>
      </c>
      <c r="B40" s="297" t="str">
        <f aca="false">IF(B39=Para1!$F$153,Para1!$F$109,IF(B39=Para1!$F$109,Para1!$F$148,IF(B39=Para1!$F$148,Para1!$F$111,IF(B39=Para1!$F$111,Para1!$F$120,IF(B39=Para1!$F$120,Para1!$F$170,IF(B39=Para1!$F$170,Para1!$F$173,Para1!$F$153))))))</f>
        <v>Mon</v>
      </c>
      <c r="C40" s="202"/>
      <c r="D40" s="329"/>
      <c r="E40" s="316"/>
      <c r="F40" s="205"/>
      <c r="G40" s="204"/>
      <c r="H40" s="204"/>
      <c r="I40" s="206"/>
      <c r="J40" s="330"/>
      <c r="K40" s="208"/>
      <c r="L40" s="209"/>
      <c r="M40" s="210"/>
      <c r="N40" s="195"/>
      <c r="O40" s="145"/>
      <c r="P40" s="259" t="n">
        <f aca="false">P33</f>
        <v>1</v>
      </c>
      <c r="Q40" s="259" t="n">
        <f aca="false">Q33</f>
        <v>1</v>
      </c>
      <c r="R40" s="145" t="e">
        <f aca="false">IF(VLOOKUP(A40,Para1!$B$67:$E$72,2,0)="10.",VLOOKUP(A40,Para1!$B$67:$E$72,3,0),"")</f>
        <v>#N/A</v>
      </c>
      <c r="S40" s="145" t="str">
        <f aca="false">IF((P40+Q40)=0,"",IF(ISNA(R40),"",IF(R40="","",VLOOKUP(R40,Para1!$D$67:$G$79,3,0)*(IF(P40+Q40=1,0.5,1)))))</f>
        <v/>
      </c>
      <c r="T40" s="145" t="str">
        <f aca="false">IF(P40+Q40=0,"",IF(ISNA(R41),"",IF(R41="","",VLOOKUP(R41,Para1!$D$67:$G$79,4,0)*(IF(P40+Q40=1,0.5,1)))))</f>
        <v/>
      </c>
      <c r="U40" s="145" t="str">
        <f aca="false">IF(SUM(S40:T40)&gt;0,K40,"")</f>
        <v/>
      </c>
      <c r="V40" s="145" t="str">
        <f aca="false">IF(SUM(S40:T40)&gt;0,L40,"")</f>
        <v/>
      </c>
      <c r="W40" s="145" t="n">
        <f aca="false">IF(S40=0,P40+Q40,0)</f>
        <v>0</v>
      </c>
    </row>
    <row r="41" customFormat="false" ht="17" hidden="false" customHeight="true" outlineLevel="0" collapsed="false">
      <c r="A41" s="200" t="s">
        <v>38</v>
      </c>
      <c r="B41" s="297" t="str">
        <f aca="false">IF(B40=Para1!$F$153,Para1!$F$109,IF(B40=Para1!$F$109,Para1!$F$148,IF(B40=Para1!$F$148,Para1!$F$111,IF(B40=Para1!$F$111,Para1!$F$120,IF(B40=Para1!$F$120,Para1!$F$170,IF(B40=Para1!$F$170,Para1!$F$173,Para1!$F$153))))))</f>
        <v>Tue</v>
      </c>
      <c r="C41" s="202"/>
      <c r="D41" s="329"/>
      <c r="E41" s="316"/>
      <c r="F41" s="205"/>
      <c r="G41" s="204"/>
      <c r="H41" s="204"/>
      <c r="I41" s="206"/>
      <c r="J41" s="330"/>
      <c r="K41" s="208"/>
      <c r="L41" s="209"/>
      <c r="M41" s="210"/>
      <c r="N41" s="195"/>
      <c r="O41" s="145"/>
      <c r="P41" s="259" t="n">
        <f aca="false">P34</f>
        <v>1</v>
      </c>
      <c r="Q41" s="259" t="n">
        <f aca="false">Q34</f>
        <v>1</v>
      </c>
      <c r="R41" s="145" t="e">
        <f aca="false">IF(VLOOKUP(A41,Para1!$B$67:$E$72,2,0)="10.",VLOOKUP(A41,Para1!$B$67:$E$72,3,0),"")</f>
        <v>#N/A</v>
      </c>
      <c r="S41" s="145" t="str">
        <f aca="false">IF((P41+Q41)=0,"",IF(ISNA(R41),"",IF(R41="","",VLOOKUP(R41,Para1!$D$67:$G$79,3,0)*(IF(P41+Q41=1,0.5,1)))))</f>
        <v/>
      </c>
      <c r="T41" s="145" t="str">
        <f aca="false">IF(P41+Q41=0,"",IF(ISNA(R42),"",IF(R42="","",VLOOKUP(R42,Para1!$D$67:$G$79,4,0)*(IF(P41+Q41=1,0.5,1)))))</f>
        <v/>
      </c>
      <c r="U41" s="145" t="str">
        <f aca="false">IF(SUM(S41:T41)&gt;0,K41,"")</f>
        <v/>
      </c>
      <c r="V41" s="145" t="str">
        <f aca="false">IF(SUM(S41:T41)&gt;0,L41,"")</f>
        <v/>
      </c>
      <c r="W41" s="145" t="n">
        <f aca="false">IF(S41=0,P41+Q41,0)</f>
        <v>0</v>
      </c>
    </row>
    <row r="42" customFormat="false" ht="17" hidden="false" customHeight="true" outlineLevel="0" collapsed="false">
      <c r="A42" s="200" t="s">
        <v>39</v>
      </c>
      <c r="B42" s="297" t="str">
        <f aca="false">IF(B41=Para1!$F$153,Para1!$F$109,IF(B41=Para1!$F$109,Para1!$F$148,IF(B41=Para1!$F$148,Para1!$F$111,IF(B41=Para1!$F$111,Para1!$F$120,IF(B41=Para1!$F$120,Para1!$F$170,IF(B41=Para1!$F$170,Para1!$F$173,Para1!$F$153))))))</f>
        <v>Wed</v>
      </c>
      <c r="C42" s="186"/>
      <c r="D42" s="329"/>
      <c r="E42" s="316"/>
      <c r="F42" s="205"/>
      <c r="G42" s="204"/>
      <c r="H42" s="204"/>
      <c r="I42" s="206"/>
      <c r="J42" s="330"/>
      <c r="K42" s="208"/>
      <c r="L42" s="209"/>
      <c r="M42" s="210"/>
      <c r="N42" s="195"/>
      <c r="O42" s="145"/>
      <c r="P42" s="259" t="n">
        <f aca="false">P35</f>
        <v>1</v>
      </c>
      <c r="Q42" s="259" t="n">
        <f aca="false">Q35</f>
        <v>1</v>
      </c>
      <c r="R42" s="145" t="e">
        <f aca="false">IF(VLOOKUP(A42,Para1!$B$67:$E$72,2,0)="10.",VLOOKUP(A42,Para1!$B$67:$E$72,3,0),"")</f>
        <v>#N/A</v>
      </c>
      <c r="S42" s="145" t="str">
        <f aca="false">IF((P42+Q42)=0,"",IF(ISNA(R42),"",IF(R42="","",VLOOKUP(R42,Para1!$D$67:$G$79,3,0)*(IF(P42+Q42=1,0.5,1)))))</f>
        <v/>
      </c>
      <c r="T42" s="145" t="str">
        <f aca="false">IF(P42+Q42=0,"",IF(ISNA(R43),"",IF(R43="","",VLOOKUP(R43,Para1!$D$67:$G$79,4,0)*(IF(P42+Q42=1,0.5,1)))))</f>
        <v/>
      </c>
      <c r="U42" s="145" t="str">
        <f aca="false">IF(SUM(S42:T42)&gt;0,K42,"")</f>
        <v/>
      </c>
      <c r="V42" s="145" t="str">
        <f aca="false">IF(SUM(S42:T42)&gt;0,L42,"")</f>
        <v/>
      </c>
      <c r="W42" s="145" t="n">
        <f aca="false">IF(S42=0,P42+Q42,0)</f>
        <v>0</v>
      </c>
    </row>
    <row r="43" customFormat="false" ht="17" hidden="false" customHeight="true" outlineLevel="0" collapsed="false">
      <c r="A43" s="200" t="s">
        <v>40</v>
      </c>
      <c r="B43" s="297" t="str">
        <f aca="false">IF(B42=Para1!$F$153,Para1!$F$109,IF(B42=Para1!$F$109,Para1!$F$148,IF(B42=Para1!$F$148,Para1!$F$111,IF(B42=Para1!$F$111,Para1!$F$120,IF(B42=Para1!$F$120,Para1!$F$170,IF(B42=Para1!$F$170,Para1!$F$173,Para1!$F$153))))))</f>
        <v>Thu</v>
      </c>
      <c r="C43" s="186"/>
      <c r="D43" s="329"/>
      <c r="E43" s="316"/>
      <c r="F43" s="205"/>
      <c r="G43" s="204"/>
      <c r="H43" s="204"/>
      <c r="I43" s="206"/>
      <c r="J43" s="330"/>
      <c r="K43" s="208"/>
      <c r="L43" s="209"/>
      <c r="M43" s="210"/>
      <c r="N43" s="195"/>
      <c r="O43" s="145"/>
      <c r="P43" s="259" t="n">
        <f aca="false">P36</f>
        <v>1</v>
      </c>
      <c r="Q43" s="259" t="n">
        <f aca="false">Q36</f>
        <v>1</v>
      </c>
      <c r="R43" s="145" t="e">
        <f aca="false">IF(VLOOKUP(A43,Para1!$B$67:$E$72,2,0)="10.",VLOOKUP(A43,Para1!$B$67:$E$72,3,0),"")</f>
        <v>#N/A</v>
      </c>
      <c r="S43" s="145" t="str">
        <f aca="false">IF((P43+Q43)=0,"",IF(ISNA(R43),"",IF(R43="","",VLOOKUP(R43,Para1!$D$67:$G$79,3,0)*(IF(P43+Q43=1,0.5,1)))))</f>
        <v/>
      </c>
      <c r="T43" s="145" t="str">
        <f aca="false">IF(P43+Q43=0,"",IF(ISNA(R44),"",IF(R44="","",VLOOKUP(R44,Para1!$D$67:$G$79,4,0)*(IF(P43+Q43=1,0.5,1)))))</f>
        <v/>
      </c>
      <c r="U43" s="145" t="str">
        <f aca="false">IF(SUM(S43:T43)&gt;0,K43,"")</f>
        <v/>
      </c>
      <c r="V43" s="145" t="str">
        <f aca="false">IF(SUM(S43:T43)&gt;0,L43,"")</f>
        <v/>
      </c>
      <c r="W43" s="145" t="n">
        <f aca="false">IF(S43=0,P43+Q43,0)</f>
        <v>0</v>
      </c>
    </row>
    <row r="44" customFormat="false" ht="17" hidden="false" customHeight="true" outlineLevel="0" collapsed="false">
      <c r="A44" s="200" t="s">
        <v>41</v>
      </c>
      <c r="B44" s="297" t="str">
        <f aca="false">IF(B43=Para1!$F$153,Para1!$F$109,IF(B43=Para1!$F$109,Para1!$F$148,IF(B43=Para1!$F$148,Para1!$F$111,IF(B43=Para1!$F$111,Para1!$F$120,IF(B43=Para1!$F$120,Para1!$F$170,IF(B43=Para1!$F$170,Para1!$F$173,Para1!$F$153))))))</f>
        <v>Fri</v>
      </c>
      <c r="C44" s="202"/>
      <c r="D44" s="329"/>
      <c r="E44" s="316"/>
      <c r="F44" s="205"/>
      <c r="G44" s="204"/>
      <c r="H44" s="204"/>
      <c r="I44" s="206"/>
      <c r="J44" s="330"/>
      <c r="K44" s="208"/>
      <c r="L44" s="209"/>
      <c r="M44" s="210"/>
      <c r="N44" s="195"/>
      <c r="O44" s="145"/>
      <c r="P44" s="259" t="n">
        <f aca="false">P37</f>
        <v>1</v>
      </c>
      <c r="Q44" s="259" t="n">
        <f aca="false">Q37</f>
        <v>1</v>
      </c>
      <c r="R44" s="145" t="e">
        <f aca="false">IF(VLOOKUP(A44,Para1!$B$67:$E$72,2,0)="10.",VLOOKUP(A44,Para1!$B$67:$E$72,3,0),"")</f>
        <v>#N/A</v>
      </c>
      <c r="S44" s="145" t="str">
        <f aca="false">IF((P44+Q44)=0,"",IF(ISNA(R44),"",IF(R44="","",VLOOKUP(R44,Para1!$D$67:$G$79,3,0)*(IF(P44+Q44=1,0.5,1)))))</f>
        <v/>
      </c>
      <c r="T44" s="145" t="str">
        <f aca="false">IF(P44+Q44=0,"",IF(ISNA(R45),"",IF(R45="","",VLOOKUP(R45,Para1!$D$67:$G$79,4,0)*(IF(P44+Q44=1,0.5,1)))))</f>
        <v/>
      </c>
      <c r="U44" s="145" t="str">
        <f aca="false">IF(SUM(S44:T44)&gt;0,K44,"")</f>
        <v/>
      </c>
      <c r="V44" s="145" t="str">
        <f aca="false">IF(SUM(S44:T44)&gt;0,L44,"")</f>
        <v/>
      </c>
      <c r="W44" s="145" t="n">
        <f aca="false">IF(S44=0,P44+Q44,0)</f>
        <v>0</v>
      </c>
    </row>
    <row r="45" s="258" customFormat="true" ht="17" hidden="false" customHeight="true" outlineLevel="0" collapsed="false">
      <c r="A45" s="200" t="s">
        <v>42</v>
      </c>
      <c r="B45" s="297" t="str">
        <f aca="false">IF(B44=Para1!$F$153,Para1!$F$109,IF(B44=Para1!$F$109,Para1!$F$148,IF(B44=Para1!$F$148,Para1!$F$111,IF(B44=Para1!$F$111,Para1!$F$120,IF(B44=Para1!$F$120,Para1!$F$170,IF(B44=Para1!$F$170,Para1!$F$173,Para1!$F$153))))))</f>
        <v>Sat</v>
      </c>
      <c r="C45" s="202"/>
      <c r="D45" s="329"/>
      <c r="E45" s="316"/>
      <c r="F45" s="205"/>
      <c r="G45" s="204"/>
      <c r="H45" s="204"/>
      <c r="I45" s="206"/>
      <c r="J45" s="330"/>
      <c r="K45" s="208"/>
      <c r="L45" s="209"/>
      <c r="M45" s="210"/>
      <c r="N45" s="195"/>
      <c r="O45" s="145"/>
      <c r="P45" s="259" t="n">
        <f aca="false">P38</f>
        <v>0</v>
      </c>
      <c r="Q45" s="259" t="n">
        <f aca="false">Q38</f>
        <v>0</v>
      </c>
      <c r="R45" s="145" t="str">
        <f aca="false">IF(VLOOKUP(A45,Para1!$B$67:$E$72,2,0)="10.",VLOOKUP(A45,Para1!$B$67:$E$72,3,0),"")</f>
        <v/>
      </c>
      <c r="S45" s="145" t="str">
        <f aca="false">IF((P45+Q45)=0,"",IF(ISNA(R45),"",IF(R45="","",VLOOKUP(R45,Para1!$D$67:$G$79,3,0)*(IF(P45+Q45=1,0.5,1)))))</f>
        <v/>
      </c>
      <c r="T45" s="145" t="str">
        <f aca="false">IF(P45+Q45=0,"",IF(ISNA(R46),"",IF(R46="","",VLOOKUP(R46,Para1!$D$67:$G$79,4,0)*(IF(P45+Q45=1,0.5,1)))))</f>
        <v/>
      </c>
      <c r="U45" s="145" t="str">
        <f aca="false">IF(SUM(S45:T45)&gt;0,K45,"")</f>
        <v/>
      </c>
      <c r="V45" s="145" t="str">
        <f aca="false">IF(SUM(S45:T45)&gt;0,L45,"")</f>
        <v/>
      </c>
      <c r="W45" s="145" t="n">
        <f aca="false">IF(S45=0,P45+Q45,0)</f>
        <v>0</v>
      </c>
    </row>
    <row r="46" s="258" customFormat="true" ht="17" hidden="false" customHeight="true" outlineLevel="0" collapsed="false">
      <c r="A46" s="200" t="s">
        <v>43</v>
      </c>
      <c r="B46" s="297" t="str">
        <f aca="false">IF(B45=Para1!$F$153,Para1!$F$109,IF(B45=Para1!$F$109,Para1!$F$148,IF(B45=Para1!$F$148,Para1!$F$111,IF(B45=Para1!$F$111,Para1!$F$120,IF(B45=Para1!$F$120,Para1!$F$170,IF(B45=Para1!$F$170,Para1!$F$173,Para1!$F$153))))))</f>
        <v>Sun</v>
      </c>
      <c r="C46" s="202"/>
      <c r="D46" s="329"/>
      <c r="E46" s="316"/>
      <c r="F46" s="205"/>
      <c r="G46" s="204"/>
      <c r="H46" s="204"/>
      <c r="I46" s="206"/>
      <c r="J46" s="330"/>
      <c r="K46" s="208"/>
      <c r="L46" s="209"/>
      <c r="M46" s="210"/>
      <c r="N46" s="195"/>
      <c r="O46" s="145"/>
      <c r="P46" s="259" t="n">
        <f aca="false">P39</f>
        <v>0</v>
      </c>
      <c r="Q46" s="259" t="n">
        <f aca="false">Q39</f>
        <v>0</v>
      </c>
      <c r="R46" s="145" t="str">
        <f aca="false">IF(VLOOKUP(A46,Para1!$B$67:$E$72,2,0)="10.",VLOOKUP(A46,Para1!$B$67:$E$72,3,0),"")</f>
        <v/>
      </c>
      <c r="S46" s="145" t="str">
        <f aca="false">IF((P46+Q46)=0,"",IF(ISNA(R46),"",IF(R46="","",VLOOKUP(R46,Para1!$D$67:$G$79,3,0)*(IF(P46+Q46=1,0.5,1)))))</f>
        <v/>
      </c>
      <c r="T46" s="145" t="str">
        <f aca="false">IF(P46+Q46=0,"",IF(ISNA(R47),"",IF(R47="","",VLOOKUP(R47,Para1!$D$67:$G$79,4,0)*(IF(P46+Q46=1,0.5,1)))))</f>
        <v/>
      </c>
      <c r="U46" s="145" t="str">
        <f aca="false">IF(SUM(S46:T46)&gt;0,K46,"")</f>
        <v/>
      </c>
      <c r="V46" s="145" t="str">
        <f aca="false">IF(SUM(S46:T46)&gt;0,L46,"")</f>
        <v/>
      </c>
      <c r="W46" s="145" t="n">
        <f aca="false">IF(S46=0,P46+Q46,0)</f>
        <v>0</v>
      </c>
    </row>
    <row r="47" customFormat="false" ht="17" hidden="false" customHeight="true" outlineLevel="0" collapsed="false">
      <c r="A47" s="200" t="s">
        <v>44</v>
      </c>
      <c r="B47" s="297" t="str">
        <f aca="false">IF(B46=Para1!$F$153,Para1!$F$109,IF(B46=Para1!$F$109,Para1!$F$148,IF(B46=Para1!$F$148,Para1!$F$111,IF(B46=Para1!$F$111,Para1!$F$120,IF(B46=Para1!$F$120,Para1!$F$170,IF(B46=Para1!$F$170,Para1!$F$173,Para1!$F$153))))))</f>
        <v>Mon</v>
      </c>
      <c r="C47" s="202"/>
      <c r="D47" s="329"/>
      <c r="E47" s="316"/>
      <c r="F47" s="205"/>
      <c r="G47" s="204"/>
      <c r="H47" s="204"/>
      <c r="I47" s="206"/>
      <c r="J47" s="330"/>
      <c r="K47" s="208"/>
      <c r="L47" s="209"/>
      <c r="M47" s="210"/>
      <c r="N47" s="195"/>
      <c r="O47" s="145"/>
      <c r="P47" s="259" t="n">
        <f aca="false">P40</f>
        <v>1</v>
      </c>
      <c r="Q47" s="259" t="n">
        <f aca="false">Q40</f>
        <v>1</v>
      </c>
      <c r="R47" s="145" t="e">
        <f aca="false">IF(VLOOKUP(A47,Para1!$B$67:$E$72,2,0)="10.",VLOOKUP(A47,Para1!$B$67:$E$72,3,0),"")</f>
        <v>#N/A</v>
      </c>
      <c r="S47" s="145" t="str">
        <f aca="false">IF((P47+Q47)=0,"",IF(ISNA(R47),"",IF(R47="","",VLOOKUP(R47,Para1!$D$67:$G$79,3,0)*(IF(P47+Q47=1,0.5,1)))))</f>
        <v/>
      </c>
      <c r="T47" s="145" t="str">
        <f aca="false">IF(P47+Q47=0,"",IF(ISNA(R48),"",IF(R48="","",VLOOKUP(R48,Para1!$D$67:$G$79,4,0)*(IF(P47+Q47=1,0.5,1)))))</f>
        <v/>
      </c>
      <c r="U47" s="145" t="str">
        <f aca="false">IF(SUM(S47:T47)&gt;0,K47,"")</f>
        <v/>
      </c>
      <c r="V47" s="145" t="str">
        <f aca="false">IF(SUM(S47:T47)&gt;0,L47,"")</f>
        <v/>
      </c>
      <c r="W47" s="145" t="n">
        <f aca="false">IF(S47=0,P47+Q47,0)</f>
        <v>0</v>
      </c>
    </row>
    <row r="48" customFormat="false" ht="17" hidden="false" customHeight="true" outlineLevel="0" collapsed="false">
      <c r="A48" s="200" t="s">
        <v>45</v>
      </c>
      <c r="B48" s="297" t="str">
        <f aca="false">IF(B47=Para1!$F$153,Para1!$F$109,IF(B47=Para1!$F$109,Para1!$F$148,IF(B47=Para1!$F$148,Para1!$F$111,IF(B47=Para1!$F$111,Para1!$F$120,IF(B47=Para1!$F$120,Para1!$F$170,IF(B47=Para1!$F$170,Para1!$F$173,Para1!$F$153))))))</f>
        <v>Tue</v>
      </c>
      <c r="C48" s="202"/>
      <c r="D48" s="329"/>
      <c r="E48" s="316"/>
      <c r="F48" s="205"/>
      <c r="G48" s="204"/>
      <c r="H48" s="204"/>
      <c r="I48" s="206"/>
      <c r="J48" s="330"/>
      <c r="K48" s="208"/>
      <c r="L48" s="209"/>
      <c r="M48" s="210"/>
      <c r="N48" s="195"/>
      <c r="O48" s="145"/>
      <c r="P48" s="259" t="n">
        <f aca="false">P41</f>
        <v>1</v>
      </c>
      <c r="Q48" s="259" t="n">
        <f aca="false">Q41</f>
        <v>1</v>
      </c>
      <c r="R48" s="145" t="e">
        <f aca="false">IF(VLOOKUP(A48,Para1!$B$67:$E$72,2,0)="10.",VLOOKUP(A48,Para1!$B$67:$E$72,3,0),"")</f>
        <v>#N/A</v>
      </c>
      <c r="S48" s="145" t="str">
        <f aca="false">IF((P48+Q48)=0,"",IF(ISNA(R48),"",IF(R48="","",VLOOKUP(R48,Para1!$D$67:$G$79,3,0)*(IF(P48+Q48=1,0.5,1)))))</f>
        <v/>
      </c>
      <c r="T48" s="145" t="str">
        <f aca="false">IF(P48+Q48=0,"",IF(ISNA(R49),"",IF(R49="","",VLOOKUP(R49,Para1!$D$67:$G$79,4,0)*(IF(P48+Q48=1,0.5,1)))))</f>
        <v/>
      </c>
      <c r="U48" s="145" t="str">
        <f aca="false">IF(SUM(S48:T48)&gt;0,K48,"")</f>
        <v/>
      </c>
      <c r="V48" s="145" t="str">
        <f aca="false">IF(SUM(S48:T48)&gt;0,L48,"")</f>
        <v/>
      </c>
      <c r="W48" s="145" t="n">
        <f aca="false">IF(S48=0,P48+Q48,0)</f>
        <v>0</v>
      </c>
    </row>
    <row r="49" customFormat="false" ht="17" hidden="false" customHeight="true" outlineLevel="0" collapsed="false">
      <c r="A49" s="200" t="s">
        <v>46</v>
      </c>
      <c r="B49" s="297" t="str">
        <f aca="false">IF(B48=Para1!$F$153,Para1!$F$109,IF(B48=Para1!$F$109,Para1!$F$148,IF(B48=Para1!$F$148,Para1!$F$111,IF(B48=Para1!$F$111,Para1!$F$120,IF(B48=Para1!$F$120,Para1!$F$170,IF(B48=Para1!$F$170,Para1!$F$173,Para1!$F$153))))))</f>
        <v>Wed</v>
      </c>
      <c r="C49" s="186"/>
      <c r="D49" s="329"/>
      <c r="E49" s="316"/>
      <c r="F49" s="205"/>
      <c r="G49" s="204"/>
      <c r="H49" s="204"/>
      <c r="I49" s="206"/>
      <c r="J49" s="330"/>
      <c r="K49" s="208"/>
      <c r="L49" s="209"/>
      <c r="M49" s="210"/>
      <c r="N49" s="195"/>
      <c r="O49" s="145"/>
      <c r="P49" s="259" t="n">
        <f aca="false">P42</f>
        <v>1</v>
      </c>
      <c r="Q49" s="259" t="n">
        <f aca="false">Q42</f>
        <v>1</v>
      </c>
      <c r="R49" s="145" t="e">
        <f aca="false">IF(VLOOKUP(A49,Para1!$B$67:$E$72,2,0)="10.",VLOOKUP(A49,Para1!$B$67:$E$72,3,0),"")</f>
        <v>#N/A</v>
      </c>
      <c r="S49" s="145" t="str">
        <f aca="false">IF((P49+Q49)=0,"",IF(ISNA(R49),"",IF(R49="","",VLOOKUP(R49,Para1!$D$67:$G$79,3,0)*(IF(P49+Q49=1,0.5,1)))))</f>
        <v/>
      </c>
      <c r="T49" s="145" t="str">
        <f aca="false">IF(P49+Q49=0,"",IF(ISNA(R50),"",IF(R50="","",VLOOKUP(R50,Para1!$D$67:$G$79,4,0)*(IF(P49+Q49=1,0.5,1)))))</f>
        <v/>
      </c>
      <c r="U49" s="145" t="str">
        <f aca="false">IF(SUM(S49:T49)&gt;0,K49,"")</f>
        <v/>
      </c>
      <c r="V49" s="145" t="str">
        <f aca="false">IF(SUM(S49:T49)&gt;0,L49,"")</f>
        <v/>
      </c>
      <c r="W49" s="145" t="n">
        <f aca="false">IF(S49=0,P49+Q49,0)</f>
        <v>0</v>
      </c>
    </row>
    <row r="50" customFormat="false" ht="16.5" hidden="false" customHeight="true" outlineLevel="0" collapsed="false">
      <c r="A50" s="200" t="s">
        <v>47</v>
      </c>
      <c r="B50" s="297" t="str">
        <f aca="false">IF(B49=Para1!$F$153,Para1!$F$109,IF(B49=Para1!$F$109,Para1!$F$148,IF(B49=Para1!$F$148,Para1!$F$111,IF(B49=Para1!$F$111,Para1!$F$120,IF(B49=Para1!$F$120,Para1!$F$170,IF(B49=Para1!$F$170,Para1!$F$173,Para1!$F$153))))))</f>
        <v>Thu</v>
      </c>
      <c r="C50" s="186"/>
      <c r="D50" s="329"/>
      <c r="E50" s="316"/>
      <c r="F50" s="205"/>
      <c r="G50" s="204"/>
      <c r="H50" s="204"/>
      <c r="I50" s="206"/>
      <c r="J50" s="330"/>
      <c r="K50" s="208"/>
      <c r="L50" s="209"/>
      <c r="M50" s="210"/>
      <c r="N50" s="195"/>
      <c r="O50" s="145"/>
      <c r="P50" s="262" t="n">
        <f aca="false">P43</f>
        <v>1</v>
      </c>
      <c r="Q50" s="262" t="n">
        <f aca="false">Q43</f>
        <v>1</v>
      </c>
      <c r="R50" s="145" t="e">
        <f aca="false">IF(VLOOKUP(A50,Para1!$B$67:$E$72,2,0)="10.",VLOOKUP(A50,Para1!$B$67:$E$72,3,0),"")</f>
        <v>#N/A</v>
      </c>
      <c r="S50" s="145" t="str">
        <f aca="false">IF((P50+Q50)=0,"",IF(ISNA(R50),"",IF(R50="","",VLOOKUP(R50,Para1!$D$67:$G$79,3,0)*(IF(P50+Q50=1,0.5,1)))))</f>
        <v/>
      </c>
      <c r="T50" s="145" t="str">
        <f aca="false">IF(P50+Q50=0,"",IF(ISNA(R51),"",IF(R51="","",VLOOKUP(R51,Para1!$D$67:$G$79,4,0)*(IF(P50+Q50=1,0.5,1)))))</f>
        <v/>
      </c>
      <c r="U50" s="145" t="str">
        <f aca="false">IF(SUM(S50:T50)&gt;0,K50,"")</f>
        <v/>
      </c>
      <c r="V50" s="145" t="str">
        <f aca="false">IF(SUM(S50:T50)&gt;0,L50,"")</f>
        <v/>
      </c>
      <c r="W50" s="145" t="n">
        <f aca="false">IF(S50=0,P50+Q50,0)</f>
        <v>0</v>
      </c>
    </row>
    <row r="51" customFormat="false" ht="16.5" hidden="false" customHeight="true" outlineLevel="0" collapsed="false">
      <c r="A51" s="200" t="s">
        <v>48</v>
      </c>
      <c r="B51" s="297" t="str">
        <f aca="false">IF(B50=Para1!$F$153,Para1!$F$109,IF(B50=Para1!$F$109,Para1!$F$148,IF(B50=Para1!$F$148,Para1!$F$111,IF(B50=Para1!$F$111,Para1!$F$120,IF(B50=Para1!$F$120,Para1!$F$170,IF(B50=Para1!$F$170,Para1!$F$173,Para1!$F$153))))))</f>
        <v>Fri</v>
      </c>
      <c r="C51" s="202"/>
      <c r="D51" s="329"/>
      <c r="E51" s="316"/>
      <c r="F51" s="205"/>
      <c r="G51" s="204"/>
      <c r="H51" s="204"/>
      <c r="I51" s="206"/>
      <c r="J51" s="330"/>
      <c r="K51" s="208"/>
      <c r="L51" s="209"/>
      <c r="M51" s="210"/>
      <c r="N51" s="195"/>
      <c r="O51" s="145"/>
      <c r="P51" s="217" t="n">
        <f aca="false">P44</f>
        <v>1</v>
      </c>
      <c r="Q51" s="259" t="n">
        <f aca="false">Q44</f>
        <v>1</v>
      </c>
      <c r="R51" s="145" t="e">
        <f aca="false">IF(VLOOKUP(A51,Para1!$B$67:$E$72,2,0)="10.",VLOOKUP(A51,Para1!$B$67:$E$72,3,0),"")</f>
        <v>#N/A</v>
      </c>
      <c r="S51" s="145" t="str">
        <f aca="false">IF((P51+Q51)=0,"",IF(ISNA(R51),"",IF(R51="","",VLOOKUP(R51,Para1!$D$67:$G$79,3,0)*(IF(P51+Q51=1,0.5,1)))))</f>
        <v/>
      </c>
      <c r="T51" s="145" t="str">
        <f aca="false">IF(P51+Q51=0,"",IF(ISNA(R52),"",IF(R52="","",VLOOKUP(R52,Para1!$D$67:$G$79,4,0)*(IF(P51+Q51=1,0.5,1)))))</f>
        <v/>
      </c>
      <c r="U51" s="145" t="str">
        <f aca="false">IF(SUM(S51:T51)&gt;0,K51,"")</f>
        <v/>
      </c>
      <c r="V51" s="145" t="str">
        <f aca="false">IF(SUM(S51:T51)&gt;0,L51,"")</f>
        <v/>
      </c>
      <c r="W51" s="145" t="n">
        <f aca="false">IF(S51=0,P51+Q51,0)</f>
        <v>0</v>
      </c>
    </row>
    <row r="52" customFormat="false" ht="16.5" hidden="false" customHeight="true" outlineLevel="0" collapsed="false">
      <c r="A52" s="200" t="s">
        <v>49</v>
      </c>
      <c r="B52" s="297" t="str">
        <f aca="false">IF(B51=Para1!$F$153,Para1!$F$109,IF(B51=Para1!$F$109,Para1!$F$148,IF(B51=Para1!$F$148,Para1!$F$111,IF(B51=Para1!$F$111,Para1!$F$120,IF(B51=Para1!$F$120,Para1!$F$170,IF(B51=Para1!$F$170,Para1!$F$173,Para1!$F$153))))))</f>
        <v>Sat</v>
      </c>
      <c r="C52" s="202"/>
      <c r="D52" s="329"/>
      <c r="E52" s="316"/>
      <c r="F52" s="205"/>
      <c r="G52" s="204"/>
      <c r="H52" s="204"/>
      <c r="I52" s="206"/>
      <c r="J52" s="330"/>
      <c r="K52" s="208"/>
      <c r="L52" s="209"/>
      <c r="M52" s="210"/>
      <c r="N52" s="195"/>
      <c r="O52" s="145"/>
      <c r="P52" s="217" t="n">
        <f aca="false">P45</f>
        <v>0</v>
      </c>
      <c r="Q52" s="259" t="n">
        <f aca="false">Q45</f>
        <v>0</v>
      </c>
      <c r="R52" s="145" t="e">
        <f aca="false">IF(VLOOKUP(A52,Para1!$B$67:$E$72,2,0)="10.",VLOOKUP(A52,Para1!$B$67:$E$72,3,0),"")</f>
        <v>#N/A</v>
      </c>
      <c r="S52" s="145" t="str">
        <f aca="false">IF((P52+Q52)=0,"",IF(ISNA(R52),"",IF(R52="","",VLOOKUP(R52,Para1!$D$67:$G$79,3,0)*(IF(P52+Q52=1,0.5,1)))))</f>
        <v/>
      </c>
      <c r="T52" s="145" t="str">
        <f aca="false">IF(P52+Q52=0,"",IF(ISNA(R53),"",IF(R53="","",VLOOKUP(R53,Para1!$D$67:$G$79,4,0)*(IF(P52+Q52=1,0.5,1)))))</f>
        <v/>
      </c>
      <c r="U52" s="145" t="str">
        <f aca="false">IF(SUM(S52:T52)&gt;0,K52,"")</f>
        <v/>
      </c>
      <c r="V52" s="145" t="str">
        <f aca="false">IF(SUM(S52:T52)&gt;0,L52,"")</f>
        <v/>
      </c>
      <c r="W52" s="145" t="n">
        <f aca="false">IF(S52=0,P52+Q52,0)</f>
        <v>0</v>
      </c>
    </row>
    <row r="53" customFormat="false" ht="17" hidden="false" customHeight="true" outlineLevel="0" collapsed="false">
      <c r="A53" s="200" t="s">
        <v>50</v>
      </c>
      <c r="B53" s="297" t="str">
        <f aca="false">IF(B52=Para1!$F$153,Para1!$F$109,IF(B52=Para1!$F$109,Para1!$F$148,IF(B52=Para1!$F$148,Para1!$F$111,IF(B52=Para1!$F$111,Para1!$F$120,IF(B52=Para1!$F$120,Para1!$F$170,IF(B52=Para1!$F$170,Para1!$F$173,Para1!$F$153))))))</f>
        <v>Sun</v>
      </c>
      <c r="C53" s="202"/>
      <c r="D53" s="329"/>
      <c r="E53" s="316"/>
      <c r="F53" s="205"/>
      <c r="G53" s="204"/>
      <c r="H53" s="204"/>
      <c r="I53" s="206"/>
      <c r="J53" s="330"/>
      <c r="K53" s="331"/>
      <c r="L53" s="313"/>
      <c r="M53" s="210"/>
      <c r="N53" s="195"/>
      <c r="O53" s="145"/>
      <c r="P53" s="221" t="n">
        <f aca="false">P46</f>
        <v>0</v>
      </c>
      <c r="Q53" s="289" t="n">
        <f aca="false">Q46</f>
        <v>0</v>
      </c>
      <c r="R53" s="145" t="e">
        <f aca="false">IF(VLOOKUP(A53,Para1!$B$67:$E$72,2,0)="10.",VLOOKUP(A53,Para1!$B$67:$E$72,3,0),"")</f>
        <v>#N/A</v>
      </c>
      <c r="S53" s="145" t="str">
        <f aca="false">IF((P53+Q53)=0,"",IF(ISNA(R53),"",IF(R53="","",VLOOKUP(R53,Para1!$D$67:$G$79,3,0)*(IF(P53+Q53=1,0.5,1)))))</f>
        <v/>
      </c>
      <c r="T53" s="145" t="str">
        <f aca="false">IF(P53+Q53=0,"",IF(ISNA(November!R23),"",IF(November!R23="","",VLOOKUP(November!R23,Para1!$D$67:$G$79,4,0)*(IF(P53+Q53=1,0.5,1)))))</f>
        <v/>
      </c>
      <c r="U53" s="145" t="str">
        <f aca="false">IF(SUM(S53:T53)&gt;0,K53,"")</f>
        <v/>
      </c>
      <c r="V53" s="145" t="str">
        <f aca="false">IF(SUM(S53:T53)&gt;0,L53,"")</f>
        <v/>
      </c>
      <c r="W53" s="145" t="n">
        <f aca="false">IF(S53=0,P53+Q53,0)</f>
        <v>0</v>
      </c>
    </row>
    <row r="54" customFormat="false" ht="15" hidden="false" customHeight="false" outlineLevel="0" collapsed="false">
      <c r="A54" s="223"/>
      <c r="B54" s="197"/>
      <c r="C54" s="133"/>
      <c r="D54" s="332" t="n">
        <f aca="false">SUM(D23:D53)</f>
        <v>0</v>
      </c>
      <c r="E54" s="290" t="n">
        <f aca="false">SUM(E23:E53)</f>
        <v>0</v>
      </c>
      <c r="F54" s="225" t="n">
        <f aca="false">SUM(F23:F53)</f>
        <v>0</v>
      </c>
      <c r="G54" s="225" t="n">
        <f aca="false">SUM(G23:G53)</f>
        <v>0</v>
      </c>
      <c r="H54" s="225" t="n">
        <f aca="false">SUM(H23:H53)</f>
        <v>0</v>
      </c>
      <c r="I54" s="226" t="n">
        <f aca="false">SUM(I23:I53)</f>
        <v>0</v>
      </c>
      <c r="J54" s="282"/>
      <c r="P54" s="229" t="str">
        <f aca="false">Para1!F174&amp;" "&amp;Para1!F168</f>
        <v>balance due / half-day</v>
      </c>
      <c r="Q54" s="229"/>
      <c r="R54" s="145" t="n">
        <f aca="false">SUM(W23:W53)</f>
        <v>0</v>
      </c>
      <c r="S54" s="145" t="n">
        <f aca="false">SUM(S23:S53)</f>
        <v>0</v>
      </c>
      <c r="T54" s="145" t="n">
        <f aca="false">SUM(T23:T53)</f>
        <v>0</v>
      </c>
    </row>
    <row r="55" customFormat="false" ht="15" hidden="false" customHeight="false" outlineLevel="0" collapsed="false">
      <c r="A55" s="283"/>
      <c r="B55" s="284"/>
      <c r="C55" s="284"/>
      <c r="D55" s="334" t="n">
        <f aca="false">D54*24</f>
        <v>0</v>
      </c>
      <c r="E55" s="292" t="n">
        <f aca="false">E54*24</f>
        <v>0</v>
      </c>
      <c r="F55" s="231" t="n">
        <f aca="false">F54*24</f>
        <v>0</v>
      </c>
      <c r="G55" s="231" t="n">
        <f aca="false">G54*24</f>
        <v>0</v>
      </c>
      <c r="H55" s="231" t="n">
        <f aca="false">H54*24</f>
        <v>0</v>
      </c>
      <c r="I55" s="232" t="n">
        <f aca="false">I54*24</f>
        <v>0</v>
      </c>
      <c r="J55" s="285"/>
      <c r="M55" s="235" t="str">
        <f aca="false">Para1!G2</f>
        <v>AE v1_01 02.12.2021</v>
      </c>
      <c r="P55" s="236" t="n">
        <f aca="false">(Para1!I60/100*$G$3+((S54+T54)/100*$G$3))/(SUM(P23:Q53)-R54)/24</f>
        <v>0.175</v>
      </c>
      <c r="Q55" s="236"/>
    </row>
    <row r="56" customFormat="false" ht="15" hidden="false" customHeight="false" outlineLevel="0" collapsed="false">
      <c r="D56" s="117"/>
      <c r="K56" s="133"/>
      <c r="Q56" s="133"/>
      <c r="R56" s="133"/>
      <c r="S56" s="133"/>
      <c r="T56" s="133"/>
      <c r="U56" s="133"/>
      <c r="V56" s="133"/>
      <c r="W56" s="133"/>
      <c r="X56" s="133"/>
      <c r="Y56" s="133"/>
      <c r="Z56" s="133"/>
      <c r="AA56" s="133"/>
    </row>
    <row r="57" customFormat="false" ht="22.5" hidden="false" customHeight="true" outlineLevel="0" collapsed="false">
      <c r="A57" s="237" t="str">
        <f aca="false">Para1!F106</f>
        <v>date</v>
      </c>
      <c r="B57" s="238"/>
      <c r="C57" s="238"/>
      <c r="D57" s="239"/>
      <c r="E57" s="238"/>
      <c r="F57" s="240" t="str">
        <f aca="false">Para1!F191&amp;" "&amp;Para1!F152</f>
        <v>signature employee</v>
      </c>
      <c r="G57" s="238"/>
      <c r="H57" s="241"/>
      <c r="I57" s="241"/>
      <c r="J57" s="241"/>
      <c r="K57" s="241"/>
      <c r="L57" s="241"/>
      <c r="Q57" s="133"/>
      <c r="R57" s="133"/>
      <c r="S57" s="133"/>
      <c r="T57" s="242"/>
      <c r="U57" s="237"/>
      <c r="V57" s="133"/>
      <c r="W57" s="133"/>
      <c r="X57" s="133"/>
      <c r="Y57" s="286"/>
      <c r="Z57" s="133"/>
      <c r="AA57" s="133"/>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row r="60" customFormat="false" ht="14" hidden="false" customHeight="false" outlineLevel="0" collapsed="false">
      <c r="D60" s="117"/>
    </row>
    <row r="61" customFormat="false" ht="22.5" hidden="false" customHeight="true" outlineLevel="0" collapsed="false">
      <c r="A61" s="247"/>
      <c r="B61" s="238"/>
      <c r="C61" s="238"/>
      <c r="D61" s="248"/>
      <c r="E61" s="249"/>
      <c r="F61" s="248"/>
      <c r="G61" s="242"/>
      <c r="I61" s="134"/>
      <c r="J61" s="250"/>
      <c r="L61" s="250"/>
      <c r="M61" s="238"/>
      <c r="Q61" s="24"/>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3">
    <cfRule type="expression" priority="2" aboveAverage="0" equalAverage="0" bottom="0" percent="0" rank="0" text="" dxfId="64">
      <formula>$P23+$Q23=0</formula>
    </cfRule>
    <cfRule type="expression" priority="3" aboveAverage="0" equalAverage="0" bottom="0" percent="0" rank="0" text="" dxfId="65">
      <formula>$S23=0</formula>
    </cfRule>
  </conditionalFormatting>
  <conditionalFormatting sqref="D23:I53">
    <cfRule type="expression" priority="4" aboveAverage="0" equalAverage="0" bottom="0" percent="0" rank="0" text="" dxfId="66">
      <formula>$P23+$Q23=1</formula>
    </cfRule>
    <cfRule type="expression" priority="5" aboveAverage="0" equalAverage="0" bottom="0" percent="0" rank="0" text="" dxfId="67">
      <formula>$P23+$Q23=0</formula>
    </cfRule>
  </conditionalFormatting>
  <conditionalFormatting sqref="D23:I53 K23:L53 P23:Q53">
    <cfRule type="expression" priority="6" aboveAverage="0" equalAverage="0" bottom="0" percent="0" rank="0" text="" dxfId="68">
      <formula>$S23=0</formula>
    </cfRule>
  </conditionalFormatting>
  <conditionalFormatting sqref="K23:K53 P23:P53">
    <cfRule type="expression" priority="7" aboveAverage="0" equalAverage="0" bottom="0" percent="0" rank="0" text="" dxfId="69">
      <formula>$P23=0</formula>
    </cfRule>
  </conditionalFormatting>
  <conditionalFormatting sqref="L23:L53 Q23:Q53">
    <cfRule type="expression" priority="8" aboveAverage="0" equalAverage="0" bottom="0" percent="0" rank="0" text="" dxfId="70">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09722222222222" right="0.379861111111111"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61"/>
  <sheetViews>
    <sheetView showFormulas="false" showGridLines="false" showRowColHeaders="true" showZeros="true" rightToLeft="false" tabSelected="false" showOutlineSymbols="true" defaultGridColor="true" view="normal" topLeftCell="A13" colorId="64" zoomScale="85" zoomScaleNormal="85" zoomScalePageLayoutView="100" workbookViewId="0">
      <selection pane="topLeft" activeCell="A1" activeCellId="0" sqref="A1"/>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4" min="4" style="238" width="12.66"/>
    <col collapsed="false" customWidth="true" hidden="false" outlineLevel="0" max="7" min="5" style="117" width="12.66"/>
    <col collapsed="false" customWidth="true" hidden="false" outlineLevel="0" max="8" min="8" style="145" width="12.66"/>
    <col collapsed="false" customWidth="true" hidden="false" outlineLevel="0" max="9" min="9" style="117" width="12.66"/>
    <col collapsed="false" customWidth="true" hidden="false" outlineLevel="0" max="10" min="10" style="117" width="2.84"/>
    <col collapsed="false" customWidth="true" hidden="false" outlineLevel="0" max="12" min="11" style="117"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2"/>
    <col collapsed="false" customWidth="false" hidden="false" outlineLevel="0" max="1024" min="24" style="117" width="11.5"/>
  </cols>
  <sheetData>
    <row r="1" s="117" customFormat="tru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I1" s="24"/>
      <c r="J1" s="121"/>
      <c r="K1" s="121" t="str">
        <f aca="false">Para1!F133</f>
        <v>year of birth (4-digit):</v>
      </c>
      <c r="L1" s="122" t="n">
        <f aca="false">'Jahresübersicht (Overview)'!K2</f>
        <v>1994</v>
      </c>
    </row>
    <row r="2" customFormat="false" ht="6" hidden="false" customHeight="true" outlineLevel="0" collapsed="false">
      <c r="D2" s="124"/>
      <c r="E2" s="124"/>
      <c r="F2" s="124"/>
      <c r="G2" s="124"/>
      <c r="H2" s="117"/>
      <c r="I2" s="124"/>
      <c r="J2" s="124"/>
      <c r="K2" s="124"/>
      <c r="L2" s="124"/>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(Overview)'!M8</f>
        <v>100</v>
      </c>
      <c r="H3" s="117" t="s">
        <v>11</v>
      </c>
      <c r="I3" s="24"/>
      <c r="J3" s="119"/>
      <c r="K3" s="126" t="str">
        <f aca="false">Para1!F113</f>
        <v>starting date:</v>
      </c>
      <c r="L3" s="127" t="n">
        <f aca="false">'Jahresübersicht (Overview)'!$G$4</f>
        <v>42688</v>
      </c>
      <c r="M3" s="128"/>
      <c r="N3" s="128"/>
    </row>
    <row r="4" customFormat="false" ht="6" hidden="false" customHeight="true" outlineLevel="0" collapsed="false">
      <c r="A4" s="129"/>
      <c r="B4" s="130"/>
      <c r="C4" s="130"/>
      <c r="D4" s="131"/>
      <c r="E4" s="131"/>
      <c r="F4" s="131"/>
      <c r="G4" s="131"/>
      <c r="H4" s="131"/>
      <c r="I4" s="132"/>
      <c r="J4" s="132"/>
      <c r="K4" s="132"/>
      <c r="L4" s="132"/>
      <c r="M4" s="130"/>
      <c r="N4" s="130"/>
    </row>
    <row r="5" customFormat="false" ht="6" hidden="false" customHeight="true" outlineLevel="0" collapsed="false">
      <c r="D5" s="124"/>
      <c r="E5" s="124"/>
      <c r="F5" s="124"/>
      <c r="G5" s="124"/>
      <c r="H5" s="124"/>
      <c r="I5" s="134"/>
      <c r="J5" s="134"/>
      <c r="K5" s="134"/>
      <c r="L5" s="134"/>
    </row>
    <row r="6" customFormat="false" ht="15" hidden="false" customHeight="true" outlineLevel="0" collapsed="false">
      <c r="D6" s="124"/>
      <c r="E6" s="135"/>
      <c r="F6" s="124"/>
      <c r="G6" s="124"/>
      <c r="H6" s="124"/>
      <c r="I6" s="134"/>
      <c r="J6" s="134"/>
      <c r="K6" s="134"/>
      <c r="L6" s="134"/>
    </row>
    <row r="7" customFormat="false" ht="15" hidden="false" customHeight="true" outlineLevel="0" collapsed="false">
      <c r="C7" s="136"/>
      <c r="D7" s="126" t="str">
        <f aca="false">Para1!F117</f>
        <v>holiday</v>
      </c>
      <c r="E7" s="137" t="s">
        <v>12</v>
      </c>
      <c r="H7" s="117"/>
      <c r="I7" s="121" t="str">
        <f aca="false">Para1!F83</f>
        <v>absences</v>
      </c>
      <c r="J7" s="117" t="s">
        <v>12</v>
      </c>
      <c r="L7" s="138" t="str">
        <f aca="false">Para1!F84</f>
        <v>curr. mnth</v>
      </c>
      <c r="M7" s="138" t="str">
        <f aca="false">Para1!F195</f>
        <v>last mnth(s)</v>
      </c>
      <c r="N7" s="139" t="str">
        <f aca="false">Para1!F171</f>
        <v>balance</v>
      </c>
    </row>
    <row r="8" customFormat="false" ht="15" hidden="false" customHeight="true" outlineLevel="0" collapsed="false">
      <c r="D8" s="138" t="str">
        <f aca="false">Para1!B171&amp;" "&amp;Para1!B88&amp;" "&amp;Para1!B154</f>
        <v>Saldo Anfang Monat</v>
      </c>
      <c r="E8" s="141" t="n">
        <f aca="false">Oktober!E11</f>
        <v>1.79375</v>
      </c>
      <c r="H8" s="117"/>
      <c r="I8" s="135" t="str">
        <f aca="false">Para1!F141</f>
        <v>illness</v>
      </c>
      <c r="J8" s="142"/>
      <c r="L8" s="143" t="n">
        <f aca="false">D54</f>
        <v>0</v>
      </c>
      <c r="M8" s="143" t="n">
        <f aca="false">Oktober!N8</f>
        <v>0</v>
      </c>
      <c r="N8" s="144" t="n">
        <f aca="false">SUM(L8:M8)</f>
        <v>0</v>
      </c>
    </row>
    <row r="9" customFormat="false" ht="15" hidden="false" customHeight="true" outlineLevel="0" collapsed="false">
      <c r="D9" s="138" t="str">
        <f aca="false">"./. "&amp;Para1!F118</f>
        <v>./. holiday taken</v>
      </c>
      <c r="E9" s="141" t="n">
        <f aca="false">COUNTIF($K$23:$L$53,"f")*$P$55-IF(ISNA(F9),0,((S54+T54)/100*G3)/48)-IF(ISNA(G9),0,((S54+T54)/100*G3)/48)</f>
        <v>0</v>
      </c>
      <c r="F9" s="145" t="e">
        <f aca="false">INDEX(U23:U53,MATCH("f",U23:U53,0))</f>
        <v>#N/A</v>
      </c>
      <c r="G9" s="145" t="e">
        <f aca="false">INDEX(V23:V53,MATCH("f",V23:V53,0))</f>
        <v>#N/A</v>
      </c>
      <c r="H9" s="117"/>
      <c r="I9" s="135" t="str">
        <f aca="false">Para1!F190</f>
        <v>accident</v>
      </c>
      <c r="J9" s="120" t="str">
        <f aca="false">Para1!F99</f>
        <v>work related</v>
      </c>
      <c r="K9" s="120"/>
      <c r="L9" s="143" t="n">
        <f aca="false">E54</f>
        <v>0</v>
      </c>
      <c r="M9" s="143" t="n">
        <f aca="false">Oktober!N9</f>
        <v>0</v>
      </c>
      <c r="N9" s="144" t="n">
        <f aca="false">SUM(L9:M9)</f>
        <v>0</v>
      </c>
    </row>
    <row r="10" customFormat="false" ht="15" hidden="false" customHeight="true" outlineLevel="0" collapsed="false">
      <c r="D10" s="138" t="str">
        <f aca="false">"./ ."&amp;Para1!F119</f>
        <v>./ .reduction of holiday</v>
      </c>
      <c r="E10" s="147" t="n">
        <v>0</v>
      </c>
      <c r="H10" s="117"/>
      <c r="I10" s="135"/>
      <c r="J10" s="120" t="str">
        <f aca="false">Para1!F161&amp;" "&amp;Para1!F100</f>
        <v>not work. rel.</v>
      </c>
      <c r="K10" s="120"/>
      <c r="L10" s="143" t="n">
        <f aca="false">F54</f>
        <v>0</v>
      </c>
      <c r="M10" s="143" t="n">
        <f aca="false">Oktober!N10</f>
        <v>0</v>
      </c>
      <c r="N10" s="144" t="n">
        <f aca="false">SUM(L10:M10)</f>
        <v>0</v>
      </c>
    </row>
    <row r="11" customFormat="false" ht="15" hidden="false" customHeight="true" outlineLevel="0" collapsed="false">
      <c r="B11" s="136"/>
      <c r="C11" s="136"/>
      <c r="D11" s="126" t="str">
        <f aca="false">Para1!F171&amp;" "&amp;Para1!F115&amp;" "&amp;Para1!F154</f>
        <v>balance end of the month</v>
      </c>
      <c r="E11" s="148" t="n">
        <f aca="false">$E$8-$E$9-$E$10</f>
        <v>1.79375</v>
      </c>
      <c r="H11" s="117"/>
      <c r="I11" s="149" t="str">
        <f aca="false">Para1!F142</f>
        <v>short vacation</v>
      </c>
      <c r="L11" s="143" t="n">
        <f aca="false">G54</f>
        <v>0</v>
      </c>
      <c r="M11" s="143" t="n">
        <f aca="false">Oktober!N11</f>
        <v>0</v>
      </c>
      <c r="N11" s="144" t="n">
        <f aca="false">SUM(L11:M11)</f>
        <v>0</v>
      </c>
    </row>
    <row r="12" s="117" customFormat="true" ht="15" hidden="false" customHeight="true" outlineLevel="0" collapsed="false">
      <c r="A12" s="116"/>
      <c r="B12" s="150" t="str">
        <f aca="false">IF((E11*24+(4.2*'Persönliche Daten (pers. data)'!O8/100))&lt;0,Para1!J224,IF(E11&gt;0,"",Para1!J223))</f>
        <v/>
      </c>
      <c r="I12" s="151" t="str">
        <f aca="false">Para1!F198</f>
        <v>training / education</v>
      </c>
      <c r="L12" s="143" t="n">
        <f aca="false">H54</f>
        <v>0</v>
      </c>
      <c r="M12" s="143" t="n">
        <f aca="false">Oktober!N12</f>
        <v>0</v>
      </c>
      <c r="N12" s="144" t="n">
        <f aca="false">SUM(L12:M12)</f>
        <v>0</v>
      </c>
    </row>
    <row r="13" customFormat="false" ht="15" hidden="false" customHeight="true" outlineLevel="0" collapsed="false">
      <c r="B13" s="152" t="str">
        <f aca="false">Para1!F105&amp;" "&amp;Para1!F122&amp;" "&amp;Para1!F83&amp;" in "&amp;Para1!F178&amp;":"</f>
        <v>letters for absences in days:</v>
      </c>
      <c r="C13" s="152"/>
      <c r="D13" s="152"/>
      <c r="E13" s="152"/>
      <c r="H13" s="117"/>
      <c r="I13" s="135" t="str">
        <f aca="false">Para1!F163</f>
        <v>public office</v>
      </c>
      <c r="L13" s="143" t="n">
        <f aca="false">I54</f>
        <v>0</v>
      </c>
      <c r="M13" s="143" t="n">
        <f aca="false">Oktober!N13</f>
        <v>0</v>
      </c>
      <c r="N13" s="144" t="n">
        <f aca="false">SUM(L13:M13)</f>
        <v>0</v>
      </c>
    </row>
    <row r="14" customFormat="false" ht="15" hidden="false" customHeight="true" outlineLevel="0" collapsed="false">
      <c r="B14" s="153" t="s">
        <v>13</v>
      </c>
      <c r="C14" s="154" t="str">
        <f aca="false">Para1!F117</f>
        <v>holiday</v>
      </c>
      <c r="D14" s="154"/>
      <c r="E14" s="154"/>
      <c r="H14" s="117"/>
      <c r="I14" s="155" t="str">
        <f aca="false">Para1!F192</f>
        <v>leave</v>
      </c>
      <c r="J14" s="146" t="str">
        <f aca="false">Para1!F101</f>
        <v>paid</v>
      </c>
      <c r="K14" s="157"/>
      <c r="L14" s="146" t="n">
        <f aca="false">COUNTIF($K$23:$L$53,"b")*$P$55-IF(ISNA(O14),0,(($S$54+$T$54)/100*$G$3)/48)-IF(ISNA(P14),0,(($S$54+$T$54)/100*$G$3)/48)</f>
        <v>0</v>
      </c>
      <c r="M14" s="143" t="n">
        <f aca="false">Oktober!N14</f>
        <v>0</v>
      </c>
      <c r="N14" s="144" t="n">
        <f aca="false">SUM(L14:M14)</f>
        <v>0</v>
      </c>
      <c r="O14" s="145" t="e">
        <f aca="false">INDEX(U23:U53,MATCH("b",U23:U53,0))</f>
        <v>#N/A</v>
      </c>
      <c r="P14" s="145" t="e">
        <f aca="false">INDEX(V23:V53,MATCH("b",V23:V53,0))</f>
        <v>#N/A</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COUNTIF($K$23:$L$53,"u")*$P$55-IF(ISNA(O15),0,(($S$54+$T$54)/100*$G$3)/48)-IF(ISNA(P15),0,(($S$54+$T$54)/100*$G$3)/48)</f>
        <v>0</v>
      </c>
      <c r="M15" s="143" t="n">
        <f aca="false">Oktober!N15</f>
        <v>0</v>
      </c>
      <c r="N15" s="144" t="n">
        <f aca="false">SUM(L15:M15)</f>
        <v>0</v>
      </c>
      <c r="O15" s="145" t="e">
        <f aca="false">INDEX(U23:U53,MATCH("u",U23:U53,0))</f>
        <v>#N/A</v>
      </c>
      <c r="P15" s="145" t="e">
        <f aca="false">INDEX(V23:V53,MATCH("u",V23:V53,0))</f>
        <v>#N/A</v>
      </c>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J16" s="157"/>
      <c r="K16" s="157"/>
      <c r="L16" s="146" t="n">
        <f aca="false">COUNTIF($K$23:$L$53,"m")*$P$55-IF(ISNA(O16),0,(($S$54+$T$54)/100*$G$3)/48)-IF(ISNA(P16),0,(($S$54+$T$54)/100*$G$3)/48)</f>
        <v>0</v>
      </c>
      <c r="M16" s="143" t="n">
        <f aca="false">Oktober!N16</f>
        <v>0</v>
      </c>
      <c r="N16" s="144" t="n">
        <f aca="false">SUM(L16:M16)</f>
        <v>0</v>
      </c>
      <c r="O16" s="145" t="e">
        <f aca="false">INDEX(U23:U53,MATCH("m",U23:U53,0))</f>
        <v>#N/A</v>
      </c>
      <c r="P16" s="145" t="e">
        <f aca="false">INDEX(V23:V53,MATCH("m",V23:V53,0))</f>
        <v>#N/A</v>
      </c>
      <c r="Q16" s="145"/>
    </row>
    <row r="17" customFormat="false" ht="15" hidden="false" customHeight="true" outlineLevel="0" collapsed="false">
      <c r="B17" s="159" t="s">
        <v>16</v>
      </c>
      <c r="C17" s="156" t="str">
        <f aca="false">Para1!F192&amp;" "&amp;Para1!F101</f>
        <v>leave paid</v>
      </c>
      <c r="D17" s="156"/>
      <c r="E17" s="156"/>
      <c r="G17" s="157"/>
      <c r="H17" s="157"/>
      <c r="I17" s="135" t="str">
        <f aca="false">Para1!F150</f>
        <v>military/civil def./civil serv.</v>
      </c>
      <c r="J17" s="24"/>
      <c r="K17" s="24"/>
      <c r="L17" s="146" t="n">
        <f aca="false">COUNTIF($K$23:$L$53,"z")*$P$55-IF(ISNA(O17),0,(($S$54+$T$54)/100*$G$3)/48)-IF(ISNA(P17),0,(($S$54+$T$54)/100*$G$3)/48)</f>
        <v>0</v>
      </c>
      <c r="M17" s="143" t="n">
        <f aca="false">Oktober!N17</f>
        <v>0</v>
      </c>
      <c r="N17" s="144" t="n">
        <f aca="false">SUM(L17:M17)</f>
        <v>0</v>
      </c>
      <c r="O17" s="145" t="e">
        <f aca="false">INDEX(U23:U53,MATCH("z",U23:U53,0))</f>
        <v>#N/A</v>
      </c>
      <c r="P17" s="145" t="e">
        <f aca="false">INDEX(V23:V53,MATCH("z",V23:V53,0))</f>
        <v>#N/A</v>
      </c>
      <c r="Q17" s="145"/>
    </row>
    <row r="18" customFormat="false" ht="15" hidden="false" customHeight="true" outlineLevel="0" collapsed="false">
      <c r="B18" s="159" t="s">
        <v>17</v>
      </c>
      <c r="C18" s="154" t="str">
        <f aca="false">Para1!F192&amp;" "&amp;Para1!F189</f>
        <v>leave unpaid</v>
      </c>
      <c r="D18" s="154"/>
      <c r="E18" s="154"/>
      <c r="H18" s="117"/>
      <c r="I18" s="121" t="str">
        <f aca="false">Para1!F180</f>
        <v>total</v>
      </c>
      <c r="L18" s="160" t="n">
        <f aca="false">SUM(L8:L17)</f>
        <v>0</v>
      </c>
      <c r="M18" s="160" t="n">
        <f aca="false">SUM(M8:M17)</f>
        <v>0</v>
      </c>
      <c r="N18" s="160" t="n">
        <f aca="false">SUM(N8:N17)</f>
        <v>0</v>
      </c>
      <c r="O18" s="145"/>
      <c r="P18" s="145"/>
      <c r="Q18" s="145"/>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row>
    <row r="21" s="136" customFormat="true" ht="18.75" hidden="false" customHeight="true" outlineLevel="0" collapsed="false">
      <c r="A21" s="167" t="n">
        <f aca="true">TODAY()</f>
        <v>42894</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252"/>
      <c r="K21" s="253" t="str">
        <f aca="false">Para1!F194</f>
        <v>morning</v>
      </c>
      <c r="L21" s="175" t="str">
        <f aca="false">Para1!F158</f>
        <v>afternoon</v>
      </c>
      <c r="M21" s="176"/>
      <c r="P21" s="177" t="str">
        <f aca="false">Para1!F194</f>
        <v>morning</v>
      </c>
      <c r="Q21" s="178" t="str">
        <f aca="false">Para1!F158</f>
        <v>afternoon</v>
      </c>
    </row>
    <row r="22" s="136" customFormat="true" ht="15.75" hidden="false" customHeight="true" outlineLevel="0" collapsed="false">
      <c r="A22" s="180" t="str">
        <f aca="false">Para1!F106</f>
        <v>date</v>
      </c>
      <c r="B22" s="180"/>
      <c r="C22" s="181"/>
      <c r="D22" s="169"/>
      <c r="E22" s="170"/>
      <c r="F22" s="171"/>
      <c r="G22" s="170"/>
      <c r="H22" s="170"/>
      <c r="I22" s="172"/>
      <c r="J22" s="254"/>
      <c r="K22" s="253"/>
      <c r="L22" s="175"/>
      <c r="M22" s="183"/>
      <c r="P22" s="177"/>
      <c r="Q22" s="178"/>
    </row>
    <row r="23" customFormat="false" ht="17" hidden="false" customHeight="true" outlineLevel="0" collapsed="false">
      <c r="A23" s="200" t="s">
        <v>18</v>
      </c>
      <c r="B23" s="297" t="str">
        <f aca="false">IF(Oktober!B53=Para1!$F$153,Para1!$F$109,IF(Oktober!B53=Para1!$F$109,Para1!$F$148,IF(Oktober!B53=Para1!$F$148,Para1!$F$111,IF(Oktober!B53=Para1!$F$111,Para1!$F$120,IF(Oktober!B53=Para1!$F$120,Para1!$F$170,IF(Oktober!B53=Para1!$F$170,Para1!$F$173,Para1!$F$153))))))</f>
        <v>Mon</v>
      </c>
      <c r="C23" s="287"/>
      <c r="D23" s="329"/>
      <c r="E23" s="204"/>
      <c r="F23" s="205"/>
      <c r="G23" s="204"/>
      <c r="H23" s="204"/>
      <c r="I23" s="206"/>
      <c r="J23" s="330"/>
      <c r="K23" s="208"/>
      <c r="L23" s="209"/>
      <c r="M23" s="194"/>
      <c r="N23" s="195"/>
      <c r="O23" s="145"/>
      <c r="P23" s="257" t="n">
        <f aca="false">Oktober!P47</f>
        <v>1</v>
      </c>
      <c r="Q23" s="257" t="n">
        <f aca="false">Oktober!Q47</f>
        <v>1</v>
      </c>
      <c r="R23" s="145" t="e">
        <f aca="false">IF(VLOOKUP(A23,Para1!$B$67:$E$72,2,0)="11.",VLOOKUP(A23,Para1!$B$67:$E$72,3,0),"")</f>
        <v>#N/A</v>
      </c>
      <c r="S23" s="145" t="str">
        <f aca="false">IF((P23+Q23)=0,"",IF(ISNA(R23),"",IF(R23="","",VLOOKUP(R23,Para1!$D$67:$G$79,3,0)*(IF(P23+Q23=1,0.5,1)))))</f>
        <v/>
      </c>
      <c r="T23" s="145" t="str">
        <f aca="false">IF(P23+Q23=0,"",IF(ISNA(R24),"",IF(R24="","",VLOOKUP(R24,Para1!$D$67:$G$79,4,0)*(IF(P23+Q23=1,0.5,1)))))</f>
        <v/>
      </c>
      <c r="U23" s="145" t="str">
        <f aca="false">IF(SUM(S23:T23)&gt;0,K23,"")</f>
        <v/>
      </c>
      <c r="V23" s="145" t="str">
        <f aca="false">IF(SUM(S23:T23)&gt;0,L23,"")</f>
        <v/>
      </c>
      <c r="W23" s="145" t="n">
        <f aca="false">IF(S23=0,P23+Q23,0)</f>
        <v>0</v>
      </c>
    </row>
    <row r="24" customFormat="false" ht="17" hidden="false" customHeight="true" outlineLevel="0" collapsed="false">
      <c r="A24" s="200" t="s">
        <v>20</v>
      </c>
      <c r="B24" s="297" t="str">
        <f aca="false">IF(B23=Para1!$F$153,Para1!$F$109,IF(B23=Para1!$F$109,Para1!$F$148,IF(B23=Para1!$F$148,Para1!$F$111,IF(B23=Para1!$F$111,Para1!$F$120,IF(B23=Para1!$F$120,Para1!$F$170,IF(B23=Para1!$F$170,Para1!$F$173,Para1!$F$153))))))</f>
        <v>Tue</v>
      </c>
      <c r="C24" s="287"/>
      <c r="D24" s="329"/>
      <c r="E24" s="204"/>
      <c r="F24" s="205"/>
      <c r="G24" s="204"/>
      <c r="H24" s="204"/>
      <c r="I24" s="206"/>
      <c r="J24" s="330"/>
      <c r="K24" s="208"/>
      <c r="L24" s="209"/>
      <c r="M24" s="194"/>
      <c r="N24" s="195"/>
      <c r="O24" s="145"/>
      <c r="P24" s="257" t="n">
        <f aca="false">Oktober!P48</f>
        <v>1</v>
      </c>
      <c r="Q24" s="257" t="n">
        <f aca="false">Oktober!Q48</f>
        <v>1</v>
      </c>
      <c r="R24" s="145" t="str">
        <f aca="false">IF(VLOOKUP(A24,Para1!$B$67:$E$72,2,0)="11.",VLOOKUP(A24,Para1!$B$67:$E$72,3,0),"")</f>
        <v/>
      </c>
      <c r="S24" s="145" t="str">
        <f aca="false">IF((P24+Q24)=0,"",IF(ISNA(R24),"",IF(R24="","",VLOOKUP(R24,Para1!$D$67:$G$79,3,0)*(IF(P24+Q24=1,0.5,1)))))</f>
        <v/>
      </c>
      <c r="T24" s="145" t="str">
        <f aca="false">IF(P24+Q24=0,"",IF(ISNA(R25),"",IF(R25="","",VLOOKUP(R25,Para1!$D$67:$G$79,4,0)*(IF(P24+Q24=1,0.5,1)))))</f>
        <v/>
      </c>
      <c r="U24" s="145" t="str">
        <f aca="false">IF(SUM(S24:T24)&gt;0,K24,"")</f>
        <v/>
      </c>
      <c r="V24" s="145" t="str">
        <f aca="false">IF(SUM(S24:T24)&gt;0,L24,"")</f>
        <v/>
      </c>
      <c r="W24" s="145" t="n">
        <f aca="false">IF(S24=0,P24+Q24,0)</f>
        <v>0</v>
      </c>
    </row>
    <row r="25" customFormat="false" ht="17" hidden="false" customHeight="true" outlineLevel="0" collapsed="false">
      <c r="A25" s="200" t="s">
        <v>22</v>
      </c>
      <c r="B25" s="297" t="str">
        <f aca="false">IF(B24=Para1!$F$153,Para1!$F$109,IF(B24=Para1!$F$109,Para1!$F$148,IF(B24=Para1!$F$148,Para1!$F$111,IF(B24=Para1!$F$111,Para1!$F$120,IF(B24=Para1!$F$120,Para1!$F$170,IF(B24=Para1!$F$170,Para1!$F$173,Para1!$F$153))))))</f>
        <v>Wed</v>
      </c>
      <c r="C25" s="337"/>
      <c r="D25" s="329"/>
      <c r="E25" s="204"/>
      <c r="F25" s="205"/>
      <c r="G25" s="204"/>
      <c r="H25" s="204"/>
      <c r="I25" s="206"/>
      <c r="J25" s="330"/>
      <c r="K25" s="208"/>
      <c r="L25" s="209"/>
      <c r="M25" s="210"/>
      <c r="N25" s="195"/>
      <c r="O25" s="145"/>
      <c r="P25" s="257" t="n">
        <f aca="false">Oktober!P49</f>
        <v>1</v>
      </c>
      <c r="Q25" s="257" t="n">
        <f aca="false">Oktober!Q49</f>
        <v>1</v>
      </c>
      <c r="R25" s="145" t="e">
        <f aca="false">IF(VLOOKUP(A25,Para1!$B$67:$E$72,2,0)="11.",VLOOKUP(A25,Para1!$B$67:$E$72,3,0),"")</f>
        <v>#N/A</v>
      </c>
      <c r="S25" s="145" t="str">
        <f aca="false">IF((P25+Q25)=0,"",IF(ISNA(R25),"",IF(R25="","",VLOOKUP(R25,Para1!$D$67:$G$79,3,0)*(IF(P25+Q25=1,0.5,1)))))</f>
        <v/>
      </c>
      <c r="T25" s="145" t="str">
        <f aca="false">IF(P25+Q25=0,"",IF(ISNA(R26),"",IF(R26="","",VLOOKUP(R26,Para1!$D$67:$G$79,4,0)*(IF(P25+Q25=1,0.5,1)))))</f>
        <v/>
      </c>
      <c r="U25" s="145" t="str">
        <f aca="false">IF(SUM(S25:T25)&gt;0,K25,"")</f>
        <v/>
      </c>
      <c r="V25" s="145" t="str">
        <f aca="false">IF(SUM(S25:T25)&gt;0,L25,"")</f>
        <v/>
      </c>
      <c r="W25" s="145" t="n">
        <f aca="false">IF(S25=0,P25+Q25,0)</f>
        <v>0</v>
      </c>
    </row>
    <row r="26" customFormat="false" ht="17" hidden="false" customHeight="true" outlineLevel="0" collapsed="false">
      <c r="A26" s="200" t="s">
        <v>23</v>
      </c>
      <c r="B26" s="297" t="str">
        <f aca="false">IF(B25=Para1!$F$153,Para1!$F$109,IF(B25=Para1!$F$109,Para1!$F$148,IF(B25=Para1!$F$148,Para1!$F$111,IF(B25=Para1!$F$111,Para1!$F$120,IF(B25=Para1!$F$120,Para1!$F$170,IF(B25=Para1!$F$170,Para1!$F$173,Para1!$F$153))))))</f>
        <v>Thu</v>
      </c>
      <c r="C26" s="186"/>
      <c r="D26" s="329"/>
      <c r="E26" s="204"/>
      <c r="F26" s="205"/>
      <c r="G26" s="204"/>
      <c r="H26" s="204"/>
      <c r="I26" s="206"/>
      <c r="J26" s="330"/>
      <c r="K26" s="208"/>
      <c r="L26" s="209"/>
      <c r="M26" s="210"/>
      <c r="N26" s="195"/>
      <c r="O26" s="145"/>
      <c r="P26" s="257" t="n">
        <f aca="false">Oktober!P50</f>
        <v>1</v>
      </c>
      <c r="Q26" s="257" t="n">
        <f aca="false">Oktober!Q50</f>
        <v>1</v>
      </c>
      <c r="R26" s="145" t="str">
        <f aca="false">IF(VLOOKUP(A26,Para1!$B$67:$E$72,2,0)="11.",VLOOKUP(A26,Para1!$B$67:$E$72,3,0),"")</f>
        <v/>
      </c>
      <c r="S26" s="145" t="str">
        <f aca="false">IF((P26+Q26)=0,"",IF(ISNA(R26),"",IF(R26="","",VLOOKUP(R26,Para1!$D$67:$G$79,3,0)*(IF(P26+Q26=1,0.5,1)))))</f>
        <v/>
      </c>
      <c r="T26" s="145" t="str">
        <f aca="false">IF(P26+Q26=0,"",IF(ISNA(R27),"",IF(R27="","",VLOOKUP(R27,Para1!$D$67:$G$79,4,0)*(IF(P26+Q26=1,0.5,1)))))</f>
        <v/>
      </c>
      <c r="U26" s="145" t="str">
        <f aca="false">IF(SUM(S26:T26)&gt;0,K26,"")</f>
        <v/>
      </c>
      <c r="V26" s="145" t="str">
        <f aca="false">IF(SUM(S26:T26)&gt;0,L26,"")</f>
        <v/>
      </c>
      <c r="W26" s="145" t="n">
        <f aca="false">IF(S26=0,P26+Q26,0)</f>
        <v>0</v>
      </c>
    </row>
    <row r="27" customFormat="false" ht="17" hidden="false" customHeight="true" outlineLevel="0" collapsed="false">
      <c r="A27" s="200" t="s">
        <v>24</v>
      </c>
      <c r="B27" s="297" t="str">
        <f aca="false">IF(B26=Para1!$F$153,Para1!$F$109,IF(B26=Para1!$F$109,Para1!$F$148,IF(B26=Para1!$F$148,Para1!$F$111,IF(B26=Para1!$F$111,Para1!$F$120,IF(B26=Para1!$F$120,Para1!$F$170,IF(B26=Para1!$F$170,Para1!$F$173,Para1!$F$153))))))</f>
        <v>Fri</v>
      </c>
      <c r="C27" s="202"/>
      <c r="D27" s="329"/>
      <c r="E27" s="204"/>
      <c r="F27" s="205"/>
      <c r="G27" s="204"/>
      <c r="H27" s="204"/>
      <c r="I27" s="206"/>
      <c r="J27" s="330"/>
      <c r="K27" s="208"/>
      <c r="L27" s="209"/>
      <c r="M27" s="210"/>
      <c r="N27" s="195"/>
      <c r="O27" s="145"/>
      <c r="P27" s="257" t="n">
        <f aca="false">Oktober!P51</f>
        <v>1</v>
      </c>
      <c r="Q27" s="257" t="n">
        <f aca="false">Oktober!Q51</f>
        <v>1</v>
      </c>
      <c r="R27" s="145" t="str">
        <f aca="false">IF(VLOOKUP(A27,Para1!$B$67:$E$72,2,0)="11.",VLOOKUP(A27,Para1!$B$67:$E$72,3,0),"")</f>
        <v/>
      </c>
      <c r="S27" s="145" t="str">
        <f aca="false">IF((P27+Q27)=0,"",IF(ISNA(R27),"",IF(R27="","",VLOOKUP(R27,Para1!$D$67:$G$79,3,0)*(IF(P27+Q27=1,0.5,1)))))</f>
        <v/>
      </c>
      <c r="T27" s="145" t="str">
        <f aca="false">IF(P27+Q27=0,"",IF(ISNA(R28),"",IF(R28="","",VLOOKUP(R28,Para1!$D$67:$G$79,4,0)*(IF(P27+Q27=1,0.5,1)))))</f>
        <v/>
      </c>
      <c r="U27" s="145" t="str">
        <f aca="false">IF(SUM(S27:T27)&gt;0,K27,"")</f>
        <v/>
      </c>
      <c r="V27" s="145" t="str">
        <f aca="false">IF(SUM(S27:T27)&gt;0,L27,"")</f>
        <v/>
      </c>
      <c r="W27" s="145" t="n">
        <f aca="false">IF(S27=0,P27+Q27,0)</f>
        <v>0</v>
      </c>
    </row>
    <row r="28" s="258" customFormat="true" ht="17" hidden="false" customHeight="true" outlineLevel="0" collapsed="false">
      <c r="A28" s="200" t="s">
        <v>25</v>
      </c>
      <c r="B28" s="297" t="str">
        <f aca="false">IF(B27=Para1!$F$153,Para1!$F$109,IF(B27=Para1!$F$109,Para1!$F$148,IF(B27=Para1!$F$148,Para1!$F$111,IF(B27=Para1!$F$111,Para1!$F$120,IF(B27=Para1!$F$120,Para1!$F$170,IF(B27=Para1!$F$170,Para1!$F$173,Para1!$F$153))))))</f>
        <v>Sat</v>
      </c>
      <c r="C28" s="287"/>
      <c r="D28" s="329"/>
      <c r="E28" s="204"/>
      <c r="F28" s="205"/>
      <c r="G28" s="204"/>
      <c r="H28" s="204"/>
      <c r="I28" s="206"/>
      <c r="J28" s="330"/>
      <c r="K28" s="208"/>
      <c r="L28" s="209"/>
      <c r="M28" s="210"/>
      <c r="N28" s="195"/>
      <c r="O28" s="145"/>
      <c r="P28" s="257" t="n">
        <f aca="false">Oktober!P52</f>
        <v>0</v>
      </c>
      <c r="Q28" s="257" t="n">
        <f aca="false">Oktober!Q52</f>
        <v>0</v>
      </c>
      <c r="R28" s="145" t="e">
        <f aca="false">IF(VLOOKUP(A28,Para1!$B$67:$E$72,2,0)="11.",VLOOKUP(A28,Para1!$B$67:$E$72,3,0),"")</f>
        <v>#N/A</v>
      </c>
      <c r="S28" s="145" t="str">
        <f aca="false">IF((P28+Q28)=0,"",IF(ISNA(R28),"",IF(R28="","",VLOOKUP(R28,Para1!$D$67:$G$79,3,0)*(IF(P28+Q28=1,0.5,1)))))</f>
        <v/>
      </c>
      <c r="T28" s="145" t="str">
        <f aca="false">IF(P28+Q28=0,"",IF(ISNA(R29),"",IF(R29="","",VLOOKUP(R29,Para1!$D$67:$G$79,4,0)*(IF(P28+Q28=1,0.5,1)))))</f>
        <v/>
      </c>
      <c r="U28" s="145" t="str">
        <f aca="false">IF(SUM(S28:T28)&gt;0,K28,"")</f>
        <v/>
      </c>
      <c r="V28" s="145" t="str">
        <f aca="false">IF(SUM(S28:T28)&gt;0,L28,"")</f>
        <v/>
      </c>
      <c r="W28" s="145" t="n">
        <f aca="false">IF(S28=0,P28+Q28,0)</f>
        <v>0</v>
      </c>
    </row>
    <row r="29" s="258" customFormat="true" ht="17" hidden="false" customHeight="true" outlineLevel="0" collapsed="false">
      <c r="A29" s="200" t="s">
        <v>26</v>
      </c>
      <c r="B29" s="297" t="str">
        <f aca="false">IF(B28=Para1!$F$153,Para1!$F$109,IF(B28=Para1!$F$109,Para1!$F$148,IF(B28=Para1!$F$148,Para1!$F$111,IF(B28=Para1!$F$111,Para1!$F$120,IF(B28=Para1!$F$120,Para1!$F$170,IF(B28=Para1!$F$170,Para1!$F$173,Para1!$F$153))))))</f>
        <v>Sun</v>
      </c>
      <c r="C29" s="287"/>
      <c r="D29" s="329"/>
      <c r="E29" s="204"/>
      <c r="F29" s="205"/>
      <c r="G29" s="204"/>
      <c r="H29" s="204"/>
      <c r="I29" s="206"/>
      <c r="J29" s="330"/>
      <c r="K29" s="208"/>
      <c r="L29" s="209"/>
      <c r="M29" s="210"/>
      <c r="N29" s="195"/>
      <c r="O29" s="145"/>
      <c r="P29" s="257" t="n">
        <f aca="false">Oktober!P53</f>
        <v>0</v>
      </c>
      <c r="Q29" s="257" t="n">
        <f aca="false">Oktober!Q53</f>
        <v>0</v>
      </c>
      <c r="R29" s="145" t="e">
        <f aca="false">IF(VLOOKUP(A29,Para1!$B$67:$E$72,2,0)="11.",VLOOKUP(A29,Para1!$B$67:$E$72,3,0),"")</f>
        <v>#N/A</v>
      </c>
      <c r="S29" s="145" t="str">
        <f aca="false">IF((P29+Q29)=0,"",IF(ISNA(R29),"",IF(R29="","",VLOOKUP(R29,Para1!$D$67:$G$79,3,0)*(IF(P29+Q29=1,0.5,1)))))</f>
        <v/>
      </c>
      <c r="T29" s="145" t="str">
        <f aca="false">IF(P29+Q29=0,"",IF(ISNA(R30),"",IF(R30="","",VLOOKUP(R30,Para1!$D$67:$G$79,4,0)*(IF(P29+Q29=1,0.5,1)))))</f>
        <v/>
      </c>
      <c r="U29" s="145" t="str">
        <f aca="false">IF(SUM(S29:T29)&gt;0,K29,"")</f>
        <v/>
      </c>
      <c r="V29" s="145" t="str">
        <f aca="false">IF(SUM(S29:T29)&gt;0,L29,"")</f>
        <v/>
      </c>
      <c r="W29" s="145" t="n">
        <f aca="false">IF(S29=0,P29+Q29,0)</f>
        <v>0</v>
      </c>
    </row>
    <row r="30" customFormat="false" ht="17" hidden="false" customHeight="true" outlineLevel="0" collapsed="false">
      <c r="A30" s="200" t="s">
        <v>27</v>
      </c>
      <c r="B30" s="297" t="str">
        <f aca="false">IF(B29=Para1!$F$153,Para1!$F$109,IF(B29=Para1!$F$109,Para1!$F$148,IF(B29=Para1!$F$148,Para1!$F$111,IF(B29=Para1!$F$111,Para1!$F$120,IF(B29=Para1!$F$120,Para1!$F$170,IF(B29=Para1!$F$170,Para1!$F$173,Para1!$F$153))))))</f>
        <v>Mon</v>
      </c>
      <c r="C30" s="287"/>
      <c r="D30" s="329"/>
      <c r="E30" s="204"/>
      <c r="F30" s="205"/>
      <c r="G30" s="204"/>
      <c r="H30" s="204"/>
      <c r="I30" s="206"/>
      <c r="J30" s="330"/>
      <c r="K30" s="208"/>
      <c r="L30" s="209"/>
      <c r="M30" s="210"/>
      <c r="N30" s="195"/>
      <c r="O30" s="145"/>
      <c r="P30" s="259" t="n">
        <f aca="false">P23</f>
        <v>1</v>
      </c>
      <c r="Q30" s="259" t="n">
        <f aca="false">Q23</f>
        <v>1</v>
      </c>
      <c r="R30" s="145" t="e">
        <f aca="false">IF(VLOOKUP(A30,Para1!$B$67:$E$72,2,0)="11.",VLOOKUP(A30,Para1!$B$67:$E$72,3,0),"")</f>
        <v>#N/A</v>
      </c>
      <c r="S30" s="145" t="str">
        <f aca="false">IF((P30+Q30)=0,"",IF(ISNA(R30),"",IF(R30="","",VLOOKUP(R30,Para1!$D$67:$G$79,3,0)*(IF(P30+Q30=1,0.5,1)))))</f>
        <v/>
      </c>
      <c r="T30" s="145" t="str">
        <f aca="false">IF(P30+Q30=0,"",IF(ISNA(R31),"",IF(R31="","",VLOOKUP(R31,Para1!$D$67:$G$79,4,0)*(IF(P30+Q30=1,0.5,1)))))</f>
        <v/>
      </c>
      <c r="U30" s="145" t="str">
        <f aca="false">IF(SUM(S30:T30)&gt;0,K30,"")</f>
        <v/>
      </c>
      <c r="V30" s="145" t="str">
        <f aca="false">IF(SUM(S30:T30)&gt;0,L30,"")</f>
        <v/>
      </c>
      <c r="W30" s="145" t="n">
        <f aca="false">IF(S30=0,P30+Q30,0)</f>
        <v>0</v>
      </c>
    </row>
    <row r="31" customFormat="false" ht="17" hidden="false" customHeight="true" outlineLevel="0" collapsed="false">
      <c r="A31" s="200" t="s">
        <v>28</v>
      </c>
      <c r="B31" s="297" t="str">
        <f aca="false">IF(B30=Para1!$F$153,Para1!$F$109,IF(B30=Para1!$F$109,Para1!$F$148,IF(B30=Para1!$F$148,Para1!$F$111,IF(B30=Para1!$F$111,Para1!$F$120,IF(B30=Para1!$F$120,Para1!$F$170,IF(B30=Para1!$F$170,Para1!$F$173,Para1!$F$153))))))</f>
        <v>Tue</v>
      </c>
      <c r="C31" s="287"/>
      <c r="D31" s="329"/>
      <c r="E31" s="204"/>
      <c r="F31" s="205"/>
      <c r="G31" s="204"/>
      <c r="H31" s="204"/>
      <c r="I31" s="206"/>
      <c r="J31" s="330"/>
      <c r="K31" s="208"/>
      <c r="L31" s="209"/>
      <c r="M31" s="210"/>
      <c r="N31" s="195"/>
      <c r="O31" s="145"/>
      <c r="P31" s="259" t="n">
        <f aca="false">P24</f>
        <v>1</v>
      </c>
      <c r="Q31" s="259" t="n">
        <f aca="false">Q24</f>
        <v>1</v>
      </c>
      <c r="R31" s="145" t="e">
        <f aca="false">IF(VLOOKUP(A31,Para1!$B$67:$E$72,2,0)="11.",VLOOKUP(A31,Para1!$B$67:$E$72,3,0),"")</f>
        <v>#N/A</v>
      </c>
      <c r="S31" s="145" t="str">
        <f aca="false">IF((P31+Q31)=0,"",IF(ISNA(R31),"",IF(R31="","",VLOOKUP(R31,Para1!$D$67:$G$79,3,0)*(IF(P31+Q31=1,0.5,1)))))</f>
        <v/>
      </c>
      <c r="T31" s="145" t="str">
        <f aca="false">IF(P31+Q31=0,"",IF(ISNA(R32),"",IF(R32="","",VLOOKUP(R32,Para1!$D$67:$G$79,4,0)*(IF(P31+Q31=1,0.5,1)))))</f>
        <v/>
      </c>
      <c r="U31" s="145" t="str">
        <f aca="false">IF(SUM(S31:T31)&gt;0,K31,"")</f>
        <v/>
      </c>
      <c r="V31" s="145" t="str">
        <f aca="false">IF(SUM(S31:T31)&gt;0,L31,"")</f>
        <v/>
      </c>
      <c r="W31" s="145" t="n">
        <f aca="false">IF(S31=0,P31+Q31,0)</f>
        <v>0</v>
      </c>
    </row>
    <row r="32" customFormat="false" ht="17" hidden="false" customHeight="true" outlineLevel="0" collapsed="false">
      <c r="A32" s="200" t="s">
        <v>29</v>
      </c>
      <c r="B32" s="297" t="str">
        <f aca="false">IF(B31=Para1!$F$153,Para1!$F$109,IF(B31=Para1!$F$109,Para1!$F$148,IF(B31=Para1!$F$148,Para1!$F$111,IF(B31=Para1!$F$111,Para1!$F$120,IF(B31=Para1!$F$120,Para1!$F$170,IF(B31=Para1!$F$170,Para1!$F$173,Para1!$F$153))))))</f>
        <v>Wed</v>
      </c>
      <c r="C32" s="337"/>
      <c r="D32" s="329"/>
      <c r="E32" s="204"/>
      <c r="F32" s="205"/>
      <c r="G32" s="204"/>
      <c r="H32" s="204"/>
      <c r="I32" s="206"/>
      <c r="J32" s="330"/>
      <c r="K32" s="208"/>
      <c r="L32" s="209"/>
      <c r="M32" s="210"/>
      <c r="N32" s="195"/>
      <c r="O32" s="145"/>
      <c r="P32" s="259" t="n">
        <f aca="false">P25</f>
        <v>1</v>
      </c>
      <c r="Q32" s="259" t="n">
        <f aca="false">Q25</f>
        <v>1</v>
      </c>
      <c r="R32" s="145" t="e">
        <f aca="false">IF(VLOOKUP(A32,Para1!$B$67:$E$72,2,0)="11.",VLOOKUP(A32,Para1!$B$67:$E$72,3,0),"")</f>
        <v>#N/A</v>
      </c>
      <c r="S32" s="145" t="str">
        <f aca="false">IF((P32+Q32)=0,"",IF(ISNA(R32),"",IF(R32="","",VLOOKUP(R32,Para1!$D$67:$G$79,3,0)*(IF(P32+Q32=1,0.5,1)))))</f>
        <v/>
      </c>
      <c r="T32" s="145" t="str">
        <f aca="false">IF(P32+Q32=0,"",IF(ISNA(R33),"",IF(R33="","",VLOOKUP(R33,Para1!$D$67:$G$79,4,0)*(IF(P32+Q32=1,0.5,1)))))</f>
        <v/>
      </c>
      <c r="U32" s="145" t="str">
        <f aca="false">IF(SUM(S32:T32)&gt;0,K32,"")</f>
        <v/>
      </c>
      <c r="V32" s="145" t="str">
        <f aca="false">IF(SUM(S32:T32)&gt;0,L32,"")</f>
        <v/>
      </c>
      <c r="W32" s="145" t="n">
        <f aca="false">IF(S32=0,P32+Q32,0)</f>
        <v>0</v>
      </c>
    </row>
    <row r="33" customFormat="false" ht="17" hidden="false" customHeight="true" outlineLevel="0" collapsed="false">
      <c r="A33" s="200" t="s">
        <v>30</v>
      </c>
      <c r="B33" s="297" t="str">
        <f aca="false">IF(B32=Para1!$F$153,Para1!$F$109,IF(B32=Para1!$F$109,Para1!$F$148,IF(B32=Para1!$F$148,Para1!$F$111,IF(B32=Para1!$F$111,Para1!$F$120,IF(B32=Para1!$F$120,Para1!$F$170,IF(B32=Para1!$F$170,Para1!$F$173,Para1!$F$153))))))</f>
        <v>Thu</v>
      </c>
      <c r="C33" s="186"/>
      <c r="D33" s="329"/>
      <c r="E33" s="204"/>
      <c r="F33" s="205"/>
      <c r="G33" s="204"/>
      <c r="H33" s="204"/>
      <c r="I33" s="206"/>
      <c r="J33" s="330"/>
      <c r="K33" s="208"/>
      <c r="L33" s="209"/>
      <c r="M33" s="210"/>
      <c r="N33" s="195"/>
      <c r="O33" s="145"/>
      <c r="P33" s="259" t="n">
        <f aca="false">P26</f>
        <v>1</v>
      </c>
      <c r="Q33" s="259" t="n">
        <f aca="false">Q26</f>
        <v>1</v>
      </c>
      <c r="R33" s="145" t="e">
        <f aca="false">IF(VLOOKUP(A33,Para1!$B$67:$E$72,2,0)="11.",VLOOKUP(A33,Para1!$B$67:$E$72,3,0),"")</f>
        <v>#N/A</v>
      </c>
      <c r="S33" s="145" t="str">
        <f aca="false">IF((P33+Q33)=0,"",IF(ISNA(R33),"",IF(R33="","",VLOOKUP(R33,Para1!$D$67:$G$79,3,0)*(IF(P33+Q33=1,0.5,1)))))</f>
        <v/>
      </c>
      <c r="T33" s="145" t="str">
        <f aca="false">IF(P33+Q33=0,"",IF(ISNA(R34),"",IF(R34="","",VLOOKUP(R34,Para1!$D$67:$G$79,4,0)*(IF(P33+Q33=1,0.5,1)))))</f>
        <v/>
      </c>
      <c r="U33" s="145" t="str">
        <f aca="false">IF(SUM(S33:T33)&gt;0,K33,"")</f>
        <v/>
      </c>
      <c r="V33" s="145" t="str">
        <f aca="false">IF(SUM(S33:T33)&gt;0,L33,"")</f>
        <v/>
      </c>
      <c r="W33" s="145" t="n">
        <f aca="false">IF(S33=0,P33+Q33,0)</f>
        <v>0</v>
      </c>
    </row>
    <row r="34" customFormat="false" ht="17" hidden="false" customHeight="true" outlineLevel="0" collapsed="false">
      <c r="A34" s="200" t="s">
        <v>31</v>
      </c>
      <c r="B34" s="297" t="str">
        <f aca="false">IF(B33=Para1!$F$153,Para1!$F$109,IF(B33=Para1!$F$109,Para1!$F$148,IF(B33=Para1!$F$148,Para1!$F$111,IF(B33=Para1!$F$111,Para1!$F$120,IF(B33=Para1!$F$120,Para1!$F$170,IF(B33=Para1!$F$170,Para1!$F$173,Para1!$F$153))))))</f>
        <v>Fri</v>
      </c>
      <c r="C34" s="202"/>
      <c r="D34" s="329"/>
      <c r="E34" s="204"/>
      <c r="F34" s="205"/>
      <c r="G34" s="204"/>
      <c r="H34" s="204"/>
      <c r="I34" s="206"/>
      <c r="J34" s="330"/>
      <c r="K34" s="208"/>
      <c r="L34" s="209"/>
      <c r="M34" s="210"/>
      <c r="N34" s="195"/>
      <c r="O34" s="145"/>
      <c r="P34" s="259" t="n">
        <f aca="false">P27</f>
        <v>1</v>
      </c>
      <c r="Q34" s="259" t="n">
        <f aca="false">Q27</f>
        <v>1</v>
      </c>
      <c r="R34" s="145" t="e">
        <f aca="false">IF(VLOOKUP(A34,Para1!$B$67:$E$72,2,0)="11.",VLOOKUP(A34,Para1!$B$67:$E$72,3,0),"")</f>
        <v>#N/A</v>
      </c>
      <c r="S34" s="145" t="str">
        <f aca="false">IF((P34+Q34)=0,"",IF(ISNA(R34),"",IF(R34="","",VLOOKUP(R34,Para1!$D$67:$G$79,3,0)*(IF(P34+Q34=1,0.5,1)))))</f>
        <v/>
      </c>
      <c r="T34" s="145" t="str">
        <f aca="false">IF(P34+Q34=0,"",IF(ISNA(R35),"",IF(R35="","",VLOOKUP(R35,Para1!$D$67:$G$79,4,0)*(IF(P34+Q34=1,0.5,1)))))</f>
        <v/>
      </c>
      <c r="U34" s="145" t="str">
        <f aca="false">IF(SUM(S34:T34)&gt;0,K34,"")</f>
        <v/>
      </c>
      <c r="V34" s="145" t="str">
        <f aca="false">IF(SUM(S34:T34)&gt;0,L34,"")</f>
        <v/>
      </c>
      <c r="W34" s="145" t="n">
        <f aca="false">IF(S34=0,P34+Q34,0)</f>
        <v>0</v>
      </c>
    </row>
    <row r="35" s="258" customFormat="true" ht="17" hidden="false" customHeight="true" outlineLevel="0" collapsed="false">
      <c r="A35" s="200" t="s">
        <v>32</v>
      </c>
      <c r="B35" s="297" t="str">
        <f aca="false">IF(B34=Para1!$F$153,Para1!$F$109,IF(B34=Para1!$F$109,Para1!$F$148,IF(B34=Para1!$F$148,Para1!$F$111,IF(B34=Para1!$F$111,Para1!$F$120,IF(B34=Para1!$F$120,Para1!$F$170,IF(B34=Para1!$F$170,Para1!$F$173,Para1!$F$153))))))</f>
        <v>Sat</v>
      </c>
      <c r="C35" s="287"/>
      <c r="D35" s="329"/>
      <c r="E35" s="204"/>
      <c r="F35" s="205"/>
      <c r="G35" s="204"/>
      <c r="H35" s="204"/>
      <c r="I35" s="206"/>
      <c r="J35" s="330"/>
      <c r="K35" s="208"/>
      <c r="L35" s="209"/>
      <c r="M35" s="210"/>
      <c r="N35" s="195"/>
      <c r="O35" s="145"/>
      <c r="P35" s="259" t="n">
        <f aca="false">P28</f>
        <v>0</v>
      </c>
      <c r="Q35" s="259" t="n">
        <f aca="false">Q28</f>
        <v>0</v>
      </c>
      <c r="R35" s="145" t="str">
        <f aca="false">IF(VLOOKUP(A35,Para1!$B$67:$E$72,2,0)="11.",VLOOKUP(A35,Para1!$B$67:$E$72,3,0),"")</f>
        <v/>
      </c>
      <c r="S35" s="145" t="str">
        <f aca="false">IF((P35+Q35)=0,"",IF(ISNA(R35),"",IF(R35="","",VLOOKUP(R35,Para1!$D$67:$G$79,3,0)*(IF(P35+Q35=1,0.5,1)))))</f>
        <v/>
      </c>
      <c r="T35" s="145" t="str">
        <f aca="false">IF(P35+Q35=0,"",IF(ISNA(R36),"",IF(R36="","",VLOOKUP(R36,Para1!$D$67:$G$79,4,0)*(IF(P35+Q35=1,0.5,1)))))</f>
        <v/>
      </c>
      <c r="U35" s="145" t="str">
        <f aca="false">IF(SUM(S35:T35)&gt;0,K35,"")</f>
        <v/>
      </c>
      <c r="V35" s="145" t="str">
        <f aca="false">IF(SUM(S35:T35)&gt;0,L35,"")</f>
        <v/>
      </c>
      <c r="W35" s="145" t="n">
        <f aca="false">IF(S35=0,P35+Q35,0)</f>
        <v>0</v>
      </c>
    </row>
    <row r="36" s="258" customFormat="true" ht="17" hidden="false" customHeight="true" outlineLevel="0" collapsed="false">
      <c r="A36" s="200" t="s">
        <v>33</v>
      </c>
      <c r="B36" s="297" t="str">
        <f aca="false">IF(B35=Para1!$F$153,Para1!$F$109,IF(B35=Para1!$F$109,Para1!$F$148,IF(B35=Para1!$F$148,Para1!$F$111,IF(B35=Para1!$F$111,Para1!$F$120,IF(B35=Para1!$F$120,Para1!$F$170,IF(B35=Para1!$F$170,Para1!$F$173,Para1!$F$153))))))</f>
        <v>Sun</v>
      </c>
      <c r="C36" s="287"/>
      <c r="D36" s="329"/>
      <c r="E36" s="204"/>
      <c r="F36" s="205"/>
      <c r="G36" s="204"/>
      <c r="H36" s="204"/>
      <c r="I36" s="206"/>
      <c r="J36" s="330"/>
      <c r="K36" s="208"/>
      <c r="L36" s="209"/>
      <c r="M36" s="210"/>
      <c r="N36" s="195"/>
      <c r="O36" s="145"/>
      <c r="P36" s="259" t="n">
        <f aca="false">P29</f>
        <v>0</v>
      </c>
      <c r="Q36" s="259" t="n">
        <f aca="false">Q29</f>
        <v>0</v>
      </c>
      <c r="R36" s="145" t="e">
        <f aca="false">IF(VLOOKUP(A36,Para1!$B$67:$E$72,2,0)="11.",VLOOKUP(A36,Para1!$B$67:$E$72,3,0),"")</f>
        <v>#N/A</v>
      </c>
      <c r="S36" s="145" t="str">
        <f aca="false">IF((P36+Q36)=0,"",IF(ISNA(R36),"",IF(R36="","",VLOOKUP(R36,Para1!$D$67:$G$79,3,0)*(IF(P36+Q36=1,0.5,1)))))</f>
        <v/>
      </c>
      <c r="T36" s="145" t="str">
        <f aca="false">IF(P36+Q36=0,"",IF(ISNA(R37),"",IF(R37="","",VLOOKUP(R37,Para1!$D$67:$G$79,4,0)*(IF(P36+Q36=1,0.5,1)))))</f>
        <v/>
      </c>
      <c r="U36" s="145" t="str">
        <f aca="false">IF(SUM(S36:T36)&gt;0,K36,"")</f>
        <v/>
      </c>
      <c r="V36" s="145" t="str">
        <f aca="false">IF(SUM(S36:T36)&gt;0,L36,"")</f>
        <v/>
      </c>
      <c r="W36" s="145" t="n">
        <f aca="false">IF(S36=0,P36+Q36,0)</f>
        <v>0</v>
      </c>
    </row>
    <row r="37" customFormat="false" ht="17" hidden="false" customHeight="true" outlineLevel="0" collapsed="false">
      <c r="A37" s="200" t="s">
        <v>34</v>
      </c>
      <c r="B37" s="297" t="str">
        <f aca="false">IF(B36=Para1!$F$153,Para1!$F$109,IF(B36=Para1!$F$109,Para1!$F$148,IF(B36=Para1!$F$148,Para1!$F$111,IF(B36=Para1!$F$111,Para1!$F$120,IF(B36=Para1!$F$120,Para1!$F$170,IF(B36=Para1!$F$170,Para1!$F$173,Para1!$F$153))))))</f>
        <v>Mon</v>
      </c>
      <c r="C37" s="287"/>
      <c r="D37" s="329"/>
      <c r="E37" s="204"/>
      <c r="F37" s="205"/>
      <c r="G37" s="204"/>
      <c r="H37" s="204"/>
      <c r="I37" s="206"/>
      <c r="J37" s="330"/>
      <c r="K37" s="208"/>
      <c r="L37" s="209"/>
      <c r="M37" s="210"/>
      <c r="N37" s="195"/>
      <c r="O37" s="145"/>
      <c r="P37" s="259" t="n">
        <f aca="false">P30</f>
        <v>1</v>
      </c>
      <c r="Q37" s="259" t="n">
        <f aca="false">Q30</f>
        <v>1</v>
      </c>
      <c r="R37" s="145" t="e">
        <f aca="false">IF(VLOOKUP(A37,Para1!$B$67:$E$72,2,0)="11.",VLOOKUP(A37,Para1!$B$67:$E$72,3,0),"")</f>
        <v>#N/A</v>
      </c>
      <c r="S37" s="145" t="str">
        <f aca="false">IF((P37+Q37)=0,"",IF(ISNA(R37),"",IF(R37="","",VLOOKUP(R37,Para1!$D$67:$G$79,3,0)*(IF(P37+Q37=1,0.5,1)))))</f>
        <v/>
      </c>
      <c r="T37" s="145" t="str">
        <f aca="false">IF(P37+Q37=0,"",IF(ISNA(R38),"",IF(R38="","",VLOOKUP(R38,Para1!$D$67:$G$79,4,0)*(IF(P37+Q37=1,0.5,1)))))</f>
        <v/>
      </c>
      <c r="U37" s="145" t="str">
        <f aca="false">IF(SUM(S37:T37)&gt;0,K37,"")</f>
        <v/>
      </c>
      <c r="V37" s="145" t="str">
        <f aca="false">IF(SUM(S37:T37)&gt;0,L37,"")</f>
        <v/>
      </c>
      <c r="W37" s="145" t="n">
        <f aca="false">IF(S37=0,P37+Q37,0)</f>
        <v>0</v>
      </c>
    </row>
    <row r="38" customFormat="false" ht="17" hidden="false" customHeight="true" outlineLevel="0" collapsed="false">
      <c r="A38" s="200" t="s">
        <v>35</v>
      </c>
      <c r="B38" s="297" t="str">
        <f aca="false">IF(B37=Para1!$F$153,Para1!$F$109,IF(B37=Para1!$F$109,Para1!$F$148,IF(B37=Para1!$F$148,Para1!$F$111,IF(B37=Para1!$F$111,Para1!$F$120,IF(B37=Para1!$F$120,Para1!$F$170,IF(B37=Para1!$F$170,Para1!$F$173,Para1!$F$153))))))</f>
        <v>Tue</v>
      </c>
      <c r="C38" s="287"/>
      <c r="D38" s="329"/>
      <c r="E38" s="204"/>
      <c r="F38" s="205"/>
      <c r="G38" s="204"/>
      <c r="H38" s="204"/>
      <c r="I38" s="206"/>
      <c r="J38" s="330"/>
      <c r="K38" s="208"/>
      <c r="L38" s="209"/>
      <c r="M38" s="210"/>
      <c r="N38" s="195"/>
      <c r="O38" s="145"/>
      <c r="P38" s="259" t="n">
        <f aca="false">P31</f>
        <v>1</v>
      </c>
      <c r="Q38" s="259" t="n">
        <f aca="false">Q31</f>
        <v>1</v>
      </c>
      <c r="R38" s="145" t="e">
        <f aca="false">IF(VLOOKUP(A38,Para1!$B$67:$E$72,2,0)="11.",VLOOKUP(A38,Para1!$B$67:$E$72,3,0),"")</f>
        <v>#N/A</v>
      </c>
      <c r="S38" s="145" t="str">
        <f aca="false">IF((P38+Q38)=0,"",IF(ISNA(R38),"",IF(R38="","",VLOOKUP(R38,Para1!$D$67:$G$79,3,0)*(IF(P38+Q38=1,0.5,1)))))</f>
        <v/>
      </c>
      <c r="T38" s="145" t="str">
        <f aca="false">IF(P38+Q38=0,"",IF(ISNA(R39),"",IF(R39="","",VLOOKUP(R39,Para1!$D$67:$G$79,4,0)*(IF(P38+Q38=1,0.5,1)))))</f>
        <v/>
      </c>
      <c r="U38" s="145" t="str">
        <f aca="false">IF(SUM(S38:T38)&gt;0,K38,"")</f>
        <v/>
      </c>
      <c r="V38" s="145" t="str">
        <f aca="false">IF(SUM(S38:T38)&gt;0,L38,"")</f>
        <v/>
      </c>
      <c r="W38" s="145" t="n">
        <f aca="false">IF(S38=0,P38+Q38,0)</f>
        <v>0</v>
      </c>
    </row>
    <row r="39" customFormat="false" ht="17" hidden="false" customHeight="true" outlineLevel="0" collapsed="false">
      <c r="A39" s="200" t="s">
        <v>36</v>
      </c>
      <c r="B39" s="297" t="str">
        <f aca="false">IF(B38=Para1!$F$153,Para1!$F$109,IF(B38=Para1!$F$109,Para1!$F$148,IF(B38=Para1!$F$148,Para1!$F$111,IF(B38=Para1!$F$111,Para1!$F$120,IF(B38=Para1!$F$120,Para1!$F$170,IF(B38=Para1!$F$170,Para1!$F$173,Para1!$F$153))))))</f>
        <v>Wed</v>
      </c>
      <c r="C39" s="337"/>
      <c r="D39" s="329"/>
      <c r="E39" s="204"/>
      <c r="F39" s="205"/>
      <c r="G39" s="204"/>
      <c r="H39" s="204"/>
      <c r="I39" s="206"/>
      <c r="J39" s="330"/>
      <c r="K39" s="208"/>
      <c r="L39" s="209"/>
      <c r="M39" s="210"/>
      <c r="N39" s="195"/>
      <c r="O39" s="145"/>
      <c r="P39" s="259" t="n">
        <f aca="false">P32</f>
        <v>1</v>
      </c>
      <c r="Q39" s="259" t="n">
        <f aca="false">Q32</f>
        <v>1</v>
      </c>
      <c r="R39" s="145" t="e">
        <f aca="false">IF(VLOOKUP(A39,Para1!$B$67:$E$72,2,0)="11.",VLOOKUP(A39,Para1!$B$67:$E$72,3,0),"")</f>
        <v>#N/A</v>
      </c>
      <c r="S39" s="145" t="str">
        <f aca="false">IF((P39+Q39)=0,"",IF(ISNA(R39),"",IF(R39="","",VLOOKUP(R39,Para1!$D$67:$G$79,3,0)*(IF(P39+Q39=1,0.5,1)))))</f>
        <v/>
      </c>
      <c r="T39" s="145" t="str">
        <f aca="false">IF(P39+Q39=0,"",IF(ISNA(R40),"",IF(R40="","",VLOOKUP(R40,Para1!$D$67:$G$79,4,0)*(IF(P39+Q39=1,0.5,1)))))</f>
        <v/>
      </c>
      <c r="U39" s="145" t="str">
        <f aca="false">IF(SUM(S39:T39)&gt;0,K39,"")</f>
        <v/>
      </c>
      <c r="V39" s="145" t="str">
        <f aca="false">IF(SUM(S39:T39)&gt;0,L39,"")</f>
        <v/>
      </c>
      <c r="W39" s="145" t="n">
        <f aca="false">IF(S39=0,P39+Q39,0)</f>
        <v>0</v>
      </c>
    </row>
    <row r="40" customFormat="false" ht="17" hidden="false" customHeight="true" outlineLevel="0" collapsed="false">
      <c r="A40" s="200" t="s">
        <v>37</v>
      </c>
      <c r="B40" s="297" t="str">
        <f aca="false">IF(B39=Para1!$F$153,Para1!$F$109,IF(B39=Para1!$F$109,Para1!$F$148,IF(B39=Para1!$F$148,Para1!$F$111,IF(B39=Para1!$F$111,Para1!$F$120,IF(B39=Para1!$F$120,Para1!$F$170,IF(B39=Para1!$F$170,Para1!$F$173,Para1!$F$153))))))</f>
        <v>Thu</v>
      </c>
      <c r="C40" s="186"/>
      <c r="D40" s="329"/>
      <c r="E40" s="204"/>
      <c r="F40" s="205"/>
      <c r="G40" s="204"/>
      <c r="H40" s="204"/>
      <c r="I40" s="206"/>
      <c r="J40" s="330"/>
      <c r="K40" s="208"/>
      <c r="L40" s="209"/>
      <c r="M40" s="210"/>
      <c r="N40" s="195"/>
      <c r="O40" s="145"/>
      <c r="P40" s="259" t="n">
        <f aca="false">P33</f>
        <v>1</v>
      </c>
      <c r="Q40" s="259" t="n">
        <f aca="false">Q33</f>
        <v>1</v>
      </c>
      <c r="R40" s="145" t="e">
        <f aca="false">IF(VLOOKUP(A40,Para1!$B$67:$E$72,2,0)="11.",VLOOKUP(A40,Para1!$B$67:$E$72,3,0),"")</f>
        <v>#N/A</v>
      </c>
      <c r="S40" s="145" t="str">
        <f aca="false">IF((P40+Q40)=0,"",IF(ISNA(R40),"",IF(R40="","",VLOOKUP(R40,Para1!$D$67:$G$79,3,0)*(IF(P40+Q40=1,0.5,1)))))</f>
        <v/>
      </c>
      <c r="T40" s="145" t="str">
        <f aca="false">IF(P40+Q40=0,"",IF(ISNA(R41),"",IF(R41="","",VLOOKUP(R41,Para1!$D$67:$G$79,4,0)*(IF(P40+Q40=1,0.5,1)))))</f>
        <v/>
      </c>
      <c r="U40" s="145" t="str">
        <f aca="false">IF(SUM(S40:T40)&gt;0,K40,"")</f>
        <v/>
      </c>
      <c r="V40" s="145" t="str">
        <f aca="false">IF(SUM(S40:T40)&gt;0,L40,"")</f>
        <v/>
      </c>
      <c r="W40" s="145" t="n">
        <f aca="false">IF(S40=0,P40+Q40,0)</f>
        <v>0</v>
      </c>
    </row>
    <row r="41" customFormat="false" ht="17" hidden="false" customHeight="true" outlineLevel="0" collapsed="false">
      <c r="A41" s="200" t="s">
        <v>38</v>
      </c>
      <c r="B41" s="297" t="str">
        <f aca="false">IF(B40=Para1!$F$153,Para1!$F$109,IF(B40=Para1!$F$109,Para1!$F$148,IF(B40=Para1!$F$148,Para1!$F$111,IF(B40=Para1!$F$111,Para1!$F$120,IF(B40=Para1!$F$120,Para1!$F$170,IF(B40=Para1!$F$170,Para1!$F$173,Para1!$F$153))))))</f>
        <v>Fri</v>
      </c>
      <c r="C41" s="202"/>
      <c r="D41" s="329"/>
      <c r="E41" s="204"/>
      <c r="F41" s="205"/>
      <c r="G41" s="204"/>
      <c r="H41" s="204"/>
      <c r="I41" s="206"/>
      <c r="J41" s="330"/>
      <c r="K41" s="208"/>
      <c r="L41" s="209"/>
      <c r="M41" s="210"/>
      <c r="N41" s="195"/>
      <c r="O41" s="145"/>
      <c r="P41" s="259" t="n">
        <f aca="false">P34</f>
        <v>1</v>
      </c>
      <c r="Q41" s="259" t="n">
        <f aca="false">Q34</f>
        <v>1</v>
      </c>
      <c r="R41" s="145" t="e">
        <f aca="false">IF(VLOOKUP(A41,Para1!$B$67:$E$72,2,0)="11.",VLOOKUP(A41,Para1!$B$67:$E$72,3,0),"")</f>
        <v>#N/A</v>
      </c>
      <c r="S41" s="145" t="str">
        <f aca="false">IF((P41+Q41)=0,"",IF(ISNA(R41),"",IF(R41="","",VLOOKUP(R41,Para1!$D$67:$G$79,3,0)*(IF(P41+Q41=1,0.5,1)))))</f>
        <v/>
      </c>
      <c r="T41" s="145" t="str">
        <f aca="false">IF(P41+Q41=0,"",IF(ISNA(R42),"",IF(R42="","",VLOOKUP(R42,Para1!$D$67:$G$79,4,0)*(IF(P41+Q41=1,0.5,1)))))</f>
        <v/>
      </c>
      <c r="U41" s="145" t="str">
        <f aca="false">IF(SUM(S41:T41)&gt;0,K41,"")</f>
        <v/>
      </c>
      <c r="V41" s="145" t="str">
        <f aca="false">IF(SUM(S41:T41)&gt;0,L41,"")</f>
        <v/>
      </c>
      <c r="W41" s="145" t="n">
        <f aca="false">IF(S41=0,P41+Q41,0)</f>
        <v>0</v>
      </c>
    </row>
    <row r="42" s="258" customFormat="true" ht="17" hidden="false" customHeight="true" outlineLevel="0" collapsed="false">
      <c r="A42" s="200" t="s">
        <v>39</v>
      </c>
      <c r="B42" s="297" t="str">
        <f aca="false">IF(B41=Para1!$F$153,Para1!$F$109,IF(B41=Para1!$F$109,Para1!$F$148,IF(B41=Para1!$F$148,Para1!$F$111,IF(B41=Para1!$F$111,Para1!$F$120,IF(B41=Para1!$F$120,Para1!$F$170,IF(B41=Para1!$F$170,Para1!$F$173,Para1!$F$153))))))</f>
        <v>Sat</v>
      </c>
      <c r="C42" s="287"/>
      <c r="D42" s="329"/>
      <c r="E42" s="204"/>
      <c r="F42" s="205"/>
      <c r="G42" s="204"/>
      <c r="H42" s="204"/>
      <c r="I42" s="206"/>
      <c r="J42" s="330"/>
      <c r="K42" s="208"/>
      <c r="L42" s="209"/>
      <c r="M42" s="210"/>
      <c r="N42" s="195"/>
      <c r="O42" s="145"/>
      <c r="P42" s="259" t="n">
        <f aca="false">P35</f>
        <v>0</v>
      </c>
      <c r="Q42" s="259" t="n">
        <f aca="false">Q35</f>
        <v>0</v>
      </c>
      <c r="R42" s="145" t="e">
        <f aca="false">IF(VLOOKUP(A42,Para1!$B$67:$E$72,2,0)="11.",VLOOKUP(A42,Para1!$B$67:$E$72,3,0),"")</f>
        <v>#N/A</v>
      </c>
      <c r="S42" s="145" t="str">
        <f aca="false">IF((P42+Q42)=0,"",IF(ISNA(R42),"",IF(R42="","",VLOOKUP(R42,Para1!$D$67:$G$79,3,0)*(IF(P42+Q42=1,0.5,1)))))</f>
        <v/>
      </c>
      <c r="T42" s="145" t="str">
        <f aca="false">IF(P42+Q42=0,"",IF(ISNA(R43),"",IF(R43="","",VLOOKUP(R43,Para1!$D$67:$G$79,4,0)*(IF(P42+Q42=1,0.5,1)))))</f>
        <v/>
      </c>
      <c r="U42" s="145" t="str">
        <f aca="false">IF(SUM(S42:T42)&gt;0,K42,"")</f>
        <v/>
      </c>
      <c r="V42" s="145" t="str">
        <f aca="false">IF(SUM(S42:T42)&gt;0,L42,"")</f>
        <v/>
      </c>
      <c r="W42" s="145" t="n">
        <f aca="false">IF(S42=0,P42+Q42,0)</f>
        <v>0</v>
      </c>
    </row>
    <row r="43" s="258" customFormat="true" ht="17" hidden="false" customHeight="true" outlineLevel="0" collapsed="false">
      <c r="A43" s="200" t="s">
        <v>40</v>
      </c>
      <c r="B43" s="297" t="str">
        <f aca="false">IF(B42=Para1!$F$153,Para1!$F$109,IF(B42=Para1!$F$109,Para1!$F$148,IF(B42=Para1!$F$148,Para1!$F$111,IF(B42=Para1!$F$111,Para1!$F$120,IF(B42=Para1!$F$120,Para1!$F$170,IF(B42=Para1!$F$170,Para1!$F$173,Para1!$F$153))))))</f>
        <v>Sun</v>
      </c>
      <c r="C43" s="287"/>
      <c r="D43" s="329"/>
      <c r="E43" s="204"/>
      <c r="F43" s="205"/>
      <c r="G43" s="204"/>
      <c r="H43" s="204"/>
      <c r="I43" s="206"/>
      <c r="J43" s="330"/>
      <c r="K43" s="208"/>
      <c r="L43" s="209"/>
      <c r="M43" s="210"/>
      <c r="N43" s="195"/>
      <c r="O43" s="145"/>
      <c r="P43" s="259" t="n">
        <f aca="false">P36</f>
        <v>0</v>
      </c>
      <c r="Q43" s="259" t="n">
        <f aca="false">Q36</f>
        <v>0</v>
      </c>
      <c r="R43" s="145" t="e">
        <f aca="false">IF(VLOOKUP(A43,Para1!$B$67:$E$72,2,0)="11.",VLOOKUP(A43,Para1!$B$67:$E$72,3,0),"")</f>
        <v>#N/A</v>
      </c>
      <c r="S43" s="145" t="str">
        <f aca="false">IF((P43+Q43)=0,"",IF(ISNA(R43),"",IF(R43="","",VLOOKUP(R43,Para1!$D$67:$G$79,3,0)*(IF(P43+Q43=1,0.5,1)))))</f>
        <v/>
      </c>
      <c r="T43" s="145" t="str">
        <f aca="false">IF(P43+Q43=0,"",IF(ISNA(R44),"",IF(R44="","",VLOOKUP(R44,Para1!$D$67:$G$79,4,0)*(IF(P43+Q43=1,0.5,1)))))</f>
        <v/>
      </c>
      <c r="U43" s="145" t="str">
        <f aca="false">IF(SUM(S43:T43)&gt;0,K43,"")</f>
        <v/>
      </c>
      <c r="V43" s="145" t="str">
        <f aca="false">IF(SUM(S43:T43)&gt;0,L43,"")</f>
        <v/>
      </c>
      <c r="W43" s="145" t="n">
        <f aca="false">IF(S43=0,P43+Q43,0)</f>
        <v>0</v>
      </c>
    </row>
    <row r="44" customFormat="false" ht="17" hidden="false" customHeight="true" outlineLevel="0" collapsed="false">
      <c r="A44" s="200" t="s">
        <v>41</v>
      </c>
      <c r="B44" s="297" t="str">
        <f aca="false">IF(B43=Para1!$F$153,Para1!$F$109,IF(B43=Para1!$F$109,Para1!$F$148,IF(B43=Para1!$F$148,Para1!$F$111,IF(B43=Para1!$F$111,Para1!$F$120,IF(B43=Para1!$F$120,Para1!$F$170,IF(B43=Para1!$F$170,Para1!$F$173,Para1!$F$153))))))</f>
        <v>Mon</v>
      </c>
      <c r="C44" s="287"/>
      <c r="D44" s="329"/>
      <c r="E44" s="204"/>
      <c r="F44" s="205"/>
      <c r="G44" s="204"/>
      <c r="H44" s="204"/>
      <c r="I44" s="206"/>
      <c r="J44" s="330"/>
      <c r="K44" s="208"/>
      <c r="L44" s="209"/>
      <c r="M44" s="210"/>
      <c r="N44" s="195"/>
      <c r="O44" s="145"/>
      <c r="P44" s="259" t="n">
        <f aca="false">P37</f>
        <v>1</v>
      </c>
      <c r="Q44" s="259" t="n">
        <f aca="false">Q37</f>
        <v>1</v>
      </c>
      <c r="R44" s="145" t="e">
        <f aca="false">IF(VLOOKUP(A44,Para1!$B$67:$E$72,2,0)="11.",VLOOKUP(A44,Para1!$B$67:$E$72,3,0),"")</f>
        <v>#N/A</v>
      </c>
      <c r="S44" s="145" t="str">
        <f aca="false">IF((P44+Q44)=0,"",IF(ISNA(R44),"",IF(R44="","",VLOOKUP(R44,Para1!$D$67:$G$79,3,0)*(IF(P44+Q44=1,0.5,1)))))</f>
        <v/>
      </c>
      <c r="T44" s="145" t="str">
        <f aca="false">IF(P44+Q44=0,"",IF(ISNA(R45),"",IF(R45="","",VLOOKUP(R45,Para1!$D$67:$G$79,4,0)*(IF(P44+Q44=1,0.5,1)))))</f>
        <v/>
      </c>
      <c r="U44" s="145" t="str">
        <f aca="false">IF(SUM(S44:T44)&gt;0,K44,"")</f>
        <v/>
      </c>
      <c r="V44" s="145" t="str">
        <f aca="false">IF(SUM(S44:T44)&gt;0,L44,"")</f>
        <v/>
      </c>
      <c r="W44" s="145" t="n">
        <f aca="false">IF(S44=0,P44+Q44,0)</f>
        <v>0</v>
      </c>
    </row>
    <row r="45" customFormat="false" ht="17" hidden="false" customHeight="true" outlineLevel="0" collapsed="false">
      <c r="A45" s="200" t="s">
        <v>42</v>
      </c>
      <c r="B45" s="297" t="str">
        <f aca="false">IF(B44=Para1!$F$153,Para1!$F$109,IF(B44=Para1!$F$109,Para1!$F$148,IF(B44=Para1!$F$148,Para1!$F$111,IF(B44=Para1!$F$111,Para1!$F$120,IF(B44=Para1!$F$120,Para1!$F$170,IF(B44=Para1!$F$170,Para1!$F$173,Para1!$F$153))))))</f>
        <v>Tue</v>
      </c>
      <c r="C45" s="287"/>
      <c r="D45" s="329"/>
      <c r="E45" s="204"/>
      <c r="F45" s="205"/>
      <c r="G45" s="204"/>
      <c r="H45" s="204"/>
      <c r="I45" s="206"/>
      <c r="J45" s="330"/>
      <c r="K45" s="208"/>
      <c r="L45" s="209"/>
      <c r="M45" s="210"/>
      <c r="N45" s="195"/>
      <c r="O45" s="145"/>
      <c r="P45" s="259" t="n">
        <f aca="false">P38</f>
        <v>1</v>
      </c>
      <c r="Q45" s="259" t="n">
        <f aca="false">Q38</f>
        <v>1</v>
      </c>
      <c r="R45" s="145" t="str">
        <f aca="false">IF(VLOOKUP(A45,Para1!$B$67:$E$72,2,0)="11.",VLOOKUP(A45,Para1!$B$67:$E$72,3,0),"")</f>
        <v/>
      </c>
      <c r="S45" s="145" t="str">
        <f aca="false">IF((P45+Q45)=0,"",IF(ISNA(R45),"",IF(R45="","",VLOOKUP(R45,Para1!$D$67:$G$79,3,0)*(IF(P45+Q45=1,0.5,1)))))</f>
        <v/>
      </c>
      <c r="T45" s="145" t="str">
        <f aca="false">IF(P45+Q45=0,"",IF(ISNA(R46),"",IF(R46="","",VLOOKUP(R46,Para1!$D$67:$G$79,4,0)*(IF(P45+Q45=1,0.5,1)))))</f>
        <v/>
      </c>
      <c r="U45" s="145" t="str">
        <f aca="false">IF(SUM(S45:T45)&gt;0,K45,"")</f>
        <v/>
      </c>
      <c r="V45" s="145" t="str">
        <f aca="false">IF(SUM(S45:T45)&gt;0,L45,"")</f>
        <v/>
      </c>
      <c r="W45" s="145" t="n">
        <f aca="false">IF(S45=0,P45+Q45,0)</f>
        <v>0</v>
      </c>
    </row>
    <row r="46" customFormat="false" ht="17" hidden="false" customHeight="true" outlineLevel="0" collapsed="false">
      <c r="A46" s="200" t="s">
        <v>43</v>
      </c>
      <c r="B46" s="297" t="str">
        <f aca="false">IF(B45=Para1!$F$153,Para1!$F$109,IF(B45=Para1!$F$109,Para1!$F$148,IF(B45=Para1!$F$148,Para1!$F$111,IF(B45=Para1!$F$111,Para1!$F$120,IF(B45=Para1!$F$120,Para1!$F$170,IF(B45=Para1!$F$170,Para1!$F$173,Para1!$F$153))))))</f>
        <v>Wed</v>
      </c>
      <c r="C46" s="337"/>
      <c r="D46" s="329"/>
      <c r="E46" s="204"/>
      <c r="F46" s="205"/>
      <c r="G46" s="204"/>
      <c r="H46" s="204"/>
      <c r="I46" s="206"/>
      <c r="J46" s="330"/>
      <c r="K46" s="208"/>
      <c r="L46" s="209"/>
      <c r="M46" s="210"/>
      <c r="N46" s="195"/>
      <c r="O46" s="145"/>
      <c r="P46" s="259" t="n">
        <f aca="false">P39</f>
        <v>1</v>
      </c>
      <c r="Q46" s="259" t="n">
        <f aca="false">Q39</f>
        <v>1</v>
      </c>
      <c r="R46" s="145" t="str">
        <f aca="false">IF(VLOOKUP(A46,Para1!$B$67:$E$72,2,0)="11.",VLOOKUP(A46,Para1!$B$67:$E$72,3,0),"")</f>
        <v/>
      </c>
      <c r="S46" s="145" t="str">
        <f aca="false">IF((P46+Q46)=0,"",IF(ISNA(R46),"",IF(R46="","",VLOOKUP(R46,Para1!$D$67:$G$79,3,0)*(IF(P46+Q46=1,0.5,1)))))</f>
        <v/>
      </c>
      <c r="T46" s="145" t="str">
        <f aca="false">IF(P46+Q46=0,"",IF(ISNA(R47),"",IF(R47="","",VLOOKUP(R47,Para1!$D$67:$G$79,4,0)*(IF(P46+Q46=1,0.5,1)))))</f>
        <v/>
      </c>
      <c r="U46" s="145" t="str">
        <f aca="false">IF(SUM(S46:T46)&gt;0,K46,"")</f>
        <v/>
      </c>
      <c r="V46" s="145" t="str">
        <f aca="false">IF(SUM(S46:T46)&gt;0,L46,"")</f>
        <v/>
      </c>
      <c r="W46" s="145" t="n">
        <f aca="false">IF(S46=0,P46+Q46,0)</f>
        <v>0</v>
      </c>
    </row>
    <row r="47" customFormat="false" ht="17" hidden="false" customHeight="true" outlineLevel="0" collapsed="false">
      <c r="A47" s="200" t="s">
        <v>44</v>
      </c>
      <c r="B47" s="297" t="str">
        <f aca="false">IF(B46=Para1!$F$153,Para1!$F$109,IF(B46=Para1!$F$109,Para1!$F$148,IF(B46=Para1!$F$148,Para1!$F$111,IF(B46=Para1!$F$111,Para1!$F$120,IF(B46=Para1!$F$120,Para1!$F$170,IF(B46=Para1!$F$170,Para1!$F$173,Para1!$F$153))))))</f>
        <v>Thu</v>
      </c>
      <c r="C47" s="186"/>
      <c r="D47" s="329"/>
      <c r="E47" s="204"/>
      <c r="F47" s="205"/>
      <c r="G47" s="204"/>
      <c r="H47" s="204"/>
      <c r="I47" s="206"/>
      <c r="J47" s="330"/>
      <c r="K47" s="208"/>
      <c r="L47" s="209"/>
      <c r="M47" s="210"/>
      <c r="N47" s="195"/>
      <c r="O47" s="145"/>
      <c r="P47" s="259" t="n">
        <f aca="false">P40</f>
        <v>1</v>
      </c>
      <c r="Q47" s="259" t="n">
        <f aca="false">Q40</f>
        <v>1</v>
      </c>
      <c r="R47" s="145" t="e">
        <f aca="false">IF(VLOOKUP(A47,Para1!$B$67:$E$72,2,0)="11.",VLOOKUP(A47,Para1!$B$67:$E$72,3,0),"")</f>
        <v>#N/A</v>
      </c>
      <c r="S47" s="145" t="str">
        <f aca="false">IF((P47+Q47)=0,"",IF(ISNA(R47),"",IF(R47="","",VLOOKUP(R47,Para1!$D$67:$G$79,3,0)*(IF(P47+Q47=1,0.5,1)))))</f>
        <v/>
      </c>
      <c r="T47" s="145" t="str">
        <f aca="false">IF(P47+Q47=0,"",IF(ISNA(R48),"",IF(R48="","",VLOOKUP(R48,Para1!$D$67:$G$79,4,0)*(IF(P47+Q47=1,0.5,1)))))</f>
        <v/>
      </c>
      <c r="U47" s="145" t="str">
        <f aca="false">IF(SUM(S47:T47)&gt;0,K47,"")</f>
        <v/>
      </c>
      <c r="V47" s="145" t="str">
        <f aca="false">IF(SUM(S47:T47)&gt;0,L47,"")</f>
        <v/>
      </c>
      <c r="W47" s="145" t="n">
        <f aca="false">IF(S47=0,P47+Q47,0)</f>
        <v>0</v>
      </c>
    </row>
    <row r="48" customFormat="false" ht="17" hidden="false" customHeight="true" outlineLevel="0" collapsed="false">
      <c r="A48" s="200" t="s">
        <v>45</v>
      </c>
      <c r="B48" s="297" t="str">
        <f aca="false">IF(B47=Para1!$F$153,Para1!$F$109,IF(B47=Para1!$F$109,Para1!$F$148,IF(B47=Para1!$F$148,Para1!$F$111,IF(B47=Para1!$F$111,Para1!$F$120,IF(B47=Para1!$F$120,Para1!$F$170,IF(B47=Para1!$F$170,Para1!$F$173,Para1!$F$153))))))</f>
        <v>Fri</v>
      </c>
      <c r="C48" s="202"/>
      <c r="D48" s="329"/>
      <c r="E48" s="204"/>
      <c r="F48" s="205"/>
      <c r="G48" s="204"/>
      <c r="H48" s="204"/>
      <c r="I48" s="206"/>
      <c r="J48" s="330"/>
      <c r="K48" s="208"/>
      <c r="L48" s="209"/>
      <c r="M48" s="210"/>
      <c r="N48" s="195"/>
      <c r="O48" s="145"/>
      <c r="P48" s="259" t="n">
        <f aca="false">P41</f>
        <v>1</v>
      </c>
      <c r="Q48" s="259" t="n">
        <f aca="false">Q41</f>
        <v>1</v>
      </c>
      <c r="R48" s="145" t="e">
        <f aca="false">IF(VLOOKUP(A48,Para1!$B$67:$E$72,2,0)="11.",VLOOKUP(A48,Para1!$B$67:$E$72,3,0),"")</f>
        <v>#N/A</v>
      </c>
      <c r="S48" s="145" t="str">
        <f aca="false">IF((P48+Q48)=0,"",IF(ISNA(R48),"",IF(R48="","",VLOOKUP(R48,Para1!$D$67:$G$79,3,0)*(IF(P48+Q48=1,0.5,1)))))</f>
        <v/>
      </c>
      <c r="T48" s="145" t="str">
        <f aca="false">IF(P48+Q48=0,"",IF(ISNA(R49),"",IF(R49="","",VLOOKUP(R49,Para1!$D$67:$G$79,4,0)*(IF(P48+Q48=1,0.5,1)))))</f>
        <v/>
      </c>
      <c r="U48" s="145" t="str">
        <f aca="false">IF(SUM(S48:T48)&gt;0,K48,"")</f>
        <v/>
      </c>
      <c r="V48" s="145" t="str">
        <f aca="false">IF(SUM(S48:T48)&gt;0,L48,"")</f>
        <v/>
      </c>
      <c r="W48" s="145" t="n">
        <f aca="false">IF(S48=0,P48+Q48,0)</f>
        <v>0</v>
      </c>
    </row>
    <row r="49" s="258" customFormat="true" ht="17" hidden="false" customHeight="true" outlineLevel="0" collapsed="false">
      <c r="A49" s="200" t="s">
        <v>46</v>
      </c>
      <c r="B49" s="297" t="str">
        <f aca="false">IF(B48=Para1!$F$153,Para1!$F$109,IF(B48=Para1!$F$109,Para1!$F$148,IF(B48=Para1!$F$148,Para1!$F$111,IF(B48=Para1!$F$111,Para1!$F$120,IF(B48=Para1!$F$120,Para1!$F$170,IF(B48=Para1!$F$170,Para1!$F$173,Para1!$F$153))))))</f>
        <v>Sat</v>
      </c>
      <c r="C49" s="287"/>
      <c r="D49" s="329"/>
      <c r="E49" s="204"/>
      <c r="F49" s="205"/>
      <c r="G49" s="204"/>
      <c r="H49" s="204"/>
      <c r="I49" s="206"/>
      <c r="J49" s="330"/>
      <c r="K49" s="208"/>
      <c r="L49" s="209"/>
      <c r="M49" s="210"/>
      <c r="N49" s="195"/>
      <c r="O49" s="145"/>
      <c r="P49" s="259" t="n">
        <f aca="false">P42</f>
        <v>0</v>
      </c>
      <c r="Q49" s="259" t="n">
        <f aca="false">Q42</f>
        <v>0</v>
      </c>
      <c r="R49" s="145" t="e">
        <f aca="false">IF(VLOOKUP(A49,Para1!$B$67:$E$72,2,0)="11.",VLOOKUP(A49,Para1!$B$67:$E$72,3,0),"")</f>
        <v>#N/A</v>
      </c>
      <c r="S49" s="145" t="str">
        <f aca="false">IF((P49+Q49)=0,"",IF(ISNA(R49),"",IF(R49="","",VLOOKUP(R49,Para1!$D$67:$G$79,3,0)*(IF(P49+Q49=1,0.5,1)))))</f>
        <v/>
      </c>
      <c r="T49" s="145" t="str">
        <f aca="false">IF(P49+Q49=0,"",IF(ISNA(R50),"",IF(R50="","",VLOOKUP(R50,Para1!$D$67:$G$79,4,0)*(IF(P49+Q49=1,0.5,1)))))</f>
        <v/>
      </c>
      <c r="U49" s="145" t="str">
        <f aca="false">IF(SUM(S49:T49)&gt;0,K49,"")</f>
        <v/>
      </c>
      <c r="V49" s="145" t="str">
        <f aca="false">IF(SUM(S49:T49)&gt;0,L49,"")</f>
        <v/>
      </c>
      <c r="W49" s="145" t="n">
        <f aca="false">IF(S49=0,P49+Q49,0)</f>
        <v>0</v>
      </c>
    </row>
    <row r="50" s="258" customFormat="true" ht="17" hidden="false" customHeight="true" outlineLevel="0" collapsed="false">
      <c r="A50" s="200" t="s">
        <v>47</v>
      </c>
      <c r="B50" s="297" t="str">
        <f aca="false">IF(B49=Para1!$F$153,Para1!$F$109,IF(B49=Para1!$F$109,Para1!$F$148,IF(B49=Para1!$F$148,Para1!$F$111,IF(B49=Para1!$F$111,Para1!$F$120,IF(B49=Para1!$F$120,Para1!$F$170,IF(B49=Para1!$F$170,Para1!$F$173,Para1!$F$153))))))</f>
        <v>Sun</v>
      </c>
      <c r="C50" s="287"/>
      <c r="D50" s="329"/>
      <c r="E50" s="204"/>
      <c r="F50" s="205"/>
      <c r="G50" s="204"/>
      <c r="H50" s="204"/>
      <c r="I50" s="206"/>
      <c r="J50" s="330"/>
      <c r="K50" s="208"/>
      <c r="L50" s="209"/>
      <c r="M50" s="210"/>
      <c r="N50" s="195"/>
      <c r="O50" s="145"/>
      <c r="P50" s="262" t="n">
        <f aca="false">P43</f>
        <v>0</v>
      </c>
      <c r="Q50" s="262" t="n">
        <f aca="false">Q43</f>
        <v>0</v>
      </c>
      <c r="R50" s="145" t="e">
        <f aca="false">IF(VLOOKUP(A50,Para1!$B$67:$E$72,2,0)="11.",VLOOKUP(A50,Para1!$B$67:$E$72,3,0),"")</f>
        <v>#N/A</v>
      </c>
      <c r="S50" s="145" t="str">
        <f aca="false">IF((P50+Q50)=0,"",IF(ISNA(R50),"",IF(R50="","",VLOOKUP(R50,Para1!$D$67:$G$79,3,0)*(IF(P50+Q50=1,0.5,1)))))</f>
        <v/>
      </c>
      <c r="T50" s="145" t="str">
        <f aca="false">IF(P50+Q50=0,"",IF(ISNA(R51),"",IF(R51="","",VLOOKUP(R51,Para1!$D$67:$G$79,4,0)*(IF(P50+Q50=1,0.5,1)))))</f>
        <v/>
      </c>
      <c r="U50" s="145" t="str">
        <f aca="false">IF(SUM(S50:T50)&gt;0,K50,"")</f>
        <v/>
      </c>
      <c r="V50" s="145" t="str">
        <f aca="false">IF(SUM(S50:T50)&gt;0,L50,"")</f>
        <v/>
      </c>
      <c r="W50" s="145" t="n">
        <f aca="false">IF(S50=0,P50+Q50,0)</f>
        <v>0</v>
      </c>
    </row>
    <row r="51" customFormat="false" ht="17" hidden="false" customHeight="true" outlineLevel="0" collapsed="false">
      <c r="A51" s="200" t="s">
        <v>48</v>
      </c>
      <c r="B51" s="297" t="str">
        <f aca="false">IF(B50=Para1!$F$153,Para1!$F$109,IF(B50=Para1!$F$109,Para1!$F$148,IF(B50=Para1!$F$148,Para1!$F$111,IF(B50=Para1!$F$111,Para1!$F$120,IF(B50=Para1!$F$120,Para1!$F$170,IF(B50=Para1!$F$170,Para1!$F$173,Para1!$F$153))))))</f>
        <v>Mon</v>
      </c>
      <c r="C51" s="287"/>
      <c r="D51" s="329"/>
      <c r="E51" s="204"/>
      <c r="F51" s="205"/>
      <c r="G51" s="204"/>
      <c r="H51" s="204"/>
      <c r="I51" s="206"/>
      <c r="J51" s="330"/>
      <c r="K51" s="208"/>
      <c r="L51" s="209"/>
      <c r="M51" s="210"/>
      <c r="N51" s="195"/>
      <c r="O51" s="145"/>
      <c r="P51" s="217" t="n">
        <f aca="false">P44</f>
        <v>1</v>
      </c>
      <c r="Q51" s="259" t="n">
        <f aca="false">Q44</f>
        <v>1</v>
      </c>
      <c r="R51" s="145" t="e">
        <f aca="false">IF(VLOOKUP(A51,Para1!$B$67:$E$72,2,0)="11.",VLOOKUP(A51,Para1!$B$67:$E$72,3,0),"")</f>
        <v>#N/A</v>
      </c>
      <c r="S51" s="145" t="str">
        <f aca="false">IF((P51+Q51)=0,"",IF(ISNA(R51),"",IF(R51="","",VLOOKUP(R51,Para1!$D$67:$G$79,3,0)*(IF(P51+Q51=1,0.5,1)))))</f>
        <v/>
      </c>
      <c r="T51" s="145" t="str">
        <f aca="false">IF(P51+Q51=0,"",IF(ISNA(R52),"",IF(R52="","",VLOOKUP(R52,Para1!$D$67:$G$79,4,0)*(IF(P51+Q51=1,0.5,1)))))</f>
        <v/>
      </c>
      <c r="U51" s="145" t="str">
        <f aca="false">IF(SUM(S51:T51)&gt;0,K51,"")</f>
        <v/>
      </c>
      <c r="V51" s="145" t="str">
        <f aca="false">IF(SUM(S51:T51)&gt;0,L51,"")</f>
        <v/>
      </c>
      <c r="W51" s="145" t="n">
        <f aca="false">IF(S51=0,P51+Q51,0)</f>
        <v>0</v>
      </c>
    </row>
    <row r="52" customFormat="false" ht="17" hidden="false" customHeight="true" outlineLevel="0" collapsed="false">
      <c r="A52" s="200" t="s">
        <v>49</v>
      </c>
      <c r="B52" s="297" t="str">
        <f aca="false">IF(B51=Para1!$F$153,Para1!$F$109,IF(B51=Para1!$F$109,Para1!$F$148,IF(B51=Para1!$F$148,Para1!$F$111,IF(B51=Para1!$F$111,Para1!$F$120,IF(B51=Para1!$F$120,Para1!$F$170,IF(B51=Para1!$F$170,Para1!$F$173,Para1!$F$153))))))</f>
        <v>Tue</v>
      </c>
      <c r="C52" s="287"/>
      <c r="D52" s="329"/>
      <c r="E52" s="204"/>
      <c r="F52" s="205"/>
      <c r="G52" s="204"/>
      <c r="H52" s="204"/>
      <c r="I52" s="206"/>
      <c r="J52" s="330"/>
      <c r="K52" s="208"/>
      <c r="L52" s="209"/>
      <c r="M52" s="210"/>
      <c r="N52" s="195"/>
      <c r="O52" s="145"/>
      <c r="P52" s="318" t="n">
        <f aca="false">P45</f>
        <v>1</v>
      </c>
      <c r="Q52" s="262" t="n">
        <f aca="false">Q45</f>
        <v>1</v>
      </c>
      <c r="R52" s="145" t="e">
        <f aca="false">IF(VLOOKUP(A52,Para1!$B$67:$E$72,2,0)="11.",VLOOKUP(A52,Para1!$B$67:$E$72,3,0),"")</f>
        <v>#N/A</v>
      </c>
      <c r="S52" s="145" t="str">
        <f aca="false">IF((P52+Q52)=0,"",IF(ISNA(R52),"",IF(R52="","",VLOOKUP(R52,Para1!$D$67:$G$79,3,0)*(IF(P52+Q52=1,0.5,1)))))</f>
        <v/>
      </c>
      <c r="T52" s="145" t="str">
        <f aca="false">IF(P52+Q52=0,"",IF(ISNA(R53),"",IF(R53="","",VLOOKUP(R53,Para1!$D$67:$G$79,4,0)*(IF(P52+Q52=1,0.5,1)))))</f>
        <v/>
      </c>
      <c r="U52" s="145" t="str">
        <f aca="false">IF(SUM(S52:T52)&gt;0,K52,"")</f>
        <v/>
      </c>
      <c r="V52" s="145" t="str">
        <f aca="false">IF(SUM(S52:T52)&gt;0,L52,"")</f>
        <v/>
      </c>
      <c r="W52" s="145" t="n">
        <f aca="false">IF(S52=0,P52+Q52,0)</f>
        <v>0</v>
      </c>
    </row>
    <row r="53" customFormat="false" ht="17" hidden="false" customHeight="true" outlineLevel="0" collapsed="false">
      <c r="A53" s="300"/>
      <c r="B53" s="301"/>
      <c r="C53" s="302"/>
      <c r="D53" s="338"/>
      <c r="E53" s="339"/>
      <c r="F53" s="340"/>
      <c r="G53" s="339"/>
      <c r="H53" s="339"/>
      <c r="I53" s="341"/>
      <c r="J53" s="330"/>
      <c r="K53" s="307"/>
      <c r="L53" s="308"/>
      <c r="M53" s="210"/>
      <c r="N53" s="195"/>
      <c r="O53" s="145"/>
      <c r="P53" s="325"/>
      <c r="Q53" s="325"/>
      <c r="R53" s="145" t="e">
        <f aca="false">IF(VLOOKUP(A53,Para1!$B$67:$E$72,2,0)="11.",VLOOKUP(A53,Para1!$B$67:$E$72,3,0),"")</f>
        <v>#N/A</v>
      </c>
      <c r="S53" s="145" t="str">
        <f aca="false">IF((P53+Q53)=0,"",IF(ISNA(R53),"",IF(R53="","",VLOOKUP(R53,Para1!$D$67:$G$79,3,0)*(IF(P53+Q53=1,0.5,1)))))</f>
        <v/>
      </c>
      <c r="T53" s="145" t="str">
        <f aca="false">IF(P53+Q53=0,"",IF(ISNA(Dezember!R23),"",IF(Dezember!R23="","",VLOOKUP(Dezember!R23,Para1!$D$67:$G$79,4,0)*(IF(P53+Q53=1,0.5,1)))))</f>
        <v/>
      </c>
      <c r="U53" s="145" t="str">
        <f aca="false">IF(SUM(S53:T53)&gt;0,K53,"")</f>
        <v/>
      </c>
      <c r="V53" s="145" t="str">
        <f aca="false">IF(SUM(S53:T53)&gt;0,L53,"")</f>
        <v/>
      </c>
      <c r="W53" s="145" t="n">
        <f aca="false">IF(S53=0,P53+Q53,0)</f>
        <v>0</v>
      </c>
    </row>
    <row r="54" customFormat="false" ht="15" hidden="false" customHeight="false" outlineLevel="0" collapsed="false">
      <c r="A54" s="223"/>
      <c r="B54" s="197"/>
      <c r="C54" s="133"/>
      <c r="D54" s="332" t="n">
        <f aca="false">SUM(D23:D53)</f>
        <v>0</v>
      </c>
      <c r="E54" s="290" t="n">
        <f aca="false">SUM(E23:E53)</f>
        <v>0</v>
      </c>
      <c r="F54" s="225" t="n">
        <f aca="false">SUM(F23:F53)</f>
        <v>0</v>
      </c>
      <c r="G54" s="225" t="n">
        <f aca="false">SUM(G23:G53)</f>
        <v>0</v>
      </c>
      <c r="H54" s="225" t="n">
        <f aca="false">SUM(H23:H53)</f>
        <v>0</v>
      </c>
      <c r="I54" s="226" t="n">
        <f aca="false">SUM(I23:I53)</f>
        <v>0</v>
      </c>
      <c r="J54" s="282"/>
      <c r="P54" s="229" t="str">
        <f aca="false">Para1!F174&amp;" "&amp;Para1!F168</f>
        <v>balance due / half-day</v>
      </c>
      <c r="Q54" s="229"/>
      <c r="R54" s="145" t="n">
        <f aca="false">SUM(W23:W53)</f>
        <v>0</v>
      </c>
      <c r="S54" s="145" t="n">
        <f aca="false">SUM(S23:S53)</f>
        <v>0</v>
      </c>
      <c r="T54" s="145" t="n">
        <f aca="false">SUM(T23:T53)</f>
        <v>0</v>
      </c>
    </row>
    <row r="55" customFormat="false" ht="15" hidden="false" customHeight="false" outlineLevel="0" collapsed="false">
      <c r="A55" s="283"/>
      <c r="B55" s="284"/>
      <c r="C55" s="284"/>
      <c r="D55" s="334" t="n">
        <f aca="false">D54*24</f>
        <v>0</v>
      </c>
      <c r="E55" s="292" t="n">
        <f aca="false">E54*24</f>
        <v>0</v>
      </c>
      <c r="F55" s="231" t="n">
        <f aca="false">F54*24</f>
        <v>0</v>
      </c>
      <c r="G55" s="231" t="n">
        <f aca="false">G54*24</f>
        <v>0</v>
      </c>
      <c r="H55" s="231" t="n">
        <f aca="false">H54*24</f>
        <v>0</v>
      </c>
      <c r="I55" s="232" t="n">
        <f aca="false">I54*24</f>
        <v>0</v>
      </c>
      <c r="J55" s="285"/>
      <c r="M55" s="235" t="str">
        <f aca="false">Para1!G2</f>
        <v>AE v1_01 02.12.2021</v>
      </c>
      <c r="P55" s="236" t="n">
        <f aca="false">(Para1!K60/100*$G$3+((S54+T54)/100*$G$3))/(SUM(P23:Q53)-R54)/24</f>
        <v>0.175</v>
      </c>
      <c r="Q55" s="236"/>
    </row>
    <row r="56" customFormat="false" ht="15" hidden="false" customHeight="false" outlineLevel="0" collapsed="false">
      <c r="D56" s="117"/>
      <c r="K56" s="133"/>
      <c r="Q56" s="133"/>
      <c r="R56" s="133"/>
      <c r="S56" s="133"/>
      <c r="T56" s="133"/>
      <c r="U56" s="133"/>
      <c r="V56" s="133"/>
      <c r="W56" s="133"/>
      <c r="X56" s="133"/>
      <c r="Y56" s="133"/>
      <c r="Z56" s="133"/>
      <c r="AA56" s="133"/>
    </row>
    <row r="57" customFormat="false" ht="22.5" hidden="false" customHeight="true" outlineLevel="0" collapsed="false">
      <c r="A57" s="237" t="str">
        <f aca="false">Para1!F106</f>
        <v>date</v>
      </c>
      <c r="B57" s="238"/>
      <c r="C57" s="238"/>
      <c r="D57" s="239"/>
      <c r="E57" s="238"/>
      <c r="F57" s="240" t="str">
        <f aca="false">Para1!F191&amp;" "&amp;Para1!F152</f>
        <v>signature employee</v>
      </c>
      <c r="G57" s="238"/>
      <c r="H57" s="241"/>
      <c r="I57" s="241"/>
      <c r="J57" s="241"/>
      <c r="K57" s="241"/>
      <c r="L57" s="241"/>
      <c r="Q57" s="133"/>
      <c r="R57" s="133"/>
      <c r="S57" s="133"/>
      <c r="T57" s="242"/>
      <c r="U57" s="237"/>
      <c r="V57" s="133"/>
      <c r="W57" s="133"/>
      <c r="X57" s="133"/>
      <c r="Y57" s="286"/>
      <c r="Z57" s="133"/>
      <c r="AA57" s="133"/>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row r="60" customFormat="false" ht="14" hidden="false" customHeight="false" outlineLevel="0" collapsed="false">
      <c r="D60" s="117"/>
    </row>
    <row r="61" customFormat="false" ht="22.5" hidden="false" customHeight="true" outlineLevel="0" collapsed="false">
      <c r="A61" s="247"/>
      <c r="B61" s="238"/>
      <c r="C61" s="238"/>
      <c r="D61" s="248"/>
      <c r="E61" s="249"/>
      <c r="F61" s="248"/>
      <c r="G61" s="242"/>
      <c r="I61" s="134"/>
      <c r="J61" s="250"/>
      <c r="L61" s="250"/>
      <c r="M61" s="238"/>
      <c r="Q61" s="24"/>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2">
    <cfRule type="expression" priority="2" aboveAverage="0" equalAverage="0" bottom="0" percent="0" rank="0" text="" dxfId="71">
      <formula>$S23=0</formula>
    </cfRule>
    <cfRule type="expression" priority="3" aboveAverage="0" equalAverage="0" bottom="0" percent="0" rank="0" text="" dxfId="72">
      <formula>$P23+$Q23=0</formula>
    </cfRule>
  </conditionalFormatting>
  <conditionalFormatting sqref="D23:I52">
    <cfRule type="expression" priority="4" aboveAverage="0" equalAverage="0" bottom="0" percent="0" rank="0" text="" dxfId="73">
      <formula>$P23+$Q23=1</formula>
    </cfRule>
    <cfRule type="expression" priority="5" aboveAverage="0" equalAverage="0" bottom="0" percent="0" rank="0" text="" dxfId="74">
      <formula>$P23+$Q23=0</formula>
    </cfRule>
  </conditionalFormatting>
  <conditionalFormatting sqref="D23:I52 K23:L52 P23:Q52">
    <cfRule type="expression" priority="6" aboveAverage="0" equalAverage="0" bottom="0" percent="0" rank="0" text="" dxfId="75">
      <formula>$S23=0</formula>
    </cfRule>
  </conditionalFormatting>
  <conditionalFormatting sqref="K23:K52 P23:P52">
    <cfRule type="expression" priority="7" aboveAverage="0" equalAverage="0" bottom="0" percent="0" rank="0" text="" dxfId="76">
      <formula>$P23=0</formula>
    </cfRule>
  </conditionalFormatting>
  <conditionalFormatting sqref="L23:L52 Q23:Q52">
    <cfRule type="expression" priority="8" aboveAverage="0" equalAverage="0" bottom="0" percent="0" rank="0" text="" dxfId="77">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379861111111111" right="0.4"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65"/>
  <sheetViews>
    <sheetView showFormulas="false" showGridLines="false" showRowColHeaders="true" showZeros="true" rightToLeft="false" tabSelected="false" showOutlineSymbols="true" defaultGridColor="true" view="normal" topLeftCell="A19" colorId="64" zoomScale="85" zoomScaleNormal="85" zoomScalePageLayoutView="100" workbookViewId="0">
      <selection pane="topLeft" activeCell="K47" activeCellId="0" sqref="K47"/>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4" min="4" style="238" width="12.66"/>
    <col collapsed="false" customWidth="true" hidden="false" outlineLevel="0" max="7" min="5" style="117" width="12.66"/>
    <col collapsed="false" customWidth="true" hidden="false" outlineLevel="0" max="8" min="8" style="145" width="12.66"/>
    <col collapsed="false" customWidth="true" hidden="false" outlineLevel="0" max="9" min="9" style="117" width="12.66"/>
    <col collapsed="false" customWidth="true" hidden="false" outlineLevel="0" max="10" min="10" style="117" width="2.84"/>
    <col collapsed="false" customWidth="true" hidden="false" outlineLevel="0" max="12" min="11" style="117"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
    <col collapsed="false" customWidth="false" hidden="false" outlineLevel="0" max="1024" min="24" style="117" width="11.5"/>
  </cols>
  <sheetData>
    <row r="1" s="117" customFormat="tru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I1" s="24"/>
      <c r="J1" s="121"/>
      <c r="K1" s="121" t="str">
        <f aca="false">Para1!F133</f>
        <v>year of birth (4-digit):</v>
      </c>
      <c r="L1" s="122" t="n">
        <f aca="false">'Jahresübersicht (Overview)'!K2</f>
        <v>1994</v>
      </c>
    </row>
    <row r="2" customFormat="false" ht="6" hidden="false" customHeight="true" outlineLevel="0" collapsed="false">
      <c r="D2" s="124"/>
      <c r="E2" s="124"/>
      <c r="F2" s="124"/>
      <c r="G2" s="124"/>
      <c r="H2" s="117"/>
      <c r="I2" s="124"/>
      <c r="J2" s="124"/>
      <c r="K2" s="124"/>
      <c r="L2" s="124"/>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(Overview)'!N8</f>
        <v>100</v>
      </c>
      <c r="H3" s="117" t="s">
        <v>11</v>
      </c>
      <c r="I3" s="24"/>
      <c r="J3" s="119"/>
      <c r="K3" s="126" t="str">
        <f aca="false">Para1!F113</f>
        <v>starting date:</v>
      </c>
      <c r="L3" s="127" t="n">
        <f aca="false">'Jahresübersicht (Overview)'!G4</f>
        <v>42688</v>
      </c>
      <c r="M3" s="128"/>
      <c r="N3" s="128"/>
    </row>
    <row r="4" customFormat="false" ht="6" hidden="false" customHeight="true" outlineLevel="0" collapsed="false">
      <c r="A4" s="129"/>
      <c r="B4" s="130"/>
      <c r="C4" s="130"/>
      <c r="D4" s="131"/>
      <c r="E4" s="131"/>
      <c r="F4" s="131"/>
      <c r="G4" s="131"/>
      <c r="H4" s="131"/>
      <c r="I4" s="132"/>
      <c r="J4" s="132"/>
      <c r="K4" s="132"/>
      <c r="L4" s="132"/>
      <c r="M4" s="130"/>
      <c r="N4" s="130"/>
    </row>
    <row r="5" customFormat="false" ht="6" hidden="false" customHeight="true" outlineLevel="0" collapsed="false">
      <c r="D5" s="124"/>
      <c r="E5" s="124"/>
      <c r="F5" s="124"/>
      <c r="G5" s="124"/>
      <c r="H5" s="124"/>
      <c r="I5" s="134"/>
      <c r="J5" s="134"/>
      <c r="K5" s="134"/>
      <c r="L5" s="134"/>
    </row>
    <row r="6" customFormat="false" ht="15" hidden="false" customHeight="true" outlineLevel="0" collapsed="false">
      <c r="D6" s="124"/>
      <c r="E6" s="135"/>
      <c r="F6" s="124"/>
      <c r="G6" s="124"/>
      <c r="H6" s="124"/>
      <c r="I6" s="134"/>
      <c r="J6" s="134"/>
      <c r="K6" s="134"/>
      <c r="L6" s="134"/>
    </row>
    <row r="7" customFormat="false" ht="15" hidden="false" customHeight="true" outlineLevel="0" collapsed="false">
      <c r="C7" s="136"/>
      <c r="D7" s="126" t="str">
        <f aca="false">Para1!F117</f>
        <v>holiday</v>
      </c>
      <c r="E7" s="137" t="s">
        <v>12</v>
      </c>
      <c r="H7" s="117"/>
      <c r="I7" s="121" t="str">
        <f aca="false">Para1!F83</f>
        <v>absences</v>
      </c>
      <c r="J7" s="117" t="s">
        <v>12</v>
      </c>
      <c r="L7" s="138" t="str">
        <f aca="false">Para1!F84</f>
        <v>curr. mnth</v>
      </c>
      <c r="M7" s="138" t="str">
        <f aca="false">Para1!F195</f>
        <v>last mnth(s)</v>
      </c>
      <c r="N7" s="139" t="str">
        <f aca="false">Para1!F171</f>
        <v>balance</v>
      </c>
    </row>
    <row r="8" customFormat="false" ht="15" hidden="false" customHeight="true" outlineLevel="0" collapsed="false">
      <c r="D8" s="138" t="str">
        <f aca="false">Para1!B171&amp;" "&amp;Para1!B88&amp;" "&amp;Para1!B154</f>
        <v>Saldo Anfang Monat</v>
      </c>
      <c r="E8" s="141" t="n">
        <f aca="false">November!E11</f>
        <v>1.79375</v>
      </c>
      <c r="H8" s="117"/>
      <c r="I8" s="135" t="str">
        <f aca="false">Para1!F141</f>
        <v>illness</v>
      </c>
      <c r="J8" s="142"/>
      <c r="L8" s="143" t="n">
        <f aca="false">D54</f>
        <v>0</v>
      </c>
      <c r="M8" s="143" t="n">
        <f aca="false">November!N8</f>
        <v>0</v>
      </c>
      <c r="N8" s="144" t="n">
        <f aca="false">SUM(L8:M8)</f>
        <v>0</v>
      </c>
    </row>
    <row r="9" customFormat="false" ht="15" hidden="false" customHeight="true" outlineLevel="0" collapsed="false">
      <c r="D9" s="138" t="str">
        <f aca="false">"./. "&amp;Para1!F118</f>
        <v>./. holiday taken</v>
      </c>
      <c r="E9" s="141" t="n">
        <f aca="false">(COUNTIF($K$23:$L$45,"f")+COUNTIF($K$46,"f")+COUNTIF($K$47:$L$52,"f")+COUNTIF($K$53,"f"))*$P$55-IF(ISNA(F9),0,(S54+T54)/4800*G3)-IF(ISNA(G9),0,(S54+T54)/4800*G3)</f>
        <v>1.4</v>
      </c>
      <c r="F9" s="145" t="e">
        <f aca="false">INDEX((U23:U45~U47:U52),MATCH("f",(U23:U45~U47:U52),0))</f>
        <v>#VALUE!</v>
      </c>
      <c r="G9" s="145" t="e">
        <f aca="false">INDEX((V23:V45~V47:V52),MATCH("f",(V23:V45~V47:V52),0))</f>
        <v>#VALUE!</v>
      </c>
      <c r="H9" s="117"/>
      <c r="I9" s="135" t="str">
        <f aca="false">Para1!F190</f>
        <v>accident</v>
      </c>
      <c r="J9" s="120" t="str">
        <f aca="false">Para1!F99</f>
        <v>work related</v>
      </c>
      <c r="K9" s="120"/>
      <c r="L9" s="143" t="n">
        <f aca="false">E54</f>
        <v>0</v>
      </c>
      <c r="M9" s="143" t="n">
        <f aca="false">November!N9</f>
        <v>0</v>
      </c>
      <c r="N9" s="144" t="n">
        <f aca="false">SUM(L9:M9)</f>
        <v>0</v>
      </c>
    </row>
    <row r="10" customFormat="false" ht="15" hidden="false" customHeight="true" outlineLevel="0" collapsed="false">
      <c r="D10" s="138" t="str">
        <f aca="false">"./ ."&amp;Para1!F119</f>
        <v>./ .reduction of holiday</v>
      </c>
      <c r="E10" s="147" t="n">
        <v>0</v>
      </c>
      <c r="H10" s="117"/>
      <c r="I10" s="135"/>
      <c r="J10" s="120" t="str">
        <f aca="false">Para1!F161&amp;" "&amp;Para1!F100</f>
        <v>not work. rel.</v>
      </c>
      <c r="K10" s="120"/>
      <c r="L10" s="143" t="n">
        <f aca="false">F54</f>
        <v>0</v>
      </c>
      <c r="M10" s="143" t="n">
        <f aca="false">November!N10</f>
        <v>0</v>
      </c>
      <c r="N10" s="144" t="n">
        <f aca="false">SUM(L10:M10)</f>
        <v>0</v>
      </c>
    </row>
    <row r="11" customFormat="false" ht="15" hidden="false" customHeight="true" outlineLevel="0" collapsed="false">
      <c r="B11" s="136"/>
      <c r="C11" s="136"/>
      <c r="D11" s="126" t="str">
        <f aca="false">Para1!F171&amp;" "&amp;Para1!F115&amp;" "&amp;Para1!F154</f>
        <v>balance end of the month</v>
      </c>
      <c r="E11" s="148" t="n">
        <f aca="false">$E$8-$E$9-$E$10</f>
        <v>0.393750000000002</v>
      </c>
      <c r="H11" s="117"/>
      <c r="I11" s="149" t="str">
        <f aca="false">Para1!F142</f>
        <v>short vacation</v>
      </c>
      <c r="L11" s="143" t="n">
        <f aca="false">G54</f>
        <v>0</v>
      </c>
      <c r="M11" s="143" t="n">
        <f aca="false">November!N11</f>
        <v>0</v>
      </c>
      <c r="N11" s="144" t="n">
        <f aca="false">SUM(L11:M11)</f>
        <v>0</v>
      </c>
    </row>
    <row r="12" s="117" customFormat="true" ht="15" hidden="false" customHeight="true" outlineLevel="0" collapsed="false">
      <c r="A12" s="116"/>
      <c r="B12" s="150" t="str">
        <f aca="false">IF((E11*24+(4.2*'Persönliche Daten (pers. data)'!O8/100))&lt;0,Para1!J224,IF(E11&gt;0,"",Para1!J223))</f>
        <v/>
      </c>
      <c r="I12" s="151" t="str">
        <f aca="false">Para1!F198</f>
        <v>training / education</v>
      </c>
      <c r="L12" s="143" t="n">
        <f aca="false">H54</f>
        <v>0</v>
      </c>
      <c r="M12" s="143" t="n">
        <f aca="false">November!N12</f>
        <v>0</v>
      </c>
      <c r="N12" s="144" t="n">
        <f aca="false">SUM(L12:M12)</f>
        <v>0</v>
      </c>
    </row>
    <row r="13" customFormat="false" ht="15" hidden="false" customHeight="true" outlineLevel="0" collapsed="false">
      <c r="B13" s="152" t="str">
        <f aca="false">Para1!F105&amp;" "&amp;Para1!F122&amp;" "&amp;Para1!F83&amp;" in "&amp;Para1!F178&amp;":"</f>
        <v>letters for absences in days:</v>
      </c>
      <c r="C13" s="152"/>
      <c r="D13" s="152"/>
      <c r="E13" s="152"/>
      <c r="H13" s="117"/>
      <c r="I13" s="135" t="str">
        <f aca="false">Para1!F163</f>
        <v>public office</v>
      </c>
      <c r="L13" s="143" t="n">
        <f aca="false">I54</f>
        <v>0</v>
      </c>
      <c r="M13" s="143" t="n">
        <f aca="false">November!N13</f>
        <v>0</v>
      </c>
      <c r="N13" s="144" t="n">
        <f aca="false">SUM(L13:M13)</f>
        <v>0</v>
      </c>
    </row>
    <row r="14" customFormat="false" ht="15" hidden="false" customHeight="true" outlineLevel="0" collapsed="false">
      <c r="B14" s="153" t="s">
        <v>13</v>
      </c>
      <c r="C14" s="154" t="str">
        <f aca="false">Para1!F117</f>
        <v>holiday</v>
      </c>
      <c r="D14" s="154"/>
      <c r="E14" s="154"/>
      <c r="H14" s="117"/>
      <c r="I14" s="155" t="str">
        <f aca="false">Para1!F192</f>
        <v>leave</v>
      </c>
      <c r="J14" s="146" t="str">
        <f aca="false">Para1!F101</f>
        <v>paid</v>
      </c>
      <c r="K14" s="157"/>
      <c r="L14" s="146" t="n">
        <f aca="false">(COUNTIF($K$23:$L$45,"b")+COUNTIF($K$46,"b")+COUNTIF($K$47:$L$52,"b")+COUNTIF($K$53,"b"))*$P$55-IF(ISNA(O14),0,(S54+T54)/4800*G3)-IF(ISNA(P14),0,(S54+T54)/4800*G3)</f>
        <v>-0.175</v>
      </c>
      <c r="M14" s="143" t="n">
        <f aca="false">November!N14</f>
        <v>0</v>
      </c>
      <c r="N14" s="144" t="n">
        <f aca="false">SUM(L14:M14)</f>
        <v>-0.175</v>
      </c>
      <c r="O14" s="145" t="e">
        <f aca="false">INDEX((U23:U45~U47:U52),MATCH("b",(U23:U45~U47:U52),0))</f>
        <v>#VALUE!</v>
      </c>
      <c r="P14" s="145" t="e">
        <f aca="false">INDEX((V23:V45~V47:V52),MATCH("b",(V23:V45~V47:V52),0))</f>
        <v>#VALUE!</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(COUNTIF($K$23:$L$45,"u")+COUNTIF($K$46,"u")+COUNTIF($K$47:$L$52,"u")+COUNTIF($K$53,"u"))*$P$55-IF(ISNA(O15),0,(S54+T54)/48*G2)-IF(ISNA(P15),0,(S54+T54)/4800*G3)</f>
        <v>-0.0875</v>
      </c>
      <c r="M15" s="143" t="n">
        <f aca="false">November!N15</f>
        <v>0</v>
      </c>
      <c r="N15" s="144" t="n">
        <f aca="false">SUM(L15:M15)</f>
        <v>-0.0875</v>
      </c>
      <c r="O15" s="145" t="e">
        <f aca="false">INDEX((U23:U45~U47:U52),MATCH("u",(U23:U45~U47:U52),0))</f>
        <v>#VALUE!</v>
      </c>
      <c r="P15" s="145" t="e">
        <f aca="false">INDEX((V23:V45~V47:V52),MATCH("u",(V23:V45~V47:V52),0))</f>
        <v>#VALUE!</v>
      </c>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J16" s="157"/>
      <c r="K16" s="157"/>
      <c r="L16" s="146" t="n">
        <f aca="false">(COUNTIF($K$23:$L$45,"m")+COUNTIF($K$46,"m")+COUNTIF($K$47:$L$52,"m")+COUNTIF($K$53,"m"))*$P$55-IF(ISNA(O16),0,(S54+T54)/4800*G3)-IF(ISNA(P16),0,(S54+T54)/48*G3)</f>
        <v>-8.8375</v>
      </c>
      <c r="M16" s="143" t="n">
        <f aca="false">November!N16</f>
        <v>0</v>
      </c>
      <c r="N16" s="144" t="n">
        <f aca="false">SUM(L16:M16)</f>
        <v>-8.8375</v>
      </c>
      <c r="O16" s="145" t="e">
        <f aca="false">INDEX((U23:U45~U47:U52),MATCH("m",(U23:U45~U47:U52),0))</f>
        <v>#VALUE!</v>
      </c>
      <c r="P16" s="145" t="e">
        <f aca="false">INDEX((V23:V45~V47:V52),MATCH("m",(V23:V45~V47:V52),0))</f>
        <v>#VALUE!</v>
      </c>
    </row>
    <row r="17" customFormat="false" ht="15" hidden="false" customHeight="true" outlineLevel="0" collapsed="false">
      <c r="B17" s="159" t="s">
        <v>16</v>
      </c>
      <c r="C17" s="156" t="str">
        <f aca="false">Para1!F192&amp;" "&amp;Para1!F101</f>
        <v>leave paid</v>
      </c>
      <c r="D17" s="156"/>
      <c r="E17" s="156"/>
      <c r="G17" s="157"/>
      <c r="H17" s="157"/>
      <c r="I17" s="135" t="str">
        <f aca="false">Para1!F150</f>
        <v>military/civil def./civil serv.</v>
      </c>
      <c r="J17" s="24"/>
      <c r="K17" s="24"/>
      <c r="L17" s="146" t="n">
        <f aca="false">(COUNTIF($K$23:$L$45,"z")+COUNTIF($K$46,"z")+COUNTIF($K$47:$L$52,"z")+COUNTIF($K$53,"z"))*$P$55-IF(ISNA(O17),0,(S54+T54)/4800*G3)-IF(ISNA(P17),0,(S54+T54)/4800*G3)</f>
        <v>-0.175</v>
      </c>
      <c r="M17" s="143" t="n">
        <f aca="false">November!N17</f>
        <v>0</v>
      </c>
      <c r="N17" s="144" t="n">
        <f aca="false">SUM(L17:M17)</f>
        <v>-0.175</v>
      </c>
      <c r="O17" s="145" t="e">
        <f aca="false">INDEX((U23:U45~U47:U52),MATCH("z",(U23:U45~U47:U52),0))</f>
        <v>#VALUE!</v>
      </c>
      <c r="P17" s="145" t="e">
        <f aca="false">INDEX((V23:V45~V47:V52),MATCH("z",(V23:V45~V47:V52),0))</f>
        <v>#VALUE!</v>
      </c>
    </row>
    <row r="18" customFormat="false" ht="15" hidden="false" customHeight="true" outlineLevel="0" collapsed="false">
      <c r="B18" s="159" t="s">
        <v>17</v>
      </c>
      <c r="C18" s="154" t="str">
        <f aca="false">Para1!F192&amp;" "&amp;Para1!F189</f>
        <v>leave unpaid</v>
      </c>
      <c r="D18" s="154"/>
      <c r="E18" s="154"/>
      <c r="H18" s="117"/>
      <c r="I18" s="121" t="str">
        <f aca="false">Para1!F180</f>
        <v>total</v>
      </c>
      <c r="L18" s="160" t="n">
        <f aca="false">SUM(L8:L17)</f>
        <v>-9.275</v>
      </c>
      <c r="M18" s="160" t="n">
        <f aca="false">SUM(M8:M17)</f>
        <v>0</v>
      </c>
      <c r="N18" s="160" t="n">
        <f aca="false">SUM(N8:N17)</f>
        <v>-9.275</v>
      </c>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c r="R20" s="342"/>
      <c r="S20" s="342"/>
      <c r="T20" s="342"/>
      <c r="U20" s="342"/>
      <c r="V20" s="342"/>
      <c r="W20" s="342"/>
      <c r="X20" s="342"/>
    </row>
    <row r="21" s="136" customFormat="true" ht="18.75" hidden="false" customHeight="true" outlineLevel="0" collapsed="false">
      <c r="A21" s="167" t="n">
        <f aca="true">TODAY()</f>
        <v>42894</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252"/>
      <c r="K21" s="253" t="str">
        <f aca="false">Para1!F194</f>
        <v>morning</v>
      </c>
      <c r="L21" s="175" t="str">
        <f aca="false">Para1!F158</f>
        <v>afternoon</v>
      </c>
      <c r="M21" s="176"/>
      <c r="P21" s="177" t="str">
        <f aca="false">Para1!F194</f>
        <v>morning</v>
      </c>
      <c r="Q21" s="178" t="str">
        <f aca="false">Para1!F158</f>
        <v>afternoon</v>
      </c>
      <c r="R21" s="150"/>
      <c r="S21" s="150"/>
      <c r="T21" s="150"/>
      <c r="U21" s="150"/>
      <c r="V21" s="150"/>
      <c r="W21" s="150"/>
      <c r="X21" s="150"/>
    </row>
    <row r="22" s="136" customFormat="true" ht="15.75" hidden="false" customHeight="true" outlineLevel="0" collapsed="false">
      <c r="A22" s="180" t="str">
        <f aca="false">Para1!F106</f>
        <v>date</v>
      </c>
      <c r="B22" s="180"/>
      <c r="C22" s="181"/>
      <c r="D22" s="169"/>
      <c r="E22" s="170"/>
      <c r="F22" s="171"/>
      <c r="G22" s="170"/>
      <c r="H22" s="170"/>
      <c r="I22" s="172"/>
      <c r="J22" s="254"/>
      <c r="K22" s="253"/>
      <c r="L22" s="175"/>
      <c r="M22" s="183"/>
      <c r="P22" s="177"/>
      <c r="Q22" s="178"/>
      <c r="R22" s="343"/>
      <c r="S22" s="343"/>
      <c r="T22" s="343"/>
      <c r="U22" s="343"/>
      <c r="V22" s="343"/>
      <c r="W22" s="343"/>
      <c r="X22" s="343"/>
    </row>
    <row r="23" customFormat="false" ht="17" hidden="false" customHeight="true" outlineLevel="0" collapsed="false">
      <c r="A23" s="200" t="s">
        <v>18</v>
      </c>
      <c r="B23" s="297" t="str">
        <f aca="false">IF(November!B52=Para1!$F$153,Para1!$F$109,IF(November!B52=Para1!$F$109,Para1!$F$148,IF(November!B52=Para1!$F$148,Para1!$F$111,IF(November!B52=Para1!$F$111,Para1!$F$120,IF(November!B52=Para1!$F$120,Para1!$F$170,IF(November!B52=Para1!$F$170,Para1!$F$173,Para1!$F$153))))))</f>
        <v>Wed</v>
      </c>
      <c r="C23" s="186"/>
      <c r="D23" s="329"/>
      <c r="E23" s="316"/>
      <c r="F23" s="205"/>
      <c r="G23" s="204"/>
      <c r="H23" s="204"/>
      <c r="I23" s="206"/>
      <c r="J23" s="330"/>
      <c r="K23" s="208"/>
      <c r="L23" s="209"/>
      <c r="M23" s="194"/>
      <c r="N23" s="195"/>
      <c r="O23" s="145"/>
      <c r="P23" s="257" t="n">
        <f aca="false">November!P46</f>
        <v>1</v>
      </c>
      <c r="Q23" s="257" t="n">
        <f aca="false">November!Q46</f>
        <v>1</v>
      </c>
      <c r="R23" s="145" t="e">
        <f aca="false">IF(VLOOKUP(A23,Para1!$B$67:$E$72,2,0)="12.",VLOOKUP(A23,Para1!$B$67:$E$72,3,0),"")</f>
        <v>#N/A</v>
      </c>
      <c r="S23" s="145" t="str">
        <f aca="false">IF((P23+Q23)=0,"",IF(ISNA(R23),"",IF(R23="","",VLOOKUP(R23,Para1!$D$67:$G$79,3,0)*(IF(P23+Q23=1,0.5,1)))))</f>
        <v/>
      </c>
      <c r="T23" s="145" t="str">
        <f aca="false">IF(P23+Q23=0,"",IF(ISNA(R24),"",IF(R24="","",VLOOKUP(R24,Para1!$D$67:$G$79,4,0)*(IF(P23+Q23=1,0.5,1)))))</f>
        <v/>
      </c>
      <c r="U23" s="145" t="str">
        <f aca="false">IF(SUM(S23:T23)&gt;0,K23,"")</f>
        <v/>
      </c>
      <c r="V23" s="145" t="str">
        <f aca="false">IF(SUM(S23:T23)&gt;0,L23,"")</f>
        <v/>
      </c>
      <c r="W23" s="145" t="n">
        <f aca="false">IF(S23=0,P23+Q23,0)</f>
        <v>0</v>
      </c>
      <c r="X23" s="145"/>
    </row>
    <row r="24" customFormat="false" ht="17" hidden="false" customHeight="true" outlineLevel="0" collapsed="false">
      <c r="A24" s="200" t="s">
        <v>20</v>
      </c>
      <c r="B24" s="201" t="str">
        <f aca="false">IF(B23=Para1!$F$153,Para1!$F$109,IF(B23=Para1!$F$109,Para1!$F$148,IF(B23=Para1!$F$148,Para1!$F$111,IF(B23=Para1!$F$111,Para1!$F$120,IF(B23=Para1!$F$120,Para1!$F$170,IF(B23=Para1!$F$170,Para1!$F$173,Para1!$F$153))))))</f>
        <v>Thu</v>
      </c>
      <c r="C24" s="186"/>
      <c r="D24" s="329"/>
      <c r="E24" s="316"/>
      <c r="F24" s="205"/>
      <c r="G24" s="204"/>
      <c r="H24" s="204"/>
      <c r="I24" s="206"/>
      <c r="J24" s="330"/>
      <c r="K24" s="208"/>
      <c r="L24" s="209"/>
      <c r="M24" s="194"/>
      <c r="N24" s="195"/>
      <c r="O24" s="145"/>
      <c r="P24" s="257" t="n">
        <f aca="false">November!P47</f>
        <v>1</v>
      </c>
      <c r="Q24" s="257" t="n">
        <f aca="false">November!Q47</f>
        <v>1</v>
      </c>
      <c r="R24" s="145" t="str">
        <f aca="false">IF(VLOOKUP(A24,Para1!$B$67:$E$72,2,0)="12.",VLOOKUP(A24,Para1!$B$67:$E$72,3,0),"")</f>
        <v/>
      </c>
      <c r="S24" s="145" t="str">
        <f aca="false">IF((P24+Q24)=0,"",IF(ISNA(R24),"",IF(R24="","",VLOOKUP(R24,Para1!$D$67:$G$79,3,0)*(IF(P24+Q24=1,0.5,1)))))</f>
        <v/>
      </c>
      <c r="T24" s="145" t="str">
        <f aca="false">IF(P24+Q24=0,"",IF(ISNA(R25),"",IF(R25="","",VLOOKUP(R25,Para1!$D$67:$G$79,4,0)*(IF(P24+Q24=1,0.5,1)))))</f>
        <v/>
      </c>
      <c r="U24" s="145" t="str">
        <f aca="false">IF(SUM(S24:T24)&gt;0,K24,"")</f>
        <v/>
      </c>
      <c r="V24" s="145" t="str">
        <f aca="false">IF(SUM(S24:T24)&gt;0,L24,"")</f>
        <v/>
      </c>
      <c r="W24" s="145" t="n">
        <f aca="false">IF(S24=0,P24+Q24,0)</f>
        <v>0</v>
      </c>
      <c r="X24" s="145"/>
    </row>
    <row r="25" customFormat="false" ht="17" hidden="false" customHeight="true" outlineLevel="0" collapsed="false">
      <c r="A25" s="200" t="s">
        <v>22</v>
      </c>
      <c r="B25" s="201" t="str">
        <f aca="false">IF(B24=Para1!$F$153,Para1!$F$109,IF(B24=Para1!$F$109,Para1!$F$148,IF(B24=Para1!$F$148,Para1!$F$111,IF(B24=Para1!$F$111,Para1!$F$120,IF(B24=Para1!$F$120,Para1!$F$170,IF(B24=Para1!$F$170,Para1!$F$173,Para1!$F$153))))))</f>
        <v>Fri</v>
      </c>
      <c r="C25" s="202"/>
      <c r="D25" s="329"/>
      <c r="E25" s="316"/>
      <c r="F25" s="205"/>
      <c r="G25" s="204"/>
      <c r="H25" s="204"/>
      <c r="I25" s="206"/>
      <c r="J25" s="330"/>
      <c r="K25" s="208"/>
      <c r="L25" s="209"/>
      <c r="M25" s="210"/>
      <c r="N25" s="195"/>
      <c r="O25" s="145"/>
      <c r="P25" s="257" t="n">
        <f aca="false">November!P48</f>
        <v>1</v>
      </c>
      <c r="Q25" s="257" t="n">
        <f aca="false">November!Q48</f>
        <v>1</v>
      </c>
      <c r="R25" s="145" t="e">
        <f aca="false">IF(VLOOKUP(A25,Para1!$B$67:$E$72,2,0)="12.",VLOOKUP(A25,Para1!$B$67:$E$72,3,0),"")</f>
        <v>#N/A</v>
      </c>
      <c r="S25" s="145" t="str">
        <f aca="false">IF((P25+Q25)=0,"",IF(ISNA(R25),"",IF(R25="","",VLOOKUP(R25,Para1!$D$67:$G$79,3,0)*(IF(P25+Q25=1,0.5,1)))))</f>
        <v/>
      </c>
      <c r="T25" s="145" t="str">
        <f aca="false">IF(P25+Q25=0,"",IF(ISNA(R26),"",IF(R26="","",VLOOKUP(R26,Para1!$D$67:$G$79,4,0)*(IF(P25+Q25=1,0.5,1)))))</f>
        <v/>
      </c>
      <c r="U25" s="145" t="str">
        <f aca="false">IF(SUM(S25:T25)&gt;0,K25,"")</f>
        <v/>
      </c>
      <c r="V25" s="145" t="str">
        <f aca="false">IF(SUM(S25:T25)&gt;0,L25,"")</f>
        <v/>
      </c>
      <c r="W25" s="145" t="n">
        <f aca="false">IF(S25=0,P25+Q25,0)</f>
        <v>0</v>
      </c>
      <c r="X25" s="145"/>
    </row>
    <row r="26" s="258" customFormat="true" ht="17" hidden="false" customHeight="true" outlineLevel="0" collapsed="false">
      <c r="A26" s="200" t="s">
        <v>23</v>
      </c>
      <c r="B26" s="201" t="str">
        <f aca="false">IF(B25=Para1!$F$153,Para1!$F$109,IF(B25=Para1!$F$109,Para1!$F$148,IF(B25=Para1!$F$148,Para1!$F$111,IF(B25=Para1!$F$111,Para1!$F$120,IF(B25=Para1!$F$120,Para1!$F$170,IF(B25=Para1!$F$170,Para1!$F$173,Para1!$F$153))))))</f>
        <v>Sat</v>
      </c>
      <c r="C26" s="202"/>
      <c r="D26" s="329"/>
      <c r="E26" s="316"/>
      <c r="F26" s="205"/>
      <c r="G26" s="204"/>
      <c r="H26" s="204"/>
      <c r="I26" s="206"/>
      <c r="J26" s="330"/>
      <c r="K26" s="208"/>
      <c r="L26" s="209"/>
      <c r="M26" s="210"/>
      <c r="N26" s="195"/>
      <c r="O26" s="145"/>
      <c r="P26" s="257" t="n">
        <f aca="false">November!P49</f>
        <v>0</v>
      </c>
      <c r="Q26" s="257" t="n">
        <f aca="false">November!Q49</f>
        <v>0</v>
      </c>
      <c r="R26" s="145" t="str">
        <f aca="false">IF(VLOOKUP(A26,Para1!$B$67:$E$72,2,0)="12.",VLOOKUP(A26,Para1!$B$67:$E$72,3,0),"")</f>
        <v/>
      </c>
      <c r="S26" s="145" t="str">
        <f aca="false">IF((P26+Q26)=0,"",IF(ISNA(R26),"",IF(R26="","",VLOOKUP(R26,Para1!$D$67:$G$79,3,0)*(IF(P26+Q26=1,0.5,1)))))</f>
        <v/>
      </c>
      <c r="T26" s="145" t="str">
        <f aca="false">IF(P26+Q26=0,"",IF(ISNA(R27),"",IF(R27="","",VLOOKUP(R27,Para1!$D$67:$G$79,4,0)*(IF(P26+Q26=1,0.5,1)))))</f>
        <v/>
      </c>
      <c r="U26" s="145" t="str">
        <f aca="false">IF(SUM(S26:T26)&gt;0,K26,"")</f>
        <v/>
      </c>
      <c r="V26" s="145" t="str">
        <f aca="false">IF(SUM(S26:T26)&gt;0,L26,"")</f>
        <v/>
      </c>
      <c r="W26" s="145" t="n">
        <f aca="false">IF(S26=0,P26+Q26,0)</f>
        <v>0</v>
      </c>
      <c r="X26" s="145"/>
    </row>
    <row r="27" s="258" customFormat="true" ht="17" hidden="false" customHeight="true" outlineLevel="0" collapsed="false">
      <c r="A27" s="200" t="s">
        <v>24</v>
      </c>
      <c r="B27" s="201" t="str">
        <f aca="false">IF(B26=Para1!$F$153,Para1!$F$109,IF(B26=Para1!$F$109,Para1!$F$148,IF(B26=Para1!$F$148,Para1!$F$111,IF(B26=Para1!$F$111,Para1!$F$120,IF(B26=Para1!$F$120,Para1!$F$170,IF(B26=Para1!$F$170,Para1!$F$173,Para1!$F$153))))))</f>
        <v>Sun</v>
      </c>
      <c r="C27" s="202"/>
      <c r="D27" s="329"/>
      <c r="E27" s="316"/>
      <c r="F27" s="205"/>
      <c r="G27" s="204"/>
      <c r="H27" s="204"/>
      <c r="I27" s="206"/>
      <c r="J27" s="330"/>
      <c r="K27" s="208"/>
      <c r="L27" s="209"/>
      <c r="M27" s="210"/>
      <c r="N27" s="195"/>
      <c r="O27" s="145"/>
      <c r="P27" s="257" t="n">
        <f aca="false">November!P50</f>
        <v>0</v>
      </c>
      <c r="Q27" s="257" t="n">
        <f aca="false">November!Q50</f>
        <v>0</v>
      </c>
      <c r="R27" s="145" t="str">
        <f aca="false">IF(VLOOKUP(A27,Para1!$B$67:$E$72,2,0)="12.",VLOOKUP(A27,Para1!$B$67:$E$72,3,0),"")</f>
        <v/>
      </c>
      <c r="S27" s="145" t="str">
        <f aca="false">IF((P27+Q27)=0,"",IF(ISNA(R27),"",IF(R27="","",VLOOKUP(R27,Para1!$D$67:$G$79,3,0)*(IF(P27+Q27=1,0.5,1)))))</f>
        <v/>
      </c>
      <c r="T27" s="145" t="str">
        <f aca="false">IF(P27+Q27=0,"",IF(ISNA(R28),"",IF(R28="","",VLOOKUP(R28,Para1!$D$67:$G$79,4,0)*(IF(P27+Q27=1,0.5,1)))))</f>
        <v/>
      </c>
      <c r="U27" s="145" t="str">
        <f aca="false">IF(SUM(S27:T27)&gt;0,K27,"")</f>
        <v/>
      </c>
      <c r="V27" s="145" t="str">
        <f aca="false">IF(SUM(S27:T27)&gt;0,L27,"")</f>
        <v/>
      </c>
      <c r="W27" s="145" t="n">
        <f aca="false">IF(S27=0,P27+Q27,0)</f>
        <v>0</v>
      </c>
      <c r="X27" s="145"/>
    </row>
    <row r="28" customFormat="false" ht="17" hidden="false" customHeight="true" outlineLevel="0" collapsed="false">
      <c r="A28" s="200" t="s">
        <v>25</v>
      </c>
      <c r="B28" s="201" t="str">
        <f aca="false">IF(B27=Para1!$F$153,Para1!$F$109,IF(B27=Para1!$F$109,Para1!$F$148,IF(B27=Para1!$F$148,Para1!$F$111,IF(B27=Para1!$F$111,Para1!$F$120,IF(B27=Para1!$F$120,Para1!$F$170,IF(B27=Para1!$F$170,Para1!$F$173,Para1!$F$153))))))</f>
        <v>Mon</v>
      </c>
      <c r="C28" s="202"/>
      <c r="D28" s="329"/>
      <c r="E28" s="316"/>
      <c r="F28" s="205"/>
      <c r="G28" s="204"/>
      <c r="H28" s="204"/>
      <c r="I28" s="206"/>
      <c r="J28" s="330"/>
      <c r="K28" s="208"/>
      <c r="L28" s="209"/>
      <c r="M28" s="210"/>
      <c r="N28" s="195"/>
      <c r="O28" s="145"/>
      <c r="P28" s="257" t="n">
        <f aca="false">November!P51</f>
        <v>1</v>
      </c>
      <c r="Q28" s="257" t="n">
        <f aca="false">November!Q51</f>
        <v>1</v>
      </c>
      <c r="R28" s="145" t="e">
        <f aca="false">IF(VLOOKUP(A28,Para1!$B$67:$E$72,2,0)="12.",VLOOKUP(A28,Para1!$B$67:$E$72,3,0),"")</f>
        <v>#N/A</v>
      </c>
      <c r="S28" s="145" t="str">
        <f aca="false">IF((P28+Q28)=0,"",IF(ISNA(R28),"",IF(R28="","",VLOOKUP(R28,Para1!$D$67:$G$79,3,0)*(IF(P28+Q28=1,0.5,1)))))</f>
        <v/>
      </c>
      <c r="T28" s="145" t="str">
        <f aca="false">IF(P28+Q28=0,"",IF(ISNA(R29),"",IF(R29="","",VLOOKUP(R29,Para1!$D$67:$G$79,4,0)*(IF(P28+Q28=1,0.5,1)))))</f>
        <v/>
      </c>
      <c r="U28" s="145" t="str">
        <f aca="false">IF(SUM(S28:T28)&gt;0,K28,"")</f>
        <v/>
      </c>
      <c r="V28" s="145" t="str">
        <f aca="false">IF(SUM(S28:T28)&gt;0,L28,"")</f>
        <v/>
      </c>
      <c r="W28" s="145" t="n">
        <f aca="false">IF(S28=0,P28+Q28,0)</f>
        <v>0</v>
      </c>
      <c r="X28" s="145"/>
    </row>
    <row r="29" customFormat="false" ht="17" hidden="false" customHeight="true" outlineLevel="0" collapsed="false">
      <c r="A29" s="200" t="s">
        <v>26</v>
      </c>
      <c r="B29" s="201" t="str">
        <f aca="false">IF(B28=Para1!$F$153,Para1!$F$109,IF(B28=Para1!$F$109,Para1!$F$148,IF(B28=Para1!$F$148,Para1!$F$111,IF(B28=Para1!$F$111,Para1!$F$120,IF(B28=Para1!$F$120,Para1!$F$170,IF(B28=Para1!$F$170,Para1!$F$173,Para1!$F$153))))))</f>
        <v>Tue</v>
      </c>
      <c r="C29" s="202"/>
      <c r="D29" s="329"/>
      <c r="E29" s="316"/>
      <c r="F29" s="205"/>
      <c r="G29" s="204"/>
      <c r="H29" s="204"/>
      <c r="I29" s="206"/>
      <c r="J29" s="330"/>
      <c r="K29" s="208"/>
      <c r="L29" s="209"/>
      <c r="M29" s="210"/>
      <c r="N29" s="195"/>
      <c r="O29" s="145"/>
      <c r="P29" s="257" t="n">
        <f aca="false">November!P52</f>
        <v>1</v>
      </c>
      <c r="Q29" s="257" t="n">
        <f aca="false">November!Q52</f>
        <v>1</v>
      </c>
      <c r="R29" s="145" t="e">
        <f aca="false">IF(VLOOKUP(A29,Para1!$B$67:$E$72,2,0)="12.",VLOOKUP(A29,Para1!$B$67:$E$72,3,0),"")</f>
        <v>#N/A</v>
      </c>
      <c r="S29" s="145" t="str">
        <f aca="false">IF((P29+Q29)=0,"",IF(ISNA(R29),"",IF(R29="","",VLOOKUP(R29,Para1!$D$67:$G$79,3,0)*(IF(P29+Q29=1,0.5,1)))))</f>
        <v/>
      </c>
      <c r="T29" s="145" t="str">
        <f aca="false">IF(P29+Q29=0,"",IF(ISNA(R30),"",IF(R30="","",VLOOKUP(R30,Para1!$D$67:$G$79,4,0)*(IF(P29+Q29=1,0.5,1)))))</f>
        <v/>
      </c>
      <c r="U29" s="145" t="str">
        <f aca="false">IF(SUM(S29:T29)&gt;0,K29,"")</f>
        <v/>
      </c>
      <c r="V29" s="145" t="str">
        <f aca="false">IF(SUM(S29:T29)&gt;0,L29,"")</f>
        <v/>
      </c>
      <c r="W29" s="145" t="n">
        <f aca="false">IF(S29=0,P29+Q29,0)</f>
        <v>0</v>
      </c>
      <c r="X29" s="145"/>
    </row>
    <row r="30" customFormat="false" ht="17" hidden="false" customHeight="true" outlineLevel="0" collapsed="false">
      <c r="A30" s="200" t="s">
        <v>27</v>
      </c>
      <c r="B30" s="201" t="str">
        <f aca="false">IF(B29=Para1!$F$153,Para1!$F$109,IF(B29=Para1!$F$109,Para1!$F$148,IF(B29=Para1!$F$148,Para1!$F$111,IF(B29=Para1!$F$111,Para1!$F$120,IF(B29=Para1!$F$120,Para1!$F$170,IF(B29=Para1!$F$170,Para1!$F$173,Para1!$F$153))))))</f>
        <v>Wed</v>
      </c>
      <c r="C30" s="186"/>
      <c r="D30" s="329"/>
      <c r="E30" s="316"/>
      <c r="F30" s="205"/>
      <c r="G30" s="204"/>
      <c r="H30" s="204"/>
      <c r="I30" s="206"/>
      <c r="J30" s="330"/>
      <c r="K30" s="208"/>
      <c r="L30" s="209"/>
      <c r="M30" s="210"/>
      <c r="N30" s="195"/>
      <c r="O30" s="145"/>
      <c r="P30" s="259" t="n">
        <f aca="false">P23</f>
        <v>1</v>
      </c>
      <c r="Q30" s="259" t="n">
        <f aca="false">Q23</f>
        <v>1</v>
      </c>
      <c r="R30" s="145" t="e">
        <f aca="false">IF(VLOOKUP(A30,Para1!$B$67:$E$72,2,0)="12.",VLOOKUP(A30,Para1!$B$67:$E$72,3,0),"")</f>
        <v>#N/A</v>
      </c>
      <c r="S30" s="145" t="str">
        <f aca="false">IF((P30+Q30)=0,"",IF(ISNA(R30),"",IF(R30="","",VLOOKUP(R30,Para1!$D$67:$G$79,3,0)*(IF(P30+Q30=1,0.5,1)))))</f>
        <v/>
      </c>
      <c r="T30" s="145" t="str">
        <f aca="false">IF(P30+Q30=0,"",IF(ISNA(R31),"",IF(R31="","",VLOOKUP(R31,Para1!$D$67:$G$79,4,0)*(IF(P30+Q30=1,0.5,1)))))</f>
        <v/>
      </c>
      <c r="U30" s="145" t="str">
        <f aca="false">IF(SUM(S30:T30)&gt;0,K30,"")</f>
        <v/>
      </c>
      <c r="V30" s="145" t="str">
        <f aca="false">IF(SUM(S30:T30)&gt;0,L30,"")</f>
        <v/>
      </c>
      <c r="W30" s="145" t="n">
        <f aca="false">IF(S30=0,P30+Q30,0)</f>
        <v>0</v>
      </c>
      <c r="X30" s="145"/>
    </row>
    <row r="31" customFormat="false" ht="17" hidden="false" customHeight="true" outlineLevel="0" collapsed="false">
      <c r="A31" s="200" t="s">
        <v>28</v>
      </c>
      <c r="B31" s="201" t="str">
        <f aca="false">IF(B30=Para1!$F$153,Para1!$F$109,IF(B30=Para1!$F$109,Para1!$F$148,IF(B30=Para1!$F$148,Para1!$F$111,IF(B30=Para1!$F$111,Para1!$F$120,IF(B30=Para1!$F$120,Para1!$F$170,IF(B30=Para1!$F$170,Para1!$F$173,Para1!$F$153))))))</f>
        <v>Thu</v>
      </c>
      <c r="C31" s="186"/>
      <c r="D31" s="329"/>
      <c r="E31" s="316"/>
      <c r="F31" s="205"/>
      <c r="G31" s="204"/>
      <c r="H31" s="204"/>
      <c r="I31" s="206"/>
      <c r="J31" s="330"/>
      <c r="K31" s="208"/>
      <c r="L31" s="209"/>
      <c r="M31" s="210"/>
      <c r="N31" s="195"/>
      <c r="O31" s="145"/>
      <c r="P31" s="259" t="n">
        <f aca="false">P24</f>
        <v>1</v>
      </c>
      <c r="Q31" s="259" t="n">
        <f aca="false">Q24</f>
        <v>1</v>
      </c>
      <c r="R31" s="145" t="e">
        <f aca="false">IF(VLOOKUP(A31,Para1!$B$67:$E$72,2,0)="12.",VLOOKUP(A31,Para1!$B$67:$E$72,3,0),"")</f>
        <v>#N/A</v>
      </c>
      <c r="S31" s="145" t="str">
        <f aca="false">IF((P31+Q31)=0,"",IF(ISNA(R31),"",IF(R31="","",VLOOKUP(R31,Para1!$D$67:$G$79,3,0)*(IF(P31+Q31=1,0.5,1)))))</f>
        <v/>
      </c>
      <c r="T31" s="145" t="str">
        <f aca="false">IF(P31+Q31=0,"",IF(ISNA(R32),"",IF(R32="","",VLOOKUP(R32,Para1!$D$67:$G$79,4,0)*(IF(P31+Q31=1,0.5,1)))))</f>
        <v/>
      </c>
      <c r="U31" s="145" t="str">
        <f aca="false">IF(SUM(S31:T31)&gt;0,K31,"")</f>
        <v/>
      </c>
      <c r="V31" s="145" t="str">
        <f aca="false">IF(SUM(S31:T31)&gt;0,L31,"")</f>
        <v/>
      </c>
      <c r="W31" s="145" t="n">
        <f aca="false">IF(S31=0,P31+Q31,0)</f>
        <v>0</v>
      </c>
      <c r="X31" s="145"/>
    </row>
    <row r="32" customFormat="false" ht="17" hidden="false" customHeight="true" outlineLevel="0" collapsed="false">
      <c r="A32" s="200" t="s">
        <v>29</v>
      </c>
      <c r="B32" s="201" t="str">
        <f aca="false">IF(B31=Para1!$F$153,Para1!$F$109,IF(B31=Para1!$F$109,Para1!$F$148,IF(B31=Para1!$F$148,Para1!$F$111,IF(B31=Para1!$F$111,Para1!$F$120,IF(B31=Para1!$F$120,Para1!$F$170,IF(B31=Para1!$F$170,Para1!$F$173,Para1!$F$153))))))</f>
        <v>Fri</v>
      </c>
      <c r="C32" s="202"/>
      <c r="D32" s="329"/>
      <c r="E32" s="316"/>
      <c r="F32" s="205"/>
      <c r="G32" s="204"/>
      <c r="H32" s="204"/>
      <c r="I32" s="206"/>
      <c r="J32" s="330"/>
      <c r="K32" s="208"/>
      <c r="L32" s="209"/>
      <c r="M32" s="210"/>
      <c r="N32" s="195"/>
      <c r="O32" s="145"/>
      <c r="P32" s="259" t="n">
        <f aca="false">P25</f>
        <v>1</v>
      </c>
      <c r="Q32" s="259" t="n">
        <f aca="false">Q25</f>
        <v>1</v>
      </c>
      <c r="R32" s="145" t="e">
        <f aca="false">IF(VLOOKUP(A32,Para1!$B$67:$E$72,2,0)="12.",VLOOKUP(A32,Para1!$B$67:$E$72,3,0),"")</f>
        <v>#N/A</v>
      </c>
      <c r="S32" s="145" t="str">
        <f aca="false">IF((P32+Q32)=0,"",IF(ISNA(R32),"",IF(R32="","",VLOOKUP(R32,Para1!$D$67:$G$79,3,0)*(IF(P32+Q32=1,0.5,1)))))</f>
        <v/>
      </c>
      <c r="T32" s="145" t="str">
        <f aca="false">IF(P32+Q32=0,"",IF(ISNA(R33),"",IF(R33="","",VLOOKUP(R33,Para1!$D$67:$G$79,4,0)*(IF(P32+Q32=1,0.5,1)))))</f>
        <v/>
      </c>
      <c r="U32" s="145" t="str">
        <f aca="false">IF(SUM(S32:T32)&gt;0,K32,"")</f>
        <v/>
      </c>
      <c r="V32" s="145" t="str">
        <f aca="false">IF(SUM(S32:T32)&gt;0,L32,"")</f>
        <v/>
      </c>
      <c r="W32" s="145" t="n">
        <f aca="false">IF(S32=0,P32+Q32,0)</f>
        <v>0</v>
      </c>
      <c r="X32" s="145"/>
    </row>
    <row r="33" s="258" customFormat="true" ht="17" hidden="false" customHeight="true" outlineLevel="0" collapsed="false">
      <c r="A33" s="200" t="s">
        <v>30</v>
      </c>
      <c r="B33" s="201" t="str">
        <f aca="false">IF(B32=Para1!$F$153,Para1!$F$109,IF(B32=Para1!$F$109,Para1!$F$148,IF(B32=Para1!$F$148,Para1!$F$111,IF(B32=Para1!$F$111,Para1!$F$120,IF(B32=Para1!$F$120,Para1!$F$170,IF(B32=Para1!$F$170,Para1!$F$173,Para1!$F$153))))))</f>
        <v>Sat</v>
      </c>
      <c r="C33" s="202"/>
      <c r="D33" s="329"/>
      <c r="E33" s="316"/>
      <c r="F33" s="205"/>
      <c r="G33" s="204"/>
      <c r="H33" s="204"/>
      <c r="I33" s="206"/>
      <c r="J33" s="330"/>
      <c r="K33" s="208"/>
      <c r="L33" s="209"/>
      <c r="M33" s="210"/>
      <c r="N33" s="195"/>
      <c r="O33" s="145"/>
      <c r="P33" s="259" t="n">
        <f aca="false">P26</f>
        <v>0</v>
      </c>
      <c r="Q33" s="259" t="n">
        <f aca="false">Q26</f>
        <v>0</v>
      </c>
      <c r="R33" s="145" t="e">
        <f aca="false">IF(VLOOKUP(A33,Para1!$B$67:$E$72,2,0)="12.",VLOOKUP(A33,Para1!$B$67:$E$72,3,0),"")</f>
        <v>#N/A</v>
      </c>
      <c r="S33" s="145" t="str">
        <f aca="false">IF((P33+Q33)=0,"",IF(ISNA(R33),"",IF(R33="","",VLOOKUP(R33,Para1!$D$67:$G$79,3,0)*(IF(P33+Q33=1,0.5,1)))))</f>
        <v/>
      </c>
      <c r="T33" s="145" t="str">
        <f aca="false">IF(P33+Q33=0,"",IF(ISNA(R34),"",IF(R34="","",VLOOKUP(R34,Para1!$D$67:$G$79,4,0)*(IF(P33+Q33=1,0.5,1)))))</f>
        <v/>
      </c>
      <c r="U33" s="145" t="str">
        <f aca="false">IF(SUM(S33:T33)&gt;0,K33,"")</f>
        <v/>
      </c>
      <c r="V33" s="145" t="str">
        <f aca="false">IF(SUM(S33:T33)&gt;0,L33,"")</f>
        <v/>
      </c>
      <c r="W33" s="145" t="n">
        <f aca="false">IF(S33=0,P33+Q33,0)</f>
        <v>0</v>
      </c>
      <c r="X33" s="145"/>
    </row>
    <row r="34" s="258" customFormat="true" ht="17" hidden="false" customHeight="true" outlineLevel="0" collapsed="false">
      <c r="A34" s="200" t="s">
        <v>31</v>
      </c>
      <c r="B34" s="201" t="str">
        <f aca="false">IF(B33=Para1!$F$153,Para1!$F$109,IF(B33=Para1!$F$109,Para1!$F$148,IF(B33=Para1!$F$148,Para1!$F$111,IF(B33=Para1!$F$111,Para1!$F$120,IF(B33=Para1!$F$120,Para1!$F$170,IF(B33=Para1!$F$170,Para1!$F$173,Para1!$F$153))))))</f>
        <v>Sun</v>
      </c>
      <c r="C34" s="202"/>
      <c r="D34" s="329"/>
      <c r="E34" s="316"/>
      <c r="F34" s="205"/>
      <c r="G34" s="204"/>
      <c r="H34" s="204"/>
      <c r="I34" s="206"/>
      <c r="J34" s="330"/>
      <c r="K34" s="208"/>
      <c r="L34" s="209"/>
      <c r="M34" s="210"/>
      <c r="N34" s="195"/>
      <c r="O34" s="145"/>
      <c r="P34" s="259" t="n">
        <f aca="false">P27</f>
        <v>0</v>
      </c>
      <c r="Q34" s="259" t="n">
        <f aca="false">Q27</f>
        <v>0</v>
      </c>
      <c r="R34" s="145" t="e">
        <f aca="false">IF(VLOOKUP(A34,Para1!$B$67:$E$72,2,0)="12.",VLOOKUP(A34,Para1!$B$67:$E$72,3,0),"")</f>
        <v>#N/A</v>
      </c>
      <c r="S34" s="145" t="str">
        <f aca="false">IF((P34+Q34)=0,"",IF(ISNA(R34),"",IF(R34="","",VLOOKUP(R34,Para1!$D$67:$G$79,3,0)*(IF(P34+Q34=1,0.5,1)))))</f>
        <v/>
      </c>
      <c r="T34" s="145" t="str">
        <f aca="false">IF(P34+Q34=0,"",IF(ISNA(R35),"",IF(R35="","",VLOOKUP(R35,Para1!$D$67:$G$79,4,0)*(IF(P34+Q34=1,0.5,1)))))</f>
        <v/>
      </c>
      <c r="U34" s="145" t="str">
        <f aca="false">IF(SUM(S34:T34)&gt;0,K34,"")</f>
        <v/>
      </c>
      <c r="V34" s="145" t="str">
        <f aca="false">IF(SUM(S34:T34)&gt;0,L34,"")</f>
        <v/>
      </c>
      <c r="W34" s="145" t="n">
        <f aca="false">IF(S34=0,P34+Q34,0)</f>
        <v>0</v>
      </c>
      <c r="X34" s="145"/>
    </row>
    <row r="35" customFormat="false" ht="17" hidden="false" customHeight="true" outlineLevel="0" collapsed="false">
      <c r="A35" s="200" t="s">
        <v>32</v>
      </c>
      <c r="B35" s="201" t="str">
        <f aca="false">IF(B34=Para1!$F$153,Para1!$F$109,IF(B34=Para1!$F$109,Para1!$F$148,IF(B34=Para1!$F$148,Para1!$F$111,IF(B34=Para1!$F$111,Para1!$F$120,IF(B34=Para1!$F$120,Para1!$F$170,IF(B34=Para1!$F$170,Para1!$F$173,Para1!$F$153))))))</f>
        <v>Mon</v>
      </c>
      <c r="C35" s="202"/>
      <c r="D35" s="329"/>
      <c r="E35" s="316"/>
      <c r="F35" s="205"/>
      <c r="G35" s="204"/>
      <c r="H35" s="204"/>
      <c r="I35" s="206"/>
      <c r="J35" s="330"/>
      <c r="K35" s="208"/>
      <c r="L35" s="209"/>
      <c r="M35" s="210"/>
      <c r="N35" s="195"/>
      <c r="O35" s="145"/>
      <c r="P35" s="259" t="n">
        <f aca="false">P28</f>
        <v>1</v>
      </c>
      <c r="Q35" s="259" t="n">
        <f aca="false">Q28</f>
        <v>1</v>
      </c>
      <c r="R35" s="145" t="str">
        <f aca="false">IF(VLOOKUP(A35,Para1!$B$67:$E$72,2,0)="12.",VLOOKUP(A35,Para1!$B$67:$E$72,3,0),"")</f>
        <v/>
      </c>
      <c r="S35" s="145" t="str">
        <f aca="false">IF((P35+Q35)=0,"",IF(ISNA(R35),"",IF(R35="","",VLOOKUP(R35,Para1!$D$67:$G$79,3,0)*(IF(P35+Q35=1,0.5,1)))))</f>
        <v/>
      </c>
      <c r="T35" s="145" t="str">
        <f aca="false">IF(P35+Q35=0,"",IF(ISNA(R36),"",IF(R36="","",VLOOKUP(R36,Para1!$D$67:$G$79,4,0)*(IF(P35+Q35=1,0.5,1)))))</f>
        <v/>
      </c>
      <c r="U35" s="145" t="str">
        <f aca="false">IF(SUM(S35:T35)&gt;0,K35,"")</f>
        <v/>
      </c>
      <c r="V35" s="145" t="str">
        <f aca="false">IF(SUM(S35:T35)&gt;0,L35,"")</f>
        <v/>
      </c>
      <c r="W35" s="145" t="n">
        <f aca="false">IF(S35=0,P35+Q35,0)</f>
        <v>0</v>
      </c>
      <c r="X35" s="145"/>
    </row>
    <row r="36" customFormat="false" ht="17" hidden="false" customHeight="true" outlineLevel="0" collapsed="false">
      <c r="A36" s="200" t="s">
        <v>33</v>
      </c>
      <c r="B36" s="201" t="str">
        <f aca="false">IF(B35=Para1!$F$153,Para1!$F$109,IF(B35=Para1!$F$109,Para1!$F$148,IF(B35=Para1!$F$148,Para1!$F$111,IF(B35=Para1!$F$111,Para1!$F$120,IF(B35=Para1!$F$120,Para1!$F$170,IF(B35=Para1!$F$170,Para1!$F$173,Para1!$F$153))))))</f>
        <v>Tue</v>
      </c>
      <c r="C36" s="202"/>
      <c r="D36" s="329"/>
      <c r="E36" s="316"/>
      <c r="F36" s="205"/>
      <c r="G36" s="204"/>
      <c r="H36" s="204"/>
      <c r="I36" s="206"/>
      <c r="J36" s="330"/>
      <c r="K36" s="208"/>
      <c r="L36" s="209"/>
      <c r="M36" s="210"/>
      <c r="N36" s="195"/>
      <c r="O36" s="145"/>
      <c r="P36" s="259" t="n">
        <f aca="false">P29</f>
        <v>1</v>
      </c>
      <c r="Q36" s="259" t="n">
        <f aca="false">Q29</f>
        <v>1</v>
      </c>
      <c r="R36" s="145" t="e">
        <f aca="false">IF(VLOOKUP(A36,Para1!$B$67:$E$72,2,0)="12.",VLOOKUP(A36,Para1!$B$67:$E$72,3,0),"")</f>
        <v>#N/A</v>
      </c>
      <c r="S36" s="145" t="str">
        <f aca="false">IF((P36+Q36)=0,"",IF(ISNA(R36),"",IF(R36="","",VLOOKUP(R36,Para1!$D$67:$G$79,3,0)*(IF(P36+Q36=1,0.5,1)))))</f>
        <v/>
      </c>
      <c r="T36" s="145" t="str">
        <f aca="false">IF(P36+Q36=0,"",IF(ISNA(R37),"",IF(R37="","",VLOOKUP(R37,Para1!$D$67:$G$79,4,0)*(IF(P36+Q36=1,0.5,1)))))</f>
        <v/>
      </c>
      <c r="U36" s="145" t="str">
        <f aca="false">IF(SUM(S36:T36)&gt;0,K36,"")</f>
        <v/>
      </c>
      <c r="V36" s="145" t="str">
        <f aca="false">IF(SUM(S36:T36)&gt;0,L36,"")</f>
        <v/>
      </c>
      <c r="W36" s="145" t="n">
        <f aca="false">IF(S36=0,P36+Q36,0)</f>
        <v>0</v>
      </c>
      <c r="X36" s="145"/>
    </row>
    <row r="37" customFormat="false" ht="17" hidden="false" customHeight="true" outlineLevel="0" collapsed="false">
      <c r="A37" s="200" t="s">
        <v>34</v>
      </c>
      <c r="B37" s="201" t="str">
        <f aca="false">IF(B36=Para1!$F$153,Para1!$F$109,IF(B36=Para1!$F$109,Para1!$F$148,IF(B36=Para1!$F$148,Para1!$F$111,IF(B36=Para1!$F$111,Para1!$F$120,IF(B36=Para1!$F$120,Para1!$F$170,IF(B36=Para1!$F$170,Para1!$F$173,Para1!$F$153))))))</f>
        <v>Wed</v>
      </c>
      <c r="C37" s="186"/>
      <c r="D37" s="329"/>
      <c r="E37" s="316"/>
      <c r="F37" s="205"/>
      <c r="G37" s="204"/>
      <c r="H37" s="204"/>
      <c r="I37" s="206"/>
      <c r="J37" s="330"/>
      <c r="K37" s="208"/>
      <c r="L37" s="209"/>
      <c r="M37" s="210"/>
      <c r="N37" s="195"/>
      <c r="O37" s="145"/>
      <c r="P37" s="259" t="n">
        <f aca="false">P30</f>
        <v>1</v>
      </c>
      <c r="Q37" s="259" t="n">
        <f aca="false">Q30</f>
        <v>1</v>
      </c>
      <c r="R37" s="145" t="e">
        <f aca="false">IF(VLOOKUP(A37,Para1!$B$67:$E$72,2,0)="12.",VLOOKUP(A37,Para1!$B$67:$E$72,3,0),"")</f>
        <v>#N/A</v>
      </c>
      <c r="S37" s="145" t="str">
        <f aca="false">IF((P37+Q37)=0,"",IF(ISNA(R37),"",IF(R37="","",VLOOKUP(R37,Para1!$D$67:$G$79,3,0)*(IF(P37+Q37=1,0.5,1)))))</f>
        <v/>
      </c>
      <c r="T37" s="145" t="str">
        <f aca="false">IF(P37+Q37=0,"",IF(ISNA(R38),"",IF(R38="","",VLOOKUP(R38,Para1!$D$67:$G$79,4,0)*(IF(P37+Q37=1,0.5,1)))))</f>
        <v/>
      </c>
      <c r="U37" s="145" t="str">
        <f aca="false">IF(SUM(S37:T37)&gt;0,K37,"")</f>
        <v/>
      </c>
      <c r="V37" s="145" t="str">
        <f aca="false">IF(SUM(S37:T37)&gt;0,L37,"")</f>
        <v/>
      </c>
      <c r="W37" s="145" t="n">
        <f aca="false">IF(S37=0,P37+Q37,0)</f>
        <v>0</v>
      </c>
      <c r="X37" s="145"/>
    </row>
    <row r="38" customFormat="false" ht="17" hidden="false" customHeight="true" outlineLevel="0" collapsed="false">
      <c r="A38" s="200" t="s">
        <v>35</v>
      </c>
      <c r="B38" s="201" t="str">
        <f aca="false">IF(B37=Para1!$F$153,Para1!$F$109,IF(B37=Para1!$F$109,Para1!$F$148,IF(B37=Para1!$F$148,Para1!$F$111,IF(B37=Para1!$F$111,Para1!$F$120,IF(B37=Para1!$F$120,Para1!$F$170,IF(B37=Para1!$F$170,Para1!$F$173,Para1!$F$153))))))</f>
        <v>Thu</v>
      </c>
      <c r="C38" s="186"/>
      <c r="D38" s="329"/>
      <c r="E38" s="316"/>
      <c r="F38" s="205"/>
      <c r="G38" s="204"/>
      <c r="H38" s="204"/>
      <c r="I38" s="206"/>
      <c r="J38" s="330"/>
      <c r="K38" s="208"/>
      <c r="L38" s="209"/>
      <c r="M38" s="210"/>
      <c r="N38" s="195"/>
      <c r="O38" s="145"/>
      <c r="P38" s="259" t="n">
        <f aca="false">P31</f>
        <v>1</v>
      </c>
      <c r="Q38" s="259" t="n">
        <f aca="false">Q31</f>
        <v>1</v>
      </c>
      <c r="R38" s="145" t="e">
        <f aca="false">IF(VLOOKUP(A38,Para1!$B$67:$E$72,2,0)="12.",VLOOKUP(A38,Para1!$B$67:$E$72,3,0),"")</f>
        <v>#N/A</v>
      </c>
      <c r="S38" s="145" t="str">
        <f aca="false">IF((P38+Q38)=0,"",IF(ISNA(R38),"",IF(R38="","",VLOOKUP(R38,Para1!$D$67:$G$79,3,0)*(IF(P38+Q38=1,0.5,1)))))</f>
        <v/>
      </c>
      <c r="T38" s="145" t="str">
        <f aca="false">IF(P38+Q38=0,"",IF(ISNA(R39),"",IF(R39="","",VLOOKUP(R39,Para1!$D$67:$G$79,4,0)*(IF(P38+Q38=1,0.5,1)))))</f>
        <v/>
      </c>
      <c r="U38" s="145" t="str">
        <f aca="false">IF(SUM(S38:T38)&gt;0,K38,"")</f>
        <v/>
      </c>
      <c r="V38" s="145" t="str">
        <f aca="false">IF(SUM(S38:T38)&gt;0,L38,"")</f>
        <v/>
      </c>
      <c r="W38" s="145" t="n">
        <f aca="false">IF(S38=0,P38+Q38,0)</f>
        <v>0</v>
      </c>
      <c r="X38" s="145"/>
    </row>
    <row r="39" customFormat="false" ht="17" hidden="false" customHeight="true" outlineLevel="0" collapsed="false">
      <c r="A39" s="200" t="s">
        <v>36</v>
      </c>
      <c r="B39" s="201" t="str">
        <f aca="false">IF(B38=Para1!$F$153,Para1!$F$109,IF(B38=Para1!$F$109,Para1!$F$148,IF(B38=Para1!$F$148,Para1!$F$111,IF(B38=Para1!$F$111,Para1!$F$120,IF(B38=Para1!$F$120,Para1!$F$170,IF(B38=Para1!$F$170,Para1!$F$173,Para1!$F$153))))))</f>
        <v>Fri</v>
      </c>
      <c r="C39" s="202"/>
      <c r="D39" s="329"/>
      <c r="E39" s="316"/>
      <c r="F39" s="205"/>
      <c r="G39" s="204"/>
      <c r="H39" s="204"/>
      <c r="I39" s="206"/>
      <c r="J39" s="330"/>
      <c r="K39" s="208"/>
      <c r="L39" s="209"/>
      <c r="M39" s="210"/>
      <c r="N39" s="195"/>
      <c r="O39" s="145"/>
      <c r="P39" s="259" t="n">
        <f aca="false">P32</f>
        <v>1</v>
      </c>
      <c r="Q39" s="259" t="n">
        <f aca="false">Q32</f>
        <v>1</v>
      </c>
      <c r="R39" s="145" t="e">
        <f aca="false">IF(VLOOKUP(A39,Para1!$B$67:$E$72,2,0)="12.",VLOOKUP(A39,Para1!$B$67:$E$72,3,0),"")</f>
        <v>#N/A</v>
      </c>
      <c r="S39" s="145" t="str">
        <f aca="false">IF((P39+Q39)=0,"",IF(ISNA(R39),"",IF(R39="","",VLOOKUP(R39,Para1!$D$67:$G$79,3,0)*(IF(P39+Q39=1,0.5,1)))))</f>
        <v/>
      </c>
      <c r="T39" s="145" t="str">
        <f aca="false">IF(P39+Q39=0,"",IF(ISNA(R40),"",IF(R40="","",VLOOKUP(R40,Para1!$D$67:$G$79,4,0)*(IF(P39+Q39=1,0.5,1)))))</f>
        <v/>
      </c>
      <c r="U39" s="145" t="str">
        <f aca="false">IF(SUM(S39:T39)&gt;0,K39,"")</f>
        <v/>
      </c>
      <c r="V39" s="145" t="str">
        <f aca="false">IF(SUM(S39:T39)&gt;0,L39,"")</f>
        <v/>
      </c>
      <c r="W39" s="145" t="n">
        <f aca="false">IF(S39=0,P39+Q39,0)</f>
        <v>0</v>
      </c>
      <c r="X39" s="145"/>
    </row>
    <row r="40" s="258" customFormat="true" ht="17" hidden="false" customHeight="true" outlineLevel="0" collapsed="false">
      <c r="A40" s="200" t="s">
        <v>37</v>
      </c>
      <c r="B40" s="201" t="str">
        <f aca="false">IF(B39=Para1!$F$153,Para1!$F$109,IF(B39=Para1!$F$109,Para1!$F$148,IF(B39=Para1!$F$148,Para1!$F$111,IF(B39=Para1!$F$111,Para1!$F$120,IF(B39=Para1!$F$120,Para1!$F$170,IF(B39=Para1!$F$170,Para1!$F$173,Para1!$F$153))))))</f>
        <v>Sat</v>
      </c>
      <c r="C40" s="202"/>
      <c r="D40" s="329"/>
      <c r="E40" s="316"/>
      <c r="F40" s="205"/>
      <c r="G40" s="204"/>
      <c r="H40" s="204"/>
      <c r="I40" s="206"/>
      <c r="J40" s="330"/>
      <c r="K40" s="208"/>
      <c r="L40" s="209"/>
      <c r="M40" s="210"/>
      <c r="N40" s="195"/>
      <c r="O40" s="145"/>
      <c r="P40" s="259" t="n">
        <f aca="false">P33</f>
        <v>0</v>
      </c>
      <c r="Q40" s="259" t="n">
        <f aca="false">Q33</f>
        <v>0</v>
      </c>
      <c r="R40" s="145" t="e">
        <f aca="false">IF(VLOOKUP(A40,Para1!$B$67:$E$72,2,0)="12.",VLOOKUP(A40,Para1!$B$67:$E$72,3,0),"")</f>
        <v>#N/A</v>
      </c>
      <c r="S40" s="145" t="str">
        <f aca="false">IF((P40+Q40)=0,"",IF(ISNA(R40),"",IF(R40="","",VLOOKUP(R40,Para1!$D$67:$G$79,3,0)*(IF(P40+Q40=1,0.5,1)))))</f>
        <v/>
      </c>
      <c r="T40" s="145" t="str">
        <f aca="false">IF(P40+Q40=0,"",IF(ISNA(R41),"",IF(R41="","",VLOOKUP(R41,Para1!$D$67:$G$79,4,0)*(IF(P40+Q40=1,0.5,1)))))</f>
        <v/>
      </c>
      <c r="U40" s="145" t="str">
        <f aca="false">IF(SUM(S40:T40)&gt;0,K40,"")</f>
        <v/>
      </c>
      <c r="V40" s="145" t="str">
        <f aca="false">IF(SUM(S40:T40)&gt;0,L40,"")</f>
        <v/>
      </c>
      <c r="W40" s="145" t="n">
        <f aca="false">IF(S40=0,P40+Q40,0)</f>
        <v>0</v>
      </c>
      <c r="X40" s="145"/>
    </row>
    <row r="41" s="258" customFormat="true" ht="17" hidden="false" customHeight="true" outlineLevel="0" collapsed="false">
      <c r="A41" s="200" t="s">
        <v>38</v>
      </c>
      <c r="B41" s="201" t="str">
        <f aca="false">IF(B40=Para1!$F$153,Para1!$F$109,IF(B40=Para1!$F$109,Para1!$F$148,IF(B40=Para1!$F$148,Para1!$F$111,IF(B40=Para1!$F$111,Para1!$F$120,IF(B40=Para1!$F$120,Para1!$F$170,IF(B40=Para1!$F$170,Para1!$F$173,Para1!$F$153))))))</f>
        <v>Sun</v>
      </c>
      <c r="C41" s="202"/>
      <c r="D41" s="329"/>
      <c r="E41" s="316"/>
      <c r="F41" s="205"/>
      <c r="G41" s="204"/>
      <c r="H41" s="204"/>
      <c r="I41" s="206"/>
      <c r="J41" s="330"/>
      <c r="K41" s="208"/>
      <c r="L41" s="209"/>
      <c r="M41" s="210"/>
      <c r="N41" s="195"/>
      <c r="O41" s="145"/>
      <c r="P41" s="259" t="n">
        <f aca="false">P34</f>
        <v>0</v>
      </c>
      <c r="Q41" s="259" t="n">
        <f aca="false">Q34</f>
        <v>0</v>
      </c>
      <c r="R41" s="145" t="e">
        <f aca="false">IF(VLOOKUP(A41,Para1!$B$67:$E$72,2,0)="12.",VLOOKUP(A41,Para1!$B$67:$E$72,3,0),"")</f>
        <v>#N/A</v>
      </c>
      <c r="S41" s="145" t="str">
        <f aca="false">IF((P41+Q41)=0,"",IF(ISNA(R41),"",IF(R41="","",VLOOKUP(R41,Para1!$D$67:$G$79,3,0)*(IF(P41+Q41=1,0.5,1)))))</f>
        <v/>
      </c>
      <c r="T41" s="145" t="str">
        <f aca="false">IF(P41+Q41=0,"",IF(ISNA(R42),"",IF(R42="","",VLOOKUP(R42,Para1!$D$67:$G$79,4,0)*(IF(P41+Q41=1,0.5,1)))))</f>
        <v/>
      </c>
      <c r="U41" s="145" t="str">
        <f aca="false">IF(SUM(S41:T41)&gt;0,K41,"")</f>
        <v/>
      </c>
      <c r="V41" s="145" t="str">
        <f aca="false">IF(SUM(S41:T41)&gt;0,L41,"")</f>
        <v/>
      </c>
      <c r="W41" s="145" t="n">
        <f aca="false">IF(S41=0,P41+Q41,0)</f>
        <v>0</v>
      </c>
      <c r="X41" s="145"/>
    </row>
    <row r="42" customFormat="false" ht="17" hidden="false" customHeight="true" outlineLevel="0" collapsed="false">
      <c r="A42" s="200" t="s">
        <v>39</v>
      </c>
      <c r="B42" s="201" t="str">
        <f aca="false">IF(B41=Para1!$F$153,Para1!$F$109,IF(B41=Para1!$F$109,Para1!$F$148,IF(B41=Para1!$F$148,Para1!$F$111,IF(B41=Para1!$F$111,Para1!$F$120,IF(B41=Para1!$F$120,Para1!$F$170,IF(B41=Para1!$F$170,Para1!$F$173,Para1!$F$153))))))</f>
        <v>Mon</v>
      </c>
      <c r="C42" s="202"/>
      <c r="D42" s="329"/>
      <c r="E42" s="316"/>
      <c r="F42" s="205"/>
      <c r="G42" s="204"/>
      <c r="H42" s="204"/>
      <c r="I42" s="206"/>
      <c r="J42" s="330"/>
      <c r="K42" s="208"/>
      <c r="L42" s="209"/>
      <c r="M42" s="210"/>
      <c r="N42" s="195"/>
      <c r="O42" s="145"/>
      <c r="P42" s="259" t="n">
        <f aca="false">P35</f>
        <v>1</v>
      </c>
      <c r="Q42" s="259" t="n">
        <f aca="false">Q35</f>
        <v>1</v>
      </c>
      <c r="R42" s="145" t="e">
        <f aca="false">IF(VLOOKUP(A42,Para1!$B$67:$E$72,2,0)="12.",VLOOKUP(A42,Para1!$B$67:$E$72,3,0),"")</f>
        <v>#N/A</v>
      </c>
      <c r="S42" s="145" t="str">
        <f aca="false">IF((P42+Q42)=0,"",IF(ISNA(R42),"",IF(R42="","",VLOOKUP(R42,Para1!$D$67:$G$79,3,0)*(IF(P42+Q42=1,0.5,1)))))</f>
        <v/>
      </c>
      <c r="T42" s="145" t="str">
        <f aca="false">IF(P42+Q42=0,"",IF(ISNA(R43),"",IF(R43="","",VLOOKUP(R43,Para1!$D$67:$G$79,4,0)*(IF(P42+Q42=1,0.5,1)))))</f>
        <v/>
      </c>
      <c r="U42" s="145" t="str">
        <f aca="false">IF(SUM(S42:T42)&gt;0,K42,"")</f>
        <v/>
      </c>
      <c r="V42" s="145" t="str">
        <f aca="false">IF(SUM(S42:T42)&gt;0,L42,"")</f>
        <v/>
      </c>
      <c r="W42" s="145" t="n">
        <f aca="false">IF(S42=0,P42+Q42,0)</f>
        <v>0</v>
      </c>
      <c r="X42" s="145"/>
    </row>
    <row r="43" customFormat="false" ht="17" hidden="false" customHeight="true" outlineLevel="0" collapsed="false">
      <c r="A43" s="200" t="s">
        <v>40</v>
      </c>
      <c r="B43" s="201" t="str">
        <f aca="false">IF(B42=Para1!$F$153,Para1!$F$109,IF(B42=Para1!$F$109,Para1!$F$148,IF(B42=Para1!$F$148,Para1!$F$111,IF(B42=Para1!$F$111,Para1!$F$120,IF(B42=Para1!$F$120,Para1!$F$170,IF(B42=Para1!$F$170,Para1!$F$173,Para1!$F$153))))))</f>
        <v>Tue</v>
      </c>
      <c r="C43" s="202"/>
      <c r="D43" s="329"/>
      <c r="E43" s="316"/>
      <c r="F43" s="205"/>
      <c r="G43" s="204"/>
      <c r="H43" s="204"/>
      <c r="I43" s="206"/>
      <c r="J43" s="330"/>
      <c r="K43" s="208"/>
      <c r="L43" s="209"/>
      <c r="M43" s="210"/>
      <c r="N43" s="195"/>
      <c r="O43" s="145"/>
      <c r="P43" s="259" t="n">
        <f aca="false">P36</f>
        <v>1</v>
      </c>
      <c r="Q43" s="259" t="n">
        <f aca="false">Q36</f>
        <v>1</v>
      </c>
      <c r="R43" s="145" t="e">
        <f aca="false">IF(VLOOKUP(A43,Para1!$B$67:$E$72,2,0)="12.",VLOOKUP(A43,Para1!$B$67:$E$72,3,0),"")</f>
        <v>#N/A</v>
      </c>
      <c r="S43" s="145" t="str">
        <f aca="false">IF((P43+Q43)=0,"",IF(ISNA(R43),"",IF(R43="","",VLOOKUP(R43,Para1!$D$67:$G$79,3,0)*(IF(P43+Q43=1,0.5,1)))))</f>
        <v/>
      </c>
      <c r="T43" s="145" t="str">
        <f aca="false">IF(P43+Q43=0,"",IF(ISNA(R44),"",IF(R44="","",VLOOKUP(R44,Para1!$D$67:$G$79,4,0)*(IF(P43+Q43=1,0.5,1)))))</f>
        <v/>
      </c>
      <c r="U43" s="145" t="str">
        <f aca="false">IF(SUM(S43:T43)&gt;0,K43,"")</f>
        <v/>
      </c>
      <c r="V43" s="145" t="str">
        <f aca="false">IF(SUM(S43:T43)&gt;0,L43,"")</f>
        <v/>
      </c>
      <c r="W43" s="145" t="n">
        <f aca="false">IF(S43=0,P43+Q43,0)</f>
        <v>0</v>
      </c>
      <c r="X43" s="145"/>
    </row>
    <row r="44" customFormat="false" ht="17" hidden="false" customHeight="true" outlineLevel="0" collapsed="false">
      <c r="A44" s="200" t="s">
        <v>41</v>
      </c>
      <c r="B44" s="201" t="str">
        <f aca="false">IF(B43=Para1!$F$153,Para1!$F$109,IF(B43=Para1!$F$109,Para1!$F$148,IF(B43=Para1!$F$148,Para1!$F$111,IF(B43=Para1!$F$111,Para1!$F$120,IF(B43=Para1!$F$120,Para1!$F$170,IF(B43=Para1!$F$170,Para1!$F$173,Para1!$F$153))))))</f>
        <v>Wed</v>
      </c>
      <c r="C44" s="186"/>
      <c r="D44" s="329"/>
      <c r="E44" s="316"/>
      <c r="F44" s="205"/>
      <c r="G44" s="204"/>
      <c r="H44" s="204"/>
      <c r="I44" s="206"/>
      <c r="J44" s="330"/>
      <c r="K44" s="208"/>
      <c r="L44" s="209"/>
      <c r="M44" s="210"/>
      <c r="N44" s="195"/>
      <c r="O44" s="145"/>
      <c r="P44" s="259" t="n">
        <f aca="false">P37</f>
        <v>1</v>
      </c>
      <c r="Q44" s="259" t="n">
        <f aca="false">Q37</f>
        <v>1</v>
      </c>
      <c r="R44" s="145" t="e">
        <f aca="false">IF(VLOOKUP(A44,Para1!$B$67:$E$72,2,0)="12.",VLOOKUP(A44,Para1!$B$67:$E$72,3,0),"")</f>
        <v>#N/A</v>
      </c>
      <c r="S44" s="145" t="str">
        <f aca="false">IF((P44+Q44)=0,"",IF(ISNA(R44),"",IF(R44="","",VLOOKUP(R44,Para1!$D$67:$G$79,3,0)*(IF(P44+Q44=1,0.5,1)))))</f>
        <v/>
      </c>
      <c r="T44" s="145" t="str">
        <f aca="false">IF(P44+Q44=0,"",IF(ISNA(R45),"",IF(R45="","",VLOOKUP(R45,Para1!$D$67:$G$79,4,0)*(IF(P44+Q44=1,0.5,1)))))</f>
        <v/>
      </c>
      <c r="U44" s="145" t="str">
        <f aca="false">IF(SUM(S44:T44)&gt;0,K44,"")</f>
        <v/>
      </c>
      <c r="V44" s="145" t="str">
        <f aca="false">IF(SUM(S44:T44)&gt;0,L44,"")</f>
        <v/>
      </c>
      <c r="W44" s="145" t="n">
        <f aca="false">IF(S44=0,P44+Q44,0)</f>
        <v>0</v>
      </c>
      <c r="X44" s="145"/>
    </row>
    <row r="45" customFormat="false" ht="16.5" hidden="false" customHeight="true" outlineLevel="0" collapsed="false">
      <c r="A45" s="200" t="s">
        <v>42</v>
      </c>
      <c r="B45" s="201" t="str">
        <f aca="false">IF(B44=Para1!$F$153,Para1!$F$109,IF(B44=Para1!$F$109,Para1!$F$148,IF(B44=Para1!$F$148,Para1!$F$111,IF(B44=Para1!$F$111,Para1!$F$120,IF(B44=Para1!$F$120,Para1!$F$170,IF(B44=Para1!$F$170,Para1!$F$173,Para1!$F$153))))))</f>
        <v>Thu</v>
      </c>
      <c r="C45" s="186"/>
      <c r="D45" s="329"/>
      <c r="E45" s="316"/>
      <c r="F45" s="205"/>
      <c r="G45" s="204"/>
      <c r="H45" s="204"/>
      <c r="I45" s="206"/>
      <c r="J45" s="330"/>
      <c r="K45" s="208"/>
      <c r="L45" s="209"/>
      <c r="M45" s="210"/>
      <c r="N45" s="195"/>
      <c r="O45" s="145"/>
      <c r="P45" s="259" t="n">
        <f aca="false">P38</f>
        <v>1</v>
      </c>
      <c r="Q45" s="259" t="n">
        <f aca="false">Q38</f>
        <v>1</v>
      </c>
      <c r="R45" s="145" t="str">
        <f aca="false">IF(VLOOKUP(A45,Para1!$B$67:$E$72,2,0)="12.",VLOOKUP(A45,Para1!$B$67:$E$72,3,0),"")</f>
        <v/>
      </c>
      <c r="S45" s="145" t="str">
        <f aca="false">IF((P45+Q45)=0,"",IF(ISNA(R45),"",IF(R45="","",VLOOKUP(R45,Para1!$D$67:$G$79,3,0)*(IF(P45+Q45=1,0.5,1)))))</f>
        <v/>
      </c>
      <c r="T45" s="145" t="n">
        <f aca="false">IF(P45+Q45=0,"",IF(ISNA(R46),"",IF(R46="","",VLOOKUP(R46,Para1!$D$67:$G$79,4,0)*(IF(P45+Q45=1,0.5,1)))))</f>
        <v>0</v>
      </c>
      <c r="U45" s="145" t="str">
        <f aca="false">IF(SUM(S45:T45)&gt;0,K45,"")</f>
        <v/>
      </c>
      <c r="V45" s="145" t="str">
        <f aca="false">IF(SUM(S45:T45)&gt;0,L45,"")</f>
        <v/>
      </c>
      <c r="W45" s="145" t="n">
        <f aca="false">IF(S45=0,P45+Q45,0)</f>
        <v>0</v>
      </c>
      <c r="X45" s="145"/>
    </row>
    <row r="46" customFormat="false" ht="16.5" hidden="false" customHeight="true" outlineLevel="0" collapsed="false">
      <c r="A46" s="200" t="s">
        <v>43</v>
      </c>
      <c r="B46" s="201" t="str">
        <f aca="false">IF(B45=Para1!$F$153,Para1!$F$109,IF(B45=Para1!$F$109,Para1!$F$148,IF(B45=Para1!$F$148,Para1!$F$111,IF(B45=Para1!$F$111,Para1!$F$120,IF(B45=Para1!$F$120,Para1!$F$170,IF(B45=Para1!$F$170,Para1!$F$173,Para1!$F$153))))))</f>
        <v>Fri</v>
      </c>
      <c r="C46" s="202"/>
      <c r="D46" s="344"/>
      <c r="E46" s="345"/>
      <c r="F46" s="346"/>
      <c r="G46" s="347"/>
      <c r="H46" s="347"/>
      <c r="I46" s="348"/>
      <c r="J46" s="330"/>
      <c r="K46" s="208"/>
      <c r="L46" s="193"/>
      <c r="M46" s="210"/>
      <c r="N46" s="195"/>
      <c r="O46" s="145"/>
      <c r="P46" s="259" t="n">
        <f aca="false">P39</f>
        <v>1</v>
      </c>
      <c r="Q46" s="349" t="n">
        <v>0</v>
      </c>
      <c r="R46" s="145" t="s">
        <v>52</v>
      </c>
      <c r="S46" s="145" t="n">
        <f aca="false">IF((P46+Q46)=0,"",IF(ISNA(R46),"",IF(R46="","",VLOOKUP(R46,Para1!$D$67:$G$79,3,0)*(IF(P46+Q46=1,0.5,1)))))</f>
        <v>2.1</v>
      </c>
      <c r="T46" s="145" t="n">
        <f aca="false">IF(P46+Q46=0,"",IF(ISNA(R47),"",IF(R47="","",VLOOKUP(R47,Para1!$D$67:$G$79,4,0)*(IF(P46+Q46=1,0.5,1)))))</f>
        <v>0</v>
      </c>
      <c r="U46" s="145" t="n">
        <f aca="false">IF(SUM(S46:T46)&gt;0,K46,"")</f>
        <v>0</v>
      </c>
      <c r="V46" s="145" t="n">
        <f aca="false">IF(SUM(S46:T46)&gt;0,L46,"")</f>
        <v>0</v>
      </c>
      <c r="W46" s="145" t="n">
        <f aca="false">IF(S46=0,P46+Q46,0)</f>
        <v>0</v>
      </c>
      <c r="X46" s="145"/>
    </row>
    <row r="47" s="258" customFormat="true" ht="17" hidden="false" customHeight="true" outlineLevel="0" collapsed="false">
      <c r="A47" s="200" t="s">
        <v>44</v>
      </c>
      <c r="B47" s="201" t="str">
        <f aca="false">IF(B46=Para1!$F$153,Para1!$F$109,IF(B46=Para1!$F$109,Para1!$F$148,IF(B46=Para1!$F$148,Para1!$F$111,IF(B46=Para1!$F$111,Para1!$F$120,IF(B46=Para1!$F$120,Para1!$F$170,IF(B46=Para1!$F$170,Para1!$F$173,Para1!$F$153))))))</f>
        <v>Sat</v>
      </c>
      <c r="C47" s="186"/>
      <c r="D47" s="329"/>
      <c r="E47" s="316"/>
      <c r="F47" s="205"/>
      <c r="G47" s="204"/>
      <c r="H47" s="204"/>
      <c r="I47" s="206"/>
      <c r="J47" s="330"/>
      <c r="K47" s="208"/>
      <c r="L47" s="209"/>
      <c r="M47" s="210"/>
      <c r="N47" s="195"/>
      <c r="O47" s="145"/>
      <c r="P47" s="259" t="n">
        <v>0</v>
      </c>
      <c r="Q47" s="259" t="n">
        <v>0</v>
      </c>
      <c r="R47" s="145" t="s">
        <v>53</v>
      </c>
      <c r="S47" s="145" t="str">
        <f aca="false">IF((P47+Q47)=0,"",IF(ISNA(R47),"",IF(R47="","",VLOOKUP(R47,Para1!$D$67:$G$79,3,0)*(IF(P47+Q47=1,0.5,1)))))</f>
        <v/>
      </c>
      <c r="T47" s="145" t="str">
        <f aca="false">IF(P47+Q47=0,"",IF(ISNA(R48),"",IF(R48="","",VLOOKUP(R48,Para1!$D$67:$G$79,4,0)*(IF(P47+Q47=1,0.5,1)))))</f>
        <v/>
      </c>
      <c r="U47" s="145" t="str">
        <f aca="false">IF(SUM(S47:T47)&gt;0,K47,"")</f>
        <v/>
      </c>
      <c r="V47" s="145" t="str">
        <f aca="false">IF(SUM(S47:T47)&gt;0,L47,"")</f>
        <v/>
      </c>
      <c r="W47" s="145" t="n">
        <f aca="false">IF(S47=0,P47+Q47,0)</f>
        <v>0</v>
      </c>
      <c r="X47" s="145"/>
    </row>
    <row r="48" s="258" customFormat="true" ht="17" hidden="false" customHeight="true" outlineLevel="0" collapsed="false">
      <c r="A48" s="200" t="s">
        <v>45</v>
      </c>
      <c r="B48" s="201" t="str">
        <f aca="false">IF(B47=Para1!$F$153,Para1!$F$109,IF(B47=Para1!$F$109,Para1!$F$148,IF(B47=Para1!$F$148,Para1!$F$111,IF(B47=Para1!$F$111,Para1!$F$120,IF(B47=Para1!$F$120,Para1!$F$170,IF(B47=Para1!$F$170,Para1!$F$173,Para1!$F$153))))))</f>
        <v>Sun</v>
      </c>
      <c r="C48" s="186"/>
      <c r="D48" s="329"/>
      <c r="E48" s="316"/>
      <c r="F48" s="205"/>
      <c r="G48" s="204"/>
      <c r="H48" s="204"/>
      <c r="I48" s="206"/>
      <c r="J48" s="330"/>
      <c r="K48" s="208"/>
      <c r="L48" s="209"/>
      <c r="M48" s="210"/>
      <c r="N48" s="195"/>
      <c r="O48" s="145"/>
      <c r="P48" s="259" t="n">
        <v>0</v>
      </c>
      <c r="Q48" s="259" t="n">
        <v>0</v>
      </c>
      <c r="R48" s="145" t="s">
        <v>54</v>
      </c>
      <c r="S48" s="145" t="str">
        <f aca="false">IF((P48+Q48)=0,"",IF(ISNA(R48),"",IF(R48="","",VLOOKUP(R48,Para1!$D$67:$G$79,3,0)*(IF(P48+Q48=1,0.5,1)))))</f>
        <v/>
      </c>
      <c r="T48" s="145" t="str">
        <f aca="false">IF(P48+Q48=0,"",IF(ISNA(R49),"",IF(R49="","",VLOOKUP(R49,Para1!$D$67:$G$79,4,0)*(IF(P48+Q48=1,0.5,1)))))</f>
        <v/>
      </c>
      <c r="U48" s="145" t="str">
        <f aca="false">IF(SUM(S48:T48)&gt;0,K48,"")</f>
        <v/>
      </c>
      <c r="V48" s="145" t="str">
        <f aca="false">IF(SUM(S48:T48)&gt;0,L48,"")</f>
        <v/>
      </c>
      <c r="W48" s="145" t="n">
        <f aca="false">IF(S48=0,P48+Q48,0)</f>
        <v>0</v>
      </c>
      <c r="X48" s="145"/>
    </row>
    <row r="49" customFormat="false" ht="17" hidden="false" customHeight="true" outlineLevel="0" collapsed="false">
      <c r="A49" s="200" t="s">
        <v>46</v>
      </c>
      <c r="B49" s="201" t="str">
        <f aca="false">IF(B48=Para1!$F$153,Para1!$F$109,IF(B48=Para1!$F$109,Para1!$F$148,IF(B48=Para1!$F$148,Para1!$F$111,IF(B48=Para1!$F$111,Para1!$F$120,IF(B48=Para1!$F$120,Para1!$F$170,IF(B48=Para1!$F$170,Para1!$F$173,Para1!$F$153))))))</f>
        <v>Mon</v>
      </c>
      <c r="C49" s="202"/>
      <c r="D49" s="329"/>
      <c r="E49" s="316"/>
      <c r="F49" s="205"/>
      <c r="G49" s="204"/>
      <c r="H49" s="204"/>
      <c r="I49" s="206"/>
      <c r="J49" s="330"/>
      <c r="K49" s="208" t="s">
        <v>13</v>
      </c>
      <c r="L49" s="209" t="s">
        <v>13</v>
      </c>
      <c r="M49" s="210"/>
      <c r="N49" s="195"/>
      <c r="O49" s="145"/>
      <c r="P49" s="259" t="n">
        <f aca="false">P42</f>
        <v>1</v>
      </c>
      <c r="Q49" s="259" t="n">
        <f aca="false">Q42</f>
        <v>1</v>
      </c>
      <c r="R49" s="145" t="e">
        <f aca="false">IF(VLOOKUP(A49,Para1!$B$67:$E$72,2,0)="12.",VLOOKUP(A49,Para1!$B$67:$E$72,3,0),"")</f>
        <v>#N/A</v>
      </c>
      <c r="S49" s="145" t="str">
        <f aca="false">IF((P49+Q49)=0,"",IF(ISNA(R49),"",IF(R49="","",VLOOKUP(R49,Para1!$D$67:$G$79,3,0)*(IF(P49+Q49=1,0.5,1)))))</f>
        <v/>
      </c>
      <c r="T49" s="145" t="str">
        <f aca="false">IF(P49+Q49=0,"",IF(ISNA(R50),"",IF(R50="","",VLOOKUP(R50,Para1!$D$67:$G$79,4,0)*(IF(P49+Q49=1,0.5,1)))))</f>
        <v/>
      </c>
      <c r="U49" s="145" t="str">
        <f aca="false">IF(SUM(S49:T49)&gt;0,K49,"")</f>
        <v/>
      </c>
      <c r="V49" s="145" t="str">
        <f aca="false">IF(SUM(S49:T49)&gt;0,L49,"")</f>
        <v/>
      </c>
      <c r="W49" s="145" t="n">
        <f aca="false">IF(S49=0,P49+Q49,0)</f>
        <v>0</v>
      </c>
      <c r="X49" s="145"/>
    </row>
    <row r="50" customFormat="false" ht="17" hidden="false" customHeight="true" outlineLevel="0" collapsed="false">
      <c r="A50" s="200" t="s">
        <v>47</v>
      </c>
      <c r="B50" s="201" t="str">
        <f aca="false">IF(B49=Para1!$F$153,Para1!$F$109,IF(B49=Para1!$F$109,Para1!$F$148,IF(B49=Para1!$F$148,Para1!$F$111,IF(B49=Para1!$F$111,Para1!$F$120,IF(B49=Para1!$F$120,Para1!$F$170,IF(B49=Para1!$F$170,Para1!$F$173,Para1!$F$153))))))</f>
        <v>Tue</v>
      </c>
      <c r="C50" s="202"/>
      <c r="D50" s="329"/>
      <c r="E50" s="316"/>
      <c r="F50" s="205"/>
      <c r="G50" s="204"/>
      <c r="H50" s="204"/>
      <c r="I50" s="206"/>
      <c r="J50" s="330"/>
      <c r="K50" s="208" t="s">
        <v>13</v>
      </c>
      <c r="L50" s="209" t="s">
        <v>13</v>
      </c>
      <c r="M50" s="210"/>
      <c r="N50" s="195"/>
      <c r="O50" s="145"/>
      <c r="P50" s="262" t="n">
        <f aca="false">P43</f>
        <v>1</v>
      </c>
      <c r="Q50" s="262" t="n">
        <f aca="false">Q43</f>
        <v>1</v>
      </c>
      <c r="R50" s="145" t="e">
        <f aca="false">IF(VLOOKUP(A50,Para1!$B$67:$E$72,2,0)="12.",VLOOKUP(A50,Para1!$B$67:$E$72,3,0),"")</f>
        <v>#N/A</v>
      </c>
      <c r="S50" s="145" t="str">
        <f aca="false">IF((P50+Q50)=0,"",IF(ISNA(R50),"",IF(R50="","",VLOOKUP(R50,Para1!$D$67:$G$79,3,0)*(IF(P50+Q50=1,0.5,1)))))</f>
        <v/>
      </c>
      <c r="T50" s="145" t="str">
        <f aca="false">IF(P50+Q50=0,"",IF(ISNA(R51),"",IF(R51="","",VLOOKUP(R51,Para1!$D$67:$G$79,4,0)*(IF(P50+Q50=1,0.5,1)))))</f>
        <v/>
      </c>
      <c r="U50" s="145" t="str">
        <f aca="false">IF(SUM(S50:T50)&gt;0,K50,"")</f>
        <v/>
      </c>
      <c r="V50" s="145" t="str">
        <f aca="false">IF(SUM(S50:T50)&gt;0,L50,"")</f>
        <v/>
      </c>
      <c r="W50" s="145" t="n">
        <f aca="false">IF(S50=0,P50+Q50,0)</f>
        <v>0</v>
      </c>
      <c r="X50" s="145"/>
    </row>
    <row r="51" customFormat="false" ht="17" hidden="false" customHeight="true" outlineLevel="0" collapsed="false">
      <c r="A51" s="200" t="s">
        <v>48</v>
      </c>
      <c r="B51" s="201" t="str">
        <f aca="false">IF(B50=Para1!$F$153,Para1!$F$109,IF(B50=Para1!$F$109,Para1!$F$148,IF(B50=Para1!$F$148,Para1!$F$111,IF(B50=Para1!$F$111,Para1!$F$120,IF(B50=Para1!$F$120,Para1!$F$170,IF(B50=Para1!$F$170,Para1!$F$173,Para1!$F$153))))))</f>
        <v>Wed</v>
      </c>
      <c r="C51" s="186"/>
      <c r="D51" s="329"/>
      <c r="E51" s="316"/>
      <c r="F51" s="205"/>
      <c r="G51" s="204"/>
      <c r="H51" s="204"/>
      <c r="I51" s="206"/>
      <c r="J51" s="330"/>
      <c r="K51" s="208" t="s">
        <v>13</v>
      </c>
      <c r="L51" s="209" t="s">
        <v>13</v>
      </c>
      <c r="M51" s="210"/>
      <c r="N51" s="195"/>
      <c r="O51" s="145"/>
      <c r="P51" s="217" t="n">
        <f aca="false">P44</f>
        <v>1</v>
      </c>
      <c r="Q51" s="259" t="n">
        <f aca="false">Q44</f>
        <v>1</v>
      </c>
      <c r="R51" s="145" t="e">
        <f aca="false">IF(VLOOKUP(A51,Para1!$B$67:$E$72,2,0)="12.",VLOOKUP(A51,Para1!$B$67:$E$72,3,0),"")</f>
        <v>#N/A</v>
      </c>
      <c r="S51" s="145" t="str">
        <f aca="false">IF((P51+Q51)=0,"",IF(ISNA(R51),"",IF(R51="","",VLOOKUP(R51,Para1!$D$67:$G$79,3,0)*(IF(P51+Q51=1,0.5,1)))))</f>
        <v/>
      </c>
      <c r="T51" s="145" t="str">
        <f aca="false">IF(P51+Q51=0,"",IF(ISNA(R52),"",IF(R52="","",VLOOKUP(R52,Para1!$D$67:$G$79,4,0)*(IF(P51+Q51=1,0.5,1)))))</f>
        <v/>
      </c>
      <c r="U51" s="145" t="str">
        <f aca="false">IF(SUM(S51:T51)&gt;0,K51,"")</f>
        <v/>
      </c>
      <c r="V51" s="145" t="str">
        <f aca="false">IF(SUM(S51:T51)&gt;0,L51,"")</f>
        <v/>
      </c>
      <c r="W51" s="145" t="n">
        <f aca="false">IF(S51=0,P51+Q51,0)</f>
        <v>0</v>
      </c>
      <c r="X51" s="145"/>
    </row>
    <row r="52" customFormat="false" ht="16.5" hidden="false" customHeight="true" outlineLevel="0" collapsed="false">
      <c r="A52" s="200" t="s">
        <v>49</v>
      </c>
      <c r="B52" s="201" t="str">
        <f aca="false">IF(B51=Para1!$F$153,Para1!$F$109,IF(B51=Para1!$F$109,Para1!$F$148,IF(B51=Para1!$F$148,Para1!$F$111,IF(B51=Para1!$F$111,Para1!$F$120,IF(B51=Para1!$F$120,Para1!$F$170,IF(B51=Para1!$F$170,Para1!$F$173,Para1!$F$153))))))</f>
        <v>Thu</v>
      </c>
      <c r="C52" s="186"/>
      <c r="D52" s="329"/>
      <c r="E52" s="316"/>
      <c r="F52" s="205"/>
      <c r="G52" s="204"/>
      <c r="H52" s="204"/>
      <c r="I52" s="206"/>
      <c r="J52" s="330"/>
      <c r="K52" s="208" t="s">
        <v>13</v>
      </c>
      <c r="L52" s="209" t="s">
        <v>13</v>
      </c>
      <c r="M52" s="210"/>
      <c r="N52" s="195"/>
      <c r="O52" s="145"/>
      <c r="P52" s="217" t="n">
        <f aca="false">P45</f>
        <v>1</v>
      </c>
      <c r="Q52" s="259" t="n">
        <f aca="false">Q45</f>
        <v>1</v>
      </c>
      <c r="R52" s="145" t="e">
        <f aca="false">IF(VLOOKUP(A52,Para1!$B$67:$E$72,2,0)="12.",VLOOKUP(A52,Para1!$B$67:$E$72,3,0),"")</f>
        <v>#N/A</v>
      </c>
      <c r="S52" s="145" t="str">
        <f aca="false">IF((P52+Q52)=0,"",IF(ISNA(R52),"",IF(R52="","",VLOOKUP(R52,Para1!$D$67:$G$79,3,0)*(IF(P52+Q52=1,0.5,1)))))</f>
        <v/>
      </c>
      <c r="T52" s="145" t="n">
        <f aca="false">IF(P52+Q52=0,"",IF(ISNA(R53),"",IF(R53="","",VLOOKUP(R53,Para1!$D$67:$G$79,4,0)*(IF(P52+Q52=1,0.5,1)))))</f>
        <v>0</v>
      </c>
      <c r="U52" s="145" t="str">
        <f aca="false">IF(SUM(S52:T52)&gt;0,K52,"")</f>
        <v/>
      </c>
      <c r="V52" s="145" t="str">
        <f aca="false">IF(SUM(S52:T52)&gt;0,L52,"")</f>
        <v/>
      </c>
      <c r="W52" s="145" t="n">
        <f aca="false">IF(S52=0,P52+Q52,0)</f>
        <v>0</v>
      </c>
      <c r="X52" s="145"/>
    </row>
    <row r="53" customFormat="false" ht="17" hidden="false" customHeight="true" outlineLevel="0" collapsed="false">
      <c r="A53" s="200" t="s">
        <v>50</v>
      </c>
      <c r="B53" s="201" t="str">
        <f aca="false">IF(B52=Para1!$F$153,Para1!$F$109,IF(B52=Para1!$F$109,Para1!$F$148,IF(B52=Para1!$F$148,Para1!$F$111,IF(B52=Para1!$F$111,Para1!$F$120,IF(B52=Para1!$F$120,Para1!$F$170,IF(B52=Para1!$F$170,Para1!$F$173,Para1!$F$153))))))</f>
        <v>Fri</v>
      </c>
      <c r="C53" s="202"/>
      <c r="D53" s="344"/>
      <c r="E53" s="345"/>
      <c r="F53" s="346"/>
      <c r="G53" s="347"/>
      <c r="H53" s="347"/>
      <c r="I53" s="348"/>
      <c r="J53" s="330"/>
      <c r="K53" s="331" t="s">
        <v>13</v>
      </c>
      <c r="L53" s="308"/>
      <c r="M53" s="210"/>
      <c r="N53" s="195"/>
      <c r="O53" s="145"/>
      <c r="P53" s="221" t="n">
        <f aca="false">P46</f>
        <v>1</v>
      </c>
      <c r="Q53" s="350" t="n">
        <v>0</v>
      </c>
      <c r="R53" s="145" t="s">
        <v>55</v>
      </c>
      <c r="S53" s="145" t="n">
        <f aca="false">IF((P53+Q53)=0,"",IF(ISNA(R53),"",IF(R53="","",VLOOKUP(R53,Para1!$D$67:$G$79,3,0)*(IF(P53+Q53=1,0.5,1)))))</f>
        <v>2.1</v>
      </c>
      <c r="T53" s="145"/>
      <c r="U53" s="145" t="str">
        <f aca="false">IF(SUM(S53:T53)&gt;0,K53,"")</f>
        <v>f</v>
      </c>
      <c r="V53" s="145" t="n">
        <f aca="false">IF(SUM(S53:T53)&gt;0,L53,"")</f>
        <v>0</v>
      </c>
      <c r="W53" s="145" t="n">
        <f aca="false">IF(S53=0,P53+Q53,0)</f>
        <v>0</v>
      </c>
      <c r="X53" s="145"/>
    </row>
    <row r="54" customFormat="false" ht="15" hidden="false" customHeight="false" outlineLevel="0" collapsed="false">
      <c r="A54" s="223"/>
      <c r="B54" s="197"/>
      <c r="C54" s="133"/>
      <c r="D54" s="332" t="n">
        <f aca="false">SUM(D23:D53)</f>
        <v>0</v>
      </c>
      <c r="E54" s="290" t="n">
        <f aca="false">SUM(E23:E53)</f>
        <v>0</v>
      </c>
      <c r="F54" s="225" t="n">
        <f aca="false">SUM(F23:F53)</f>
        <v>0</v>
      </c>
      <c r="G54" s="225" t="n">
        <f aca="false">SUM(G23:G53)</f>
        <v>0</v>
      </c>
      <c r="H54" s="225" t="n">
        <f aca="false">SUM(H23:H53)</f>
        <v>0</v>
      </c>
      <c r="I54" s="226" t="n">
        <f aca="false">SUM(I23:I53)</f>
        <v>0</v>
      </c>
      <c r="J54" s="282"/>
      <c r="P54" s="229" t="str">
        <f aca="false">Para1!F174&amp;" "&amp;Para1!F168</f>
        <v>balance due / half-day</v>
      </c>
      <c r="Q54" s="229"/>
      <c r="R54" s="145" t="n">
        <f aca="false">SUM(W23:W53)</f>
        <v>0</v>
      </c>
      <c r="S54" s="145" t="n">
        <f aca="false">SUM(S23:S53)</f>
        <v>4.2</v>
      </c>
      <c r="T54" s="145" t="n">
        <f aca="false">SUM(T23:T53)</f>
        <v>0</v>
      </c>
      <c r="U54" s="145"/>
      <c r="V54" s="145"/>
      <c r="W54" s="145"/>
      <c r="X54" s="145"/>
    </row>
    <row r="55" customFormat="false" ht="15" hidden="false" customHeight="false" outlineLevel="0" collapsed="false">
      <c r="A55" s="283"/>
      <c r="B55" s="284"/>
      <c r="C55" s="284"/>
      <c r="D55" s="334" t="n">
        <f aca="false">D54*24</f>
        <v>0</v>
      </c>
      <c r="E55" s="292" t="n">
        <f aca="false">E54*24</f>
        <v>0</v>
      </c>
      <c r="F55" s="231" t="n">
        <f aca="false">F54*24</f>
        <v>0</v>
      </c>
      <c r="G55" s="231" t="n">
        <f aca="false">G54*24</f>
        <v>0</v>
      </c>
      <c r="H55" s="231" t="n">
        <f aca="false">H54*24</f>
        <v>0</v>
      </c>
      <c r="I55" s="232" t="n">
        <f aca="false">I54*24</f>
        <v>0</v>
      </c>
      <c r="J55" s="285"/>
      <c r="M55" s="235" t="str">
        <f aca="false">Para1!G2</f>
        <v>AE v1_01 02.12.2021</v>
      </c>
      <c r="P55" s="236" t="n">
        <f aca="false">(Para1!M60/100*$G$3)/((SUM(P23:Q45)+P46+P53+SUM(P47:Q52))-R54)/24</f>
        <v>0.175</v>
      </c>
      <c r="Q55" s="236"/>
      <c r="R55" s="145"/>
      <c r="S55" s="145"/>
      <c r="T55" s="145"/>
      <c r="U55" s="145"/>
      <c r="V55" s="145"/>
      <c r="W55" s="145"/>
      <c r="X55" s="145"/>
    </row>
    <row r="56" customFormat="false" ht="15" hidden="false" customHeight="false" outlineLevel="0" collapsed="false">
      <c r="D56" s="117"/>
      <c r="K56" s="133"/>
      <c r="Q56" s="133"/>
      <c r="R56" s="351"/>
      <c r="S56" s="351"/>
      <c r="T56" s="351"/>
      <c r="U56" s="351"/>
      <c r="V56" s="351"/>
      <c r="W56" s="351"/>
      <c r="X56" s="351"/>
      <c r="Y56" s="133"/>
      <c r="Z56" s="133"/>
      <c r="AA56" s="133"/>
    </row>
    <row r="57" customFormat="false" ht="22.5" hidden="false" customHeight="true" outlineLevel="0" collapsed="false">
      <c r="A57" s="237" t="str">
        <f aca="false">Para1!F106</f>
        <v>date</v>
      </c>
      <c r="B57" s="238"/>
      <c r="C57" s="238"/>
      <c r="D57" s="239"/>
      <c r="E57" s="238"/>
      <c r="F57" s="240" t="str">
        <f aca="false">Para1!F191&amp;" "&amp;Para1!F152</f>
        <v>signature employee</v>
      </c>
      <c r="G57" s="238"/>
      <c r="H57" s="241"/>
      <c r="I57" s="241"/>
      <c r="J57" s="241"/>
      <c r="K57" s="241"/>
      <c r="L57" s="241"/>
      <c r="Q57" s="133"/>
      <c r="R57" s="133"/>
      <c r="S57" s="133"/>
      <c r="T57" s="242"/>
      <c r="U57" s="237"/>
      <c r="V57" s="133"/>
      <c r="W57" s="133"/>
      <c r="X57" s="133"/>
      <c r="Y57" s="286"/>
      <c r="Z57" s="133"/>
      <c r="AA57" s="133"/>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row r="60" customFormat="false" ht="14" hidden="false" customHeight="false" outlineLevel="0" collapsed="false">
      <c r="D60" s="117"/>
    </row>
    <row r="61" customFormat="false" ht="22.5" hidden="false" customHeight="true" outlineLevel="0" collapsed="false">
      <c r="A61" s="247"/>
      <c r="B61" s="327"/>
      <c r="C61" s="327"/>
      <c r="D61" s="328"/>
      <c r="E61" s="249"/>
      <c r="F61" s="328"/>
      <c r="G61" s="242"/>
      <c r="H61" s="265"/>
      <c r="I61" s="310"/>
      <c r="J61" s="242"/>
      <c r="L61" s="250"/>
      <c r="M61" s="238"/>
      <c r="Q61" s="24"/>
    </row>
    <row r="62" customFormat="false" ht="14" hidden="false" customHeight="false" outlineLevel="0" collapsed="false">
      <c r="A62" s="283"/>
      <c r="B62" s="133"/>
      <c r="C62" s="133"/>
      <c r="D62" s="327"/>
      <c r="E62" s="133"/>
      <c r="F62" s="133"/>
      <c r="G62" s="133"/>
      <c r="H62" s="265"/>
      <c r="I62" s="133"/>
      <c r="J62" s="133"/>
    </row>
    <row r="63" customFormat="false" ht="14" hidden="false" customHeight="false" outlineLevel="0" collapsed="false">
      <c r="A63" s="283"/>
      <c r="B63" s="133"/>
      <c r="C63" s="133"/>
      <c r="D63" s="327"/>
      <c r="E63" s="133"/>
      <c r="F63" s="133"/>
      <c r="G63" s="133"/>
      <c r="H63" s="265"/>
      <c r="I63" s="133"/>
      <c r="J63" s="133"/>
    </row>
    <row r="64" customFormat="false" ht="14" hidden="false" customHeight="false" outlineLevel="0" collapsed="false">
      <c r="A64" s="283"/>
      <c r="B64" s="133"/>
      <c r="C64" s="133"/>
      <c r="D64" s="327"/>
      <c r="E64" s="133"/>
      <c r="F64" s="133"/>
      <c r="G64" s="133"/>
      <c r="H64" s="265"/>
      <c r="I64" s="133"/>
      <c r="J64" s="133"/>
    </row>
    <row r="65" customFormat="false" ht="14" hidden="false" customHeight="false" outlineLevel="0" collapsed="false">
      <c r="A65" s="283"/>
      <c r="B65" s="133"/>
      <c r="C65" s="133"/>
      <c r="D65" s="327"/>
      <c r="E65" s="133"/>
      <c r="F65" s="133"/>
      <c r="G65" s="133"/>
      <c r="H65" s="265"/>
      <c r="I65" s="133"/>
      <c r="J65" s="133"/>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3">
    <cfRule type="expression" priority="2" aboveAverage="0" equalAverage="0" bottom="0" percent="0" rank="0" text="" dxfId="78">
      <formula>$S23=0</formula>
    </cfRule>
    <cfRule type="expression" priority="3" aboveAverage="0" equalAverage="0" bottom="0" percent="0" rank="0" text="" dxfId="79">
      <formula>$P23+$Q23=0</formula>
    </cfRule>
  </conditionalFormatting>
  <conditionalFormatting sqref="D23:I53">
    <cfRule type="expression" priority="4" aboveAverage="0" equalAverage="0" bottom="0" percent="0" rank="0" text="" dxfId="80">
      <formula>$P23+$Q23=1</formula>
    </cfRule>
    <cfRule type="expression" priority="5" aboveAverage="0" equalAverage="0" bottom="0" percent="0" rank="0" text="" dxfId="81">
      <formula>$P23+$Q23=0</formula>
    </cfRule>
  </conditionalFormatting>
  <conditionalFormatting sqref="D23:I53 K23:L53 P23:Q53">
    <cfRule type="expression" priority="6" aboveAverage="0" equalAverage="0" bottom="0" percent="0" rank="0" text="" dxfId="82">
      <formula>$S23=0</formula>
    </cfRule>
  </conditionalFormatting>
  <conditionalFormatting sqref="K23:K53 P23:P53">
    <cfRule type="expression" priority="7" aboveAverage="0" equalAverage="0" bottom="0" percent="0" rank="0" text="" dxfId="83">
      <formula>$P23=0</formula>
    </cfRule>
  </conditionalFormatting>
  <conditionalFormatting sqref="L23:L53 Q23:Q53">
    <cfRule type="expression" priority="8" aboveAverage="0" equalAverage="0" bottom="0" percent="0" rank="0" text="" dxfId="84">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09722222222222" right="0.409722222222222"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N24"/>
  <sheetViews>
    <sheetView showFormulas="false" showGridLines="false" showRowColHeaders="true" showZeros="true" rightToLeft="false" tabSelected="false" showOutlineSymbols="true" defaultGridColor="true" view="normal" topLeftCell="B1" colorId="64" zoomScale="100" zoomScaleNormal="100" zoomScalePageLayoutView="100" workbookViewId="0">
      <selection pane="topLeft" activeCell="H21" activeCellId="0" sqref="H21"/>
    </sheetView>
  </sheetViews>
  <sheetFormatPr defaultColWidth="10.70703125" defaultRowHeight="19" zeroHeight="false" outlineLevelRow="0" outlineLevelCol="0"/>
  <cols>
    <col collapsed="false" customWidth="true" hidden="false" outlineLevel="0" max="1" min="1" style="0" width="3.83"/>
    <col collapsed="false" customWidth="true" hidden="false" outlineLevel="0" max="4" min="3" style="0" width="13.66"/>
    <col collapsed="false" customWidth="true" hidden="false" outlineLevel="0" max="11" min="5" style="0" width="15.66"/>
    <col collapsed="false" customWidth="true" hidden="false" outlineLevel="0" max="12" min="12" style="0" width="42.52"/>
  </cols>
  <sheetData>
    <row r="1" s="32" customFormat="true" ht="10.5" hidden="false" customHeight="true" outlineLevel="0" collapsed="false">
      <c r="B1" s="352" t="str">
        <f aca="false">Para1!F196</f>
        <v>first name:</v>
      </c>
      <c r="C1" s="353" t="str">
        <f aca="false">'Jahresübersicht (Overview)'!C2</f>
        <v>Mathieu</v>
      </c>
      <c r="D1" s="353"/>
      <c r="E1" s="354" t="str">
        <f aca="false">Para1!F159</f>
        <v>surname:</v>
      </c>
      <c r="F1" s="353" t="str">
        <f aca="false">'Jahresübersicht (Overview)'!G2</f>
        <v>Simon</v>
      </c>
      <c r="G1" s="355" t="str">
        <f aca="false">Para1!F133</f>
        <v>year of birth (4-digit):</v>
      </c>
      <c r="H1" s="355"/>
      <c r="I1" s="356" t="n">
        <f aca="false">'Jahresübersicht (Overview)'!K2</f>
        <v>1994</v>
      </c>
    </row>
    <row r="2" s="32" customFormat="true" ht="6" hidden="false" customHeight="true" outlineLevel="0" collapsed="false">
      <c r="B2" s="72"/>
      <c r="C2" s="72"/>
      <c r="D2" s="72"/>
      <c r="E2" s="72"/>
      <c r="F2" s="72"/>
      <c r="G2" s="72"/>
      <c r="H2" s="72"/>
      <c r="I2" s="72"/>
      <c r="J2" s="72"/>
    </row>
    <row r="3" s="32" customFormat="true" ht="13" hidden="false" customHeight="false" outlineLevel="0" collapsed="false">
      <c r="B3" s="354" t="str">
        <f aca="false">Para1!F165</f>
        <v>pers.-no.:</v>
      </c>
      <c r="C3" s="353" t="n">
        <f aca="false">'Jahresübersicht (Overview)'!C4</f>
        <v>381322</v>
      </c>
      <c r="D3" s="353"/>
      <c r="E3" s="354" t="str">
        <f aca="false">Para1!F113</f>
        <v>starting date:</v>
      </c>
      <c r="F3" s="357" t="n">
        <f aca="false">'Jahresübersicht (Overview)'!G4</f>
        <v>42688</v>
      </c>
      <c r="G3" s="357"/>
      <c r="H3" s="358" t="n">
        <f aca="false">'Persönliche Daten (pers. data)'!O8</f>
        <v>100</v>
      </c>
      <c r="I3" s="72"/>
      <c r="J3" s="72"/>
    </row>
    <row r="4" s="32" customFormat="true" ht="13" hidden="false" customHeight="false" outlineLevel="0" collapsed="false">
      <c r="B4" s="72"/>
      <c r="C4" s="72"/>
      <c r="D4" s="72"/>
      <c r="E4" s="72"/>
      <c r="F4" s="72"/>
      <c r="G4" s="72"/>
      <c r="H4" s="72"/>
      <c r="I4" s="72"/>
      <c r="J4" s="72"/>
      <c r="M4" s="359"/>
      <c r="N4" s="359"/>
    </row>
    <row r="5" s="32" customFormat="true" ht="16" hidden="false" customHeight="false" outlineLevel="0" collapsed="false">
      <c r="B5" s="360" t="str">
        <f aca="false">Para1!F201&amp;" per 31.12."&amp;Para1!C2</f>
        <v>key figures per 31.12.2021</v>
      </c>
      <c r="M5" s="359"/>
      <c r="N5" s="359"/>
    </row>
    <row r="6" s="32" customFormat="true" ht="12.75" hidden="false" customHeight="true" outlineLevel="0" collapsed="false">
      <c r="B6" s="361" t="str">
        <f aca="false">Para1!J212</f>
        <v>Here you can see all your absences as of 31.12. which are relevant for the Time Management Tool.</v>
      </c>
      <c r="C6" s="361"/>
      <c r="D6" s="361"/>
      <c r="E6" s="361"/>
      <c r="F6" s="361"/>
      <c r="G6" s="361"/>
      <c r="H6" s="361"/>
      <c r="I6" s="361"/>
      <c r="J6" s="361"/>
      <c r="K6" s="361"/>
      <c r="L6" s="362"/>
      <c r="M6" s="359"/>
      <c r="N6" s="359"/>
    </row>
    <row r="7" s="32" customFormat="true" ht="13.5" hidden="false" customHeight="true" outlineLevel="0" collapsed="false">
      <c r="B7" s="363" t="str">
        <f aca="false">Para1!J213</f>
        <v> </v>
      </c>
      <c r="C7" s="363"/>
      <c r="D7" s="363"/>
      <c r="E7" s="363"/>
      <c r="F7" s="363"/>
      <c r="G7" s="363"/>
      <c r="H7" s="363"/>
      <c r="I7" s="363"/>
      <c r="J7" s="363"/>
      <c r="K7" s="363"/>
      <c r="L7" s="362"/>
      <c r="M7" s="359"/>
      <c r="N7" s="359"/>
    </row>
    <row r="8" s="32" customFormat="true" ht="14" hidden="false" customHeight="false" outlineLevel="0" collapsed="false">
      <c r="B8" s="364"/>
      <c r="C8" s="365"/>
      <c r="D8" s="365"/>
      <c r="E8" s="366" t="str">
        <f aca="false">" Ø "&amp;Para1!F97&amp;" (Jan. - Dez.): "&amp;'Persönliche Daten (pers. data)'!O8&amp;"%"</f>
        <v> Ø level of employment (Jan. - Dez.): 100%</v>
      </c>
      <c r="F8" s="366"/>
      <c r="G8" s="366"/>
      <c r="H8" s="367" t="str">
        <f aca="false">Para1!J206</f>
        <v>Split among several contracts (hh:mm)</v>
      </c>
      <c r="I8" s="367"/>
      <c r="J8" s="367"/>
      <c r="K8" s="367"/>
      <c r="M8" s="368"/>
    </row>
    <row r="9" s="32" customFormat="true" ht="13" hidden="false" customHeight="false" outlineLevel="0" collapsed="false">
      <c r="B9" s="369"/>
      <c r="C9" s="370"/>
      <c r="D9" s="370"/>
      <c r="E9" s="371"/>
      <c r="F9" s="372" t="s">
        <v>56</v>
      </c>
      <c r="G9" s="373" t="str">
        <f aca="false">Para1!F108</f>
        <v>decimal</v>
      </c>
      <c r="H9" s="374" t="n">
        <v>0</v>
      </c>
      <c r="I9" s="374" t="n">
        <v>0</v>
      </c>
      <c r="J9" s="374" t="n">
        <v>0</v>
      </c>
      <c r="K9" s="375" t="n">
        <v>0</v>
      </c>
      <c r="L9" s="376" t="str">
        <f aca="false">IF(SUM(H9:K9)=0,"",IF($H$3=(SUM(H9:K9)*100),"",Para1!J216))</f>
        <v/>
      </c>
      <c r="M9" s="359"/>
    </row>
    <row r="10" customFormat="false" ht="19" hidden="false" customHeight="true" outlineLevel="0" collapsed="false">
      <c r="B10" s="377" t="str">
        <f aca="false">Para1!F117&amp;" "&amp;Para1!F171</f>
        <v>holiday balance</v>
      </c>
      <c r="C10" s="377"/>
      <c r="D10" s="377"/>
      <c r="E10" s="378"/>
      <c r="F10" s="379" t="n">
        <f aca="false">Dezember!E11</f>
        <v>0.393750000000002</v>
      </c>
      <c r="G10" s="380" t="n">
        <f aca="false">F10*24</f>
        <v>9.45000000000005</v>
      </c>
      <c r="H10" s="381" t="str">
        <f aca="false">IF($F10&lt;&gt;0,IF(H$9&lt;&gt;0,H$9/$H$3*$F10*100,"-"),"-")</f>
        <v>-</v>
      </c>
      <c r="I10" s="381" t="str">
        <f aca="false">IF($F10&lt;&gt;0,IF(I$9&lt;&gt;0,I$9/$H$3*$F10*100,"-"),"-")</f>
        <v>-</v>
      </c>
      <c r="J10" s="381" t="str">
        <f aca="false">IF($F10&lt;&gt;0,IF(J$9&lt;&gt;0,J$9/$H$3*$F10*100,"-"),"-")</f>
        <v>-</v>
      </c>
      <c r="K10" s="382" t="str">
        <f aca="false">IF($F10&lt;&gt;0,IF(K$9&lt;&gt;0,K$9/$H$3*$F10*100,"-"),"-")</f>
        <v>-</v>
      </c>
      <c r="L10" s="376"/>
      <c r="M10" s="383"/>
    </row>
    <row r="11" customFormat="false" ht="19" hidden="false" customHeight="true" outlineLevel="0" collapsed="false">
      <c r="B11" s="384" t="str">
        <f aca="false">Para1!F102&amp;" "&amp;Para1!F121&amp;" "&amp;Para1!F178</f>
        <v>taken free days</v>
      </c>
      <c r="C11" s="384"/>
      <c r="D11" s="384"/>
      <c r="E11" s="385"/>
      <c r="F11" s="386" t="n">
        <f aca="false">SUM('Jahresübersicht (Overview)'!C15:N15)</f>
        <v>8.4</v>
      </c>
      <c r="G11" s="387" t="n">
        <f aca="false">F11*24</f>
        <v>201.6</v>
      </c>
      <c r="H11" s="388" t="str">
        <f aca="false">IF($F11&lt;&gt;0,IF(H$9&lt;&gt;0,H$9/$H$3*$F11*100,"-"),"-")</f>
        <v>-</v>
      </c>
      <c r="I11" s="388" t="str">
        <f aca="false">IF($F11&lt;&gt;0,IF(I$9&lt;&gt;0,I$9/$H$3*$F11*100,"-"),"-")</f>
        <v>-</v>
      </c>
      <c r="J11" s="388" t="str">
        <f aca="false">IF($F11&lt;&gt;0,IF(J$9&lt;&gt;0,J$9/$H$3*$F11*100,"-"),"-")</f>
        <v>-</v>
      </c>
      <c r="K11" s="389" t="str">
        <f aca="false">IF($F11&lt;&gt;0,IF(K$9&lt;&gt;0,K$9/$H$3*$F11*100,"-"),"-")</f>
        <v>-</v>
      </c>
      <c r="L11" s="376"/>
      <c r="M11" s="383"/>
    </row>
    <row r="12" customFormat="false" ht="19" hidden="false" customHeight="true" outlineLevel="0" collapsed="false">
      <c r="B12" s="377" t="str">
        <f aca="false">Para1!F150</f>
        <v>military/civil def./civil serv.</v>
      </c>
      <c r="C12" s="377"/>
      <c r="D12" s="377"/>
      <c r="E12" s="378"/>
      <c r="F12" s="379" t="n">
        <f aca="false">Dezember!N17</f>
        <v>-0.175</v>
      </c>
      <c r="G12" s="390" t="n">
        <f aca="false">F12*24</f>
        <v>-4.2</v>
      </c>
      <c r="H12" s="391" t="str">
        <f aca="false">IF($F12&lt;&gt;0,IF(H$9&lt;&gt;0,H$9/$H$3*$F12*100,"-"),"-")</f>
        <v>-</v>
      </c>
      <c r="I12" s="391" t="str">
        <f aca="false">IF($F12&lt;&gt;0,IF(I$9&lt;&gt;0,I$9/$H$3*$F12*100,"-"),"-")</f>
        <v>-</v>
      </c>
      <c r="J12" s="391" t="str">
        <f aca="false">IF($F12&lt;&gt;0,IF(J$9&lt;&gt;0,J$9/$H$3*$F12*100,"-"),"-")</f>
        <v>-</v>
      </c>
      <c r="K12" s="392" t="str">
        <f aca="false">IF($F12&lt;&gt;0,IF(K$9&lt;&gt;0,K$9/$H$3*$F12*100,"-"),"-")</f>
        <v>-</v>
      </c>
      <c r="M12" s="383"/>
    </row>
    <row r="13" customFormat="false" ht="19" hidden="false" customHeight="true" outlineLevel="0" collapsed="false">
      <c r="B13" s="384" t="str">
        <f aca="false">Para1!F141</f>
        <v>illness</v>
      </c>
      <c r="C13" s="384"/>
      <c r="D13" s="384"/>
      <c r="E13" s="385"/>
      <c r="F13" s="386" t="n">
        <f aca="false">Dezember!N8</f>
        <v>0</v>
      </c>
      <c r="G13" s="387" t="n">
        <f aca="false">F13*24</f>
        <v>0</v>
      </c>
      <c r="H13" s="388" t="str">
        <f aca="false">IF($F13&lt;&gt;0,IF(H$9&lt;&gt;0,H$9/$H$3*$F13*100,"-"),"-")</f>
        <v>-</v>
      </c>
      <c r="I13" s="388" t="str">
        <f aca="false">IF($F13&lt;&gt;0,IF(I$9&lt;&gt;0,I$9/$H$3*$F13*100,"-"),"-")</f>
        <v>-</v>
      </c>
      <c r="J13" s="388" t="str">
        <f aca="false">IF($F13&lt;&gt;0,IF(J$9&lt;&gt;0,J$9/$H$3*$F13*100,"-"),"-")</f>
        <v>-</v>
      </c>
      <c r="K13" s="389" t="str">
        <f aca="false">IF($F13&lt;&gt;0,IF(K$9&lt;&gt;0,K$9/$H$3*$F13*100,"-"),"-")</f>
        <v>-</v>
      </c>
      <c r="M13" s="383"/>
    </row>
    <row r="14" customFormat="false" ht="19" hidden="false" customHeight="true" outlineLevel="0" collapsed="false">
      <c r="B14" s="377" t="str">
        <f aca="false">Para1!F190&amp;" "&amp;Para1!F99</f>
        <v>accident work related</v>
      </c>
      <c r="C14" s="377"/>
      <c r="D14" s="377"/>
      <c r="E14" s="378"/>
      <c r="F14" s="379" t="n">
        <f aca="false">Dezember!N9</f>
        <v>0</v>
      </c>
      <c r="G14" s="390" t="n">
        <f aca="false">F14*24</f>
        <v>0</v>
      </c>
      <c r="H14" s="381" t="str">
        <f aca="false">IF($F14&lt;&gt;0,IF(H$9&lt;&gt;0,H$9/$H$3*$F14*100,"-"),"-")</f>
        <v>-</v>
      </c>
      <c r="I14" s="381" t="str">
        <f aca="false">IF($F14&lt;&gt;0,IF(I$9&lt;&gt;0,I$9/$H$3*$F14*100,"-"),"-")</f>
        <v>-</v>
      </c>
      <c r="J14" s="381" t="str">
        <f aca="false">IF($F14&lt;&gt;0,IF(J$9&lt;&gt;0,J$9/$H$3*$F14*100,"-"),"-")</f>
        <v>-</v>
      </c>
      <c r="K14" s="382" t="str">
        <f aca="false">IF($F14&lt;&gt;0,IF(K$9&lt;&gt;0,K$9/$H$3*$F14*100,"-"),"-")</f>
        <v>-</v>
      </c>
      <c r="M14" s="383"/>
    </row>
    <row r="15" customFormat="false" ht="19" hidden="false" customHeight="true" outlineLevel="0" collapsed="false">
      <c r="B15" s="384" t="str">
        <f aca="false">Para1!F190&amp;" "&amp;Para1!F161&amp;" "&amp;Para1!F99</f>
        <v>accident not work related</v>
      </c>
      <c r="C15" s="384"/>
      <c r="D15" s="384"/>
      <c r="E15" s="385"/>
      <c r="F15" s="386" t="n">
        <f aca="false">Dezember!N10</f>
        <v>0</v>
      </c>
      <c r="G15" s="387" t="n">
        <f aca="false">F15*24</f>
        <v>0</v>
      </c>
      <c r="H15" s="388" t="str">
        <f aca="false">IF($F15&lt;&gt;0,IF(H$9&lt;&gt;0,H$9/$H$3*$F15*100,"-"),"-")</f>
        <v>-</v>
      </c>
      <c r="I15" s="388" t="str">
        <f aca="false">IF($F15&lt;&gt;0,IF(I$9&lt;&gt;0,I$9/$H$3*$F15*100,"-"),"-")</f>
        <v>-</v>
      </c>
      <c r="J15" s="388" t="str">
        <f aca="false">IF($F15&lt;&gt;0,IF(J$9&lt;&gt;0,J$9/$H$3*$F15*100,"-"),"-")</f>
        <v>-</v>
      </c>
      <c r="K15" s="389" t="str">
        <f aca="false">IF($F15&lt;&gt;0,IF(K$9&lt;&gt;0,K$9/$H$3*$F15*100,"-"),"-")</f>
        <v>-</v>
      </c>
      <c r="M15" s="383"/>
    </row>
    <row r="16" customFormat="false" ht="19" hidden="false" customHeight="true" outlineLevel="0" collapsed="false">
      <c r="B16" s="377" t="str">
        <f aca="false">Para1!F157</f>
        <v>parental leave</v>
      </c>
      <c r="C16" s="377"/>
      <c r="D16" s="377"/>
      <c r="E16" s="378"/>
      <c r="F16" s="379" t="n">
        <f aca="false">Dezember!N16</f>
        <v>-8.8375</v>
      </c>
      <c r="G16" s="390" t="n">
        <f aca="false">F16*24</f>
        <v>-212.1</v>
      </c>
      <c r="H16" s="381" t="str">
        <f aca="false">IF($F16&lt;&gt;0,IF(H$9&lt;&gt;0,H$9/$H$3*$F16*100,"-"),"-")</f>
        <v>-</v>
      </c>
      <c r="I16" s="381" t="str">
        <f aca="false">IF($F16&lt;&gt;0,IF(I$9&lt;&gt;0,I$9/$H$3*$F16*100,"-"),"-")</f>
        <v>-</v>
      </c>
      <c r="J16" s="381" t="str">
        <f aca="false">IF($F16&lt;&gt;0,IF(J$9&lt;&gt;0,J$9/$H$3*$F16*100,"-"),"-")</f>
        <v>-</v>
      </c>
      <c r="K16" s="382" t="str">
        <f aca="false">IF($F16&lt;&gt;0,IF(K$9&lt;&gt;0,K$9/$H$3*$F16*100,"-"),"-")</f>
        <v>-</v>
      </c>
    </row>
    <row r="17" customFormat="false" ht="19" hidden="false" customHeight="true" outlineLevel="0" collapsed="false">
      <c r="B17" s="384" t="str">
        <f aca="false">Para1!F142</f>
        <v>short vacation</v>
      </c>
      <c r="C17" s="384"/>
      <c r="D17" s="384"/>
      <c r="E17" s="385"/>
      <c r="F17" s="386" t="n">
        <f aca="false">Dezember!N11+Dezember!N14</f>
        <v>-0.175</v>
      </c>
      <c r="G17" s="387" t="n">
        <f aca="false">F17*24</f>
        <v>-4.2</v>
      </c>
      <c r="H17" s="388" t="str">
        <f aca="false">IF($F17&lt;&gt;0,IF(H$9&lt;&gt;0,H$9/$H$3*$F17*100,"-"),"-")</f>
        <v>-</v>
      </c>
      <c r="I17" s="388" t="str">
        <f aca="false">IF($F17&lt;&gt;0,IF(I$9&lt;&gt;0,I$9/$H$3*$F17*100,"-"),"-")</f>
        <v>-</v>
      </c>
      <c r="J17" s="388" t="str">
        <f aca="false">IF($F17&lt;&gt;0,IF(J$9&lt;&gt;0,J$9/$H$3*$F17*100,"-"),"-")</f>
        <v>-</v>
      </c>
      <c r="K17" s="389" t="str">
        <f aca="false">IF($F17&lt;&gt;0,IF(K$9&lt;&gt;0,K$9/$H$3*$F17*100,"-"),"-")</f>
        <v>-</v>
      </c>
    </row>
    <row r="18" customFormat="false" ht="19" hidden="false" customHeight="true" outlineLevel="0" collapsed="false">
      <c r="B18" s="377" t="str">
        <f aca="false">Para1!F192&amp;" "&amp;Para1!F189</f>
        <v>leave unpaid</v>
      </c>
      <c r="C18" s="377"/>
      <c r="D18" s="377"/>
      <c r="E18" s="378"/>
      <c r="F18" s="379" t="n">
        <f aca="false">Dezember!N15</f>
        <v>-0.0875</v>
      </c>
      <c r="G18" s="390" t="n">
        <f aca="false">F18*24</f>
        <v>-2.1</v>
      </c>
      <c r="H18" s="381" t="str">
        <f aca="false">IF($F18&lt;&gt;0,IF(H$9&lt;&gt;0,H$9/$H$3*$F18*100,"-"),"-")</f>
        <v>-</v>
      </c>
      <c r="I18" s="381" t="str">
        <f aca="false">IF($F18&lt;&gt;0,IF(I$9&lt;&gt;0,I$9/$H$3*$F18*100,"-"),"-")</f>
        <v>-</v>
      </c>
      <c r="J18" s="381" t="str">
        <f aca="false">IF($F18&lt;&gt;0,IF(J$9&lt;&gt;0,J$9/$H$3*$F18*100,"-"),"-")</f>
        <v>-</v>
      </c>
      <c r="K18" s="382" t="str">
        <f aca="false">IF($F18&lt;&gt;0,IF(K$9&lt;&gt;0,K$9/$H$3*$F18*100,"-"),"-")</f>
        <v>-</v>
      </c>
    </row>
    <row r="19" customFormat="false" ht="19" hidden="false" customHeight="true" outlineLevel="0" collapsed="false">
      <c r="B19" s="384" t="str">
        <f aca="false">Para1!F198</f>
        <v>training / education</v>
      </c>
      <c r="C19" s="384"/>
      <c r="D19" s="384"/>
      <c r="E19" s="385"/>
      <c r="F19" s="386" t="n">
        <f aca="false">Dezember!N12</f>
        <v>0</v>
      </c>
      <c r="G19" s="387" t="n">
        <f aca="false">F19*24</f>
        <v>0</v>
      </c>
      <c r="H19" s="388" t="str">
        <f aca="false">IF($F19&lt;&gt;0,IF(H$9&lt;&gt;0,H$9/$H$3*$F19*100,"-"),"-")</f>
        <v>-</v>
      </c>
      <c r="I19" s="388" t="str">
        <f aca="false">IF($F19&lt;&gt;0,IF(I$9&lt;&gt;0,I$9/$H$3*$F19*100,"-"),"-")</f>
        <v>-</v>
      </c>
      <c r="J19" s="388" t="str">
        <f aca="false">IF($F19&lt;&gt;0,IF(J$9&lt;&gt;0,J$9/$H$3*$F19*100,"-"),"-")</f>
        <v>-</v>
      </c>
      <c r="K19" s="389" t="str">
        <f aca="false">IF($F19&lt;&gt;0,IF(K$9&lt;&gt;0,K$9/$H$3*$F19*100,"-"),"-")</f>
        <v>-</v>
      </c>
    </row>
    <row r="20" customFormat="false" ht="19" hidden="false" customHeight="true" outlineLevel="0" collapsed="false">
      <c r="B20" s="377" t="str">
        <f aca="false">Para1!F119</f>
        <v>reduction of holiday</v>
      </c>
      <c r="C20" s="377"/>
      <c r="D20" s="377"/>
      <c r="E20" s="378"/>
      <c r="F20" s="379" t="n">
        <f aca="false">SUM('Jahresübersicht (Overview)'!C16:N16)</f>
        <v>0</v>
      </c>
      <c r="G20" s="390" t="n">
        <f aca="false">F20*24</f>
        <v>0</v>
      </c>
      <c r="H20" s="381" t="str">
        <f aca="false">IF($F20&lt;&gt;0,IF(H$9&lt;&gt;0,H$9/$H$3*$F20*100,"-"),"-")</f>
        <v>-</v>
      </c>
      <c r="I20" s="381" t="str">
        <f aca="false">IF($F20&lt;&gt;0,IF(I$9&lt;&gt;0,I$9/$H$3*$F20*100,"-"),"-")</f>
        <v>-</v>
      </c>
      <c r="J20" s="381" t="str">
        <f aca="false">IF($F20&lt;&gt;0,IF(J$9&lt;&gt;0,J$9/$H$3*$F20*100,"-"),"-")</f>
        <v>-</v>
      </c>
      <c r="K20" s="382" t="str">
        <f aca="false">IF($F20&lt;&gt;0,IF(K$9&lt;&gt;0,K$9/$H$3*$F20*100,"-"),"-")</f>
        <v>-</v>
      </c>
    </row>
    <row r="21" customFormat="false" ht="19" hidden="false" customHeight="true" outlineLevel="0" collapsed="false">
      <c r="B21" s="393" t="str">
        <f aca="false">Para1!F163</f>
        <v>public office</v>
      </c>
      <c r="C21" s="393"/>
      <c r="D21" s="393"/>
      <c r="E21" s="394"/>
      <c r="F21" s="395" t="n">
        <f aca="false">Dezember!N13</f>
        <v>0</v>
      </c>
      <c r="G21" s="396" t="n">
        <f aca="false">F21*24</f>
        <v>0</v>
      </c>
      <c r="H21" s="397" t="str">
        <f aca="false">IF($F21&lt;&gt;0,IF(H$9&lt;&gt;0,H$9/$H$3*$F21*100,"-"),"-")</f>
        <v>-</v>
      </c>
      <c r="I21" s="397" t="str">
        <f aca="false">IF($F21&lt;&gt;0,IF(I$9&lt;&gt;0,I$9/$H$3*$F21*100,"-"),"-")</f>
        <v>-</v>
      </c>
      <c r="J21" s="397" t="str">
        <f aca="false">IF($F21&lt;&gt;0,IF(J$9&lt;&gt;0,J$9/$H$3*$F21*100,"-"),"-")</f>
        <v>-</v>
      </c>
      <c r="K21" s="398" t="str">
        <f aca="false">IF($F21&lt;&gt;0,IF(K$9&lt;&gt;0,K$9/$H$3*$F21*100,"-"),"-")</f>
        <v>-</v>
      </c>
    </row>
    <row r="22" customFormat="false" ht="19" hidden="false" customHeight="true" outlineLevel="0" collapsed="false">
      <c r="K22" s="235" t="str">
        <f aca="false">Para1!G2</f>
        <v>AE v1_01 02.12.2021</v>
      </c>
    </row>
    <row r="24" customFormat="false" ht="19" hidden="false" customHeight="true" outlineLevel="0" collapsed="false">
      <c r="B24" s="399" t="str">
        <f aca="false">Para1!F106</f>
        <v>date</v>
      </c>
      <c r="C24" s="400"/>
      <c r="E24" s="401" t="str">
        <f aca="false">Para1!F191&amp;" "&amp;Para1!F152</f>
        <v>signature employee</v>
      </c>
      <c r="F24" s="402"/>
      <c r="G24" s="403"/>
      <c r="I24" s="138" t="str">
        <f aca="false">Para1!F191&amp;" "&amp;Para1!F193</f>
        <v>signature manager</v>
      </c>
      <c r="J24" s="402"/>
      <c r="K24" s="404"/>
    </row>
  </sheetData>
  <sheetProtection algorithmName="SHA-512" hashValue="VTOmkhj47JaYafBuXBOIgkbpoukeZzEVKvcghX5AzNCGEF723wZ95+NDdfaQoCu7eNMyzY6iQP6mS8WcHO2tug==" saltValue="r26kWoS5HYgoVTp0vXRnfg==" spinCount="100000" sheet="true" objects="true" scenarios="true"/>
  <mergeCells count="21">
    <mergeCell ref="C1:D1"/>
    <mergeCell ref="G1:H1"/>
    <mergeCell ref="C3:D3"/>
    <mergeCell ref="F3:G3"/>
    <mergeCell ref="B6:K6"/>
    <mergeCell ref="B7:K7"/>
    <mergeCell ref="E8:G8"/>
    <mergeCell ref="H8:K8"/>
    <mergeCell ref="L9:L11"/>
    <mergeCell ref="B10:D10"/>
    <mergeCell ref="B11:D11"/>
    <mergeCell ref="B12:D12"/>
    <mergeCell ref="B13:D13"/>
    <mergeCell ref="B14:D14"/>
    <mergeCell ref="B15:D15"/>
    <mergeCell ref="B16:D16"/>
    <mergeCell ref="B17:D17"/>
    <mergeCell ref="B18:D18"/>
    <mergeCell ref="B19:D19"/>
    <mergeCell ref="B20:D20"/>
    <mergeCell ref="B21:D21"/>
  </mergeCells>
  <conditionalFormatting sqref="F10:F21">
    <cfRule type="cellIs" priority="2" operator="lessThan" aboveAverage="0" equalAverage="0" bottom="0" percent="0" rank="0" text="" dxfId="85">
      <formula>0</formula>
    </cfRule>
  </conditionalFormatting>
  <conditionalFormatting sqref="H10:K10">
    <cfRule type="cellIs" priority="3" operator="lessThan" aboveAverage="0" equalAverage="0" bottom="0" percent="0" rank="0" text="" dxfId="86">
      <formula>0</formula>
    </cfRule>
  </conditionalFormatting>
  <conditionalFormatting sqref="H10:K21">
    <cfRule type="cellIs" priority="4" operator="lessThan" aboveAverage="0" equalAverage="0" bottom="0" percent="0" rank="0" text="" dxfId="87">
      <formula>0</formula>
    </cfRule>
  </conditionalFormatting>
  <printOptions headings="false" gridLines="false" gridLinesSet="true" horizontalCentered="false" verticalCentered="false"/>
  <pageMargins left="0.7875" right="0.7875" top="0.984722222222222" bottom="0.984722222222222" header="0.492361111111111" footer="0.492361111111111"/>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&amp;C&amp;16Absenzenerfassung -  &amp;A</oddHeader>
    <oddFooter>&amp;L&amp;Z&amp;F</oddFooter>
  </headerFooter>
  <colBreaks count="1" manualBreakCount="1">
    <brk id="11" man="true" max="65535" min="0"/>
  </colBreak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5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0.70703125" defaultRowHeight="13" zeroHeight="false" outlineLevelRow="0" outlineLevelCol="0"/>
  <cols>
    <col collapsed="false" customWidth="true" hidden="false" outlineLevel="0" max="1" min="1" style="0" width="3.16"/>
    <col collapsed="false" customWidth="true" hidden="false" outlineLevel="0" max="2" min="2" style="0" width="14.66"/>
    <col collapsed="false" customWidth="true" hidden="false" outlineLevel="0" max="3" min="3" style="405" width="14.5"/>
    <col collapsed="false" customWidth="true" hidden="false" outlineLevel="0" max="4" min="4" style="0" width="14.01"/>
    <col collapsed="false" customWidth="true" hidden="false" outlineLevel="0" max="5" min="5" style="0" width="11.65"/>
    <col collapsed="false" customWidth="true" hidden="false" outlineLevel="0" max="6" min="6" style="0" width="14.66"/>
    <col collapsed="false" customWidth="true" hidden="false" outlineLevel="0" max="7" min="7" style="0" width="14.5"/>
    <col collapsed="false" customWidth="true" hidden="false" outlineLevel="0" max="11" min="10" style="0" width="14.66"/>
  </cols>
  <sheetData>
    <row r="1" s="406" customFormat="true" ht="36.75" hidden="false" customHeight="true" outlineLevel="0" collapsed="false">
      <c r="B1" s="407" t="str">
        <f aca="false">Para1!F187</f>
        <v>calculationtool</v>
      </c>
      <c r="D1" s="408"/>
      <c r="H1" s="409"/>
      <c r="I1" s="409"/>
      <c r="J1" s="409"/>
      <c r="K1" s="409"/>
      <c r="L1" s="409"/>
      <c r="M1" s="409"/>
      <c r="N1" s="409"/>
      <c r="O1" s="409"/>
      <c r="P1" s="409"/>
      <c r="Q1" s="409"/>
    </row>
    <row r="2" s="406" customFormat="true" ht="18" hidden="false" customHeight="false" outlineLevel="0" collapsed="false">
      <c r="B2" s="407" t="str">
        <f aca="false">Para1!F151&amp;" in "&amp;Para1!F127</f>
        <v>minutes in hundredth</v>
      </c>
      <c r="D2" s="408"/>
      <c r="F2" s="407" t="str">
        <f aca="false">Para1!F127&amp;" in "&amp;Para1!F151</f>
        <v>hundredth in minutes</v>
      </c>
      <c r="H2" s="409"/>
      <c r="I2" s="409"/>
      <c r="J2" s="409"/>
      <c r="K2" s="409"/>
      <c r="L2" s="409"/>
      <c r="M2" s="409"/>
      <c r="N2" s="409"/>
      <c r="O2" s="409"/>
      <c r="P2" s="409"/>
      <c r="Q2" s="409"/>
    </row>
    <row r="3" customFormat="false" ht="4.5" hidden="false" customHeight="true" outlineLevel="0" collapsed="false">
      <c r="D3" s="405"/>
      <c r="H3" s="24"/>
      <c r="I3" s="24"/>
      <c r="J3" s="24"/>
      <c r="K3" s="24"/>
      <c r="L3" s="24"/>
      <c r="M3" s="24"/>
      <c r="N3" s="24"/>
      <c r="O3" s="24"/>
      <c r="P3" s="24"/>
      <c r="Q3" s="24"/>
    </row>
    <row r="4" customFormat="false" ht="20.25" hidden="false" customHeight="true" outlineLevel="0" collapsed="false">
      <c r="B4" s="410" t="str">
        <f aca="false">Para1!F151</f>
        <v>minutes</v>
      </c>
      <c r="C4" s="411" t="str">
        <f aca="false">Para1!F127</f>
        <v>hundredth</v>
      </c>
      <c r="D4" s="405"/>
      <c r="F4" s="410" t="str">
        <f aca="false">Para1!F127</f>
        <v>hundredth</v>
      </c>
      <c r="G4" s="411" t="str">
        <f aca="false">Para1!F151</f>
        <v>minutes</v>
      </c>
      <c r="H4" s="24"/>
      <c r="I4" s="24"/>
      <c r="J4" s="24"/>
      <c r="K4" s="24"/>
      <c r="L4" s="24"/>
      <c r="M4" s="24"/>
      <c r="N4" s="24"/>
      <c r="O4" s="24"/>
      <c r="P4" s="24"/>
      <c r="Q4" s="24"/>
    </row>
    <row r="5" customFormat="false" ht="5.25" hidden="false" customHeight="true" outlineLevel="0" collapsed="false">
      <c r="B5" s="412"/>
      <c r="C5" s="413"/>
      <c r="D5" s="405"/>
      <c r="F5" s="412"/>
      <c r="G5" s="413"/>
      <c r="H5" s="24"/>
      <c r="I5" s="24"/>
      <c r="J5" s="24"/>
      <c r="K5" s="24"/>
      <c r="L5" s="24"/>
      <c r="M5" s="24"/>
      <c r="N5" s="24"/>
      <c r="O5" s="24"/>
      <c r="P5" s="24"/>
      <c r="Q5" s="24"/>
    </row>
    <row r="6" customFormat="false" ht="17" hidden="false" customHeight="false" outlineLevel="0" collapsed="false">
      <c r="B6" s="414" t="n">
        <v>24</v>
      </c>
      <c r="C6" s="415" t="n">
        <f aca="false">ROUND(B6*10/600,2)</f>
        <v>0.4</v>
      </c>
      <c r="D6" s="405"/>
      <c r="F6" s="414" t="n">
        <v>0.4</v>
      </c>
      <c r="G6" s="415" t="n">
        <f aca="false">ROUND(F6/10*600,2)</f>
        <v>24</v>
      </c>
      <c r="H6" s="24"/>
      <c r="I6" s="24"/>
      <c r="J6" s="24"/>
      <c r="K6" s="24"/>
      <c r="L6" s="24"/>
      <c r="M6" s="24"/>
      <c r="N6" s="24"/>
      <c r="O6" s="24"/>
      <c r="P6" s="24"/>
      <c r="Q6" s="24"/>
    </row>
    <row r="7" customFormat="false" ht="14" hidden="false" customHeight="false" outlineLevel="0" collapsed="false">
      <c r="H7" s="24"/>
      <c r="I7" s="24"/>
      <c r="J7" s="24"/>
      <c r="K7" s="24"/>
      <c r="L7" s="24"/>
      <c r="M7" s="24"/>
      <c r="N7" s="24"/>
      <c r="O7" s="24"/>
      <c r="P7" s="24"/>
      <c r="Q7" s="24"/>
    </row>
    <row r="8" customFormat="false" ht="13" hidden="false" customHeight="false" outlineLevel="0" collapsed="false">
      <c r="H8" s="24"/>
      <c r="I8" s="24"/>
      <c r="J8" s="24"/>
      <c r="K8" s="24"/>
      <c r="L8" s="24"/>
      <c r="M8" s="24"/>
      <c r="N8" s="24"/>
      <c r="O8" s="24"/>
      <c r="P8" s="24"/>
      <c r="Q8" s="24"/>
    </row>
    <row r="9" customFormat="false" ht="18" hidden="false" customHeight="false" outlineLevel="0" collapsed="false">
      <c r="B9" s="407" t="str">
        <f aca="false">Para1!F176&amp;" ("&amp;Para1!F108&amp;") in "&amp;Para1!F176&amp;" (hh:mm)"</f>
        <v>hours (decimal) in hours (hh:mm)</v>
      </c>
      <c r="C9" s="406"/>
      <c r="D9" s="408"/>
      <c r="E9" s="406"/>
      <c r="F9" s="407" t="str">
        <f aca="false">Para1!F176&amp;" (hh:mm) in "&amp;Para1!F176&amp;" ("&amp;Para1!F108&amp;")"</f>
        <v>hours (hh:mm) in hours (decimal)</v>
      </c>
      <c r="G9" s="406"/>
      <c r="H9" s="24"/>
      <c r="I9" s="24"/>
      <c r="J9" s="24"/>
      <c r="K9" s="24"/>
      <c r="L9" s="24"/>
      <c r="M9" s="24"/>
      <c r="N9" s="24"/>
      <c r="O9" s="24"/>
      <c r="P9" s="24"/>
      <c r="Q9" s="24"/>
    </row>
    <row r="10" customFormat="false" ht="4.5" hidden="false" customHeight="true" outlineLevel="0" collapsed="false">
      <c r="D10" s="405"/>
      <c r="H10" s="24"/>
      <c r="I10" s="24"/>
      <c r="J10" s="24"/>
      <c r="K10" s="24"/>
      <c r="L10" s="24"/>
      <c r="M10" s="24"/>
      <c r="N10" s="24"/>
      <c r="O10" s="24"/>
      <c r="P10" s="24"/>
      <c r="Q10" s="24"/>
    </row>
    <row r="11" customFormat="false" ht="17" hidden="false" customHeight="false" outlineLevel="0" collapsed="false">
      <c r="B11" s="410" t="str">
        <f aca="false">Para1!F108</f>
        <v>decimal</v>
      </c>
      <c r="C11" s="411" t="s">
        <v>56</v>
      </c>
      <c r="D11" s="405"/>
      <c r="F11" s="410" t="s">
        <v>56</v>
      </c>
      <c r="G11" s="411" t="str">
        <f aca="false">Para1!F108</f>
        <v>decimal</v>
      </c>
      <c r="H11" s="24"/>
      <c r="I11" s="24"/>
      <c r="J11" s="24"/>
      <c r="K11" s="24"/>
      <c r="L11" s="24"/>
      <c r="M11" s="24"/>
      <c r="N11" s="24"/>
      <c r="O11" s="24"/>
      <c r="P11" s="24"/>
      <c r="Q11" s="24"/>
    </row>
    <row r="12" customFormat="false" ht="4.5" hidden="false" customHeight="true" outlineLevel="0" collapsed="false">
      <c r="B12" s="412"/>
      <c r="C12" s="413"/>
      <c r="D12" s="405"/>
      <c r="F12" s="412"/>
      <c r="G12" s="413"/>
      <c r="H12" s="24"/>
      <c r="I12" s="24"/>
      <c r="J12" s="24"/>
      <c r="K12" s="24"/>
      <c r="L12" s="24"/>
      <c r="M12" s="24"/>
      <c r="N12" s="24"/>
      <c r="O12" s="24"/>
      <c r="P12" s="24"/>
      <c r="Q12" s="24"/>
    </row>
    <row r="13" customFormat="false" ht="17" hidden="false" customHeight="false" outlineLevel="0" collapsed="false">
      <c r="B13" s="414" t="n">
        <v>2.5</v>
      </c>
      <c r="C13" s="416" t="n">
        <f aca="false">B13/24</f>
        <v>0.104166666666667</v>
      </c>
      <c r="D13" s="405"/>
      <c r="F13" s="417" t="n">
        <v>0.104166666666667</v>
      </c>
      <c r="G13" s="415" t="n">
        <f aca="false">F13*24</f>
        <v>2.5</v>
      </c>
      <c r="H13" s="24"/>
      <c r="I13" s="24"/>
      <c r="J13" s="24"/>
      <c r="K13" s="24"/>
      <c r="L13" s="24"/>
      <c r="M13" s="24"/>
      <c r="N13" s="24"/>
      <c r="O13" s="24"/>
      <c r="P13" s="24"/>
      <c r="Q13" s="24"/>
    </row>
    <row r="14" customFormat="false" ht="14" hidden="false" customHeight="false" outlineLevel="0" collapsed="false">
      <c r="H14" s="24"/>
      <c r="I14" s="24"/>
      <c r="J14" s="24"/>
      <c r="K14" s="24"/>
      <c r="L14" s="24"/>
      <c r="M14" s="24"/>
      <c r="N14" s="24"/>
      <c r="O14" s="24"/>
      <c r="P14" s="24"/>
      <c r="Q14" s="24"/>
    </row>
    <row r="15" customFormat="false" ht="13" hidden="false" customHeight="false" outlineLevel="0" collapsed="false">
      <c r="H15" s="24"/>
      <c r="I15" s="24"/>
      <c r="J15" s="24"/>
      <c r="K15" s="24"/>
      <c r="L15" s="24"/>
      <c r="M15" s="24"/>
      <c r="N15" s="24"/>
      <c r="O15" s="24"/>
      <c r="P15" s="24"/>
      <c r="Q15" s="24"/>
    </row>
    <row r="16" customFormat="false" ht="18" hidden="false" customHeight="false" outlineLevel="0" collapsed="false">
      <c r="B16" s="407" t="str">
        <f aca="false">Para1!F178&amp;" ("&amp;Para1!F108&amp;") in "&amp;Para1!F176&amp;" ("&amp;Para1!F108&amp;")"</f>
        <v>days (decimal) in hours (decimal)</v>
      </c>
      <c r="D16" s="405"/>
      <c r="F16" s="407" t="str">
        <f aca="false">Para1!F176&amp;" ("&amp;Para1!F108&amp;") in "&amp;Para1!F178&amp;" ("&amp;Para1!F108&amp;")"</f>
        <v>hours (decimal) in days (decimal)</v>
      </c>
      <c r="H16" s="24"/>
      <c r="I16" s="24"/>
      <c r="J16" s="24"/>
      <c r="K16" s="24"/>
      <c r="L16" s="24"/>
      <c r="M16" s="24"/>
      <c r="N16" s="24"/>
      <c r="O16" s="24"/>
      <c r="P16" s="24"/>
      <c r="Q16" s="24"/>
    </row>
    <row r="17" customFormat="false" ht="13" hidden="false" customHeight="false" outlineLevel="0" collapsed="false">
      <c r="B17" s="418" t="s">
        <v>57</v>
      </c>
      <c r="C17" s="0"/>
      <c r="D17" s="405"/>
      <c r="F17" s="418" t="s">
        <v>58</v>
      </c>
      <c r="H17" s="24"/>
      <c r="I17" s="24"/>
      <c r="J17" s="24"/>
      <c r="K17" s="24"/>
      <c r="L17" s="24"/>
      <c r="M17" s="24"/>
      <c r="N17" s="24"/>
      <c r="O17" s="24"/>
      <c r="P17" s="24"/>
      <c r="Q17" s="24"/>
    </row>
    <row r="18" customFormat="false" ht="4.5" hidden="false" customHeight="true" outlineLevel="0" collapsed="false">
      <c r="D18" s="405"/>
      <c r="H18" s="24"/>
      <c r="I18" s="24"/>
      <c r="J18" s="24"/>
      <c r="K18" s="24"/>
      <c r="L18" s="24"/>
      <c r="M18" s="24"/>
      <c r="N18" s="24"/>
      <c r="O18" s="24"/>
      <c r="P18" s="24"/>
      <c r="Q18" s="24"/>
    </row>
    <row r="19" customFormat="false" ht="17" hidden="false" customHeight="false" outlineLevel="0" collapsed="false">
      <c r="B19" s="410" t="str">
        <f aca="false">Para1!F178</f>
        <v>days</v>
      </c>
      <c r="C19" s="411" t="str">
        <f aca="false">Para1!F176</f>
        <v>hours</v>
      </c>
      <c r="F19" s="410" t="str">
        <f aca="false">Para1!F176</f>
        <v>hours</v>
      </c>
      <c r="G19" s="411" t="str">
        <f aca="false">Para1!F178</f>
        <v>days</v>
      </c>
      <c r="H19" s="24"/>
      <c r="I19" s="24"/>
      <c r="J19" s="24"/>
      <c r="K19" s="24"/>
      <c r="L19" s="24"/>
      <c r="M19" s="24"/>
      <c r="N19" s="24"/>
      <c r="O19" s="24"/>
      <c r="P19" s="24"/>
      <c r="Q19" s="24"/>
    </row>
    <row r="20" customFormat="false" ht="4.5" hidden="false" customHeight="true" outlineLevel="0" collapsed="false">
      <c r="B20" s="412"/>
      <c r="C20" s="413"/>
      <c r="F20" s="412"/>
      <c r="G20" s="413"/>
      <c r="H20" s="24"/>
      <c r="I20" s="24"/>
      <c r="J20" s="24"/>
      <c r="K20" s="24"/>
      <c r="L20" s="24"/>
      <c r="M20" s="24"/>
      <c r="N20" s="24"/>
      <c r="O20" s="24"/>
      <c r="P20" s="24"/>
      <c r="Q20" s="24"/>
    </row>
    <row r="21" customFormat="false" ht="17" hidden="false" customHeight="false" outlineLevel="0" collapsed="false">
      <c r="B21" s="414" t="n">
        <v>2</v>
      </c>
      <c r="C21" s="415" t="n">
        <f aca="false">ROUND(B21*8.4,2)</f>
        <v>16.8</v>
      </c>
      <c r="F21" s="414" t="n">
        <v>16.8</v>
      </c>
      <c r="G21" s="415" t="n">
        <f aca="false">ROUND(F21/8.4,2)</f>
        <v>2</v>
      </c>
      <c r="H21" s="24"/>
      <c r="I21" s="24"/>
      <c r="J21" s="24"/>
      <c r="K21" s="24"/>
      <c r="L21" s="24"/>
      <c r="M21" s="24"/>
      <c r="N21" s="24"/>
      <c r="O21" s="24"/>
      <c r="P21" s="24"/>
      <c r="Q21" s="24"/>
    </row>
    <row r="22" customFormat="false" ht="14" hidden="false" customHeight="false" outlineLevel="0" collapsed="false">
      <c r="H22" s="24"/>
      <c r="I22" s="24"/>
      <c r="J22" s="24"/>
      <c r="K22" s="24"/>
      <c r="L22" s="24"/>
      <c r="M22" s="24"/>
      <c r="N22" s="24"/>
      <c r="O22" s="24"/>
      <c r="P22" s="24"/>
      <c r="Q22" s="24"/>
    </row>
    <row r="23" customFormat="false" ht="13" hidden="false" customHeight="false" outlineLevel="0" collapsed="false">
      <c r="H23" s="24"/>
      <c r="I23" s="24"/>
      <c r="J23" s="24"/>
      <c r="K23" s="24"/>
      <c r="L23" s="24"/>
      <c r="M23" s="24"/>
      <c r="N23" s="24"/>
      <c r="O23" s="24"/>
      <c r="P23" s="24"/>
      <c r="Q23" s="24"/>
    </row>
    <row r="24" customFormat="false" ht="18" hidden="false" customHeight="false" outlineLevel="0" collapsed="false">
      <c r="B24" s="407" t="str">
        <f aca="false">Para1!F178&amp;" ("&amp;Para1!F108&amp;") in "&amp;Para1!F176&amp;" (hh:mm)"</f>
        <v>days (decimal) in hours (hh:mm)</v>
      </c>
      <c r="D24" s="405"/>
      <c r="F24" s="407" t="str">
        <f aca="false">Para1!F176&amp;" (hh:mm) in "&amp;Para1!F178&amp;" ("&amp;Para1!F108&amp;")"</f>
        <v>hours (hh:mm) in days (decimal)</v>
      </c>
      <c r="H24" s="24"/>
      <c r="I24" s="24"/>
      <c r="J24" s="419"/>
      <c r="K24" s="32"/>
      <c r="L24" s="32"/>
      <c r="M24" s="32"/>
      <c r="N24" s="24"/>
      <c r="O24" s="24"/>
      <c r="P24" s="24"/>
      <c r="Q24" s="24"/>
    </row>
    <row r="25" customFormat="false" ht="13" hidden="false" customHeight="false" outlineLevel="0" collapsed="false">
      <c r="B25" s="418" t="s">
        <v>59</v>
      </c>
      <c r="D25" s="405"/>
      <c r="F25" s="418" t="s">
        <v>60</v>
      </c>
      <c r="H25" s="24"/>
      <c r="I25" s="24"/>
      <c r="J25" s="32"/>
      <c r="K25" s="32"/>
      <c r="L25" s="32"/>
      <c r="M25" s="32"/>
      <c r="N25" s="24"/>
      <c r="O25" s="24"/>
      <c r="P25" s="24"/>
      <c r="Q25" s="24"/>
    </row>
    <row r="26" customFormat="false" ht="4.5" hidden="false" customHeight="true" outlineLevel="0" collapsed="false">
      <c r="D26" s="405"/>
      <c r="H26" s="24"/>
      <c r="I26" s="24"/>
      <c r="J26" s="32"/>
      <c r="K26" s="32"/>
      <c r="L26" s="32"/>
      <c r="M26" s="32"/>
      <c r="N26" s="24"/>
      <c r="O26" s="24"/>
      <c r="P26" s="24"/>
      <c r="Q26" s="24"/>
    </row>
    <row r="27" customFormat="false" ht="17" hidden="false" customHeight="false" outlineLevel="0" collapsed="false">
      <c r="B27" s="410" t="str">
        <f aca="false">Para1!F178</f>
        <v>days</v>
      </c>
      <c r="C27" s="411" t="str">
        <f aca="false">Para1!F176</f>
        <v>hours</v>
      </c>
      <c r="F27" s="410" t="str">
        <f aca="false">Para1!F176</f>
        <v>hours</v>
      </c>
      <c r="G27" s="411" t="str">
        <f aca="false">Para1!F178</f>
        <v>days</v>
      </c>
      <c r="H27" s="24"/>
      <c r="I27" s="24"/>
      <c r="J27" s="420"/>
      <c r="K27" s="420"/>
      <c r="L27" s="32"/>
      <c r="M27" s="32"/>
      <c r="N27" s="24"/>
      <c r="O27" s="24"/>
      <c r="P27" s="24"/>
      <c r="Q27" s="24"/>
    </row>
    <row r="28" customFormat="false" ht="4.5" hidden="false" customHeight="true" outlineLevel="0" collapsed="false">
      <c r="B28" s="412"/>
      <c r="C28" s="413"/>
      <c r="F28" s="412"/>
      <c r="G28" s="413"/>
      <c r="H28" s="24"/>
      <c r="I28" s="24"/>
      <c r="J28" s="421"/>
      <c r="K28" s="421"/>
      <c r="L28" s="32"/>
      <c r="M28" s="32"/>
      <c r="N28" s="24"/>
      <c r="O28" s="24"/>
      <c r="P28" s="24"/>
      <c r="Q28" s="24"/>
    </row>
    <row r="29" customFormat="false" ht="17" hidden="false" customHeight="false" outlineLevel="0" collapsed="false">
      <c r="B29" s="414" t="n">
        <v>1</v>
      </c>
      <c r="C29" s="416" t="n">
        <f aca="false">D29*B29</f>
        <v>0.35</v>
      </c>
      <c r="D29" s="422" t="n">
        <v>0.35</v>
      </c>
      <c r="F29" s="417" t="n">
        <v>0.35</v>
      </c>
      <c r="G29" s="415" t="n">
        <f aca="false">F29/H29</f>
        <v>1</v>
      </c>
      <c r="H29" s="423" t="n">
        <v>0.35</v>
      </c>
      <c r="I29" s="24"/>
      <c r="J29" s="424"/>
      <c r="K29" s="425"/>
      <c r="L29" s="32"/>
      <c r="M29" s="32"/>
      <c r="N29" s="24"/>
      <c r="O29" s="24"/>
      <c r="P29" s="24"/>
      <c r="Q29" s="24"/>
    </row>
    <row r="30" customFormat="false" ht="14" hidden="false" customHeight="false" outlineLevel="0" collapsed="false">
      <c r="H30" s="24"/>
      <c r="I30" s="24"/>
      <c r="J30" s="32"/>
      <c r="K30" s="32"/>
      <c r="L30" s="32"/>
      <c r="M30" s="32"/>
      <c r="N30" s="24"/>
      <c r="O30" s="24"/>
      <c r="P30" s="24"/>
      <c r="Q30" s="24"/>
    </row>
    <row r="31" customFormat="false" ht="13" hidden="false" customHeight="false" outlineLevel="0" collapsed="false">
      <c r="H31" s="24"/>
      <c r="I31" s="24"/>
      <c r="J31" s="32"/>
      <c r="K31" s="32"/>
      <c r="L31" s="32"/>
      <c r="M31" s="32"/>
      <c r="N31" s="24"/>
      <c r="O31" s="24"/>
      <c r="P31" s="24"/>
      <c r="Q31" s="24"/>
    </row>
    <row r="32" customFormat="false" ht="18" hidden="false" customHeight="false" outlineLevel="0" collapsed="false">
      <c r="B32" s="407" t="str">
        <f aca="false">Para1!F96&amp;" "&amp;Para1!F112&amp;" "&amp;Para1!F179&amp;" "&amp;Para1!J209</f>
        <v>calculation average daily work-time for a variable part time job</v>
      </c>
      <c r="H32" s="24"/>
      <c r="I32" s="24"/>
      <c r="J32" s="32"/>
      <c r="K32" s="32"/>
      <c r="L32" s="32"/>
      <c r="M32" s="32"/>
      <c r="N32" s="24"/>
      <c r="O32" s="24"/>
      <c r="P32" s="24"/>
      <c r="Q32" s="24"/>
      <c r="R32" s="24"/>
      <c r="S32" s="24"/>
    </row>
    <row r="33" customFormat="false" ht="13" hidden="false" customHeight="false" outlineLevel="0" collapsed="false">
      <c r="H33" s="24"/>
      <c r="I33" s="24"/>
      <c r="J33" s="32"/>
      <c r="K33" s="32"/>
      <c r="L33" s="32"/>
      <c r="M33" s="32"/>
      <c r="N33" s="24"/>
      <c r="O33" s="24"/>
      <c r="P33" s="24"/>
      <c r="Q33" s="24"/>
      <c r="R33" s="24"/>
      <c r="S33" s="24"/>
    </row>
    <row r="34" customFormat="false" ht="4.5" hidden="false" customHeight="true" outlineLevel="0" collapsed="false">
      <c r="H34" s="24"/>
      <c r="I34" s="24"/>
      <c r="J34" s="32"/>
      <c r="K34" s="32"/>
      <c r="L34" s="32"/>
      <c r="M34" s="32"/>
      <c r="N34" s="24"/>
      <c r="O34" s="24"/>
      <c r="P34" s="24"/>
      <c r="Q34" s="24"/>
      <c r="R34" s="24"/>
      <c r="S34" s="24"/>
    </row>
    <row r="35" customFormat="false" ht="17" hidden="false" customHeight="false" outlineLevel="0" collapsed="false">
      <c r="B35" s="410" t="s">
        <v>61</v>
      </c>
      <c r="C35" s="426" t="str">
        <f aca="false">Para1!F179</f>
        <v>daily work-time</v>
      </c>
      <c r="D35" s="426"/>
      <c r="H35" s="24"/>
      <c r="I35" s="24"/>
      <c r="J35" s="32"/>
      <c r="K35" s="32"/>
      <c r="L35" s="32"/>
      <c r="M35" s="32"/>
      <c r="N35" s="24"/>
      <c r="O35" s="24"/>
      <c r="P35" s="24"/>
      <c r="Q35" s="24"/>
      <c r="R35" s="24"/>
      <c r="S35" s="24"/>
    </row>
    <row r="36" customFormat="false" ht="4.5" hidden="false" customHeight="true" outlineLevel="0" collapsed="false">
      <c r="B36" s="412"/>
      <c r="C36" s="427"/>
      <c r="D36" s="428"/>
      <c r="H36" s="24"/>
      <c r="I36" s="24"/>
      <c r="J36" s="32"/>
      <c r="K36" s="32"/>
      <c r="L36" s="32"/>
      <c r="M36" s="32"/>
      <c r="N36" s="24"/>
      <c r="O36" s="24"/>
      <c r="P36" s="24"/>
      <c r="Q36" s="24"/>
      <c r="R36" s="24"/>
      <c r="S36" s="24"/>
    </row>
    <row r="37" customFormat="false" ht="17" hidden="false" customHeight="false" outlineLevel="0" collapsed="false">
      <c r="B37" s="414" t="n">
        <v>90</v>
      </c>
      <c r="C37" s="429" t="n">
        <f aca="false">8.4*(0+B37/100)/24</f>
        <v>0.315</v>
      </c>
      <c r="D37" s="429"/>
      <c r="H37" s="24"/>
      <c r="I37" s="24"/>
      <c r="J37" s="32"/>
      <c r="K37" s="32"/>
      <c r="L37" s="32"/>
      <c r="M37" s="32"/>
      <c r="N37" s="24"/>
      <c r="O37" s="24"/>
      <c r="P37" s="24"/>
      <c r="Q37" s="24"/>
      <c r="R37" s="24"/>
      <c r="S37" s="24"/>
    </row>
    <row r="38" customFormat="false" ht="13.5" hidden="false" customHeight="true" outlineLevel="0" collapsed="false">
      <c r="A38" s="24"/>
      <c r="B38" s="424"/>
      <c r="C38" s="425"/>
      <c r="D38" s="24"/>
      <c r="E38" s="24"/>
      <c r="F38" s="24"/>
      <c r="G38" s="24"/>
      <c r="H38" s="24"/>
      <c r="I38" s="24"/>
      <c r="J38" s="32"/>
      <c r="K38" s="32"/>
      <c r="L38" s="32"/>
      <c r="M38" s="32"/>
      <c r="N38" s="24"/>
      <c r="O38" s="24"/>
      <c r="P38" s="24"/>
      <c r="Q38" s="24"/>
      <c r="R38" s="24"/>
      <c r="S38" s="24"/>
    </row>
    <row r="39" customFormat="false" ht="16" hidden="false" customHeight="false" outlineLevel="0" collapsed="false">
      <c r="A39" s="24"/>
      <c r="B39" s="424"/>
      <c r="C39" s="425"/>
      <c r="D39" s="24"/>
      <c r="E39" s="24"/>
      <c r="F39" s="24"/>
      <c r="G39" s="24"/>
      <c r="H39" s="24"/>
      <c r="I39" s="24"/>
      <c r="J39" s="32"/>
      <c r="K39" s="32"/>
      <c r="L39" s="32"/>
      <c r="M39" s="71"/>
      <c r="N39" s="24"/>
      <c r="O39" s="24"/>
      <c r="P39" s="24"/>
      <c r="Q39" s="24"/>
      <c r="R39" s="24"/>
      <c r="S39" s="24"/>
    </row>
    <row r="40" customFormat="false" ht="19" hidden="false" customHeight="false" outlineLevel="0" collapsed="false">
      <c r="A40" s="24"/>
      <c r="B40" s="430" t="str">
        <f aca="false">Para1!F96&amp;" "&amp;Para1!F112&amp;" "&amp;Para1!F179&amp;" "&amp;Para1!J208</f>
        <v>calculation average daily work-time for a part time job with regulated working time</v>
      </c>
      <c r="C40" s="425"/>
      <c r="D40" s="24"/>
      <c r="E40" s="24"/>
      <c r="F40" s="24"/>
      <c r="G40" s="24"/>
      <c r="H40" s="24"/>
      <c r="I40" s="24"/>
    </row>
    <row r="41" customFormat="false" ht="17" hidden="false" customHeight="false" outlineLevel="0" collapsed="false">
      <c r="A41" s="24"/>
      <c r="B41" s="431" t="str">
        <f aca="false">Para1!F89&amp;" "&amp;Para1!F126&amp;" "&amp;Para1!F167&amp;" "&amp;Para1!F200</f>
        <v>number of half-days per week</v>
      </c>
      <c r="C41" s="432"/>
      <c r="D41" s="26"/>
      <c r="E41" s="26"/>
      <c r="F41" s="433" t="n">
        <v>8</v>
      </c>
      <c r="G41" s="434"/>
      <c r="H41" s="24"/>
      <c r="I41" s="24"/>
    </row>
    <row r="42" customFormat="false" ht="16" hidden="false" customHeight="false" outlineLevel="0" collapsed="false">
      <c r="A42" s="24"/>
      <c r="B42" s="435" t="str">
        <f aca="false">Para1!F97&amp;" in %"</f>
        <v>level of employment in %</v>
      </c>
      <c r="C42" s="425"/>
      <c r="D42" s="32"/>
      <c r="E42" s="32"/>
      <c r="F42" s="436" t="n">
        <v>90</v>
      </c>
      <c r="G42" s="437"/>
      <c r="H42" s="24"/>
      <c r="I42" s="24"/>
    </row>
    <row r="43" customFormat="false" ht="16" hidden="false" customHeight="false" outlineLevel="0" collapsed="false">
      <c r="A43" s="24"/>
      <c r="B43" s="435" t="str">
        <f aca="false">Para1!F112&amp;" "&amp;Para1!F126&amp;"-"&amp;Para1!F174</f>
        <v>average half-days-balance due</v>
      </c>
      <c r="C43" s="425"/>
      <c r="D43" s="32"/>
      <c r="E43" s="32"/>
      <c r="F43" s="438"/>
      <c r="G43" s="439" t="n">
        <f aca="false">42/100*F42/F41/24</f>
        <v>0.196875</v>
      </c>
      <c r="H43" s="24"/>
      <c r="I43" s="24"/>
    </row>
    <row r="44" customFormat="false" ht="17" hidden="false" customHeight="false" outlineLevel="0" collapsed="false">
      <c r="A44" s="24"/>
      <c r="B44" s="440" t="str">
        <f aca="false">Para1!F112&amp;" "&amp;Para1!F179</f>
        <v>average daily work-time</v>
      </c>
      <c r="C44" s="441"/>
      <c r="D44" s="48"/>
      <c r="E44" s="48"/>
      <c r="F44" s="442"/>
      <c r="G44" s="443" t="n">
        <f aca="false">42/100*F42/F41/24*2</f>
        <v>0.39375</v>
      </c>
      <c r="H44" s="24"/>
      <c r="I44" s="24"/>
    </row>
    <row r="45" customFormat="false" ht="17" hidden="false" customHeight="false" outlineLevel="0" collapsed="false">
      <c r="A45" s="24"/>
      <c r="B45" s="424"/>
      <c r="C45" s="425"/>
      <c r="D45" s="24"/>
      <c r="E45" s="24"/>
      <c r="F45" s="24"/>
      <c r="G45" s="24"/>
      <c r="H45" s="24"/>
      <c r="I45" s="24"/>
    </row>
    <row r="46" customFormat="false" ht="16" hidden="false" customHeight="false" outlineLevel="0" collapsed="false">
      <c r="A46" s="24"/>
      <c r="B46" s="424"/>
      <c r="C46" s="425"/>
      <c r="D46" s="24"/>
      <c r="E46" s="24"/>
      <c r="F46" s="24"/>
      <c r="G46" s="24"/>
      <c r="H46" s="24"/>
      <c r="I46" s="24"/>
    </row>
    <row r="47" customFormat="false" ht="19" hidden="false" customHeight="false" outlineLevel="0" collapsed="false">
      <c r="B47" s="444" t="str">
        <f aca="false">Para1!F186&amp;" "&amp;Para1!J210</f>
        <v>translation for an employment-change in the middle of the month</v>
      </c>
      <c r="H47" s="24"/>
      <c r="I47" s="24"/>
    </row>
    <row r="48" customFormat="false" ht="17" hidden="false" customHeight="false" outlineLevel="0" collapsed="false">
      <c r="B48" s="445" t="str">
        <f aca="false">Para1!F89&amp;" "&amp;Para1!F92&amp;" "&amp;Para1!F128&amp;" "&amp;Para1!F154&amp;", "&amp;Para1!F180</f>
        <v>number of work days in this month, total</v>
      </c>
      <c r="C48" s="446"/>
      <c r="D48" s="446"/>
      <c r="E48" s="447"/>
      <c r="F48" s="448" t="n">
        <v>21</v>
      </c>
      <c r="G48" s="449"/>
      <c r="H48" s="24"/>
      <c r="I48" s="24"/>
    </row>
    <row r="49" customFormat="false" ht="16" hidden="false" customHeight="false" outlineLevel="0" collapsed="false">
      <c r="B49" s="450" t="str">
        <f aca="false">Para1!F89&amp;" "&amp;Para1!F202&amp;" "&amp;Para1!F92&amp;": "&amp;Para1!F86</f>
        <v>number of of effective work days: old / new</v>
      </c>
      <c r="C49" s="451"/>
      <c r="D49" s="451"/>
      <c r="E49" s="405"/>
      <c r="F49" s="452" t="n">
        <v>7</v>
      </c>
      <c r="G49" s="453" t="n">
        <v>14</v>
      </c>
    </row>
    <row r="50" customFormat="false" ht="16" hidden="false" customHeight="false" outlineLevel="0" collapsed="false">
      <c r="B50" s="450" t="str">
        <f aca="false">Para1!F97&amp;" in %: "&amp;Para1!F86</f>
        <v>level of employment in %: old / new</v>
      </c>
      <c r="C50" s="451"/>
      <c r="D50" s="451"/>
      <c r="E50" s="405"/>
      <c r="F50" s="454" t="n">
        <v>0.6</v>
      </c>
      <c r="G50" s="455" t="n">
        <v>1</v>
      </c>
    </row>
    <row r="51" customFormat="false" ht="17" hidden="false" customHeight="false" outlineLevel="0" collapsed="false">
      <c r="B51" s="456" t="str">
        <f aca="false">Para1!F97&amp;" "&amp;Para1!F154&amp;" "&amp;Para1!F149&amp;" "&amp;Para1!F197</f>
        <v>level of employment month with change</v>
      </c>
      <c r="C51" s="457"/>
      <c r="D51" s="457"/>
      <c r="E51" s="458"/>
      <c r="F51" s="459"/>
      <c r="G51" s="460" t="n">
        <f aca="false">IF(F48="","",(F49/F48*F50)+(G49/F48*G50))</f>
        <v>0.866666666666667</v>
      </c>
    </row>
    <row r="52" customFormat="false" ht="17" hidden="false" customHeight="false" outlineLevel="0" collapsed="false">
      <c r="A52" s="24"/>
      <c r="B52" s="424"/>
      <c r="C52" s="425"/>
      <c r="D52" s="24"/>
      <c r="E52" s="24"/>
      <c r="F52" s="24"/>
      <c r="G52" s="24"/>
      <c r="H52" s="24"/>
      <c r="I52" s="24"/>
    </row>
    <row r="53" customFormat="false" ht="16" hidden="false" customHeight="false" outlineLevel="0" collapsed="false">
      <c r="A53" s="24"/>
      <c r="B53" s="424"/>
      <c r="C53" s="425"/>
      <c r="D53" s="24"/>
      <c r="E53" s="24"/>
      <c r="F53" s="24"/>
      <c r="G53" s="24"/>
      <c r="H53" s="24"/>
      <c r="I53" s="24"/>
    </row>
    <row r="54" customFormat="false" ht="19" hidden="false" customHeight="false" outlineLevel="0" collapsed="false">
      <c r="B54" s="444" t="str">
        <f aca="false">Para1!F186&amp;" "&amp;Para1!J207</f>
        <v>translation for an employment-beginn in the middle of the month</v>
      </c>
      <c r="H54" s="24"/>
      <c r="I54" s="24"/>
    </row>
    <row r="55" customFormat="false" ht="17" hidden="false" customHeight="false" outlineLevel="0" collapsed="false">
      <c r="B55" s="445" t="str">
        <f aca="false">Para1!F89&amp;" "&amp;Para1!F92&amp;" "&amp;Para1!F128&amp;" "&amp;Para1!F154&amp;", "&amp;Para1!F180</f>
        <v>number of work days in this month, total</v>
      </c>
      <c r="C55" s="446"/>
      <c r="D55" s="446"/>
      <c r="E55" s="447"/>
      <c r="F55" s="461" t="n">
        <v>22</v>
      </c>
      <c r="H55" s="24"/>
      <c r="I55" s="24"/>
    </row>
    <row r="56" customFormat="false" ht="16" hidden="false" customHeight="false" outlineLevel="0" collapsed="false">
      <c r="B56" s="450" t="str">
        <f aca="false">Para1!F89&amp;" "&amp;Para1!F202&amp;" "&amp;Para1!F92</f>
        <v>number of of effective work days</v>
      </c>
      <c r="C56" s="451"/>
      <c r="D56" s="451"/>
      <c r="E56" s="405"/>
      <c r="F56" s="453" t="n">
        <v>11</v>
      </c>
    </row>
    <row r="57" customFormat="false" ht="16" hidden="false" customHeight="false" outlineLevel="0" collapsed="false">
      <c r="B57" s="450" t="str">
        <f aca="false">Para1!F97&amp;" in %"</f>
        <v>level of employment in %</v>
      </c>
      <c r="C57" s="451"/>
      <c r="D57" s="451"/>
      <c r="E57" s="405"/>
      <c r="F57" s="455" t="n">
        <v>1</v>
      </c>
    </row>
    <row r="58" customFormat="false" ht="17" hidden="false" customHeight="false" outlineLevel="0" collapsed="false">
      <c r="B58" s="456" t="str">
        <f aca="false">Para1!F97&amp;" "&amp;Para1!F114</f>
        <v>level of employment month of entry</v>
      </c>
      <c r="C58" s="457"/>
      <c r="D58" s="457"/>
      <c r="E58" s="458"/>
      <c r="F58" s="460" t="n">
        <f aca="false">IF(F55="","",(F56/F55*F57))</f>
        <v>0.5</v>
      </c>
    </row>
    <row r="59" customFormat="false" ht="14" hidden="false" customHeight="false" outlineLevel="0" collapsed="false"/>
  </sheetData>
  <sheetProtection sheet="true" password="cf1f" objects="true" scenarios="true"/>
  <mergeCells count="2">
    <mergeCell ref="C35:D35"/>
    <mergeCell ref="C37:D37"/>
  </mergeCells>
  <printOptions headings="false" gridLines="false" gridLinesSet="true" horizontalCentered="false" verticalCentered="false"/>
  <pageMargins left="0.4" right="0.540277777777778" top="0.984722222222222" bottom="0.984722222222222" header="0.492361111111111" footer="0.492361111111111"/>
  <pageSetup paperSize="9" scale="84" firstPageNumber="0" fitToWidth="1" fitToHeight="1"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2:AD2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41" activeCellId="0" sqref="C41"/>
    </sheetView>
  </sheetViews>
  <sheetFormatPr defaultColWidth="10.70703125" defaultRowHeight="13" zeroHeight="false" outlineLevelRow="0" outlineLevelCol="0"/>
  <cols>
    <col collapsed="false" customWidth="true" hidden="false" outlineLevel="0" max="1" min="1" style="0" width="4.83"/>
    <col collapsed="false" customWidth="true" hidden="false" outlineLevel="0" max="5" min="4" style="0" width="9"/>
  </cols>
  <sheetData>
    <row r="2" customFormat="false" ht="13" hidden="false" customHeight="false" outlineLevel="0" collapsed="false">
      <c r="B2" s="19" t="s">
        <v>62</v>
      </c>
      <c r="C2" s="462" t="n">
        <v>2021</v>
      </c>
      <c r="D2" s="19"/>
      <c r="E2" s="463" t="s">
        <v>63</v>
      </c>
      <c r="F2" s="463"/>
      <c r="G2" s="464" t="s">
        <v>64</v>
      </c>
      <c r="H2" s="464"/>
    </row>
    <row r="3" customFormat="false" ht="13" hidden="false" customHeight="false" outlineLevel="0" collapsed="false">
      <c r="B3" s="0" t="s">
        <v>65</v>
      </c>
      <c r="C3" s="465" t="n">
        <f aca="false">C2-'Jahresübersicht (Overview)'!K2</f>
        <v>27</v>
      </c>
    </row>
    <row r="4" customFormat="false" ht="13" hidden="false" customHeight="false" outlineLevel="0" collapsed="false">
      <c r="B4" s="466"/>
      <c r="C4" s="467" t="s">
        <v>66</v>
      </c>
      <c r="D4" s="467"/>
      <c r="E4" s="467"/>
      <c r="F4" s="468" t="s">
        <v>67</v>
      </c>
      <c r="G4" s="468"/>
      <c r="H4" s="468"/>
      <c r="I4" s="469" t="s">
        <v>68</v>
      </c>
      <c r="J4" s="469"/>
      <c r="K4" s="469"/>
    </row>
    <row r="5" customFormat="false" ht="28" hidden="false" customHeight="false" outlineLevel="0" collapsed="false">
      <c r="B5" s="470" t="s">
        <v>65</v>
      </c>
      <c r="C5" s="470" t="s">
        <v>69</v>
      </c>
      <c r="D5" s="470" t="s">
        <v>70</v>
      </c>
      <c r="E5" s="470" t="s">
        <v>71</v>
      </c>
      <c r="F5" s="470" t="s">
        <v>69</v>
      </c>
      <c r="G5" s="470" t="s">
        <v>70</v>
      </c>
      <c r="H5" s="470" t="s">
        <v>72</v>
      </c>
      <c r="I5" s="470" t="s">
        <v>69</v>
      </c>
      <c r="J5" s="470" t="s">
        <v>70</v>
      </c>
      <c r="K5" s="470" t="s">
        <v>72</v>
      </c>
    </row>
    <row r="6" customFormat="false" ht="13" hidden="false" customHeight="false" outlineLevel="0" collapsed="false">
      <c r="B6" s="471" t="n">
        <v>15</v>
      </c>
      <c r="C6" s="471" t="n">
        <v>28</v>
      </c>
      <c r="D6" s="471" t="n">
        <v>28</v>
      </c>
      <c r="E6" s="471" t="n">
        <v>32</v>
      </c>
      <c r="F6" s="471" t="n">
        <f aca="false">C6*8.4</f>
        <v>235.2</v>
      </c>
      <c r="G6" s="471" t="n">
        <f aca="false">D6*8.4</f>
        <v>235.2</v>
      </c>
      <c r="H6" s="471" t="n">
        <f aca="false">E6*8.4</f>
        <v>268.8</v>
      </c>
      <c r="I6" s="472" t="n">
        <f aca="false">F6/24</f>
        <v>9.8</v>
      </c>
      <c r="J6" s="472" t="n">
        <f aca="false">G6/24</f>
        <v>9.8</v>
      </c>
      <c r="K6" s="472" t="n">
        <f aca="false">H6/24</f>
        <v>11.2</v>
      </c>
    </row>
    <row r="7" customFormat="false" ht="13" hidden="false" customHeight="false" outlineLevel="0" collapsed="false">
      <c r="B7" s="471" t="n">
        <v>16</v>
      </c>
      <c r="C7" s="471" t="n">
        <v>28</v>
      </c>
      <c r="D7" s="471" t="n">
        <v>28</v>
      </c>
      <c r="E7" s="471" t="n">
        <v>32</v>
      </c>
      <c r="F7" s="471" t="n">
        <f aca="false">C7*8.4</f>
        <v>235.2</v>
      </c>
      <c r="G7" s="471" t="n">
        <f aca="false">D7*8.4</f>
        <v>235.2</v>
      </c>
      <c r="H7" s="471" t="n">
        <f aca="false">E7*8.4</f>
        <v>268.8</v>
      </c>
      <c r="I7" s="472" t="n">
        <f aca="false">F7/24</f>
        <v>9.8</v>
      </c>
      <c r="J7" s="472" t="n">
        <f aca="false">G7/24</f>
        <v>9.8</v>
      </c>
      <c r="K7" s="472" t="n">
        <f aca="false">H7/24</f>
        <v>11.2</v>
      </c>
    </row>
    <row r="8" customFormat="false" ht="13" hidden="false" customHeight="false" outlineLevel="0" collapsed="false">
      <c r="B8" s="471" t="n">
        <v>17</v>
      </c>
      <c r="C8" s="471" t="n">
        <v>28</v>
      </c>
      <c r="D8" s="471" t="n">
        <v>28</v>
      </c>
      <c r="E8" s="471" t="n">
        <v>32</v>
      </c>
      <c r="F8" s="471" t="n">
        <f aca="false">C8*8.4</f>
        <v>235.2</v>
      </c>
      <c r="G8" s="471" t="n">
        <f aca="false">D8*8.4</f>
        <v>235.2</v>
      </c>
      <c r="H8" s="471" t="n">
        <f aca="false">E8*8.4</f>
        <v>268.8</v>
      </c>
      <c r="I8" s="472" t="n">
        <f aca="false">F8/24</f>
        <v>9.8</v>
      </c>
      <c r="J8" s="472" t="n">
        <f aca="false">G8/24</f>
        <v>9.8</v>
      </c>
      <c r="K8" s="472" t="n">
        <f aca="false">H8/24</f>
        <v>11.2</v>
      </c>
    </row>
    <row r="9" customFormat="false" ht="13" hidden="false" customHeight="false" outlineLevel="0" collapsed="false">
      <c r="B9" s="471" t="n">
        <v>18</v>
      </c>
      <c r="C9" s="471" t="n">
        <v>28</v>
      </c>
      <c r="D9" s="471" t="n">
        <v>28</v>
      </c>
      <c r="E9" s="471" t="n">
        <v>32</v>
      </c>
      <c r="F9" s="471" t="n">
        <f aca="false">C9*8.4</f>
        <v>235.2</v>
      </c>
      <c r="G9" s="471" t="n">
        <f aca="false">D9*8.4</f>
        <v>235.2</v>
      </c>
      <c r="H9" s="471" t="n">
        <f aca="false">E9*8.4</f>
        <v>268.8</v>
      </c>
      <c r="I9" s="472" t="n">
        <f aca="false">F9/24</f>
        <v>9.8</v>
      </c>
      <c r="J9" s="472" t="n">
        <f aca="false">G9/24</f>
        <v>9.8</v>
      </c>
      <c r="K9" s="472" t="n">
        <f aca="false">H9/24</f>
        <v>11.2</v>
      </c>
    </row>
    <row r="10" customFormat="false" ht="13" hidden="false" customHeight="false" outlineLevel="0" collapsed="false">
      <c r="B10" s="471" t="n">
        <v>19</v>
      </c>
      <c r="C10" s="471" t="n">
        <v>28</v>
      </c>
      <c r="D10" s="471" t="n">
        <v>28</v>
      </c>
      <c r="E10" s="471" t="n">
        <v>32</v>
      </c>
      <c r="F10" s="471" t="n">
        <f aca="false">C10*8.4</f>
        <v>235.2</v>
      </c>
      <c r="G10" s="471" t="n">
        <f aca="false">D10*8.4</f>
        <v>235.2</v>
      </c>
      <c r="H10" s="471" t="n">
        <f aca="false">E10*8.4</f>
        <v>268.8</v>
      </c>
      <c r="I10" s="472" t="n">
        <f aca="false">F10/24</f>
        <v>9.8</v>
      </c>
      <c r="J10" s="472" t="n">
        <f aca="false">G10/24</f>
        <v>9.8</v>
      </c>
      <c r="K10" s="472" t="n">
        <f aca="false">H10/24</f>
        <v>11.2</v>
      </c>
    </row>
    <row r="11" customFormat="false" ht="13" hidden="false" customHeight="false" outlineLevel="0" collapsed="false">
      <c r="B11" s="471" t="n">
        <v>20</v>
      </c>
      <c r="C11" s="471" t="n">
        <v>28</v>
      </c>
      <c r="D11" s="471" t="n">
        <v>28</v>
      </c>
      <c r="E11" s="471" t="n">
        <v>32</v>
      </c>
      <c r="F11" s="471" t="n">
        <f aca="false">C11*8.4</f>
        <v>235.2</v>
      </c>
      <c r="G11" s="471" t="n">
        <f aca="false">D11*8.4</f>
        <v>235.2</v>
      </c>
      <c r="H11" s="471" t="n">
        <f aca="false">E11*8.4</f>
        <v>268.8</v>
      </c>
      <c r="I11" s="472" t="n">
        <f aca="false">F11/24</f>
        <v>9.8</v>
      </c>
      <c r="J11" s="472" t="n">
        <f aca="false">G11/24</f>
        <v>9.8</v>
      </c>
      <c r="K11" s="472" t="n">
        <f aca="false">H11/24</f>
        <v>11.2</v>
      </c>
    </row>
    <row r="12" customFormat="false" ht="13" hidden="false" customHeight="false" outlineLevel="0" collapsed="false">
      <c r="B12" s="471" t="n">
        <v>21</v>
      </c>
      <c r="C12" s="471" t="n">
        <v>25</v>
      </c>
      <c r="D12" s="471" t="n">
        <v>25</v>
      </c>
      <c r="E12" s="471" t="n">
        <v>32</v>
      </c>
      <c r="F12" s="471" t="n">
        <f aca="false">C12*8.4</f>
        <v>210</v>
      </c>
      <c r="G12" s="471" t="n">
        <f aca="false">D12*8.4</f>
        <v>210</v>
      </c>
      <c r="H12" s="471" t="n">
        <f aca="false">E12*8.4</f>
        <v>268.8</v>
      </c>
      <c r="I12" s="472" t="n">
        <f aca="false">F12/24</f>
        <v>8.75</v>
      </c>
      <c r="J12" s="472" t="n">
        <f aca="false">G12/24</f>
        <v>8.75</v>
      </c>
      <c r="K12" s="472" t="n">
        <f aca="false">H12/24</f>
        <v>11.2</v>
      </c>
    </row>
    <row r="13" customFormat="false" ht="13" hidden="false" customHeight="false" outlineLevel="0" collapsed="false">
      <c r="B13" s="471" t="n">
        <v>22</v>
      </c>
      <c r="C13" s="471" t="n">
        <v>25</v>
      </c>
      <c r="D13" s="471" t="n">
        <v>25</v>
      </c>
      <c r="E13" s="471" t="n">
        <v>32</v>
      </c>
      <c r="F13" s="471" t="n">
        <f aca="false">C13*8.4</f>
        <v>210</v>
      </c>
      <c r="G13" s="471" t="n">
        <f aca="false">D13*8.4</f>
        <v>210</v>
      </c>
      <c r="H13" s="471" t="n">
        <f aca="false">E13*8.4</f>
        <v>268.8</v>
      </c>
      <c r="I13" s="472" t="n">
        <f aca="false">F13/24</f>
        <v>8.75</v>
      </c>
      <c r="J13" s="472" t="n">
        <f aca="false">G13/24</f>
        <v>8.75</v>
      </c>
      <c r="K13" s="472" t="n">
        <f aca="false">H13/24</f>
        <v>11.2</v>
      </c>
    </row>
    <row r="14" customFormat="false" ht="13" hidden="false" customHeight="false" outlineLevel="0" collapsed="false">
      <c r="B14" s="471" t="n">
        <v>23</v>
      </c>
      <c r="C14" s="471" t="n">
        <v>25</v>
      </c>
      <c r="D14" s="471" t="n">
        <v>25</v>
      </c>
      <c r="E14" s="471" t="n">
        <v>32</v>
      </c>
      <c r="F14" s="471" t="n">
        <f aca="false">C14*8.4</f>
        <v>210</v>
      </c>
      <c r="G14" s="471" t="n">
        <f aca="false">D14*8.4</f>
        <v>210</v>
      </c>
      <c r="H14" s="471" t="n">
        <f aca="false">E14*8.4</f>
        <v>268.8</v>
      </c>
      <c r="I14" s="472" t="n">
        <f aca="false">F14/24</f>
        <v>8.75</v>
      </c>
      <c r="J14" s="472" t="n">
        <f aca="false">G14/24</f>
        <v>8.75</v>
      </c>
      <c r="K14" s="472" t="n">
        <f aca="false">H14/24</f>
        <v>11.2</v>
      </c>
    </row>
    <row r="15" customFormat="false" ht="13" hidden="false" customHeight="false" outlineLevel="0" collapsed="false">
      <c r="B15" s="471" t="n">
        <v>24</v>
      </c>
      <c r="C15" s="471" t="n">
        <v>25</v>
      </c>
      <c r="D15" s="471" t="n">
        <v>25</v>
      </c>
      <c r="E15" s="471" t="n">
        <v>32</v>
      </c>
      <c r="F15" s="471" t="n">
        <f aca="false">C15*8.4</f>
        <v>210</v>
      </c>
      <c r="G15" s="471" t="n">
        <f aca="false">D15*8.4</f>
        <v>210</v>
      </c>
      <c r="H15" s="471" t="n">
        <f aca="false">E15*8.4</f>
        <v>268.8</v>
      </c>
      <c r="I15" s="472" t="n">
        <f aca="false">F15/24</f>
        <v>8.75</v>
      </c>
      <c r="J15" s="472" t="n">
        <f aca="false">G15/24</f>
        <v>8.75</v>
      </c>
      <c r="K15" s="472" t="n">
        <f aca="false">H15/24</f>
        <v>11.2</v>
      </c>
    </row>
    <row r="16" customFormat="false" ht="13" hidden="false" customHeight="false" outlineLevel="0" collapsed="false">
      <c r="B16" s="471" t="n">
        <v>25</v>
      </c>
      <c r="C16" s="471" t="n">
        <v>25</v>
      </c>
      <c r="D16" s="471" t="n">
        <v>25</v>
      </c>
      <c r="E16" s="471" t="n">
        <v>32</v>
      </c>
      <c r="F16" s="471" t="n">
        <f aca="false">C16*8.4</f>
        <v>210</v>
      </c>
      <c r="G16" s="471" t="n">
        <f aca="false">D16*8.4</f>
        <v>210</v>
      </c>
      <c r="H16" s="471" t="n">
        <f aca="false">E16*8.4</f>
        <v>268.8</v>
      </c>
      <c r="I16" s="472" t="n">
        <f aca="false">F16/24</f>
        <v>8.75</v>
      </c>
      <c r="J16" s="472" t="n">
        <f aca="false">G16/24</f>
        <v>8.75</v>
      </c>
      <c r="K16" s="472" t="n">
        <f aca="false">H16/24</f>
        <v>11.2</v>
      </c>
    </row>
    <row r="17" customFormat="false" ht="13" hidden="false" customHeight="false" outlineLevel="0" collapsed="false">
      <c r="B17" s="471" t="n">
        <v>26</v>
      </c>
      <c r="C17" s="471" t="n">
        <v>25</v>
      </c>
      <c r="D17" s="471" t="n">
        <v>25</v>
      </c>
      <c r="E17" s="471" t="n">
        <v>32</v>
      </c>
      <c r="F17" s="471" t="n">
        <f aca="false">C17*8.4</f>
        <v>210</v>
      </c>
      <c r="G17" s="471" t="n">
        <f aca="false">D17*8.4</f>
        <v>210</v>
      </c>
      <c r="H17" s="471" t="n">
        <f aca="false">E17*8.4</f>
        <v>268.8</v>
      </c>
      <c r="I17" s="472" t="n">
        <f aca="false">F17/24</f>
        <v>8.75</v>
      </c>
      <c r="J17" s="472" t="n">
        <f aca="false">G17/24</f>
        <v>8.75</v>
      </c>
      <c r="K17" s="472" t="n">
        <f aca="false">H17/24</f>
        <v>11.2</v>
      </c>
    </row>
    <row r="18" customFormat="false" ht="13" hidden="false" customHeight="false" outlineLevel="0" collapsed="false">
      <c r="B18" s="471" t="n">
        <v>27</v>
      </c>
      <c r="C18" s="471" t="n">
        <v>25</v>
      </c>
      <c r="D18" s="471" t="n">
        <v>25</v>
      </c>
      <c r="E18" s="471" t="n">
        <v>32</v>
      </c>
      <c r="F18" s="471" t="n">
        <f aca="false">C18*8.4</f>
        <v>210</v>
      </c>
      <c r="G18" s="471" t="n">
        <f aca="false">D18*8.4</f>
        <v>210</v>
      </c>
      <c r="H18" s="471" t="n">
        <f aca="false">E18*8.4</f>
        <v>268.8</v>
      </c>
      <c r="I18" s="472" t="n">
        <f aca="false">F18/24</f>
        <v>8.75</v>
      </c>
      <c r="J18" s="472" t="n">
        <f aca="false">G18/24</f>
        <v>8.75</v>
      </c>
      <c r="K18" s="472" t="n">
        <f aca="false">H18/24</f>
        <v>11.2</v>
      </c>
    </row>
    <row r="19" customFormat="false" ht="13" hidden="false" customHeight="false" outlineLevel="0" collapsed="false">
      <c r="B19" s="471" t="n">
        <v>28</v>
      </c>
      <c r="C19" s="471" t="n">
        <v>25</v>
      </c>
      <c r="D19" s="471" t="n">
        <v>25</v>
      </c>
      <c r="E19" s="471" t="n">
        <v>32</v>
      </c>
      <c r="F19" s="471" t="n">
        <f aca="false">C19*8.4</f>
        <v>210</v>
      </c>
      <c r="G19" s="471" t="n">
        <f aca="false">D19*8.4</f>
        <v>210</v>
      </c>
      <c r="H19" s="471" t="n">
        <f aca="false">E19*8.4</f>
        <v>268.8</v>
      </c>
      <c r="I19" s="472" t="n">
        <f aca="false">F19/24</f>
        <v>8.75</v>
      </c>
      <c r="J19" s="472" t="n">
        <f aca="false">G19/24</f>
        <v>8.75</v>
      </c>
      <c r="K19" s="472" t="n">
        <f aca="false">H19/24</f>
        <v>11.2</v>
      </c>
    </row>
    <row r="20" customFormat="false" ht="13" hidden="false" customHeight="false" outlineLevel="0" collapsed="false">
      <c r="B20" s="471" t="n">
        <v>29</v>
      </c>
      <c r="C20" s="471" t="n">
        <v>25</v>
      </c>
      <c r="D20" s="471" t="n">
        <v>25</v>
      </c>
      <c r="E20" s="471" t="n">
        <v>32</v>
      </c>
      <c r="F20" s="471" t="n">
        <f aca="false">C20*8.4</f>
        <v>210</v>
      </c>
      <c r="G20" s="471" t="n">
        <f aca="false">D20*8.4</f>
        <v>210</v>
      </c>
      <c r="H20" s="471" t="n">
        <f aca="false">E20*8.4</f>
        <v>268.8</v>
      </c>
      <c r="I20" s="472" t="n">
        <f aca="false">F20/24</f>
        <v>8.75</v>
      </c>
      <c r="J20" s="472" t="n">
        <f aca="false">G20/24</f>
        <v>8.75</v>
      </c>
      <c r="K20" s="472" t="n">
        <f aca="false">H20/24</f>
        <v>11.2</v>
      </c>
    </row>
    <row r="21" customFormat="false" ht="13" hidden="false" customHeight="false" outlineLevel="0" collapsed="false">
      <c r="B21" s="471" t="n">
        <v>30</v>
      </c>
      <c r="C21" s="471" t="n">
        <v>25</v>
      </c>
      <c r="D21" s="471" t="n">
        <v>25</v>
      </c>
      <c r="E21" s="471" t="n">
        <v>32</v>
      </c>
      <c r="F21" s="471" t="n">
        <f aca="false">C21*8.4</f>
        <v>210</v>
      </c>
      <c r="G21" s="471" t="n">
        <f aca="false">D21*8.4</f>
        <v>210</v>
      </c>
      <c r="H21" s="471" t="n">
        <f aca="false">E21*8.4</f>
        <v>268.8</v>
      </c>
      <c r="I21" s="472" t="n">
        <f aca="false">F21/24</f>
        <v>8.75</v>
      </c>
      <c r="J21" s="472" t="n">
        <f aca="false">G21/24</f>
        <v>8.75</v>
      </c>
      <c r="K21" s="472" t="n">
        <f aca="false">H21/24</f>
        <v>11.2</v>
      </c>
    </row>
    <row r="22" customFormat="false" ht="13" hidden="false" customHeight="false" outlineLevel="0" collapsed="false">
      <c r="B22" s="471" t="n">
        <v>31</v>
      </c>
      <c r="C22" s="471" t="n">
        <v>25</v>
      </c>
      <c r="D22" s="471" t="n">
        <v>25</v>
      </c>
      <c r="E22" s="471" t="n">
        <v>32</v>
      </c>
      <c r="F22" s="471" t="n">
        <f aca="false">C22*8.4</f>
        <v>210</v>
      </c>
      <c r="G22" s="471" t="n">
        <f aca="false">D22*8.4</f>
        <v>210</v>
      </c>
      <c r="H22" s="471" t="n">
        <f aca="false">E22*8.4</f>
        <v>268.8</v>
      </c>
      <c r="I22" s="472" t="n">
        <f aca="false">F22/24</f>
        <v>8.75</v>
      </c>
      <c r="J22" s="472" t="n">
        <f aca="false">G22/24</f>
        <v>8.75</v>
      </c>
      <c r="K22" s="472" t="n">
        <f aca="false">H22/24</f>
        <v>11.2</v>
      </c>
    </row>
    <row r="23" customFormat="false" ht="13" hidden="false" customHeight="false" outlineLevel="0" collapsed="false">
      <c r="B23" s="471" t="n">
        <v>32</v>
      </c>
      <c r="C23" s="471" t="n">
        <v>25</v>
      </c>
      <c r="D23" s="471" t="n">
        <v>25</v>
      </c>
      <c r="E23" s="471" t="n">
        <v>32</v>
      </c>
      <c r="F23" s="471" t="n">
        <f aca="false">C23*8.4</f>
        <v>210</v>
      </c>
      <c r="G23" s="471" t="n">
        <f aca="false">D23*8.4</f>
        <v>210</v>
      </c>
      <c r="H23" s="471" t="n">
        <f aca="false">E23*8.4</f>
        <v>268.8</v>
      </c>
      <c r="I23" s="472" t="n">
        <f aca="false">F23/24</f>
        <v>8.75</v>
      </c>
      <c r="J23" s="472" t="n">
        <f aca="false">G23/24</f>
        <v>8.75</v>
      </c>
      <c r="K23" s="472" t="n">
        <f aca="false">H23/24</f>
        <v>11.2</v>
      </c>
    </row>
    <row r="24" customFormat="false" ht="13" hidden="false" customHeight="false" outlineLevel="0" collapsed="false">
      <c r="B24" s="471" t="n">
        <v>33</v>
      </c>
      <c r="C24" s="471" t="n">
        <v>25</v>
      </c>
      <c r="D24" s="471" t="n">
        <v>25</v>
      </c>
      <c r="E24" s="471" t="n">
        <v>32</v>
      </c>
      <c r="F24" s="471" t="n">
        <f aca="false">C24*8.4</f>
        <v>210</v>
      </c>
      <c r="G24" s="471" t="n">
        <f aca="false">D24*8.4</f>
        <v>210</v>
      </c>
      <c r="H24" s="471" t="n">
        <f aca="false">E24*8.4</f>
        <v>268.8</v>
      </c>
      <c r="I24" s="472" t="n">
        <f aca="false">F24/24</f>
        <v>8.75</v>
      </c>
      <c r="J24" s="472" t="n">
        <f aca="false">G24/24</f>
        <v>8.75</v>
      </c>
      <c r="K24" s="472" t="n">
        <f aca="false">H24/24</f>
        <v>11.2</v>
      </c>
    </row>
    <row r="25" customFormat="false" ht="13" hidden="false" customHeight="false" outlineLevel="0" collapsed="false">
      <c r="B25" s="471" t="n">
        <v>34</v>
      </c>
      <c r="C25" s="471" t="n">
        <v>25</v>
      </c>
      <c r="D25" s="471" t="n">
        <v>25</v>
      </c>
      <c r="E25" s="471" t="n">
        <v>32</v>
      </c>
      <c r="F25" s="471" t="n">
        <f aca="false">C25*8.4</f>
        <v>210</v>
      </c>
      <c r="G25" s="471" t="n">
        <f aca="false">D25*8.4</f>
        <v>210</v>
      </c>
      <c r="H25" s="471" t="n">
        <f aca="false">E25*8.4</f>
        <v>268.8</v>
      </c>
      <c r="I25" s="472" t="n">
        <f aca="false">F25/24</f>
        <v>8.75</v>
      </c>
      <c r="J25" s="472" t="n">
        <f aca="false">G25/24</f>
        <v>8.75</v>
      </c>
      <c r="K25" s="472" t="n">
        <f aca="false">H25/24</f>
        <v>11.2</v>
      </c>
    </row>
    <row r="26" customFormat="false" ht="13" hidden="false" customHeight="false" outlineLevel="0" collapsed="false">
      <c r="B26" s="471" t="n">
        <v>35</v>
      </c>
      <c r="C26" s="471" t="n">
        <v>25</v>
      </c>
      <c r="D26" s="471" t="n">
        <v>25</v>
      </c>
      <c r="E26" s="471" t="n">
        <v>32</v>
      </c>
      <c r="F26" s="471" t="n">
        <f aca="false">C26*8.4</f>
        <v>210</v>
      </c>
      <c r="G26" s="471" t="n">
        <f aca="false">D26*8.4</f>
        <v>210</v>
      </c>
      <c r="H26" s="471" t="n">
        <f aca="false">E26*8.4</f>
        <v>268.8</v>
      </c>
      <c r="I26" s="472" t="n">
        <f aca="false">F26/24</f>
        <v>8.75</v>
      </c>
      <c r="J26" s="472" t="n">
        <f aca="false">G26/24</f>
        <v>8.75</v>
      </c>
      <c r="K26" s="472" t="n">
        <f aca="false">H26/24</f>
        <v>11.2</v>
      </c>
    </row>
    <row r="27" customFormat="false" ht="13" hidden="false" customHeight="false" outlineLevel="0" collapsed="false">
      <c r="B27" s="471" t="n">
        <v>36</v>
      </c>
      <c r="C27" s="471" t="n">
        <v>25</v>
      </c>
      <c r="D27" s="471" t="n">
        <v>25</v>
      </c>
      <c r="E27" s="471" t="n">
        <v>32</v>
      </c>
      <c r="F27" s="471" t="n">
        <f aca="false">C27*8.4</f>
        <v>210</v>
      </c>
      <c r="G27" s="471" t="n">
        <f aca="false">D27*8.4</f>
        <v>210</v>
      </c>
      <c r="H27" s="471" t="n">
        <f aca="false">E27*8.4</f>
        <v>268.8</v>
      </c>
      <c r="I27" s="472" t="n">
        <f aca="false">F27/24</f>
        <v>8.75</v>
      </c>
      <c r="J27" s="472" t="n">
        <f aca="false">G27/24</f>
        <v>8.75</v>
      </c>
      <c r="K27" s="472" t="n">
        <f aca="false">H27/24</f>
        <v>11.2</v>
      </c>
    </row>
    <row r="28" customFormat="false" ht="13" hidden="false" customHeight="false" outlineLevel="0" collapsed="false">
      <c r="B28" s="471" t="n">
        <v>37</v>
      </c>
      <c r="C28" s="471" t="n">
        <v>25</v>
      </c>
      <c r="D28" s="471" t="n">
        <v>25</v>
      </c>
      <c r="E28" s="471" t="n">
        <v>32</v>
      </c>
      <c r="F28" s="471" t="n">
        <f aca="false">C28*8.4</f>
        <v>210</v>
      </c>
      <c r="G28" s="471" t="n">
        <f aca="false">D28*8.4</f>
        <v>210</v>
      </c>
      <c r="H28" s="471" t="n">
        <f aca="false">E28*8.4</f>
        <v>268.8</v>
      </c>
      <c r="I28" s="472" t="n">
        <f aca="false">F28/24</f>
        <v>8.75</v>
      </c>
      <c r="J28" s="472" t="n">
        <f aca="false">G28/24</f>
        <v>8.75</v>
      </c>
      <c r="K28" s="472" t="n">
        <f aca="false">H28/24</f>
        <v>11.2</v>
      </c>
    </row>
    <row r="29" customFormat="false" ht="13" hidden="false" customHeight="false" outlineLevel="0" collapsed="false">
      <c r="B29" s="471" t="n">
        <v>38</v>
      </c>
      <c r="C29" s="471" t="n">
        <v>25</v>
      </c>
      <c r="D29" s="471" t="n">
        <v>25</v>
      </c>
      <c r="E29" s="471" t="n">
        <v>32</v>
      </c>
      <c r="F29" s="471" t="n">
        <f aca="false">C29*8.4</f>
        <v>210</v>
      </c>
      <c r="G29" s="471" t="n">
        <f aca="false">D29*8.4</f>
        <v>210</v>
      </c>
      <c r="H29" s="471" t="n">
        <f aca="false">E29*8.4</f>
        <v>268.8</v>
      </c>
      <c r="I29" s="472" t="n">
        <f aca="false">F29/24</f>
        <v>8.75</v>
      </c>
      <c r="J29" s="472" t="n">
        <f aca="false">G29/24</f>
        <v>8.75</v>
      </c>
      <c r="K29" s="472" t="n">
        <f aca="false">H29/24</f>
        <v>11.2</v>
      </c>
    </row>
    <row r="30" customFormat="false" ht="13" hidden="false" customHeight="false" outlineLevel="0" collapsed="false">
      <c r="B30" s="471" t="n">
        <v>39</v>
      </c>
      <c r="C30" s="471" t="n">
        <v>25</v>
      </c>
      <c r="D30" s="471" t="n">
        <v>25</v>
      </c>
      <c r="E30" s="471" t="n">
        <v>32</v>
      </c>
      <c r="F30" s="471" t="n">
        <f aca="false">C30*8.4</f>
        <v>210</v>
      </c>
      <c r="G30" s="471" t="n">
        <f aca="false">D30*8.4</f>
        <v>210</v>
      </c>
      <c r="H30" s="471" t="n">
        <f aca="false">E30*8.4</f>
        <v>268.8</v>
      </c>
      <c r="I30" s="472" t="n">
        <f aca="false">F30/24</f>
        <v>8.75</v>
      </c>
      <c r="J30" s="472" t="n">
        <f aca="false">G30/24</f>
        <v>8.75</v>
      </c>
      <c r="K30" s="472" t="n">
        <f aca="false">H30/24</f>
        <v>11.2</v>
      </c>
    </row>
    <row r="31" customFormat="false" ht="13" hidden="false" customHeight="false" outlineLevel="0" collapsed="false">
      <c r="B31" s="471" t="n">
        <v>40</v>
      </c>
      <c r="C31" s="471" t="n">
        <v>25</v>
      </c>
      <c r="D31" s="471" t="n">
        <v>25</v>
      </c>
      <c r="E31" s="471" t="n">
        <v>32</v>
      </c>
      <c r="F31" s="471" t="n">
        <f aca="false">C31*8.4</f>
        <v>210</v>
      </c>
      <c r="G31" s="471" t="n">
        <f aca="false">D31*8.4</f>
        <v>210</v>
      </c>
      <c r="H31" s="471" t="n">
        <f aca="false">E31*8.4</f>
        <v>268.8</v>
      </c>
      <c r="I31" s="472" t="n">
        <f aca="false">F31/24</f>
        <v>8.75</v>
      </c>
      <c r="J31" s="472" t="n">
        <f aca="false">G31/24</f>
        <v>8.75</v>
      </c>
      <c r="K31" s="472" t="n">
        <f aca="false">H31/24</f>
        <v>11.2</v>
      </c>
    </row>
    <row r="32" customFormat="false" ht="13" hidden="false" customHeight="false" outlineLevel="0" collapsed="false">
      <c r="B32" s="471" t="n">
        <v>41</v>
      </c>
      <c r="C32" s="471" t="n">
        <v>25</v>
      </c>
      <c r="D32" s="471" t="n">
        <v>25</v>
      </c>
      <c r="E32" s="471" t="n">
        <v>32</v>
      </c>
      <c r="F32" s="471" t="n">
        <f aca="false">C32*8.4</f>
        <v>210</v>
      </c>
      <c r="G32" s="471" t="n">
        <f aca="false">D32*8.4</f>
        <v>210</v>
      </c>
      <c r="H32" s="471" t="n">
        <f aca="false">E32*8.4</f>
        <v>268.8</v>
      </c>
      <c r="I32" s="472" t="n">
        <f aca="false">F32/24</f>
        <v>8.75</v>
      </c>
      <c r="J32" s="472" t="n">
        <f aca="false">G32/24</f>
        <v>8.75</v>
      </c>
      <c r="K32" s="472" t="n">
        <f aca="false">H32/24</f>
        <v>11.2</v>
      </c>
    </row>
    <row r="33" customFormat="false" ht="13" hidden="false" customHeight="false" outlineLevel="0" collapsed="false">
      <c r="B33" s="471" t="n">
        <v>42</v>
      </c>
      <c r="C33" s="471" t="n">
        <v>25</v>
      </c>
      <c r="D33" s="471" t="n">
        <v>25</v>
      </c>
      <c r="E33" s="471" t="n">
        <v>32</v>
      </c>
      <c r="F33" s="471" t="n">
        <f aca="false">C33*8.4</f>
        <v>210</v>
      </c>
      <c r="G33" s="471" t="n">
        <f aca="false">D33*8.4</f>
        <v>210</v>
      </c>
      <c r="H33" s="471" t="n">
        <f aca="false">E33*8.4</f>
        <v>268.8</v>
      </c>
      <c r="I33" s="472" t="n">
        <f aca="false">F33/24</f>
        <v>8.75</v>
      </c>
      <c r="J33" s="472" t="n">
        <f aca="false">G33/24</f>
        <v>8.75</v>
      </c>
      <c r="K33" s="472" t="n">
        <f aca="false">H33/24</f>
        <v>11.2</v>
      </c>
    </row>
    <row r="34" customFormat="false" ht="13" hidden="false" customHeight="false" outlineLevel="0" collapsed="false">
      <c r="B34" s="471" t="n">
        <v>43</v>
      </c>
      <c r="C34" s="471" t="n">
        <v>25</v>
      </c>
      <c r="D34" s="471" t="n">
        <v>25</v>
      </c>
      <c r="E34" s="471" t="n">
        <v>32</v>
      </c>
      <c r="F34" s="471" t="n">
        <f aca="false">C34*8.4</f>
        <v>210</v>
      </c>
      <c r="G34" s="471" t="n">
        <f aca="false">D34*8.4</f>
        <v>210</v>
      </c>
      <c r="H34" s="471" t="n">
        <f aca="false">E34*8.4</f>
        <v>268.8</v>
      </c>
      <c r="I34" s="472" t="n">
        <f aca="false">F34/24</f>
        <v>8.75</v>
      </c>
      <c r="J34" s="472" t="n">
        <f aca="false">G34/24</f>
        <v>8.75</v>
      </c>
      <c r="K34" s="472" t="n">
        <f aca="false">H34/24</f>
        <v>11.2</v>
      </c>
    </row>
    <row r="35" customFormat="false" ht="13" hidden="false" customHeight="false" outlineLevel="0" collapsed="false">
      <c r="B35" s="471" t="n">
        <v>44</v>
      </c>
      <c r="C35" s="471" t="n">
        <v>25</v>
      </c>
      <c r="D35" s="471" t="n">
        <v>25</v>
      </c>
      <c r="E35" s="471" t="n">
        <v>32</v>
      </c>
      <c r="F35" s="471" t="n">
        <f aca="false">C35*8.4</f>
        <v>210</v>
      </c>
      <c r="G35" s="471" t="n">
        <f aca="false">D35*8.4</f>
        <v>210</v>
      </c>
      <c r="H35" s="471" t="n">
        <f aca="false">E35*8.4</f>
        <v>268.8</v>
      </c>
      <c r="I35" s="472" t="n">
        <f aca="false">F35/24</f>
        <v>8.75</v>
      </c>
      <c r="J35" s="472" t="n">
        <f aca="false">G35/24</f>
        <v>8.75</v>
      </c>
      <c r="K35" s="472" t="n">
        <f aca="false">H35/24</f>
        <v>11.2</v>
      </c>
    </row>
    <row r="36" customFormat="false" ht="13" hidden="false" customHeight="false" outlineLevel="0" collapsed="false">
      <c r="B36" s="471" t="n">
        <v>45</v>
      </c>
      <c r="C36" s="471" t="n">
        <v>25</v>
      </c>
      <c r="D36" s="471" t="n">
        <v>28</v>
      </c>
      <c r="E36" s="471" t="n">
        <v>32</v>
      </c>
      <c r="F36" s="471" t="n">
        <f aca="false">C36*8.4</f>
        <v>210</v>
      </c>
      <c r="G36" s="471" t="n">
        <f aca="false">D36*8.4</f>
        <v>235.2</v>
      </c>
      <c r="H36" s="471" t="n">
        <f aca="false">E36*8.4</f>
        <v>268.8</v>
      </c>
      <c r="I36" s="472" t="n">
        <f aca="false">F36/24</f>
        <v>8.75</v>
      </c>
      <c r="J36" s="472" t="n">
        <f aca="false">G36/24</f>
        <v>9.8</v>
      </c>
      <c r="K36" s="472" t="n">
        <f aca="false">H36/24</f>
        <v>11.2</v>
      </c>
    </row>
    <row r="37" customFormat="false" ht="13" hidden="false" customHeight="false" outlineLevel="0" collapsed="false">
      <c r="B37" s="471" t="n">
        <v>46</v>
      </c>
      <c r="C37" s="471" t="n">
        <v>25</v>
      </c>
      <c r="D37" s="471" t="n">
        <v>28</v>
      </c>
      <c r="E37" s="471" t="n">
        <v>32</v>
      </c>
      <c r="F37" s="471" t="n">
        <f aca="false">C37*8.4</f>
        <v>210</v>
      </c>
      <c r="G37" s="471" t="n">
        <f aca="false">D37*8.4</f>
        <v>235.2</v>
      </c>
      <c r="H37" s="471" t="n">
        <f aca="false">E37*8.4</f>
        <v>268.8</v>
      </c>
      <c r="I37" s="472" t="n">
        <f aca="false">F37/24</f>
        <v>8.75</v>
      </c>
      <c r="J37" s="472" t="n">
        <f aca="false">G37/24</f>
        <v>9.8</v>
      </c>
      <c r="K37" s="472" t="n">
        <f aca="false">H37/24</f>
        <v>11.2</v>
      </c>
    </row>
    <row r="38" customFormat="false" ht="13" hidden="false" customHeight="false" outlineLevel="0" collapsed="false">
      <c r="B38" s="471" t="n">
        <v>47</v>
      </c>
      <c r="C38" s="471" t="n">
        <v>25</v>
      </c>
      <c r="D38" s="471" t="n">
        <v>28</v>
      </c>
      <c r="E38" s="471" t="n">
        <v>32</v>
      </c>
      <c r="F38" s="471" t="n">
        <f aca="false">C38*8.4</f>
        <v>210</v>
      </c>
      <c r="G38" s="471" t="n">
        <f aca="false">D38*8.4</f>
        <v>235.2</v>
      </c>
      <c r="H38" s="471" t="n">
        <f aca="false">E38*8.4</f>
        <v>268.8</v>
      </c>
      <c r="I38" s="472" t="n">
        <f aca="false">F38/24</f>
        <v>8.75</v>
      </c>
      <c r="J38" s="472" t="n">
        <f aca="false">G38/24</f>
        <v>9.8</v>
      </c>
      <c r="K38" s="472" t="n">
        <f aca="false">H38/24</f>
        <v>11.2</v>
      </c>
    </row>
    <row r="39" customFormat="false" ht="13" hidden="false" customHeight="false" outlineLevel="0" collapsed="false">
      <c r="B39" s="471" t="n">
        <v>48</v>
      </c>
      <c r="C39" s="471" t="n">
        <v>25</v>
      </c>
      <c r="D39" s="471" t="n">
        <v>28</v>
      </c>
      <c r="E39" s="471" t="n">
        <v>32</v>
      </c>
      <c r="F39" s="471" t="n">
        <f aca="false">C39*8.4</f>
        <v>210</v>
      </c>
      <c r="G39" s="471" t="n">
        <f aca="false">D39*8.4</f>
        <v>235.2</v>
      </c>
      <c r="H39" s="471" t="n">
        <f aca="false">E39*8.4</f>
        <v>268.8</v>
      </c>
      <c r="I39" s="472" t="n">
        <f aca="false">F39/24</f>
        <v>8.75</v>
      </c>
      <c r="J39" s="472" t="n">
        <f aca="false">G39/24</f>
        <v>9.8</v>
      </c>
      <c r="K39" s="472" t="n">
        <f aca="false">H39/24</f>
        <v>11.2</v>
      </c>
    </row>
    <row r="40" customFormat="false" ht="13" hidden="false" customHeight="false" outlineLevel="0" collapsed="false">
      <c r="B40" s="471" t="n">
        <v>49</v>
      </c>
      <c r="C40" s="471" t="n">
        <v>25</v>
      </c>
      <c r="D40" s="471" t="n">
        <v>28</v>
      </c>
      <c r="E40" s="471" t="n">
        <v>32</v>
      </c>
      <c r="F40" s="471" t="n">
        <f aca="false">C40*8.4</f>
        <v>210</v>
      </c>
      <c r="G40" s="471" t="n">
        <f aca="false">D40*8.4</f>
        <v>235.2</v>
      </c>
      <c r="H40" s="471" t="n">
        <f aca="false">E40*8.4</f>
        <v>268.8</v>
      </c>
      <c r="I40" s="472" t="n">
        <f aca="false">F40/24</f>
        <v>8.75</v>
      </c>
      <c r="J40" s="472" t="n">
        <f aca="false">G40/24</f>
        <v>9.8</v>
      </c>
      <c r="K40" s="472" t="n">
        <f aca="false">H40/24</f>
        <v>11.2</v>
      </c>
    </row>
    <row r="41" customFormat="false" ht="13" hidden="false" customHeight="false" outlineLevel="0" collapsed="false">
      <c r="B41" s="471" t="n">
        <v>50</v>
      </c>
      <c r="C41" s="471" t="n">
        <v>28</v>
      </c>
      <c r="D41" s="471" t="n">
        <v>28</v>
      </c>
      <c r="E41" s="471" t="n">
        <v>32</v>
      </c>
      <c r="F41" s="471" t="n">
        <f aca="false">C41*8.4</f>
        <v>235.2</v>
      </c>
      <c r="G41" s="471" t="n">
        <f aca="false">D41*8.4</f>
        <v>235.2</v>
      </c>
      <c r="H41" s="471" t="n">
        <f aca="false">E41*8.4</f>
        <v>268.8</v>
      </c>
      <c r="I41" s="472" t="n">
        <f aca="false">F41/24</f>
        <v>9.8</v>
      </c>
      <c r="J41" s="472" t="n">
        <f aca="false">G41/24</f>
        <v>9.8</v>
      </c>
      <c r="K41" s="472" t="n">
        <f aca="false">H41/24</f>
        <v>11.2</v>
      </c>
    </row>
    <row r="42" customFormat="false" ht="13" hidden="false" customHeight="false" outlineLevel="0" collapsed="false">
      <c r="B42" s="471" t="n">
        <v>51</v>
      </c>
      <c r="C42" s="471" t="n">
        <v>28</v>
      </c>
      <c r="D42" s="471" t="n">
        <v>28</v>
      </c>
      <c r="E42" s="471" t="n">
        <v>32</v>
      </c>
      <c r="F42" s="471" t="n">
        <f aca="false">C42*8.4</f>
        <v>235.2</v>
      </c>
      <c r="G42" s="471" t="n">
        <f aca="false">D42*8.4</f>
        <v>235.2</v>
      </c>
      <c r="H42" s="471" t="n">
        <f aca="false">E42*8.4</f>
        <v>268.8</v>
      </c>
      <c r="I42" s="472" t="n">
        <f aca="false">F42/24</f>
        <v>9.8</v>
      </c>
      <c r="J42" s="472" t="n">
        <f aca="false">G42/24</f>
        <v>9.8</v>
      </c>
      <c r="K42" s="472" t="n">
        <f aca="false">H42/24</f>
        <v>11.2</v>
      </c>
    </row>
    <row r="43" customFormat="false" ht="13" hidden="false" customHeight="false" outlineLevel="0" collapsed="false">
      <c r="B43" s="471" t="n">
        <v>52</v>
      </c>
      <c r="C43" s="471" t="n">
        <v>28</v>
      </c>
      <c r="D43" s="471" t="n">
        <v>28</v>
      </c>
      <c r="E43" s="471" t="n">
        <v>32</v>
      </c>
      <c r="F43" s="471" t="n">
        <f aca="false">C43*8.4</f>
        <v>235.2</v>
      </c>
      <c r="G43" s="471" t="n">
        <f aca="false">D43*8.4</f>
        <v>235.2</v>
      </c>
      <c r="H43" s="471" t="n">
        <f aca="false">E43*8.4</f>
        <v>268.8</v>
      </c>
      <c r="I43" s="472" t="n">
        <f aca="false">F43/24</f>
        <v>9.8</v>
      </c>
      <c r="J43" s="472" t="n">
        <f aca="false">G43/24</f>
        <v>9.8</v>
      </c>
      <c r="K43" s="472" t="n">
        <f aca="false">H43/24</f>
        <v>11.2</v>
      </c>
    </row>
    <row r="44" customFormat="false" ht="13" hidden="false" customHeight="false" outlineLevel="0" collapsed="false">
      <c r="B44" s="471" t="n">
        <v>53</v>
      </c>
      <c r="C44" s="471" t="n">
        <v>28</v>
      </c>
      <c r="D44" s="471" t="n">
        <v>28</v>
      </c>
      <c r="E44" s="471" t="n">
        <v>32</v>
      </c>
      <c r="F44" s="471" t="n">
        <f aca="false">C44*8.4</f>
        <v>235.2</v>
      </c>
      <c r="G44" s="471" t="n">
        <f aca="false">D44*8.4</f>
        <v>235.2</v>
      </c>
      <c r="H44" s="471" t="n">
        <f aca="false">E44*8.4</f>
        <v>268.8</v>
      </c>
      <c r="I44" s="472" t="n">
        <f aca="false">F44/24</f>
        <v>9.8</v>
      </c>
      <c r="J44" s="472" t="n">
        <f aca="false">G44/24</f>
        <v>9.8</v>
      </c>
      <c r="K44" s="472" t="n">
        <f aca="false">H44/24</f>
        <v>11.2</v>
      </c>
    </row>
    <row r="45" customFormat="false" ht="13" hidden="false" customHeight="false" outlineLevel="0" collapsed="false">
      <c r="B45" s="471" t="n">
        <v>54</v>
      </c>
      <c r="C45" s="471" t="n">
        <v>28</v>
      </c>
      <c r="D45" s="471" t="n">
        <v>28</v>
      </c>
      <c r="E45" s="471" t="n">
        <v>32</v>
      </c>
      <c r="F45" s="471" t="n">
        <f aca="false">C45*8.4</f>
        <v>235.2</v>
      </c>
      <c r="G45" s="471" t="n">
        <f aca="false">D45*8.4</f>
        <v>235.2</v>
      </c>
      <c r="H45" s="471" t="n">
        <f aca="false">E45*8.4</f>
        <v>268.8</v>
      </c>
      <c r="I45" s="472" t="n">
        <f aca="false">F45/24</f>
        <v>9.8</v>
      </c>
      <c r="J45" s="472" t="n">
        <f aca="false">G45/24</f>
        <v>9.8</v>
      </c>
      <c r="K45" s="472" t="n">
        <f aca="false">H45/24</f>
        <v>11.2</v>
      </c>
    </row>
    <row r="46" customFormat="false" ht="13" hidden="false" customHeight="false" outlineLevel="0" collapsed="false">
      <c r="B46" s="471" t="n">
        <v>55</v>
      </c>
      <c r="C46" s="471" t="n">
        <v>28</v>
      </c>
      <c r="D46" s="471" t="n">
        <v>33</v>
      </c>
      <c r="E46" s="471" t="n">
        <v>32</v>
      </c>
      <c r="F46" s="471" t="n">
        <f aca="false">C46*8.4</f>
        <v>235.2</v>
      </c>
      <c r="G46" s="471" t="n">
        <f aca="false">D46*8.4</f>
        <v>277.2</v>
      </c>
      <c r="H46" s="471" t="n">
        <f aca="false">E46*8.4</f>
        <v>268.8</v>
      </c>
      <c r="I46" s="472" t="n">
        <f aca="false">F46/24</f>
        <v>9.8</v>
      </c>
      <c r="J46" s="472" t="n">
        <f aca="false">G46/24</f>
        <v>11.55</v>
      </c>
      <c r="K46" s="472" t="n">
        <f aca="false">H46/24</f>
        <v>11.2</v>
      </c>
    </row>
    <row r="47" customFormat="false" ht="13" hidden="false" customHeight="false" outlineLevel="0" collapsed="false">
      <c r="B47" s="471" t="n">
        <v>56</v>
      </c>
      <c r="C47" s="471" t="n">
        <v>28</v>
      </c>
      <c r="D47" s="471" t="n">
        <v>33</v>
      </c>
      <c r="E47" s="471" t="n">
        <v>32</v>
      </c>
      <c r="F47" s="471" t="n">
        <f aca="false">C47*8.4</f>
        <v>235.2</v>
      </c>
      <c r="G47" s="471" t="n">
        <f aca="false">D47*8.4</f>
        <v>277.2</v>
      </c>
      <c r="H47" s="471" t="n">
        <f aca="false">E47*8.4</f>
        <v>268.8</v>
      </c>
      <c r="I47" s="472" t="n">
        <f aca="false">F47/24</f>
        <v>9.8</v>
      </c>
      <c r="J47" s="472" t="n">
        <f aca="false">G47/24</f>
        <v>11.55</v>
      </c>
      <c r="K47" s="472" t="n">
        <f aca="false">H47/24</f>
        <v>11.2</v>
      </c>
    </row>
    <row r="48" customFormat="false" ht="13" hidden="false" customHeight="false" outlineLevel="0" collapsed="false">
      <c r="B48" s="471" t="n">
        <v>57</v>
      </c>
      <c r="C48" s="471" t="n">
        <v>28</v>
      </c>
      <c r="D48" s="471" t="n">
        <v>33</v>
      </c>
      <c r="E48" s="471" t="n">
        <v>32</v>
      </c>
      <c r="F48" s="471" t="n">
        <f aca="false">C48*8.4</f>
        <v>235.2</v>
      </c>
      <c r="G48" s="471" t="n">
        <f aca="false">D48*8.4</f>
        <v>277.2</v>
      </c>
      <c r="H48" s="471" t="n">
        <f aca="false">E48*8.4</f>
        <v>268.8</v>
      </c>
      <c r="I48" s="472" t="n">
        <f aca="false">F48/24</f>
        <v>9.8</v>
      </c>
      <c r="J48" s="472" t="n">
        <f aca="false">G48/24</f>
        <v>11.55</v>
      </c>
      <c r="K48" s="472" t="n">
        <f aca="false">H48/24</f>
        <v>11.2</v>
      </c>
    </row>
    <row r="49" customFormat="false" ht="13" hidden="false" customHeight="false" outlineLevel="0" collapsed="false">
      <c r="B49" s="471" t="n">
        <v>58</v>
      </c>
      <c r="C49" s="471" t="n">
        <v>28</v>
      </c>
      <c r="D49" s="471" t="n">
        <v>33</v>
      </c>
      <c r="E49" s="471" t="n">
        <v>32</v>
      </c>
      <c r="F49" s="471" t="n">
        <f aca="false">C49*8.4</f>
        <v>235.2</v>
      </c>
      <c r="G49" s="471" t="n">
        <f aca="false">D49*8.4</f>
        <v>277.2</v>
      </c>
      <c r="H49" s="471" t="n">
        <f aca="false">E49*8.4</f>
        <v>268.8</v>
      </c>
      <c r="I49" s="472" t="n">
        <f aca="false">F49/24</f>
        <v>9.8</v>
      </c>
      <c r="J49" s="472" t="n">
        <f aca="false">G49/24</f>
        <v>11.55</v>
      </c>
      <c r="K49" s="472" t="n">
        <f aca="false">H49/24</f>
        <v>11.2</v>
      </c>
    </row>
    <row r="50" customFormat="false" ht="13" hidden="false" customHeight="false" outlineLevel="0" collapsed="false">
      <c r="B50" s="471" t="n">
        <v>59</v>
      </c>
      <c r="C50" s="471" t="n">
        <v>28</v>
      </c>
      <c r="D50" s="471" t="n">
        <v>33</v>
      </c>
      <c r="E50" s="471" t="n">
        <v>32</v>
      </c>
      <c r="F50" s="471" t="n">
        <f aca="false">C50*8.4</f>
        <v>235.2</v>
      </c>
      <c r="G50" s="471" t="n">
        <f aca="false">D50*8.4</f>
        <v>277.2</v>
      </c>
      <c r="H50" s="471" t="n">
        <f aca="false">E50*8.4</f>
        <v>268.8</v>
      </c>
      <c r="I50" s="472" t="n">
        <f aca="false">F50/24</f>
        <v>9.8</v>
      </c>
      <c r="J50" s="472" t="n">
        <f aca="false">G50/24</f>
        <v>11.55</v>
      </c>
      <c r="K50" s="472" t="n">
        <f aca="false">H50/24</f>
        <v>11.2</v>
      </c>
    </row>
    <row r="51" customFormat="false" ht="13" hidden="false" customHeight="false" outlineLevel="0" collapsed="false">
      <c r="B51" s="471" t="n">
        <v>60</v>
      </c>
      <c r="C51" s="471" t="n">
        <v>33</v>
      </c>
      <c r="D51" s="471" t="n">
        <v>33</v>
      </c>
      <c r="E51" s="471" t="n">
        <v>32</v>
      </c>
      <c r="F51" s="471" t="n">
        <f aca="false">C51*8.4</f>
        <v>277.2</v>
      </c>
      <c r="G51" s="471" t="n">
        <f aca="false">D51*8.4</f>
        <v>277.2</v>
      </c>
      <c r="H51" s="471" t="n">
        <f aca="false">E51*8.4</f>
        <v>268.8</v>
      </c>
      <c r="I51" s="472" t="n">
        <f aca="false">F51/24</f>
        <v>11.55</v>
      </c>
      <c r="J51" s="472" t="n">
        <f aca="false">G51/24</f>
        <v>11.55</v>
      </c>
      <c r="K51" s="472" t="n">
        <f aca="false">H51/24</f>
        <v>11.2</v>
      </c>
    </row>
    <row r="52" customFormat="false" ht="13" hidden="false" customHeight="false" outlineLevel="0" collapsed="false">
      <c r="B52" s="471" t="n">
        <v>61</v>
      </c>
      <c r="C52" s="471" t="n">
        <v>33</v>
      </c>
      <c r="D52" s="471" t="n">
        <v>33</v>
      </c>
      <c r="E52" s="471" t="n">
        <v>32</v>
      </c>
      <c r="F52" s="471" t="n">
        <f aca="false">C52*8.4</f>
        <v>277.2</v>
      </c>
      <c r="G52" s="471" t="n">
        <f aca="false">D52*8.4</f>
        <v>277.2</v>
      </c>
      <c r="H52" s="471" t="n">
        <f aca="false">E52*8.4</f>
        <v>268.8</v>
      </c>
      <c r="I52" s="472" t="n">
        <f aca="false">F52/24</f>
        <v>11.55</v>
      </c>
      <c r="J52" s="472" t="n">
        <f aca="false">G52/24</f>
        <v>11.55</v>
      </c>
      <c r="K52" s="472" t="n">
        <f aca="false">H52/24</f>
        <v>11.2</v>
      </c>
    </row>
    <row r="53" customFormat="false" ht="13" hidden="false" customHeight="false" outlineLevel="0" collapsed="false">
      <c r="B53" s="471" t="n">
        <v>62</v>
      </c>
      <c r="C53" s="471" t="n">
        <v>33</v>
      </c>
      <c r="D53" s="471" t="n">
        <v>33</v>
      </c>
      <c r="E53" s="471" t="n">
        <v>32</v>
      </c>
      <c r="F53" s="471" t="n">
        <f aca="false">C53*8.4</f>
        <v>277.2</v>
      </c>
      <c r="G53" s="471" t="n">
        <f aca="false">D53*8.4</f>
        <v>277.2</v>
      </c>
      <c r="H53" s="471" t="n">
        <f aca="false">E53*8.4</f>
        <v>268.8</v>
      </c>
      <c r="I53" s="472" t="n">
        <f aca="false">F53/24</f>
        <v>11.55</v>
      </c>
      <c r="J53" s="472" t="n">
        <f aca="false">G53/24</f>
        <v>11.55</v>
      </c>
      <c r="K53" s="472" t="n">
        <f aca="false">H53/24</f>
        <v>11.2</v>
      </c>
    </row>
    <row r="54" customFormat="false" ht="13" hidden="false" customHeight="false" outlineLevel="0" collapsed="false">
      <c r="B54" s="471" t="n">
        <v>63</v>
      </c>
      <c r="C54" s="471" t="n">
        <v>33</v>
      </c>
      <c r="D54" s="471" t="n">
        <v>33</v>
      </c>
      <c r="E54" s="471" t="n">
        <v>32</v>
      </c>
      <c r="F54" s="471" t="n">
        <f aca="false">C54*8.4</f>
        <v>277.2</v>
      </c>
      <c r="G54" s="471" t="n">
        <f aca="false">D54*8.4</f>
        <v>277.2</v>
      </c>
      <c r="H54" s="471" t="n">
        <f aca="false">E54*8.4</f>
        <v>268.8</v>
      </c>
      <c r="I54" s="472" t="n">
        <f aca="false">F54/24</f>
        <v>11.55</v>
      </c>
      <c r="J54" s="472" t="n">
        <f aca="false">G54/24</f>
        <v>11.55</v>
      </c>
      <c r="K54" s="472" t="n">
        <f aca="false">H54/24</f>
        <v>11.2</v>
      </c>
    </row>
    <row r="55" customFormat="false" ht="13" hidden="false" customHeight="false" outlineLevel="0" collapsed="false">
      <c r="B55" s="471" t="n">
        <v>64</v>
      </c>
      <c r="C55" s="471" t="n">
        <v>33</v>
      </c>
      <c r="D55" s="471" t="n">
        <v>33</v>
      </c>
      <c r="E55" s="471" t="n">
        <v>32</v>
      </c>
      <c r="F55" s="471" t="n">
        <f aca="false">C55*8.4</f>
        <v>277.2</v>
      </c>
      <c r="G55" s="471" t="n">
        <f aca="false">D55*8.4</f>
        <v>277.2</v>
      </c>
      <c r="H55" s="471" t="n">
        <f aca="false">E55*8.4</f>
        <v>268.8</v>
      </c>
      <c r="I55" s="472" t="n">
        <f aca="false">F55/24</f>
        <v>11.55</v>
      </c>
      <c r="J55" s="472" t="n">
        <f aca="false">G55/24</f>
        <v>11.55</v>
      </c>
      <c r="K55" s="472" t="n">
        <f aca="false">H55/24</f>
        <v>11.2</v>
      </c>
    </row>
    <row r="56" customFormat="false" ht="13" hidden="false" customHeight="false" outlineLevel="0" collapsed="false">
      <c r="B56" s="471" t="n">
        <v>65</v>
      </c>
      <c r="C56" s="471" t="n">
        <v>33</v>
      </c>
      <c r="D56" s="471" t="n">
        <v>33</v>
      </c>
      <c r="E56" s="471" t="n">
        <v>32</v>
      </c>
      <c r="F56" s="471" t="n">
        <f aca="false">C56*8.4</f>
        <v>277.2</v>
      </c>
      <c r="G56" s="471" t="n">
        <f aca="false">D56*8.4</f>
        <v>277.2</v>
      </c>
      <c r="H56" s="471" t="n">
        <f aca="false">E56*8.4</f>
        <v>268.8</v>
      </c>
      <c r="I56" s="472" t="n">
        <f aca="false">F56/24</f>
        <v>11.55</v>
      </c>
      <c r="J56" s="472" t="n">
        <f aca="false">G56/24</f>
        <v>11.55</v>
      </c>
      <c r="K56" s="472" t="n">
        <f aca="false">H56/24</f>
        <v>11.2</v>
      </c>
    </row>
    <row r="57" customFormat="false" ht="13" hidden="false" customHeight="false" outlineLevel="0" collapsed="false">
      <c r="B57" s="405"/>
      <c r="C57" s="405"/>
      <c r="D57" s="405"/>
      <c r="E57" s="405"/>
      <c r="F57" s="405"/>
      <c r="G57" s="405"/>
      <c r="H57" s="405"/>
      <c r="I57" s="473"/>
      <c r="J57" s="473"/>
      <c r="K57" s="473"/>
    </row>
    <row r="58" customFormat="false" ht="13" hidden="false" customHeight="false" outlineLevel="0" collapsed="false">
      <c r="B58" s="474" t="s">
        <v>73</v>
      </c>
      <c r="C58" s="475"/>
      <c r="D58" s="476"/>
      <c r="E58" s="475"/>
      <c r="F58" s="476"/>
      <c r="G58" s="475"/>
      <c r="H58" s="476"/>
      <c r="I58" s="475"/>
      <c r="J58" s="476"/>
      <c r="K58" s="475"/>
      <c r="L58" s="475"/>
      <c r="M58" s="477"/>
    </row>
    <row r="59" customFormat="false" ht="13" hidden="false" customHeight="false" outlineLevel="0" collapsed="false">
      <c r="B59" s="478" t="s">
        <v>74</v>
      </c>
      <c r="C59" s="479" t="n">
        <v>168</v>
      </c>
      <c r="D59" s="478" t="s">
        <v>75</v>
      </c>
      <c r="E59" s="479" t="n">
        <v>168</v>
      </c>
      <c r="F59" s="478" t="s">
        <v>76</v>
      </c>
      <c r="G59" s="479" t="n">
        <v>193.2</v>
      </c>
      <c r="H59" s="478" t="s">
        <v>77</v>
      </c>
      <c r="I59" s="479" t="n">
        <v>167</v>
      </c>
      <c r="J59" s="478" t="s">
        <v>78</v>
      </c>
      <c r="K59" s="479" t="n">
        <v>158.6</v>
      </c>
      <c r="L59" s="478" t="s">
        <v>79</v>
      </c>
      <c r="M59" s="479" t="n">
        <v>184.8</v>
      </c>
    </row>
    <row r="60" customFormat="false" ht="13" hidden="false" customHeight="false" outlineLevel="0" collapsed="false">
      <c r="B60" s="478" t="s">
        <v>80</v>
      </c>
      <c r="C60" s="479" t="n">
        <v>184.8</v>
      </c>
      <c r="D60" s="478" t="s">
        <v>81</v>
      </c>
      <c r="E60" s="479" t="n">
        <v>184.8</v>
      </c>
      <c r="F60" s="478" t="s">
        <v>82</v>
      </c>
      <c r="G60" s="479" t="n">
        <v>184.8</v>
      </c>
      <c r="H60" s="478" t="s">
        <v>83</v>
      </c>
      <c r="I60" s="479" t="n">
        <v>176.4</v>
      </c>
      <c r="J60" s="478" t="s">
        <v>84</v>
      </c>
      <c r="K60" s="479" t="n">
        <v>184.8</v>
      </c>
      <c r="L60" s="478" t="s">
        <v>85</v>
      </c>
      <c r="M60" s="479" t="n">
        <v>184.8</v>
      </c>
    </row>
    <row r="61" customFormat="false" ht="13" hidden="false" customHeight="false" outlineLevel="0" collapsed="false">
      <c r="B61" s="451"/>
      <c r="C61" s="405"/>
      <c r="D61" s="451"/>
      <c r="E61" s="405"/>
      <c r="F61" s="451"/>
      <c r="G61" s="405"/>
      <c r="H61" s="451"/>
      <c r="I61" s="405"/>
      <c r="J61" s="451"/>
      <c r="K61" s="405"/>
      <c r="L61" s="451"/>
      <c r="M61" s="405"/>
    </row>
    <row r="63" customFormat="false" ht="13" hidden="false" customHeight="false" outlineLevel="0" collapsed="false">
      <c r="B63" s="480" t="s">
        <v>86</v>
      </c>
      <c r="C63" s="480"/>
      <c r="D63" s="480"/>
      <c r="E63" s="481" t="s">
        <v>87</v>
      </c>
      <c r="F63" s="482"/>
      <c r="G63" s="483" t="str">
        <f aca="false">IF(Information!D8="Deutsch",Para1!$E$63,VLOOKUP(Para1!$E$63,Para1!$B$83:$G$197,3,0))</f>
        <v>Fri</v>
      </c>
      <c r="H63" s="484"/>
      <c r="I63" s="484"/>
      <c r="J63" s="484"/>
      <c r="K63" s="405"/>
      <c r="L63" s="405"/>
      <c r="M63" s="405"/>
      <c r="N63" s="485"/>
      <c r="O63" s="485"/>
      <c r="P63" s="485"/>
      <c r="Q63" s="485"/>
      <c r="R63" s="485"/>
      <c r="S63" s="485"/>
      <c r="T63" s="485"/>
      <c r="U63" s="485"/>
      <c r="V63" s="485"/>
      <c r="W63" s="485"/>
      <c r="X63" s="485"/>
      <c r="Y63" s="485"/>
      <c r="Z63" s="485"/>
      <c r="AA63" s="485"/>
      <c r="AB63" s="485"/>
      <c r="AC63" s="485"/>
      <c r="AD63" s="485"/>
    </row>
    <row r="64" customFormat="false" ht="13" hidden="false" customHeight="false" outlineLevel="0" collapsed="false">
      <c r="B64" s="451"/>
      <c r="C64" s="405"/>
      <c r="D64" s="451"/>
      <c r="E64" s="405"/>
      <c r="F64" s="405"/>
      <c r="G64" s="405"/>
      <c r="H64" s="405"/>
      <c r="I64" s="405"/>
      <c r="J64" s="405"/>
      <c r="K64" s="405"/>
      <c r="L64" s="405"/>
      <c r="M64" s="405"/>
      <c r="N64" s="485"/>
      <c r="O64" s="485"/>
      <c r="P64" s="485"/>
      <c r="Q64" s="485"/>
      <c r="R64" s="485"/>
      <c r="S64" s="485"/>
      <c r="T64" s="485"/>
      <c r="U64" s="485"/>
      <c r="V64" s="485"/>
      <c r="W64" s="485"/>
      <c r="X64" s="485"/>
      <c r="Y64" s="485"/>
      <c r="Z64" s="485"/>
      <c r="AA64" s="485"/>
      <c r="AB64" s="485"/>
      <c r="AC64" s="485"/>
      <c r="AD64" s="485"/>
    </row>
    <row r="65" customFormat="false" ht="13" hidden="false" customHeight="false" outlineLevel="0" collapsed="false">
      <c r="B65" s="486" t="s">
        <v>88</v>
      </c>
      <c r="C65" s="486"/>
      <c r="D65" s="486"/>
      <c r="E65" s="486"/>
      <c r="F65" s="486"/>
      <c r="G65" s="486"/>
      <c r="H65" s="486"/>
      <c r="I65" s="486"/>
      <c r="J65" s="486"/>
      <c r="K65" s="486"/>
      <c r="L65" s="486"/>
      <c r="M65" s="486"/>
      <c r="N65" s="485"/>
      <c r="O65" s="487"/>
      <c r="P65" s="485"/>
      <c r="Q65" s="488"/>
      <c r="R65" s="485"/>
      <c r="S65" s="485"/>
      <c r="T65" s="485"/>
      <c r="U65" s="485"/>
      <c r="V65" s="485"/>
      <c r="W65" s="485"/>
      <c r="X65" s="485"/>
      <c r="Y65" s="485"/>
      <c r="Z65" s="485"/>
      <c r="AA65" s="485"/>
      <c r="AB65" s="485"/>
      <c r="AC65" s="485"/>
      <c r="AD65" s="485"/>
    </row>
    <row r="66" customFormat="false" ht="13" hidden="false" customHeight="false" outlineLevel="0" collapsed="false">
      <c r="B66" s="489" t="s">
        <v>89</v>
      </c>
      <c r="C66" s="489" t="s">
        <v>90</v>
      </c>
      <c r="D66" s="475"/>
      <c r="E66" s="490"/>
      <c r="F66" s="491" t="s">
        <v>91</v>
      </c>
      <c r="G66" s="492" t="s">
        <v>92</v>
      </c>
      <c r="H66" s="493" t="s">
        <v>93</v>
      </c>
      <c r="I66" s="493"/>
      <c r="J66" s="493"/>
      <c r="K66" s="493"/>
      <c r="L66" s="493"/>
      <c r="M66" s="493"/>
      <c r="N66" s="485"/>
      <c r="T66" s="485"/>
      <c r="U66" s="485"/>
      <c r="V66" s="485"/>
      <c r="W66" s="485"/>
      <c r="X66" s="485"/>
      <c r="Y66" s="485"/>
      <c r="Z66" s="485"/>
      <c r="AA66" s="485"/>
      <c r="AB66" s="485"/>
      <c r="AC66" s="485"/>
      <c r="AD66" s="485"/>
    </row>
    <row r="67" customFormat="false" ht="13" hidden="false" customHeight="false" outlineLevel="0" collapsed="false">
      <c r="B67" s="494" t="s">
        <v>20</v>
      </c>
      <c r="C67" s="494" t="s">
        <v>23</v>
      </c>
      <c r="D67" s="495" t="s">
        <v>94</v>
      </c>
      <c r="E67" s="495"/>
      <c r="F67" s="491" t="n">
        <v>0</v>
      </c>
      <c r="G67" s="496" t="n">
        <v>1</v>
      </c>
      <c r="N67" s="485"/>
      <c r="U67" s="485"/>
      <c r="V67" s="485"/>
      <c r="W67" s="485"/>
      <c r="X67" s="485"/>
      <c r="Y67" s="485"/>
      <c r="Z67" s="485"/>
      <c r="AA67" s="485"/>
      <c r="AB67" s="485"/>
      <c r="AC67" s="485"/>
      <c r="AD67" s="485"/>
    </row>
    <row r="68" customFormat="false" ht="13" hidden="false" customHeight="false" outlineLevel="0" collapsed="false">
      <c r="B68" s="494" t="s">
        <v>23</v>
      </c>
      <c r="C68" s="494" t="s">
        <v>23</v>
      </c>
      <c r="D68" s="497" t="s">
        <v>95</v>
      </c>
      <c r="E68" s="498"/>
      <c r="F68" s="499"/>
      <c r="G68" s="500"/>
      <c r="U68" s="501"/>
      <c r="V68" s="502"/>
      <c r="W68" s="502"/>
      <c r="X68" s="502"/>
      <c r="Y68" s="485"/>
      <c r="Z68" s="485"/>
      <c r="AA68" s="485"/>
      <c r="AB68" s="485"/>
      <c r="AC68" s="485"/>
      <c r="AD68" s="485"/>
    </row>
    <row r="69" customFormat="false" ht="13" hidden="false" customHeight="false" outlineLevel="0" collapsed="false">
      <c r="B69" s="494" t="s">
        <v>24</v>
      </c>
      <c r="C69" s="494" t="s">
        <v>23</v>
      </c>
      <c r="D69" s="497" t="s">
        <v>96</v>
      </c>
      <c r="E69" s="498"/>
      <c r="F69" s="491" t="n">
        <v>0</v>
      </c>
      <c r="G69" s="503"/>
      <c r="U69" s="501"/>
      <c r="V69" s="502"/>
      <c r="W69" s="502"/>
      <c r="X69" s="502"/>
      <c r="Y69" s="485"/>
      <c r="Z69" s="485"/>
      <c r="AA69" s="485"/>
      <c r="AB69" s="485"/>
      <c r="AC69" s="485"/>
      <c r="AD69" s="485"/>
    </row>
    <row r="70" customFormat="false" ht="13" hidden="false" customHeight="false" outlineLevel="0" collapsed="false">
      <c r="B70" s="494" t="s">
        <v>32</v>
      </c>
      <c r="C70" s="494" t="s">
        <v>24</v>
      </c>
      <c r="D70" s="497" t="s">
        <v>97</v>
      </c>
      <c r="E70" s="498"/>
      <c r="F70" s="491" t="n">
        <v>0</v>
      </c>
      <c r="G70" s="496" t="n">
        <v>1</v>
      </c>
      <c r="U70" s="501"/>
      <c r="V70" s="502"/>
      <c r="W70" s="502"/>
      <c r="X70" s="502"/>
      <c r="Y70" s="485"/>
      <c r="Z70" s="485"/>
      <c r="AA70" s="485"/>
      <c r="AB70" s="485"/>
      <c r="AC70" s="485"/>
      <c r="AD70" s="485"/>
    </row>
    <row r="71" customFormat="false" ht="13" hidden="false" customHeight="false" outlineLevel="0" collapsed="false">
      <c r="B71" s="494" t="s">
        <v>42</v>
      </c>
      <c r="C71" s="494" t="s">
        <v>24</v>
      </c>
      <c r="D71" s="497" t="s">
        <v>98</v>
      </c>
      <c r="E71" s="504"/>
      <c r="F71" s="499"/>
      <c r="G71" s="500"/>
      <c r="U71" s="505"/>
      <c r="V71" s="505"/>
      <c r="W71" s="505"/>
      <c r="X71" s="505"/>
      <c r="Y71" s="485"/>
      <c r="Z71" s="485"/>
      <c r="AA71" s="485"/>
      <c r="AB71" s="485"/>
      <c r="AC71" s="485"/>
      <c r="AD71" s="485"/>
    </row>
    <row r="72" customFormat="false" ht="13" hidden="false" customHeight="false" outlineLevel="0" collapsed="false">
      <c r="B72" s="494" t="s">
        <v>43</v>
      </c>
      <c r="C72" s="494" t="s">
        <v>24</v>
      </c>
      <c r="D72" s="497" t="s">
        <v>99</v>
      </c>
      <c r="E72" s="504"/>
      <c r="F72" s="491" t="n">
        <v>0</v>
      </c>
      <c r="G72" s="506"/>
      <c r="U72" s="485"/>
      <c r="V72" s="485"/>
      <c r="W72" s="485"/>
      <c r="X72" s="485"/>
      <c r="Y72" s="485"/>
      <c r="Z72" s="485"/>
      <c r="AA72" s="485"/>
      <c r="AB72" s="485"/>
      <c r="AC72" s="485"/>
      <c r="AD72" s="485"/>
    </row>
    <row r="73" customFormat="false" ht="13" hidden="false" customHeight="false" outlineLevel="0" collapsed="false">
      <c r="B73" s="507" t="s">
        <v>18</v>
      </c>
      <c r="C73" s="507" t="s">
        <v>18</v>
      </c>
      <c r="D73" s="495" t="s">
        <v>19</v>
      </c>
      <c r="E73" s="495"/>
      <c r="F73" s="507" t="s">
        <v>100</v>
      </c>
      <c r="G73" s="506"/>
      <c r="H73" s="486" t="s">
        <v>101</v>
      </c>
      <c r="I73" s="486"/>
      <c r="J73" s="486"/>
      <c r="K73" s="486"/>
      <c r="L73" s="486"/>
      <c r="M73" s="486"/>
      <c r="T73" s="485"/>
      <c r="U73" s="485"/>
      <c r="V73" s="485"/>
      <c r="W73" s="485"/>
      <c r="X73" s="485"/>
      <c r="Y73" s="485"/>
      <c r="Z73" s="485"/>
      <c r="AA73" s="485"/>
      <c r="AB73" s="485"/>
      <c r="AC73" s="485"/>
      <c r="AD73" s="485"/>
    </row>
    <row r="74" customFormat="false" ht="13" hidden="false" customHeight="false" outlineLevel="0" collapsed="false">
      <c r="B74" s="507" t="s">
        <v>20</v>
      </c>
      <c r="C74" s="507" t="s">
        <v>18</v>
      </c>
      <c r="D74" s="495" t="s">
        <v>21</v>
      </c>
      <c r="E74" s="495"/>
      <c r="F74" s="507" t="s">
        <v>100</v>
      </c>
      <c r="G74" s="506"/>
      <c r="H74" s="508"/>
      <c r="I74" s="508"/>
      <c r="J74" s="509"/>
      <c r="K74" s="509"/>
      <c r="L74" s="510"/>
      <c r="M74" s="508"/>
      <c r="T74" s="485"/>
      <c r="U74" s="485"/>
      <c r="V74" s="485"/>
      <c r="W74" s="485"/>
      <c r="X74" s="485"/>
      <c r="Y74" s="485"/>
      <c r="Z74" s="485"/>
      <c r="AA74" s="485"/>
      <c r="AB74" s="485"/>
      <c r="AC74" s="485"/>
      <c r="AD74" s="485"/>
    </row>
    <row r="75" customFormat="false" ht="13" hidden="false" customHeight="false" outlineLevel="0" collapsed="false">
      <c r="B75" s="507" t="s">
        <v>18</v>
      </c>
      <c r="C75" s="507" t="s">
        <v>27</v>
      </c>
      <c r="D75" s="495" t="s">
        <v>51</v>
      </c>
      <c r="E75" s="495"/>
      <c r="F75" s="507" t="s">
        <v>100</v>
      </c>
      <c r="G75" s="506" t="s">
        <v>102</v>
      </c>
      <c r="H75" s="508"/>
      <c r="I75" s="508"/>
      <c r="J75" s="509"/>
      <c r="K75" s="509"/>
      <c r="L75" s="510"/>
      <c r="M75" s="508"/>
      <c r="T75" s="485"/>
      <c r="U75" s="485"/>
      <c r="V75" s="485"/>
      <c r="W75" s="485"/>
      <c r="X75" s="485"/>
      <c r="Y75" s="485"/>
      <c r="Z75" s="485"/>
      <c r="AA75" s="485"/>
      <c r="AB75" s="485"/>
      <c r="AC75" s="485"/>
      <c r="AD75" s="485"/>
    </row>
    <row r="76" customFormat="false" ht="13" hidden="false" customHeight="false" outlineLevel="0" collapsed="false">
      <c r="B76" s="507" t="s">
        <v>43</v>
      </c>
      <c r="C76" s="507" t="s">
        <v>31</v>
      </c>
      <c r="D76" s="495" t="s">
        <v>52</v>
      </c>
      <c r="E76" s="495"/>
      <c r="F76" s="507" t="s">
        <v>103</v>
      </c>
      <c r="G76" s="506"/>
      <c r="H76" s="508"/>
      <c r="I76" s="508"/>
      <c r="J76" s="509"/>
      <c r="K76" s="509"/>
      <c r="L76" s="510"/>
      <c r="M76" s="508"/>
      <c r="T76" s="485"/>
      <c r="U76" s="485"/>
      <c r="V76" s="485"/>
      <c r="AB76" s="485"/>
      <c r="AC76" s="485"/>
      <c r="AD76" s="485"/>
    </row>
    <row r="77" customFormat="false" ht="13" hidden="false" customHeight="false" outlineLevel="0" collapsed="false">
      <c r="B77" s="507" t="s">
        <v>44</v>
      </c>
      <c r="C77" s="507" t="s">
        <v>31</v>
      </c>
      <c r="D77" s="495" t="s">
        <v>53</v>
      </c>
      <c r="E77" s="495"/>
      <c r="F77" s="507" t="s">
        <v>100</v>
      </c>
      <c r="G77" s="503"/>
      <c r="H77" s="508"/>
      <c r="I77" s="508"/>
      <c r="J77" s="509"/>
      <c r="K77" s="509"/>
      <c r="L77" s="510"/>
      <c r="M77" s="508"/>
      <c r="N77" s="405"/>
      <c r="O77" s="405"/>
      <c r="P77" s="405"/>
      <c r="T77" s="485"/>
      <c r="U77" s="485"/>
      <c r="V77" s="485"/>
      <c r="AB77" s="485"/>
      <c r="AC77" s="485"/>
      <c r="AD77" s="485"/>
    </row>
    <row r="78" customFormat="false" ht="13" hidden="false" customHeight="false" outlineLevel="0" collapsed="false">
      <c r="B78" s="507" t="s">
        <v>45</v>
      </c>
      <c r="C78" s="507" t="s">
        <v>31</v>
      </c>
      <c r="D78" s="495" t="s">
        <v>54</v>
      </c>
      <c r="E78" s="495"/>
      <c r="F78" s="507" t="s">
        <v>100</v>
      </c>
      <c r="G78" s="503"/>
      <c r="H78" s="508"/>
      <c r="I78" s="508"/>
      <c r="J78" s="509"/>
      <c r="K78" s="509"/>
      <c r="L78" s="510"/>
      <c r="M78" s="508"/>
      <c r="N78" s="405"/>
      <c r="O78" s="405"/>
      <c r="P78" s="405"/>
      <c r="T78" s="485"/>
      <c r="U78" s="485"/>
      <c r="V78" s="485"/>
      <c r="AB78" s="485"/>
      <c r="AC78" s="485"/>
      <c r="AD78" s="485"/>
    </row>
    <row r="79" customFormat="false" ht="13" hidden="false" customHeight="false" outlineLevel="0" collapsed="false">
      <c r="B79" s="507" t="s">
        <v>50</v>
      </c>
      <c r="C79" s="507" t="s">
        <v>31</v>
      </c>
      <c r="D79" s="495" t="s">
        <v>55</v>
      </c>
      <c r="E79" s="495"/>
      <c r="F79" s="491" t="n">
        <v>4.2</v>
      </c>
      <c r="G79" s="511"/>
      <c r="H79" s="508"/>
      <c r="I79" s="508"/>
      <c r="J79" s="509"/>
      <c r="K79" s="509"/>
      <c r="L79" s="510"/>
      <c r="M79" s="508"/>
      <c r="N79" s="405"/>
      <c r="O79" s="405"/>
      <c r="P79" s="405"/>
      <c r="T79" s="485"/>
      <c r="U79" s="485"/>
      <c r="V79" s="485"/>
      <c r="AB79" s="485"/>
      <c r="AC79" s="485"/>
      <c r="AD79" s="485"/>
    </row>
    <row r="80" customFormat="false" ht="13" hidden="false" customHeight="false" outlineLevel="0" collapsed="false">
      <c r="B80" s="405"/>
      <c r="C80" s="405"/>
      <c r="D80" s="405"/>
      <c r="E80" s="405"/>
      <c r="F80" s="405"/>
      <c r="G80" s="405"/>
      <c r="H80" s="405"/>
      <c r="I80" s="473"/>
      <c r="J80" s="473"/>
      <c r="K80" s="473"/>
      <c r="O80" s="512" t="s">
        <v>104</v>
      </c>
      <c r="P80" s="512"/>
      <c r="Q80" s="507" t="s">
        <v>105</v>
      </c>
    </row>
    <row r="82" customFormat="false" ht="13" hidden="false" customHeight="false" outlineLevel="0" collapsed="false">
      <c r="B82" s="513" t="s">
        <v>106</v>
      </c>
      <c r="C82" s="514"/>
      <c r="D82" s="515" t="s">
        <v>107</v>
      </c>
      <c r="E82" s="516"/>
      <c r="F82" s="517" t="s">
        <v>108</v>
      </c>
      <c r="G82" s="511"/>
    </row>
    <row r="83" customFormat="false" ht="13" hidden="false" customHeight="false" outlineLevel="0" collapsed="false">
      <c r="B83" s="518" t="s">
        <v>109</v>
      </c>
      <c r="C83" s="519"/>
      <c r="D83" s="520" t="s">
        <v>110</v>
      </c>
      <c r="E83" s="519"/>
      <c r="F83" s="521" t="str">
        <f aca="false">IF(Information!$D$8="Deutsch",B83,D83)</f>
        <v>absences</v>
      </c>
      <c r="G83" s="522"/>
    </row>
    <row r="84" customFormat="false" ht="13" hidden="false" customHeight="false" outlineLevel="0" collapsed="false">
      <c r="B84" s="523" t="s">
        <v>111</v>
      </c>
      <c r="C84" s="519"/>
      <c r="D84" s="520" t="s">
        <v>112</v>
      </c>
      <c r="E84" s="519"/>
      <c r="F84" s="521" t="str">
        <f aca="false">IF(Information!$D$8="Deutsch",B84,D84)</f>
        <v>curr. mnth</v>
      </c>
      <c r="G84" s="522"/>
    </row>
    <row r="85" customFormat="false" ht="13" hidden="false" customHeight="false" outlineLevel="0" collapsed="false">
      <c r="B85" s="518" t="s">
        <v>77</v>
      </c>
      <c r="C85" s="519"/>
      <c r="D85" s="520" t="s">
        <v>77</v>
      </c>
      <c r="E85" s="519"/>
      <c r="F85" s="521" t="str">
        <f aca="false">IF(Information!$D$8="Deutsch",B85,D85)</f>
        <v>April</v>
      </c>
      <c r="G85" s="524"/>
    </row>
    <row r="86" customFormat="false" ht="13" hidden="false" customHeight="false" outlineLevel="0" collapsed="false">
      <c r="B86" s="518" t="s">
        <v>113</v>
      </c>
      <c r="C86" s="519"/>
      <c r="D86" s="520" t="s">
        <v>114</v>
      </c>
      <c r="E86" s="519"/>
      <c r="F86" s="521" t="str">
        <f aca="false">IF(Information!$D$8="Deutsch",B86,D86)</f>
        <v>old / new</v>
      </c>
      <c r="G86" s="524"/>
    </row>
    <row r="87" customFormat="false" ht="13" hidden="false" customHeight="false" outlineLevel="0" collapsed="false">
      <c r="B87" s="525" t="s">
        <v>115</v>
      </c>
      <c r="C87" s="525"/>
      <c r="D87" s="520" t="s">
        <v>116</v>
      </c>
      <c r="E87" s="519"/>
      <c r="F87" s="521" t="str">
        <f aca="false">IF(Information!$D$8="Deutsch",B87,D87)</f>
        <v>Alteration in</v>
      </c>
      <c r="G87" s="524"/>
    </row>
    <row r="88" customFormat="false" ht="13" hidden="false" customHeight="false" outlineLevel="0" collapsed="false">
      <c r="B88" s="518" t="s">
        <v>117</v>
      </c>
      <c r="C88" s="519"/>
      <c r="D88" s="520" t="s">
        <v>118</v>
      </c>
      <c r="E88" s="519"/>
      <c r="F88" s="521" t="str">
        <f aca="false">IF(Information!$D$8="Deutsch",B88,D88)</f>
        <v>begin of the</v>
      </c>
      <c r="G88" s="524"/>
    </row>
    <row r="89" customFormat="false" ht="13" hidden="false" customHeight="false" outlineLevel="0" collapsed="false">
      <c r="B89" s="518" t="s">
        <v>119</v>
      </c>
      <c r="C89" s="519"/>
      <c r="D89" s="520" t="s">
        <v>120</v>
      </c>
      <c r="E89" s="519"/>
      <c r="F89" s="521" t="str">
        <f aca="false">IF(Information!$D$8="Deutsch",B89,D89)</f>
        <v>number of</v>
      </c>
      <c r="G89" s="524"/>
    </row>
    <row r="90" customFormat="false" ht="13" hidden="false" customHeight="false" outlineLevel="0" collapsed="false">
      <c r="B90" s="526" t="s">
        <v>121</v>
      </c>
      <c r="C90" s="519"/>
      <c r="D90" s="520" t="s">
        <v>122</v>
      </c>
      <c r="E90" s="519"/>
      <c r="F90" s="521" t="str">
        <f aca="false">IF(Information!$D$8="Deutsch",B90,D90)</f>
        <v>working hours templ.</v>
      </c>
      <c r="G90" s="524"/>
    </row>
    <row r="91" customFormat="false" ht="13" hidden="false" customHeight="false" outlineLevel="0" collapsed="false">
      <c r="B91" s="526" t="s">
        <v>121</v>
      </c>
      <c r="C91" s="519"/>
      <c r="D91" s="520" t="s">
        <v>123</v>
      </c>
      <c r="E91" s="519"/>
      <c r="F91" s="521" t="str">
        <f aca="false">IF(Information!$D$8="Deutsch",B91,D91)</f>
        <v>working hours template</v>
      </c>
      <c r="G91" s="524"/>
    </row>
    <row r="92" customFormat="false" ht="13" hidden="false" customHeight="false" outlineLevel="0" collapsed="false">
      <c r="B92" s="527" t="s">
        <v>124</v>
      </c>
      <c r="C92" s="519"/>
      <c r="D92" s="520" t="s">
        <v>125</v>
      </c>
      <c r="E92" s="519"/>
      <c r="F92" s="521" t="str">
        <f aca="false">IF(Information!$D$8="Deutsch",B92,D92)</f>
        <v>work days</v>
      </c>
      <c r="G92" s="524"/>
    </row>
    <row r="93" customFormat="false" ht="13" hidden="false" customHeight="false" outlineLevel="0" collapsed="false">
      <c r="B93" s="518" t="s">
        <v>126</v>
      </c>
      <c r="C93" s="519"/>
      <c r="D93" s="520" t="s">
        <v>127</v>
      </c>
      <c r="E93" s="519"/>
      <c r="F93" s="521" t="str">
        <f aca="false">IF(Information!$D$8="Deutsch",B93,D93)</f>
        <v>labour time</v>
      </c>
      <c r="G93" s="522"/>
    </row>
    <row r="94" customFormat="false" ht="13" hidden="false" customHeight="false" outlineLevel="0" collapsed="false">
      <c r="B94" s="518" t="s">
        <v>81</v>
      </c>
      <c r="C94" s="528"/>
      <c r="D94" s="520" t="s">
        <v>81</v>
      </c>
      <c r="E94" s="519"/>
      <c r="F94" s="521" t="str">
        <f aca="false">IF(Information!$D$8="Deutsch",B94,D94)</f>
        <v>August</v>
      </c>
      <c r="G94" s="522"/>
    </row>
    <row r="95" customFormat="false" ht="13" hidden="false" customHeight="false" outlineLevel="0" collapsed="false">
      <c r="B95" s="518" t="s">
        <v>128</v>
      </c>
      <c r="C95" s="528"/>
      <c r="D95" s="520" t="s">
        <v>129</v>
      </c>
      <c r="E95" s="519"/>
      <c r="F95" s="521" t="str">
        <f aca="false">IF(Information!$D$8="Deutsch",B95,D95)</f>
        <v>comment:</v>
      </c>
      <c r="G95" s="522"/>
    </row>
    <row r="96" customFormat="false" ht="13" hidden="false" customHeight="false" outlineLevel="0" collapsed="false">
      <c r="B96" s="518" t="s">
        <v>130</v>
      </c>
      <c r="C96" s="528"/>
      <c r="D96" s="520" t="s">
        <v>131</v>
      </c>
      <c r="E96" s="519"/>
      <c r="F96" s="521" t="str">
        <f aca="false">IF(Information!$D$8="Deutsch",B96,D96)</f>
        <v>calculation</v>
      </c>
      <c r="G96" s="522"/>
    </row>
    <row r="97" customFormat="false" ht="13" hidden="false" customHeight="false" outlineLevel="0" collapsed="false">
      <c r="B97" s="529" t="s">
        <v>132</v>
      </c>
      <c r="C97" s="528"/>
      <c r="D97" s="520" t="s">
        <v>133</v>
      </c>
      <c r="E97" s="519"/>
      <c r="F97" s="521" t="str">
        <f aca="false">IF(Information!$D$8="Deutsch",B97,D97)</f>
        <v>level of employment</v>
      </c>
      <c r="G97" s="522"/>
    </row>
    <row r="98" customFormat="false" ht="13" hidden="false" customHeight="false" outlineLevel="0" collapsed="false">
      <c r="B98" s="529" t="s">
        <v>61</v>
      </c>
      <c r="C98" s="528"/>
      <c r="D98" s="520" t="s">
        <v>134</v>
      </c>
      <c r="E98" s="519"/>
      <c r="F98" s="521" t="str">
        <f aca="false">IF(Information!$D$8="Deutsch",B98,D98)</f>
        <v>lvl of emp.</v>
      </c>
      <c r="G98" s="522"/>
    </row>
    <row r="99" customFormat="false" ht="13" hidden="false" customHeight="false" outlineLevel="0" collapsed="false">
      <c r="B99" s="529" t="s">
        <v>135</v>
      </c>
      <c r="C99" s="528"/>
      <c r="D99" s="520" t="s">
        <v>136</v>
      </c>
      <c r="E99" s="519"/>
      <c r="F99" s="521" t="str">
        <f aca="false">IF(Information!$D$8="Deutsch",B99,D99)</f>
        <v>work related</v>
      </c>
      <c r="G99" s="522"/>
    </row>
    <row r="100" customFormat="false" ht="13" hidden="false" customHeight="false" outlineLevel="0" collapsed="false">
      <c r="B100" s="529" t="s">
        <v>137</v>
      </c>
      <c r="C100" s="528"/>
      <c r="D100" s="520" t="s">
        <v>138</v>
      </c>
      <c r="E100" s="519"/>
      <c r="F100" s="521" t="str">
        <f aca="false">IF(Information!$D$8="Deutsch",B100,D100)</f>
        <v>work. rel.</v>
      </c>
      <c r="G100" s="522"/>
    </row>
    <row r="101" customFormat="false" ht="13" hidden="false" customHeight="false" outlineLevel="0" collapsed="false">
      <c r="B101" s="529" t="s">
        <v>139</v>
      </c>
      <c r="C101" s="528"/>
      <c r="D101" s="520" t="s">
        <v>140</v>
      </c>
      <c r="E101" s="519"/>
      <c r="F101" s="521" t="str">
        <f aca="false">IF(Information!$D$8="Deutsch",B101,D101)</f>
        <v>paid</v>
      </c>
      <c r="G101" s="522"/>
    </row>
    <row r="102" customFormat="false" ht="13" hidden="false" customHeight="false" outlineLevel="0" collapsed="false">
      <c r="B102" s="529" t="s">
        <v>141</v>
      </c>
      <c r="C102" s="528"/>
      <c r="D102" s="520" t="s">
        <v>142</v>
      </c>
      <c r="E102" s="519"/>
      <c r="F102" s="521" t="str">
        <f aca="false">IF(Information!$D$8="Deutsch",B102,D102)</f>
        <v>taken</v>
      </c>
      <c r="G102" s="522"/>
    </row>
    <row r="103" customFormat="false" ht="13" hidden="false" customHeight="false" outlineLevel="0" collapsed="false">
      <c r="B103" s="518" t="s">
        <v>143</v>
      </c>
      <c r="C103" s="528"/>
      <c r="D103" s="520" t="s">
        <v>144</v>
      </c>
      <c r="E103" s="519"/>
      <c r="F103" s="521" t="str">
        <f aca="false">IF(Information!$D$8="Deutsch",B103,D103)</f>
        <v>hours taken curr. month</v>
      </c>
      <c r="G103" s="522"/>
    </row>
    <row r="104" customFormat="false" ht="13" hidden="false" customHeight="false" outlineLevel="0" collapsed="false">
      <c r="B104" s="518" t="s">
        <v>145</v>
      </c>
      <c r="C104" s="528"/>
      <c r="D104" s="520" t="s">
        <v>146</v>
      </c>
      <c r="E104" s="519"/>
      <c r="F104" s="521" t="str">
        <f aca="false">IF(Information!$D$8="Deutsch",B104,D104)</f>
        <v>(please enter in hours and minutes)</v>
      </c>
      <c r="G104" s="522"/>
    </row>
    <row r="105" customFormat="false" ht="13" hidden="false" customHeight="false" outlineLevel="0" collapsed="false">
      <c r="B105" s="518" t="s">
        <v>147</v>
      </c>
      <c r="C105" s="528"/>
      <c r="D105" s="520" t="s">
        <v>148</v>
      </c>
      <c r="E105" s="519"/>
      <c r="F105" s="521" t="str">
        <f aca="false">IF(Information!$D$8="Deutsch",B105,D105)</f>
        <v>letters</v>
      </c>
      <c r="G105" s="522"/>
    </row>
    <row r="106" customFormat="false" ht="13" hidden="false" customHeight="false" outlineLevel="0" collapsed="false">
      <c r="B106" s="518" t="s">
        <v>149</v>
      </c>
      <c r="C106" s="528"/>
      <c r="D106" s="520" t="s">
        <v>150</v>
      </c>
      <c r="E106" s="519"/>
      <c r="F106" s="521" t="str">
        <f aca="false">IF(Information!$D$8="Deutsch",B106,D106)</f>
        <v>date</v>
      </c>
      <c r="G106" s="522"/>
    </row>
    <row r="107" customFormat="false" ht="13" hidden="false" customHeight="false" outlineLevel="0" collapsed="false">
      <c r="B107" s="518" t="s">
        <v>85</v>
      </c>
      <c r="C107" s="530"/>
      <c r="D107" s="520" t="s">
        <v>151</v>
      </c>
      <c r="E107" s="519"/>
      <c r="F107" s="521" t="str">
        <f aca="false">IF(Information!$D$8="Deutsch",B107,D107)</f>
        <v>December</v>
      </c>
      <c r="G107" s="522"/>
    </row>
    <row r="108" customFormat="false" ht="13" hidden="false" customHeight="false" outlineLevel="0" collapsed="false">
      <c r="B108" s="518" t="s">
        <v>152</v>
      </c>
      <c r="C108" s="530"/>
      <c r="D108" s="520" t="s">
        <v>153</v>
      </c>
      <c r="E108" s="519"/>
      <c r="F108" s="521" t="str">
        <f aca="false">IF(Information!$D$8="Deutsch",B108,D108)</f>
        <v>decimal</v>
      </c>
      <c r="G108" s="522"/>
    </row>
    <row r="109" customFormat="false" ht="13" hidden="false" customHeight="false" outlineLevel="0" collapsed="false">
      <c r="B109" s="531" t="s">
        <v>154</v>
      </c>
      <c r="D109" s="520" t="s">
        <v>155</v>
      </c>
      <c r="E109" s="519"/>
      <c r="F109" s="521" t="str">
        <f aca="false">IF(Information!$D$8="Deutsch",B109,D109)</f>
        <v>Tue</v>
      </c>
      <c r="G109" s="522"/>
    </row>
    <row r="110" customFormat="false" ht="13" hidden="false" customHeight="false" outlineLevel="0" collapsed="false">
      <c r="B110" s="518" t="s">
        <v>156</v>
      </c>
      <c r="C110" s="530"/>
      <c r="D110" s="520" t="s">
        <v>157</v>
      </c>
      <c r="E110" s="519"/>
      <c r="F110" s="521" t="str">
        <f aca="false">IF(Information!$D$8="Deutsch",B110,D110)</f>
        <v>difference</v>
      </c>
      <c r="G110" s="522"/>
    </row>
    <row r="111" customFormat="false" ht="13" hidden="false" customHeight="false" outlineLevel="0" collapsed="false">
      <c r="B111" s="527" t="s">
        <v>158</v>
      </c>
      <c r="C111" s="532"/>
      <c r="D111" s="520" t="s">
        <v>159</v>
      </c>
      <c r="E111" s="519"/>
      <c r="F111" s="521" t="str">
        <f aca="false">IF(Information!$D$8="Deutsch",B111,D111)</f>
        <v>Thu</v>
      </c>
      <c r="G111" s="522"/>
    </row>
    <row r="112" customFormat="false" ht="13" hidden="false" customHeight="false" outlineLevel="0" collapsed="false">
      <c r="B112" s="531" t="s">
        <v>160</v>
      </c>
      <c r="D112" s="520" t="s">
        <v>161</v>
      </c>
      <c r="E112" s="519"/>
      <c r="F112" s="521" t="str">
        <f aca="false">IF(Information!$D$8="Deutsch",B112,D112)</f>
        <v>average</v>
      </c>
      <c r="G112" s="522"/>
    </row>
    <row r="113" customFormat="false" ht="13" hidden="false" customHeight="false" outlineLevel="0" collapsed="false">
      <c r="B113" s="518" t="s">
        <v>162</v>
      </c>
      <c r="C113" s="519"/>
      <c r="D113" s="520" t="s">
        <v>163</v>
      </c>
      <c r="E113" s="519"/>
      <c r="F113" s="521" t="str">
        <f aca="false">IF(Information!$D$8="Deutsch",B113,D113)</f>
        <v>starting date:</v>
      </c>
      <c r="G113" s="522"/>
    </row>
    <row r="114" customFormat="false" ht="13" hidden="false" customHeight="false" outlineLevel="0" collapsed="false">
      <c r="B114" s="518" t="s">
        <v>164</v>
      </c>
      <c r="C114" s="519"/>
      <c r="D114" s="520" t="s">
        <v>165</v>
      </c>
      <c r="E114" s="519"/>
      <c r="F114" s="521" t="str">
        <f aca="false">IF(Information!$D$8="Deutsch",B114,D114)</f>
        <v>month of entry</v>
      </c>
      <c r="G114" s="522"/>
    </row>
    <row r="115" customFormat="false" ht="13" hidden="false" customHeight="false" outlineLevel="0" collapsed="false">
      <c r="B115" s="518" t="s">
        <v>166</v>
      </c>
      <c r="C115" s="519"/>
      <c r="D115" s="520" t="s">
        <v>167</v>
      </c>
      <c r="E115" s="519"/>
      <c r="F115" s="521" t="str">
        <f aca="false">IF(Information!$D$8="Deutsch",B115,D115)</f>
        <v>end of the</v>
      </c>
      <c r="G115" s="522"/>
    </row>
    <row r="116" customFormat="false" ht="13" hidden="false" customHeight="false" outlineLevel="0" collapsed="false">
      <c r="B116" s="518" t="s">
        <v>75</v>
      </c>
      <c r="C116" s="519"/>
      <c r="D116" s="520" t="s">
        <v>168</v>
      </c>
      <c r="E116" s="519"/>
      <c r="F116" s="521" t="str">
        <f aca="false">IF(Information!$D$8="Deutsch",B116,D116)</f>
        <v>February</v>
      </c>
      <c r="G116" s="522"/>
    </row>
    <row r="117" customFormat="false" ht="13" hidden="false" customHeight="false" outlineLevel="0" collapsed="false">
      <c r="B117" s="518" t="s">
        <v>169</v>
      </c>
      <c r="C117" s="528"/>
      <c r="D117" s="520" t="s">
        <v>170</v>
      </c>
      <c r="E117" s="519"/>
      <c r="F117" s="521" t="str">
        <f aca="false">IF(Information!$D$8="Deutsch",B117,D117)</f>
        <v>holiday</v>
      </c>
      <c r="G117" s="522"/>
    </row>
    <row r="118" customFormat="false" ht="13" hidden="false" customHeight="false" outlineLevel="0" collapsed="false">
      <c r="B118" s="518" t="s">
        <v>171</v>
      </c>
      <c r="C118" s="528"/>
      <c r="D118" s="520" t="s">
        <v>172</v>
      </c>
      <c r="E118" s="519"/>
      <c r="F118" s="521" t="str">
        <f aca="false">IF(Information!$D$8="Deutsch",B118,D118)</f>
        <v>holiday taken</v>
      </c>
      <c r="G118" s="522"/>
    </row>
    <row r="119" customFormat="false" ht="13" hidden="false" customHeight="false" outlineLevel="0" collapsed="false">
      <c r="B119" s="518" t="s">
        <v>173</v>
      </c>
      <c r="C119" s="519"/>
      <c r="D119" s="520" t="s">
        <v>174</v>
      </c>
      <c r="E119" s="519"/>
      <c r="F119" s="521" t="str">
        <f aca="false">IF(Information!$D$8="Deutsch",B119,D119)</f>
        <v>reduction of holiday</v>
      </c>
      <c r="G119" s="522"/>
    </row>
    <row r="120" customFormat="false" ht="13" hidden="false" customHeight="false" outlineLevel="0" collapsed="false">
      <c r="B120" s="527" t="s">
        <v>87</v>
      </c>
      <c r="C120" s="532"/>
      <c r="D120" s="520" t="s">
        <v>175</v>
      </c>
      <c r="E120" s="519"/>
      <c r="F120" s="521" t="str">
        <f aca="false">IF(Information!$D$8="Deutsch",B120,D120)</f>
        <v>Fri</v>
      </c>
      <c r="G120" s="522"/>
    </row>
    <row r="121" customFormat="false" ht="13" hidden="false" customHeight="false" outlineLevel="0" collapsed="false">
      <c r="B121" s="531" t="s">
        <v>176</v>
      </c>
      <c r="C121" s="405"/>
      <c r="D121" s="520" t="s">
        <v>177</v>
      </c>
      <c r="E121" s="519"/>
      <c r="F121" s="521" t="str">
        <f aca="false">IF(Information!$D$8="Deutsch",B121,D121)</f>
        <v>free</v>
      </c>
      <c r="G121" s="522"/>
    </row>
    <row r="122" customFormat="false" ht="13" hidden="false" customHeight="false" outlineLevel="0" collapsed="false">
      <c r="B122" s="527" t="s">
        <v>178</v>
      </c>
      <c r="C122" s="532"/>
      <c r="D122" s="520" t="s">
        <v>179</v>
      </c>
      <c r="E122" s="519"/>
      <c r="F122" s="521" t="str">
        <f aca="false">IF(Information!$D$8="Deutsch",B122,D122)</f>
        <v>for</v>
      </c>
      <c r="G122" s="522"/>
    </row>
    <row r="123" customFormat="false" ht="13" hidden="false" customHeight="false" outlineLevel="0" collapsed="false">
      <c r="B123" s="529" t="s">
        <v>180</v>
      </c>
      <c r="C123" s="519"/>
      <c r="D123" s="520" t="s">
        <v>181</v>
      </c>
      <c r="E123" s="519"/>
      <c r="F123" s="521" t="str">
        <f aca="false">IF(Information!$D$8="Deutsch",B123,D123)</f>
        <v>salary class</v>
      </c>
      <c r="G123" s="522"/>
    </row>
    <row r="124" customFormat="false" ht="13" hidden="false" customHeight="false" outlineLevel="0" collapsed="false">
      <c r="B124" s="529" t="s">
        <v>182</v>
      </c>
      <c r="C124" s="519"/>
      <c r="D124" s="520" t="s">
        <v>183</v>
      </c>
      <c r="E124" s="519"/>
      <c r="F124" s="521" t="str">
        <f aca="false">IF(Information!$D$8="Deutsch",B124,D124)</f>
        <v>go</v>
      </c>
      <c r="G124" s="522"/>
    </row>
    <row r="125" customFormat="false" ht="13" hidden="false" customHeight="false" outlineLevel="0" collapsed="false">
      <c r="B125" s="518" t="s">
        <v>184</v>
      </c>
      <c r="C125" s="519"/>
      <c r="D125" s="527" t="s">
        <v>185</v>
      </c>
      <c r="E125" s="519"/>
      <c r="F125" s="521" t="str">
        <f aca="false">IF(Information!$D$8="Deutsch",B125,D125)</f>
        <v>advance</v>
      </c>
      <c r="G125" s="522"/>
    </row>
    <row r="126" customFormat="false" ht="13" hidden="false" customHeight="false" outlineLevel="0" collapsed="false">
      <c r="B126" s="518" t="s">
        <v>186</v>
      </c>
      <c r="C126" s="519"/>
      <c r="D126" s="527" t="s">
        <v>187</v>
      </c>
      <c r="E126" s="519"/>
      <c r="F126" s="521" t="str">
        <f aca="false">IF(Information!$D$8="Deutsch",B126,D126)</f>
        <v>half-days</v>
      </c>
      <c r="G126" s="522"/>
    </row>
    <row r="127" customFormat="false" ht="13" hidden="false" customHeight="false" outlineLevel="0" collapsed="false">
      <c r="B127" s="518" t="s">
        <v>188</v>
      </c>
      <c r="C127" s="519"/>
      <c r="D127" s="527" t="s">
        <v>189</v>
      </c>
      <c r="E127" s="519"/>
      <c r="F127" s="521" t="str">
        <f aca="false">IF(Information!$D$8="Deutsch",B127,D127)</f>
        <v>hundredth</v>
      </c>
      <c r="G127" s="522"/>
    </row>
    <row r="128" customFormat="false" ht="13" hidden="false" customHeight="false" outlineLevel="0" collapsed="false">
      <c r="B128" s="518" t="s">
        <v>190</v>
      </c>
      <c r="C128" s="519"/>
      <c r="D128" s="527" t="s">
        <v>191</v>
      </c>
      <c r="E128" s="519"/>
      <c r="F128" s="521" t="str">
        <f aca="false">IF(Information!$D$8="Deutsch",B128,D128)</f>
        <v>in this</v>
      </c>
      <c r="G128" s="522"/>
    </row>
    <row r="129" customFormat="false" ht="13" hidden="false" customHeight="false" outlineLevel="0" collapsed="false">
      <c r="B129" s="518" t="s">
        <v>192</v>
      </c>
      <c r="C129" s="519"/>
      <c r="D129" s="527" t="s">
        <v>193</v>
      </c>
      <c r="E129" s="519"/>
      <c r="F129" s="521" t="str">
        <f aca="false">IF(Information!$D$8="Deutsch",B129,D129)</f>
        <v>incl.</v>
      </c>
      <c r="G129" s="522"/>
    </row>
    <row r="130" customFormat="false" ht="13" hidden="false" customHeight="false" outlineLevel="0" collapsed="false">
      <c r="B130" s="518" t="s">
        <v>194</v>
      </c>
      <c r="C130" s="519"/>
      <c r="D130" s="527" t="s">
        <v>195</v>
      </c>
      <c r="E130" s="519"/>
      <c r="F130" s="521" t="str">
        <f aca="false">IF(Information!$D$8="Deutsch",B130,D130)</f>
        <v>actual</v>
      </c>
      <c r="G130" s="522"/>
    </row>
    <row r="131" customFormat="false" ht="13" hidden="false" customHeight="false" outlineLevel="0" collapsed="false">
      <c r="B131" s="518" t="s">
        <v>196</v>
      </c>
      <c r="C131" s="519"/>
      <c r="D131" s="520" t="s">
        <v>197</v>
      </c>
      <c r="E131" s="519"/>
      <c r="F131" s="521" t="str">
        <f aca="false">IF(Information!$D$8="Deutsch",B131,D131)</f>
        <v>year:</v>
      </c>
      <c r="G131" s="522"/>
    </row>
    <row r="132" customFormat="false" ht="13" hidden="false" customHeight="false" outlineLevel="0" collapsed="false">
      <c r="B132" s="518" t="s">
        <v>198</v>
      </c>
      <c r="C132" s="519"/>
      <c r="D132" s="520" t="s">
        <v>199</v>
      </c>
      <c r="E132" s="519"/>
      <c r="F132" s="521" t="str">
        <f aca="false">IF(Information!$D$8="Deutsch",B132,D132)</f>
        <v>Overview</v>
      </c>
      <c r="G132" s="522"/>
    </row>
    <row r="133" customFormat="false" ht="13" hidden="false" customHeight="false" outlineLevel="0" collapsed="false">
      <c r="B133" s="518" t="s">
        <v>200</v>
      </c>
      <c r="C133" s="519"/>
      <c r="D133" s="520" t="s">
        <v>201</v>
      </c>
      <c r="E133" s="519"/>
      <c r="F133" s="521" t="str">
        <f aca="false">IF(Information!$D$8="Deutsch",B133,D133)</f>
        <v>year of birth (4-digit):</v>
      </c>
      <c r="G133" s="522"/>
    </row>
    <row r="134" customFormat="false" ht="13" hidden="false" customHeight="false" outlineLevel="0" collapsed="false">
      <c r="B134" s="518" t="s">
        <v>74</v>
      </c>
      <c r="C134" s="519"/>
      <c r="D134" s="520" t="s">
        <v>202</v>
      </c>
      <c r="E134" s="519"/>
      <c r="F134" s="521" t="str">
        <f aca="false">IF(Information!$D$8="Deutsch",B134,D134)</f>
        <v>January</v>
      </c>
      <c r="G134" s="522"/>
    </row>
    <row r="135" customFormat="false" ht="13" hidden="false" customHeight="false" outlineLevel="0" collapsed="false">
      <c r="B135" s="518" t="s">
        <v>203</v>
      </c>
      <c r="C135" s="519"/>
      <c r="D135" s="520" t="s">
        <v>204</v>
      </c>
      <c r="E135" s="519"/>
      <c r="F135" s="521" t="str">
        <f aca="false">IF(Information!$D$8="Deutsch",B135,D135)</f>
        <v>JAZ-compensation</v>
      </c>
      <c r="G135" s="522"/>
    </row>
    <row r="136" customFormat="false" ht="13" hidden="false" customHeight="false" outlineLevel="0" collapsed="false">
      <c r="B136" s="518" t="s">
        <v>80</v>
      </c>
      <c r="C136" s="519"/>
      <c r="D136" s="520" t="s">
        <v>205</v>
      </c>
      <c r="E136" s="519"/>
      <c r="F136" s="521" t="str">
        <f aca="false">IF(Information!$D$8="Deutsch",B136,D136)</f>
        <v>July</v>
      </c>
      <c r="G136" s="522"/>
    </row>
    <row r="137" customFormat="false" ht="13" hidden="false" customHeight="false" outlineLevel="0" collapsed="false">
      <c r="B137" s="518" t="s">
        <v>79</v>
      </c>
      <c r="C137" s="519"/>
      <c r="D137" s="520" t="s">
        <v>206</v>
      </c>
      <c r="E137" s="519"/>
      <c r="F137" s="521" t="str">
        <f aca="false">IF(Information!$D$8="Deutsch",B137,D137)</f>
        <v>June</v>
      </c>
      <c r="G137" s="522"/>
    </row>
    <row r="138" customFormat="false" ht="13" hidden="false" customHeight="false" outlineLevel="0" collapsed="false">
      <c r="B138" s="518" t="s">
        <v>207</v>
      </c>
      <c r="C138" s="530"/>
      <c r="D138" s="520" t="s">
        <v>208</v>
      </c>
      <c r="E138" s="519"/>
      <c r="F138" s="521" t="str">
        <f aca="false">IF(Information!$D$8="Deutsch",B138,D138)</f>
        <v>compensation</v>
      </c>
      <c r="G138" s="522"/>
    </row>
    <row r="139" customFormat="false" ht="13" hidden="false" customHeight="false" outlineLevel="0" collapsed="false">
      <c r="B139" s="518" t="s">
        <v>209</v>
      </c>
      <c r="C139" s="530"/>
      <c r="D139" s="520" t="s">
        <v>210</v>
      </c>
      <c r="E139" s="519"/>
      <c r="F139" s="521" t="str">
        <f aca="false">IF(Information!$D$8="Deutsch",B139,D139)</f>
        <v>come</v>
      </c>
      <c r="G139" s="522"/>
    </row>
    <row r="140" customFormat="false" ht="13" hidden="false" customHeight="false" outlineLevel="0" collapsed="false">
      <c r="B140" s="518" t="s">
        <v>211</v>
      </c>
      <c r="C140" s="530"/>
      <c r="D140" s="520" t="s">
        <v>212</v>
      </c>
      <c r="E140" s="519"/>
      <c r="F140" s="521" t="str">
        <f aca="false">IF(Information!$D$8="Deutsch",B140,D140)</f>
        <v>comment</v>
      </c>
      <c r="G140" s="522"/>
    </row>
    <row r="141" customFormat="false" ht="13" hidden="false" customHeight="false" outlineLevel="0" collapsed="false">
      <c r="B141" s="518" t="s">
        <v>213</v>
      </c>
      <c r="C141" s="519"/>
      <c r="D141" s="520" t="s">
        <v>214</v>
      </c>
      <c r="E141" s="519"/>
      <c r="F141" s="521" t="str">
        <f aca="false">IF(Information!$D$8="Deutsch",B141,D141)</f>
        <v>illness</v>
      </c>
      <c r="G141" s="522"/>
    </row>
    <row r="142" customFormat="false" ht="13" hidden="false" customHeight="false" outlineLevel="0" collapsed="false">
      <c r="B142" s="518" t="s">
        <v>215</v>
      </c>
      <c r="C142" s="519"/>
      <c r="D142" s="520" t="s">
        <v>216</v>
      </c>
      <c r="E142" s="519"/>
      <c r="F142" s="521" t="str">
        <f aca="false">IF(Information!$D$8="Deutsch",B142,D142)</f>
        <v>short vacation</v>
      </c>
      <c r="G142" s="522"/>
      <c r="H142" s="533"/>
    </row>
    <row r="143" customFormat="false" ht="13" hidden="false" customHeight="false" outlineLevel="0" collapsed="false">
      <c r="B143" s="518" t="s">
        <v>217</v>
      </c>
      <c r="C143" s="519"/>
      <c r="D143" s="520" t="s">
        <v>218</v>
      </c>
      <c r="E143" s="519"/>
      <c r="F143" s="521" t="str">
        <f aca="false">IF(Information!$D$8="Deutsch",B143,D143)</f>
        <v>comptime account</v>
      </c>
      <c r="G143" s="522"/>
    </row>
    <row r="144" customFormat="false" ht="13" hidden="false" customHeight="false" outlineLevel="0" collapsed="false">
      <c r="B144" s="518" t="s">
        <v>219</v>
      </c>
      <c r="C144" s="519"/>
      <c r="D144" s="520" t="s">
        <v>220</v>
      </c>
      <c r="E144" s="519"/>
      <c r="F144" s="521" t="str">
        <f aca="false">IF(Information!$D$8="Deutsch",B144,D144)</f>
        <v>comptime account balance</v>
      </c>
      <c r="G144" s="522"/>
    </row>
    <row r="145" customFormat="false" ht="13" hidden="false" customHeight="false" outlineLevel="0" collapsed="false">
      <c r="B145" s="518" t="s">
        <v>221</v>
      </c>
      <c r="C145" s="519"/>
      <c r="D145" s="520" t="s">
        <v>222</v>
      </c>
      <c r="E145" s="519"/>
      <c r="F145" s="521" t="str">
        <f aca="false">IF(Information!$D$8="Deutsch",B145,D145)</f>
        <v>hours taken</v>
      </c>
      <c r="G145" s="522"/>
    </row>
    <row r="146" customFormat="false" ht="13" hidden="false" customHeight="false" outlineLevel="0" collapsed="false">
      <c r="B146" s="518" t="s">
        <v>78</v>
      </c>
      <c r="C146" s="519"/>
      <c r="D146" s="520" t="s">
        <v>223</v>
      </c>
      <c r="E146" s="524"/>
      <c r="F146" s="521" t="str">
        <f aca="false">IF(Information!$D$8="Deutsch",B146,D146)</f>
        <v>May</v>
      </c>
      <c r="G146" s="522"/>
    </row>
    <row r="147" customFormat="false" ht="13" hidden="false" customHeight="false" outlineLevel="0" collapsed="false">
      <c r="B147" s="518" t="s">
        <v>76</v>
      </c>
      <c r="C147" s="519"/>
      <c r="D147" s="520" t="s">
        <v>224</v>
      </c>
      <c r="E147" s="519"/>
      <c r="F147" s="521" t="str">
        <f aca="false">IF(Information!$D$8="Deutsch",B147,D147)</f>
        <v>March</v>
      </c>
      <c r="G147" s="522"/>
    </row>
    <row r="148" customFormat="false" ht="13" hidden="false" customHeight="false" outlineLevel="0" collapsed="false">
      <c r="B148" s="531" t="s">
        <v>225</v>
      </c>
      <c r="C148" s="519"/>
      <c r="D148" s="520" t="s">
        <v>226</v>
      </c>
      <c r="E148" s="519"/>
      <c r="F148" s="521" t="str">
        <f aca="false">IF(Information!$D$8="Deutsch",B148,D148)</f>
        <v>Wed</v>
      </c>
      <c r="G148" s="522"/>
    </row>
    <row r="149" customFormat="false" ht="13" hidden="false" customHeight="false" outlineLevel="0" collapsed="false">
      <c r="B149" s="527" t="s">
        <v>227</v>
      </c>
      <c r="C149" s="519"/>
      <c r="D149" s="520" t="s">
        <v>228</v>
      </c>
      <c r="E149" s="519"/>
      <c r="F149" s="521" t="str">
        <f aca="false">IF(Information!$D$8="Deutsch",B149,D149)</f>
        <v>with</v>
      </c>
      <c r="G149" s="522"/>
    </row>
    <row r="150" customFormat="false" ht="13" hidden="false" customHeight="false" outlineLevel="0" collapsed="false">
      <c r="B150" s="518" t="s">
        <v>229</v>
      </c>
      <c r="C150" s="519"/>
      <c r="D150" s="520" t="s">
        <v>230</v>
      </c>
      <c r="E150" s="519"/>
      <c r="F150" s="521" t="str">
        <f aca="false">IF(Information!$D$8="Deutsch",B150,D150)</f>
        <v>military/civil def./civil serv.</v>
      </c>
      <c r="G150" s="522"/>
    </row>
    <row r="151" customFormat="false" ht="13" hidden="false" customHeight="false" outlineLevel="0" collapsed="false">
      <c r="B151" s="518" t="s">
        <v>231</v>
      </c>
      <c r="C151" s="519"/>
      <c r="D151" s="520" t="s">
        <v>232</v>
      </c>
      <c r="E151" s="519"/>
      <c r="F151" s="521" t="str">
        <f aca="false">IF(Information!$D$8="Deutsch",B151,D151)</f>
        <v>minutes</v>
      </c>
      <c r="G151" s="522"/>
    </row>
    <row r="152" customFormat="false" ht="13" hidden="false" customHeight="false" outlineLevel="0" collapsed="false">
      <c r="B152" s="518" t="s">
        <v>233</v>
      </c>
      <c r="C152" s="519"/>
      <c r="D152" s="520" t="s">
        <v>234</v>
      </c>
      <c r="E152" s="519"/>
      <c r="F152" s="521" t="str">
        <f aca="false">IF(Information!$D$8="Deutsch",B152,D152)</f>
        <v>employee</v>
      </c>
      <c r="G152" s="522"/>
    </row>
    <row r="153" customFormat="false" ht="13" hidden="false" customHeight="false" outlineLevel="0" collapsed="false">
      <c r="B153" s="531" t="s">
        <v>235</v>
      </c>
      <c r="C153" s="519"/>
      <c r="D153" s="520" t="s">
        <v>236</v>
      </c>
      <c r="E153" s="519"/>
      <c r="F153" s="521" t="str">
        <f aca="false">IF(Information!$D$8="Deutsch",B153,D153)</f>
        <v>Mon</v>
      </c>
      <c r="G153" s="522"/>
    </row>
    <row r="154" customFormat="false" ht="13" hidden="false" customHeight="false" outlineLevel="0" collapsed="false">
      <c r="B154" s="518" t="s">
        <v>90</v>
      </c>
      <c r="C154" s="519"/>
      <c r="D154" s="520" t="s">
        <v>237</v>
      </c>
      <c r="E154" s="519"/>
      <c r="F154" s="521" t="str">
        <f aca="false">IF(Information!$D$8="Deutsch",B154,D154)</f>
        <v>month</v>
      </c>
      <c r="G154" s="522"/>
    </row>
    <row r="155" customFormat="false" ht="13" hidden="false" customHeight="false" outlineLevel="0" collapsed="false">
      <c r="B155" s="518" t="s">
        <v>238</v>
      </c>
      <c r="C155" s="519"/>
      <c r="D155" s="520" t="s">
        <v>239</v>
      </c>
      <c r="E155" s="519"/>
      <c r="F155" s="521" t="str">
        <f aca="false">IF(Information!$D$8="Deutsch",B155,D155)</f>
        <v>monthly sheets</v>
      </c>
      <c r="G155" s="522"/>
    </row>
    <row r="156" customFormat="false" ht="13" hidden="false" customHeight="false" outlineLevel="0" collapsed="false">
      <c r="B156" s="518" t="s">
        <v>240</v>
      </c>
      <c r="C156" s="519"/>
      <c r="D156" s="520" t="s">
        <v>241</v>
      </c>
      <c r="E156" s="519"/>
      <c r="F156" s="521" t="str">
        <f aca="false">IF(Information!$D$8="Deutsch",B156,D156)</f>
        <v>monthly due ref. to lvl of emp</v>
      </c>
      <c r="G156" s="522"/>
    </row>
    <row r="157" customFormat="false" ht="13" hidden="false" customHeight="false" outlineLevel="0" collapsed="false">
      <c r="B157" s="518" t="s">
        <v>242</v>
      </c>
      <c r="C157" s="519"/>
      <c r="D157" s="520" t="s">
        <v>243</v>
      </c>
      <c r="E157" s="519"/>
      <c r="F157" s="521" t="str">
        <f aca="false">IF(Information!$D$8="Deutsch",B157,D157)</f>
        <v>parental leave</v>
      </c>
      <c r="G157" s="522"/>
      <c r="H157" s="533"/>
    </row>
    <row r="158" customFormat="false" ht="13" hidden="false" customHeight="false" outlineLevel="0" collapsed="false">
      <c r="B158" s="518" t="s">
        <v>244</v>
      </c>
      <c r="C158" s="519"/>
      <c r="D158" s="520" t="s">
        <v>245</v>
      </c>
      <c r="E158" s="519"/>
      <c r="F158" s="521" t="str">
        <f aca="false">IF(Information!$D$8="Deutsch",B158,D158)</f>
        <v>afternoon</v>
      </c>
      <c r="G158" s="522"/>
      <c r="H158" s="533"/>
    </row>
    <row r="159" customFormat="false" ht="13" hidden="false" customHeight="false" outlineLevel="0" collapsed="false">
      <c r="B159" s="518" t="s">
        <v>246</v>
      </c>
      <c r="C159" s="519"/>
      <c r="D159" s="520" t="s">
        <v>247</v>
      </c>
      <c r="E159" s="519"/>
      <c r="F159" s="521" t="str">
        <f aca="false">IF(Information!$D$8="Deutsch",B159,D159)</f>
        <v>surname:</v>
      </c>
      <c r="G159" s="522"/>
    </row>
    <row r="160" customFormat="false" ht="13" hidden="false" customHeight="false" outlineLevel="0" collapsed="false">
      <c r="B160" s="518" t="s">
        <v>248</v>
      </c>
      <c r="C160" s="519"/>
      <c r="D160" s="520" t="s">
        <v>249</v>
      </c>
      <c r="E160" s="519"/>
      <c r="F160" s="521" t="str">
        <f aca="false">IF(Information!$D$8="Deutsch",B160,D160)</f>
        <v>NEW</v>
      </c>
      <c r="G160" s="522"/>
    </row>
    <row r="161" customFormat="false" ht="13" hidden="false" customHeight="false" outlineLevel="0" collapsed="false">
      <c r="B161" s="518" t="s">
        <v>250</v>
      </c>
      <c r="C161" s="519"/>
      <c r="D161" s="520" t="s">
        <v>251</v>
      </c>
      <c r="E161" s="519"/>
      <c r="F161" s="521" t="str">
        <f aca="false">IF(Information!$D$8="Deutsch",B161,D161)</f>
        <v>not</v>
      </c>
      <c r="G161" s="522"/>
    </row>
    <row r="162" customFormat="false" ht="13" hidden="false" customHeight="false" outlineLevel="0" collapsed="false">
      <c r="B162" s="518" t="s">
        <v>84</v>
      </c>
      <c r="C162" s="519"/>
      <c r="D162" s="520" t="s">
        <v>84</v>
      </c>
      <c r="E162" s="519"/>
      <c r="F162" s="521" t="str">
        <f aca="false">IF(Information!$D$8="Deutsch",B162,D162)</f>
        <v>November</v>
      </c>
      <c r="G162" s="522"/>
      <c r="H162" s="533"/>
    </row>
    <row r="163" customFormat="false" ht="13" hidden="false" customHeight="false" outlineLevel="0" collapsed="false">
      <c r="B163" s="518" t="s">
        <v>252</v>
      </c>
      <c r="C163" s="519"/>
      <c r="D163" s="520" t="s">
        <v>253</v>
      </c>
      <c r="E163" s="519"/>
      <c r="F163" s="521" t="str">
        <f aca="false">IF(Information!$D$8="Deutsch",B163,D163)</f>
        <v>public office</v>
      </c>
      <c r="G163" s="522"/>
    </row>
    <row r="164" customFormat="false" ht="13" hidden="false" customHeight="false" outlineLevel="0" collapsed="false">
      <c r="B164" s="518" t="s">
        <v>83</v>
      </c>
      <c r="C164" s="519"/>
      <c r="D164" s="520" t="s">
        <v>254</v>
      </c>
      <c r="E164" s="519"/>
      <c r="F164" s="521" t="str">
        <f aca="false">IF(Information!$D$8="Deutsch",B164,D164)</f>
        <v>October</v>
      </c>
      <c r="G164" s="522"/>
    </row>
    <row r="165" customFormat="false" ht="13" hidden="false" customHeight="false" outlineLevel="0" collapsed="false">
      <c r="B165" s="529" t="s">
        <v>255</v>
      </c>
      <c r="C165" s="519"/>
      <c r="D165" s="520" t="s">
        <v>256</v>
      </c>
      <c r="E165" s="519"/>
      <c r="F165" s="521" t="str">
        <f aca="false">IF(Information!$D$8="Deutsch",B165,D165)</f>
        <v>pers.-no.:</v>
      </c>
      <c r="G165" s="524"/>
    </row>
    <row r="166" customFormat="false" ht="13" hidden="false" customHeight="false" outlineLevel="0" collapsed="false">
      <c r="B166" s="534" t="s">
        <v>257</v>
      </c>
      <c r="C166" s="519"/>
      <c r="D166" s="520" t="s">
        <v>258</v>
      </c>
      <c r="E166" s="519"/>
      <c r="F166" s="521" t="str">
        <f aca="false">IF(Information!$D$8="Deutsch",B166,D166)</f>
        <v>personal data</v>
      </c>
      <c r="G166" s="524"/>
    </row>
    <row r="167" customFormat="false" ht="13" hidden="false" customHeight="false" outlineLevel="0" collapsed="false">
      <c r="B167" s="534" t="s">
        <v>259</v>
      </c>
      <c r="C167" s="519"/>
      <c r="D167" s="520" t="s">
        <v>260</v>
      </c>
      <c r="E167" s="519"/>
      <c r="F167" s="521" t="str">
        <f aca="false">IF(Information!$D$8="Deutsch",B167,D167)</f>
        <v>per</v>
      </c>
      <c r="G167" s="524"/>
    </row>
    <row r="168" customFormat="false" ht="13" hidden="false" customHeight="false" outlineLevel="0" collapsed="false">
      <c r="B168" s="534" t="s">
        <v>261</v>
      </c>
      <c r="C168" s="519"/>
      <c r="D168" s="520" t="s">
        <v>262</v>
      </c>
      <c r="E168" s="519"/>
      <c r="F168" s="521" t="str">
        <f aca="false">IF(Information!$D$8="Deutsch",B168,D168)</f>
        <v>/ half-day</v>
      </c>
      <c r="G168" s="522"/>
    </row>
    <row r="169" customFormat="false" ht="13" hidden="false" customHeight="false" outlineLevel="0" collapsed="false">
      <c r="B169" s="518" t="s">
        <v>82</v>
      </c>
      <c r="C169" s="519"/>
      <c r="D169" s="520" t="s">
        <v>82</v>
      </c>
      <c r="E169" s="519"/>
      <c r="F169" s="521" t="str">
        <f aca="false">IF(Information!$D$8="Deutsch",B169,D169)</f>
        <v>September</v>
      </c>
      <c r="G169" s="522"/>
    </row>
    <row r="170" customFormat="false" ht="13" hidden="false" customHeight="false" outlineLevel="0" collapsed="false">
      <c r="B170" s="531" t="s">
        <v>263</v>
      </c>
      <c r="C170" s="519"/>
      <c r="D170" s="520" t="s">
        <v>264</v>
      </c>
      <c r="E170" s="519"/>
      <c r="F170" s="521" t="str">
        <f aca="false">IF(Information!$D$8="Deutsch",B170,D170)</f>
        <v>Sat</v>
      </c>
      <c r="G170" s="522"/>
    </row>
    <row r="171" customFormat="false" ht="13" hidden="false" customHeight="false" outlineLevel="0" collapsed="false">
      <c r="B171" s="518" t="s">
        <v>265</v>
      </c>
      <c r="C171" s="519"/>
      <c r="D171" s="520" t="s">
        <v>266</v>
      </c>
      <c r="E171" s="519"/>
      <c r="F171" s="521" t="str">
        <f aca="false">IF(Information!$D$8="Deutsch",B171,D171)</f>
        <v>balance</v>
      </c>
      <c r="G171" s="522"/>
    </row>
    <row r="172" customFormat="false" ht="13" hidden="false" customHeight="false" outlineLevel="0" collapsed="false">
      <c r="B172" s="518" t="s">
        <v>267</v>
      </c>
      <c r="C172" s="519"/>
      <c r="D172" s="520" t="s">
        <v>268</v>
      </c>
      <c r="E172" s="519"/>
      <c r="F172" s="521" t="str">
        <f aca="false">IF(Information!$D$8="Deutsch",B172,D172)</f>
        <v>current balance</v>
      </c>
      <c r="G172" s="522"/>
    </row>
    <row r="173" customFormat="false" ht="13" hidden="false" customHeight="false" outlineLevel="0" collapsed="false">
      <c r="B173" s="531" t="s">
        <v>269</v>
      </c>
      <c r="C173" s="519"/>
      <c r="D173" s="520" t="s">
        <v>270</v>
      </c>
      <c r="E173" s="519"/>
      <c r="F173" s="521" t="str">
        <f aca="false">IF(Information!$D$8="Deutsch",B173,D173)</f>
        <v>Sun</v>
      </c>
      <c r="G173" s="522"/>
    </row>
    <row r="174" customFormat="false" ht="13" hidden="false" customHeight="false" outlineLevel="0" collapsed="false">
      <c r="B174" s="518" t="s">
        <v>271</v>
      </c>
      <c r="C174" s="519"/>
      <c r="D174" s="520" t="s">
        <v>272</v>
      </c>
      <c r="E174" s="519"/>
      <c r="F174" s="521" t="str">
        <f aca="false">IF(Information!$D$8="Deutsch",B174,D174)</f>
        <v>balance due</v>
      </c>
      <c r="G174" s="522"/>
    </row>
    <row r="175" customFormat="false" ht="13" hidden="false" customHeight="false" outlineLevel="0" collapsed="false">
      <c r="B175" s="518" t="s">
        <v>273</v>
      </c>
      <c r="C175" s="519"/>
      <c r="D175" s="520" t="s">
        <v>274</v>
      </c>
      <c r="E175" s="519"/>
      <c r="F175" s="521" t="str">
        <f aca="false">IF(Information!$D$8="Deutsch",B175,D175)</f>
        <v>feeding 01.01</v>
      </c>
      <c r="G175" s="522"/>
    </row>
    <row r="176" customFormat="false" ht="13" hidden="false" customHeight="false" outlineLevel="0" collapsed="false">
      <c r="B176" s="518" t="s">
        <v>275</v>
      </c>
      <c r="C176" s="519"/>
      <c r="D176" s="520" t="s">
        <v>276</v>
      </c>
      <c r="E176" s="519"/>
      <c r="F176" s="521" t="str">
        <f aca="false">IF(Information!$D$8="Deutsch",B176,D176)</f>
        <v>hours</v>
      </c>
      <c r="G176" s="522"/>
    </row>
    <row r="177" customFormat="false" ht="13" hidden="false" customHeight="false" outlineLevel="0" collapsed="false">
      <c r="B177" s="518" t="s">
        <v>277</v>
      </c>
      <c r="C177" s="519"/>
      <c r="D177" s="520" t="s">
        <v>278</v>
      </c>
      <c r="E177" s="519"/>
      <c r="F177" s="521" t="str">
        <f aca="false">IF(Information!$D$8="Deutsch",B177,D177)</f>
        <v>current sum</v>
      </c>
      <c r="G177" s="522"/>
    </row>
    <row r="178" customFormat="false" ht="13" hidden="false" customHeight="false" outlineLevel="0" collapsed="false">
      <c r="B178" s="518" t="s">
        <v>66</v>
      </c>
      <c r="C178" s="519"/>
      <c r="D178" s="520" t="s">
        <v>279</v>
      </c>
      <c r="E178" s="519"/>
      <c r="F178" s="521" t="str">
        <f aca="false">IF(Information!$D$8="Deutsch",B178,D178)</f>
        <v>days</v>
      </c>
      <c r="G178" s="522"/>
    </row>
    <row r="179" customFormat="false" ht="13" hidden="false" customHeight="false" outlineLevel="0" collapsed="false">
      <c r="B179" s="518" t="s">
        <v>280</v>
      </c>
      <c r="C179" s="519"/>
      <c r="D179" s="520" t="s">
        <v>281</v>
      </c>
      <c r="E179" s="519"/>
      <c r="F179" s="521" t="str">
        <f aca="false">IF(Information!$D$8="Deutsch",B179,D179)</f>
        <v>daily work-time</v>
      </c>
      <c r="G179" s="522"/>
    </row>
    <row r="180" customFormat="false" ht="13" hidden="false" customHeight="false" outlineLevel="0" collapsed="false">
      <c r="B180" s="518" t="s">
        <v>282</v>
      </c>
      <c r="C180" s="519"/>
      <c r="D180" s="520" t="s">
        <v>283</v>
      </c>
      <c r="E180" s="519"/>
      <c r="F180" s="521" t="str">
        <f aca="false">IF(Information!$D$8="Deutsch",B180,D180)</f>
        <v>total</v>
      </c>
      <c r="G180" s="522"/>
    </row>
    <row r="181" customFormat="false" ht="13" hidden="false" customHeight="false" outlineLevel="0" collapsed="false">
      <c r="B181" s="518" t="s">
        <v>284</v>
      </c>
      <c r="C181" s="535"/>
      <c r="D181" s="520" t="s">
        <v>285</v>
      </c>
      <c r="E181" s="519"/>
      <c r="F181" s="521" t="str">
        <f aca="false">IF(Information!$D$8="Deutsch",B181,D181)</f>
        <v>current holiday balance</v>
      </c>
      <c r="G181" s="522"/>
    </row>
    <row r="182" customFormat="false" ht="13" hidden="false" customHeight="false" outlineLevel="0" collapsed="false">
      <c r="B182" s="518" t="s">
        <v>286</v>
      </c>
      <c r="C182" s="535"/>
      <c r="D182" s="520" t="s">
        <v>287</v>
      </c>
      <c r="E182" s="519"/>
      <c r="F182" s="521" t="str">
        <f aca="false">IF(Information!$D$8="Deutsch",B182,D182)</f>
        <v>loyalty premium</v>
      </c>
      <c r="G182" s="522"/>
    </row>
    <row r="183" customFormat="false" ht="13" hidden="false" customHeight="false" outlineLevel="0" collapsed="false">
      <c r="B183" s="518" t="s">
        <v>288</v>
      </c>
      <c r="C183" s="535"/>
      <c r="D183" s="520" t="s">
        <v>289</v>
      </c>
      <c r="E183" s="519"/>
      <c r="F183" s="521" t="str">
        <f aca="false">IF(Information!$D$8="Deutsch",B183,D183)</f>
        <v>hours to transfer to the next year</v>
      </c>
      <c r="G183" s="522"/>
      <c r="H183" s="533"/>
    </row>
    <row r="184" customFormat="false" ht="13" hidden="false" customHeight="false" outlineLevel="0" collapsed="false">
      <c r="B184" s="518" t="s">
        <v>290</v>
      </c>
      <c r="C184" s="535"/>
      <c r="D184" s="520" t="s">
        <v>291</v>
      </c>
      <c r="E184" s="519"/>
      <c r="F184" s="521" t="str">
        <f aca="false">IF(Information!$D$8="Deutsch",B184,D184)</f>
        <v>hours left from last year</v>
      </c>
      <c r="G184" s="522"/>
      <c r="H184" s="533"/>
    </row>
    <row r="185" customFormat="false" ht="13" hidden="false" customHeight="false" outlineLevel="0" collapsed="false">
      <c r="B185" s="518" t="s">
        <v>292</v>
      </c>
      <c r="C185" s="535"/>
      <c r="D185" s="520" t="s">
        <v>293</v>
      </c>
      <c r="E185" s="519"/>
      <c r="F185" s="521" t="str">
        <f aca="false">IF(Information!$D$8="Deutsch",B185,D185)</f>
        <v>hrs f. last year</v>
      </c>
      <c r="G185" s="522"/>
      <c r="H185" s="533"/>
    </row>
    <row r="186" customFormat="false" ht="13" hidden="false" customHeight="false" outlineLevel="0" collapsed="false">
      <c r="B186" s="518" t="s">
        <v>294</v>
      </c>
      <c r="C186" s="535"/>
      <c r="D186" s="520" t="s">
        <v>295</v>
      </c>
      <c r="E186" s="519"/>
      <c r="F186" s="521" t="str">
        <f aca="false">IF(Information!$D$8="Deutsch",B186,D186)</f>
        <v>translation</v>
      </c>
      <c r="G186" s="522"/>
    </row>
    <row r="187" customFormat="false" ht="13" hidden="false" customHeight="false" outlineLevel="0" collapsed="false">
      <c r="B187" s="518" t="s">
        <v>296</v>
      </c>
      <c r="C187" s="535"/>
      <c r="D187" s="520" t="s">
        <v>297</v>
      </c>
      <c r="E187" s="519"/>
      <c r="F187" s="521" t="str">
        <f aca="false">IF(Information!$D$8="Deutsch",B187,D187)</f>
        <v>calculationtool</v>
      </c>
      <c r="G187" s="522"/>
    </row>
    <row r="188" customFormat="false" ht="13" hidden="false" customHeight="false" outlineLevel="0" collapsed="false">
      <c r="B188" s="518" t="s">
        <v>298</v>
      </c>
      <c r="C188" s="535"/>
      <c r="D188" s="520" t="s">
        <v>299</v>
      </c>
      <c r="E188" s="519"/>
      <c r="F188" s="521" t="str">
        <f aca="false">IF(Information!$D$8="Deutsch",B188,D188)</f>
        <v>mandatory!</v>
      </c>
      <c r="G188" s="522"/>
    </row>
    <row r="189" customFormat="false" ht="13" hidden="false" customHeight="false" outlineLevel="0" collapsed="false">
      <c r="B189" s="518" t="s">
        <v>300</v>
      </c>
      <c r="C189" s="535"/>
      <c r="D189" s="520" t="s">
        <v>301</v>
      </c>
      <c r="E189" s="519"/>
      <c r="F189" s="521" t="str">
        <f aca="false">IF(Information!$D$8="Deutsch",B189,D189)</f>
        <v>unpaid</v>
      </c>
      <c r="G189" s="522"/>
    </row>
    <row r="190" customFormat="false" ht="13" hidden="false" customHeight="false" outlineLevel="0" collapsed="false">
      <c r="B190" s="518" t="s">
        <v>302</v>
      </c>
      <c r="C190" s="535"/>
      <c r="D190" s="520" t="s">
        <v>303</v>
      </c>
      <c r="E190" s="519"/>
      <c r="F190" s="521" t="str">
        <f aca="false">IF(Information!$D$8="Deutsch",B190,D190)</f>
        <v>accident</v>
      </c>
      <c r="G190" s="522"/>
    </row>
    <row r="191" customFormat="false" ht="13" hidden="false" customHeight="false" outlineLevel="0" collapsed="false">
      <c r="B191" s="518" t="s">
        <v>304</v>
      </c>
      <c r="C191" s="530"/>
      <c r="D191" s="520" t="s">
        <v>305</v>
      </c>
      <c r="E191" s="519"/>
      <c r="F191" s="521" t="str">
        <f aca="false">IF(Information!$D$8="Deutsch",B191,D191)</f>
        <v>signature</v>
      </c>
      <c r="G191" s="522"/>
    </row>
    <row r="192" customFormat="false" ht="13" hidden="false" customHeight="false" outlineLevel="0" collapsed="false">
      <c r="B192" s="518" t="s">
        <v>306</v>
      </c>
      <c r="C192" s="530"/>
      <c r="D192" s="520" t="s">
        <v>307</v>
      </c>
      <c r="E192" s="519"/>
      <c r="F192" s="521" t="str">
        <f aca="false">IF(Information!$D$8="Deutsch",B192,D192)</f>
        <v>leave</v>
      </c>
      <c r="G192" s="522"/>
    </row>
    <row r="193" customFormat="false" ht="13" hidden="false" customHeight="false" outlineLevel="0" collapsed="false">
      <c r="B193" s="518" t="s">
        <v>308</v>
      </c>
      <c r="C193" s="530"/>
      <c r="D193" s="509" t="s">
        <v>309</v>
      </c>
      <c r="E193" s="519"/>
      <c r="F193" s="521" t="str">
        <f aca="false">IF(Information!$D$8="Deutsch",B193,D193)</f>
        <v>manager</v>
      </c>
      <c r="G193" s="522"/>
      <c r="H193" s="533"/>
    </row>
    <row r="194" customFormat="false" ht="13" hidden="false" customHeight="false" outlineLevel="0" collapsed="false">
      <c r="B194" s="527" t="s">
        <v>310</v>
      </c>
      <c r="C194" s="519"/>
      <c r="D194" s="536" t="s">
        <v>311</v>
      </c>
      <c r="E194" s="519"/>
      <c r="F194" s="521" t="str">
        <f aca="false">IF(Information!$D$8="Deutsch",B194,D194)</f>
        <v>morning</v>
      </c>
      <c r="G194" s="522"/>
    </row>
    <row r="195" customFormat="false" ht="13" hidden="false" customHeight="false" outlineLevel="0" collapsed="false">
      <c r="B195" s="537" t="s">
        <v>312</v>
      </c>
      <c r="C195" s="538"/>
      <c r="D195" s="539" t="s">
        <v>313</v>
      </c>
      <c r="E195" s="538"/>
      <c r="F195" s="521" t="str">
        <f aca="false">IF(Information!$D$8="Deutsch",B195,D195)</f>
        <v>last mnth(s)</v>
      </c>
      <c r="G195" s="522"/>
    </row>
    <row r="196" customFormat="false" ht="13" hidden="false" customHeight="false" outlineLevel="0" collapsed="false">
      <c r="B196" s="540" t="s">
        <v>314</v>
      </c>
      <c r="C196" s="519"/>
      <c r="D196" s="520" t="s">
        <v>315</v>
      </c>
      <c r="E196" s="519"/>
      <c r="F196" s="521" t="str">
        <f aca="false">IF(Information!$D$8="Deutsch",B196,D196)</f>
        <v>first name:</v>
      </c>
      <c r="G196" s="522"/>
    </row>
    <row r="197" customFormat="false" ht="13" hidden="false" customHeight="false" outlineLevel="0" collapsed="false">
      <c r="B197" s="540" t="s">
        <v>316</v>
      </c>
      <c r="C197" s="519"/>
      <c r="D197" s="520" t="s">
        <v>317</v>
      </c>
      <c r="E197" s="519"/>
      <c r="F197" s="521" t="str">
        <f aca="false">IF(Information!$D$8="Deutsch",B197,D197)</f>
        <v>change</v>
      </c>
      <c r="G197" s="522"/>
      <c r="H197" s="533"/>
    </row>
    <row r="198" customFormat="false" ht="13" hidden="false" customHeight="false" outlineLevel="0" collapsed="false">
      <c r="B198" s="518" t="s">
        <v>318</v>
      </c>
      <c r="C198" s="519"/>
      <c r="D198" s="520" t="s">
        <v>319</v>
      </c>
      <c r="E198" s="532"/>
      <c r="F198" s="521" t="str">
        <f aca="false">IF(Information!$D$8="Deutsch",B198,D198)</f>
        <v>training / education</v>
      </c>
      <c r="G198" s="541"/>
      <c r="H198" s="533"/>
    </row>
    <row r="199" customFormat="false" ht="13" hidden="false" customHeight="false" outlineLevel="0" collapsed="false">
      <c r="B199" s="537" t="s">
        <v>320</v>
      </c>
      <c r="C199" s="542"/>
      <c r="D199" s="520" t="s">
        <v>319</v>
      </c>
      <c r="E199" s="542"/>
      <c r="F199" s="521" t="str">
        <f aca="false">IF(Information!$D$8="Deutsch",B199,D199)</f>
        <v>training / education</v>
      </c>
      <c r="G199" s="541"/>
    </row>
    <row r="200" customFormat="false" ht="13" hidden="false" customHeight="false" outlineLevel="0" collapsed="false">
      <c r="B200" s="537" t="s">
        <v>321</v>
      </c>
      <c r="C200" s="542"/>
      <c r="D200" s="520" t="s">
        <v>322</v>
      </c>
      <c r="E200" s="542"/>
      <c r="F200" s="521" t="str">
        <f aca="false">IF(Information!$D$8="Deutsch",B200,D200)</f>
        <v>week</v>
      </c>
      <c r="G200" s="503"/>
    </row>
    <row r="201" customFormat="false" ht="13" hidden="false" customHeight="false" outlineLevel="0" collapsed="false">
      <c r="B201" s="518" t="s">
        <v>323</v>
      </c>
      <c r="C201" s="543"/>
      <c r="D201" s="520" t="s">
        <v>324</v>
      </c>
      <c r="E201" s="519"/>
      <c r="F201" s="521" t="str">
        <f aca="false">IF(Information!$D$8="Deutsch",B201,D201)</f>
        <v>key figures</v>
      </c>
      <c r="G201" s="503"/>
    </row>
    <row r="202" customFormat="false" ht="13" hidden="false" customHeight="false" outlineLevel="0" collapsed="false">
      <c r="B202" s="518" t="s">
        <v>325</v>
      </c>
      <c r="C202" s="543"/>
      <c r="D202" s="520" t="s">
        <v>326</v>
      </c>
      <c r="E202" s="519"/>
      <c r="F202" s="521" t="str">
        <f aca="false">IF(Information!$D$8="Deutsch",B202,D202)</f>
        <v>of effective</v>
      </c>
      <c r="G202" s="503"/>
    </row>
    <row r="203" customFormat="false" ht="13" hidden="false" customHeight="false" outlineLevel="0" collapsed="false">
      <c r="B203" s="544"/>
      <c r="C203" s="509"/>
      <c r="D203" s="509"/>
      <c r="E203" s="509"/>
      <c r="F203" s="545"/>
      <c r="G203" s="546"/>
      <c r="H203" s="546"/>
      <c r="I203" s="546"/>
      <c r="J203" s="546"/>
      <c r="K203" s="546"/>
      <c r="L203" s="546"/>
      <c r="M203" s="546"/>
      <c r="N203" s="405"/>
      <c r="T203" s="485"/>
      <c r="U203" s="485"/>
      <c r="V203" s="485"/>
      <c r="W203" s="485"/>
      <c r="X203" s="485"/>
      <c r="Y203" s="485"/>
      <c r="Z203" s="485"/>
      <c r="AA203" s="485"/>
      <c r="AB203" s="485"/>
      <c r="AC203" s="485"/>
      <c r="AD203" s="485"/>
    </row>
    <row r="204" customFormat="false" ht="13" hidden="false" customHeight="false" outlineLevel="0" collapsed="false">
      <c r="B204" s="486" t="s">
        <v>327</v>
      </c>
      <c r="C204" s="486"/>
      <c r="D204" s="486"/>
      <c r="E204" s="486"/>
      <c r="F204" s="486"/>
      <c r="G204" s="486"/>
      <c r="H204" s="486"/>
      <c r="I204" s="486"/>
      <c r="J204" s="493" t="s">
        <v>108</v>
      </c>
      <c r="K204" s="493"/>
      <c r="L204" s="493"/>
      <c r="M204" s="493"/>
      <c r="N204" s="405"/>
      <c r="T204" s="485"/>
      <c r="U204" s="485"/>
      <c r="V204" s="485"/>
      <c r="W204" s="485"/>
      <c r="X204" s="485"/>
      <c r="Y204" s="485"/>
      <c r="Z204" s="485"/>
      <c r="AA204" s="485"/>
      <c r="AB204" s="485"/>
      <c r="AC204" s="485"/>
      <c r="AD204" s="485"/>
    </row>
    <row r="205" customFormat="false" ht="13" hidden="false" customHeight="false" outlineLevel="0" collapsed="false">
      <c r="B205" s="547" t="s">
        <v>106</v>
      </c>
      <c r="C205" s="547"/>
      <c r="D205" s="547"/>
      <c r="E205" s="547"/>
      <c r="F205" s="547" t="s">
        <v>107</v>
      </c>
      <c r="G205" s="547"/>
      <c r="H205" s="547"/>
      <c r="I205" s="547"/>
      <c r="M205" s="532"/>
      <c r="N205" s="405"/>
      <c r="T205" s="485"/>
      <c r="U205" s="485"/>
      <c r="V205" s="485"/>
      <c r="W205" s="485"/>
      <c r="X205" s="485"/>
      <c r="Y205" s="485"/>
      <c r="Z205" s="485"/>
      <c r="AA205" s="485"/>
      <c r="AB205" s="485"/>
      <c r="AC205" s="485"/>
      <c r="AD205" s="485"/>
    </row>
    <row r="206" customFormat="false" ht="13" hidden="false" customHeight="false" outlineLevel="0" collapsed="false">
      <c r="B206" s="548" t="s">
        <v>328</v>
      </c>
      <c r="C206" s="548"/>
      <c r="D206" s="548"/>
      <c r="E206" s="548"/>
      <c r="F206" s="525" t="s">
        <v>329</v>
      </c>
      <c r="G206" s="549"/>
      <c r="H206" s="549"/>
      <c r="I206" s="528"/>
      <c r="J206" s="550" t="str">
        <f aca="false">IF(Information!$D$8="Deutsch",B206,F206)</f>
        <v>Split among several contracts (hh:mm)</v>
      </c>
      <c r="K206" s="550"/>
      <c r="L206" s="550"/>
      <c r="M206" s="550"/>
      <c r="N206" s="551"/>
      <c r="T206" s="485"/>
      <c r="U206" s="485"/>
      <c r="V206" s="485"/>
      <c r="W206" s="485"/>
      <c r="X206" s="485"/>
      <c r="Y206" s="485"/>
      <c r="Z206" s="485"/>
      <c r="AA206" s="485"/>
      <c r="AB206" s="485"/>
      <c r="AC206" s="485"/>
      <c r="AD206" s="485"/>
    </row>
    <row r="207" customFormat="false" ht="13" hidden="false" customHeight="false" outlineLevel="0" collapsed="false">
      <c r="B207" s="518" t="s">
        <v>330</v>
      </c>
      <c r="C207" s="552"/>
      <c r="D207" s="552"/>
      <c r="E207" s="552"/>
      <c r="F207" s="518" t="s">
        <v>331</v>
      </c>
      <c r="G207" s="549"/>
      <c r="H207" s="549"/>
      <c r="I207" s="528"/>
      <c r="J207" s="550" t="str">
        <f aca="false">IF(Information!$D$8="Deutsch",B207,F207)</f>
        <v>for an employment-beginn in the middle of the month</v>
      </c>
      <c r="K207" s="550"/>
      <c r="L207" s="550"/>
      <c r="M207" s="550"/>
      <c r="N207" s="405"/>
      <c r="T207" s="485"/>
      <c r="U207" s="485"/>
      <c r="V207" s="485"/>
      <c r="W207" s="485"/>
      <c r="X207" s="485"/>
      <c r="Y207" s="485"/>
      <c r="Z207" s="485"/>
      <c r="AA207" s="485"/>
      <c r="AB207" s="485"/>
      <c r="AC207" s="485"/>
      <c r="AD207" s="485"/>
    </row>
    <row r="208" customFormat="false" ht="13" hidden="false" customHeight="false" outlineLevel="0" collapsed="false">
      <c r="B208" s="518" t="s">
        <v>332</v>
      </c>
      <c r="C208" s="518"/>
      <c r="D208" s="518"/>
      <c r="E208" s="518"/>
      <c r="F208" s="518" t="s">
        <v>333</v>
      </c>
      <c r="G208" s="549"/>
      <c r="H208" s="549"/>
      <c r="I208" s="528"/>
      <c r="J208" s="550" t="str">
        <f aca="false">IF(Information!$D$8="Deutsch",B208,F208)</f>
        <v>for a part time job with regulated working time</v>
      </c>
      <c r="K208" s="550"/>
      <c r="L208" s="550"/>
      <c r="M208" s="550"/>
      <c r="N208" s="405"/>
      <c r="T208" s="485"/>
      <c r="U208" s="485"/>
      <c r="V208" s="485"/>
      <c r="W208" s="485"/>
      <c r="X208" s="485"/>
      <c r="Y208" s="485"/>
      <c r="Z208" s="485"/>
      <c r="AA208" s="485"/>
      <c r="AB208" s="485"/>
      <c r="AC208" s="485"/>
      <c r="AD208" s="485"/>
    </row>
    <row r="209" customFormat="false" ht="13" hidden="false" customHeight="false" outlineLevel="0" collapsed="false">
      <c r="B209" s="518" t="s">
        <v>334</v>
      </c>
      <c r="C209" s="518"/>
      <c r="D209" s="518"/>
      <c r="E209" s="518"/>
      <c r="F209" s="518" t="s">
        <v>335</v>
      </c>
      <c r="G209" s="549"/>
      <c r="H209" s="549"/>
      <c r="I209" s="528"/>
      <c r="J209" s="550" t="str">
        <f aca="false">IF(Information!$D$8="Deutsch",B209,F209)</f>
        <v>for a variable part time job</v>
      </c>
      <c r="K209" s="550"/>
      <c r="L209" s="550"/>
      <c r="M209" s="550"/>
      <c r="N209" s="551"/>
      <c r="T209" s="485"/>
      <c r="U209" s="485"/>
      <c r="V209" s="485"/>
      <c r="W209" s="485"/>
      <c r="X209" s="485"/>
      <c r="Y209" s="485"/>
      <c r="Z209" s="485"/>
      <c r="AA209" s="485"/>
      <c r="AB209" s="485"/>
      <c r="AC209" s="485"/>
      <c r="AD209" s="485"/>
    </row>
    <row r="210" customFormat="false" ht="13" hidden="false" customHeight="false" outlineLevel="0" collapsed="false">
      <c r="B210" s="518" t="s">
        <v>336</v>
      </c>
      <c r="C210" s="549"/>
      <c r="D210" s="549"/>
      <c r="E210" s="549"/>
      <c r="F210" s="518" t="s">
        <v>337</v>
      </c>
      <c r="G210" s="553"/>
      <c r="H210" s="553"/>
      <c r="I210" s="553"/>
      <c r="J210" s="550" t="str">
        <f aca="false">IF(Information!$D$8="Deutsch",B210,F210)</f>
        <v>for an employment-change in the middle of the month</v>
      </c>
      <c r="K210" s="550"/>
      <c r="L210" s="550"/>
      <c r="M210" s="550"/>
      <c r="N210" s="405"/>
      <c r="T210" s="485"/>
      <c r="U210" s="485"/>
      <c r="V210" s="485"/>
      <c r="W210" s="485"/>
      <c r="X210" s="485"/>
      <c r="Y210" s="485"/>
      <c r="Z210" s="485"/>
      <c r="AA210" s="485"/>
      <c r="AB210" s="485"/>
      <c r="AC210" s="485"/>
      <c r="AD210" s="485"/>
    </row>
    <row r="211" customFormat="false" ht="12.75" hidden="false" customHeight="true" outlineLevel="0" collapsed="false">
      <c r="B211" s="518" t="s">
        <v>145</v>
      </c>
      <c r="C211" s="518"/>
      <c r="D211" s="518"/>
      <c r="E211" s="518"/>
      <c r="F211" s="553" t="s">
        <v>146</v>
      </c>
      <c r="G211" s="554"/>
      <c r="H211" s="555"/>
      <c r="I211" s="556"/>
      <c r="J211" s="550" t="str">
        <f aca="false">IF(Information!$D$8="Deutsch",B211,F211)</f>
        <v>(please enter in hours and minutes)</v>
      </c>
      <c r="K211" s="550"/>
      <c r="L211" s="550"/>
      <c r="M211" s="550"/>
      <c r="N211" s="405"/>
      <c r="T211" s="405"/>
      <c r="U211" s="405"/>
      <c r="V211" s="405"/>
      <c r="W211" s="405"/>
      <c r="X211" s="405"/>
      <c r="Y211" s="405"/>
      <c r="Z211" s="405"/>
      <c r="AA211" s="405"/>
      <c r="AB211" s="405"/>
      <c r="AC211" s="405"/>
      <c r="AD211" s="405"/>
    </row>
    <row r="212" customFormat="false" ht="13" hidden="false" customHeight="false" outlineLevel="0" collapsed="false">
      <c r="B212" s="557" t="s">
        <v>338</v>
      </c>
      <c r="C212" s="558"/>
      <c r="D212" s="558"/>
      <c r="E212" s="558"/>
      <c r="F212" s="559" t="s">
        <v>339</v>
      </c>
      <c r="G212" s="560"/>
      <c r="H212" s="561"/>
      <c r="I212" s="506"/>
      <c r="J212" s="550" t="str">
        <f aca="false">IF(Information!$D$8="Deutsch",B212,F212)</f>
        <v>Here you can see all your absences as of 31.12. which are relevant for the Time Management Tool.</v>
      </c>
      <c r="K212" s="550"/>
      <c r="L212" s="550"/>
      <c r="M212" s="550"/>
      <c r="N212" s="405"/>
      <c r="T212" s="405"/>
      <c r="U212" s="405"/>
      <c r="V212" s="405"/>
      <c r="W212" s="405"/>
      <c r="X212" s="405"/>
      <c r="Y212" s="405"/>
      <c r="Z212" s="405"/>
      <c r="AA212" s="405"/>
      <c r="AB212" s="405"/>
      <c r="AC212" s="405"/>
      <c r="AD212" s="405"/>
    </row>
    <row r="213" customFormat="false" ht="13" hidden="false" customHeight="false" outlineLevel="0" collapsed="false">
      <c r="B213" s="562" t="s">
        <v>340</v>
      </c>
      <c r="C213" s="543"/>
      <c r="D213" s="543"/>
      <c r="E213" s="543"/>
      <c r="F213" s="521" t="s">
        <v>341</v>
      </c>
      <c r="G213" s="560"/>
      <c r="H213" s="561"/>
      <c r="I213" s="506"/>
      <c r="J213" s="550" t="str">
        <f aca="false">IF(Information!$D$8="Deutsch",B213,F213)</f>
        <v> </v>
      </c>
      <c r="K213" s="550"/>
      <c r="L213" s="550"/>
      <c r="M213" s="550"/>
      <c r="N213" s="405"/>
      <c r="T213" s="405"/>
      <c r="U213" s="405"/>
      <c r="V213" s="405"/>
      <c r="W213" s="405"/>
      <c r="X213" s="405"/>
      <c r="Y213" s="405"/>
      <c r="Z213" s="405"/>
      <c r="AA213" s="405"/>
      <c r="AB213" s="405"/>
      <c r="AC213" s="405"/>
      <c r="AD213" s="405"/>
    </row>
    <row r="214" customFormat="false" ht="13" hidden="false" customHeight="false" outlineLevel="0" collapsed="false">
      <c r="B214" s="562" t="s">
        <v>342</v>
      </c>
      <c r="C214" s="543"/>
      <c r="D214" s="543"/>
      <c r="E214" s="543"/>
      <c r="F214" s="521" t="s">
        <v>343</v>
      </c>
      <c r="G214" s="563"/>
      <c r="H214" s="564"/>
      <c r="I214" s="565"/>
      <c r="J214" s="550" t="str">
        <f aca="false">IF(Information!$D$8="Deutsch",B214,F214)</f>
        <v>(Calculated automatically)</v>
      </c>
      <c r="K214" s="550"/>
      <c r="L214" s="550"/>
      <c r="M214" s="550"/>
      <c r="N214" s="405"/>
      <c r="T214" s="405"/>
      <c r="U214" s="405"/>
      <c r="V214" s="405"/>
      <c r="W214" s="405"/>
      <c r="X214" s="405"/>
      <c r="Y214" s="405"/>
      <c r="Z214" s="405"/>
      <c r="AA214" s="405"/>
      <c r="AB214" s="405"/>
      <c r="AC214" s="405"/>
      <c r="AD214" s="405"/>
    </row>
    <row r="215" customFormat="false" ht="13" hidden="false" customHeight="false" outlineLevel="0" collapsed="false">
      <c r="B215" s="566" t="s">
        <v>344</v>
      </c>
      <c r="C215" s="542"/>
      <c r="D215" s="542"/>
      <c r="E215" s="542"/>
      <c r="F215" s="567" t="s">
        <v>345</v>
      </c>
      <c r="G215" s="560"/>
      <c r="H215" s="561"/>
      <c r="I215" s="506"/>
      <c r="J215" s="550" t="str">
        <f aca="false">IF(Information!$D$8="Deutsch",B215,F215)</f>
        <v>employment details</v>
      </c>
      <c r="K215" s="550"/>
      <c r="L215" s="550"/>
      <c r="M215" s="550"/>
      <c r="N215" s="405"/>
      <c r="T215" s="405"/>
      <c r="U215" s="405"/>
      <c r="V215" s="405"/>
      <c r="W215" s="405"/>
      <c r="X215" s="405"/>
      <c r="Y215" s="405"/>
      <c r="Z215" s="405"/>
      <c r="AA215" s="405"/>
      <c r="AB215" s="405"/>
      <c r="AC215" s="405"/>
      <c r="AD215" s="405"/>
    </row>
    <row r="216" customFormat="false" ht="13" hidden="false" customHeight="false" outlineLevel="0" collapsed="false">
      <c r="B216" s="562" t="s">
        <v>346</v>
      </c>
      <c r="C216" s="543"/>
      <c r="D216" s="543"/>
      <c r="E216" s="543"/>
      <c r="F216" s="521" t="s">
        <v>347</v>
      </c>
      <c r="G216" s="560"/>
      <c r="H216" s="561"/>
      <c r="I216" s="506"/>
      <c r="J216" s="550" t="str">
        <f aca="false">IF(Information!$D$8="Deutsch",B216,F216)</f>
        <v>Sum of all part-employments are not equal the average level of employment!</v>
      </c>
      <c r="K216" s="550"/>
      <c r="L216" s="550"/>
      <c r="M216" s="550"/>
      <c r="N216" s="405"/>
      <c r="T216" s="405"/>
      <c r="U216" s="405"/>
      <c r="V216" s="405"/>
      <c r="W216" s="405"/>
      <c r="X216" s="405"/>
      <c r="Y216" s="405"/>
      <c r="Z216" s="405"/>
      <c r="AA216" s="405"/>
      <c r="AB216" s="405"/>
      <c r="AC216" s="405"/>
      <c r="AD216" s="405"/>
    </row>
    <row r="217" customFormat="false" ht="13" hidden="false" customHeight="false" outlineLevel="0" collapsed="false">
      <c r="B217" s="568" t="s">
        <v>348</v>
      </c>
      <c r="C217" s="509"/>
      <c r="D217" s="509"/>
      <c r="E217" s="509"/>
      <c r="F217" s="521" t="s">
        <v>349</v>
      </c>
      <c r="G217" s="560"/>
      <c r="H217" s="561"/>
      <c r="I217" s="506"/>
      <c r="J217" s="550" t="str">
        <f aca="false">IF(Information!$D$8="Deutsch",B217,F217)</f>
        <v>Required minimum holiday deduction</v>
      </c>
      <c r="K217" s="550"/>
      <c r="L217" s="550"/>
      <c r="M217" s="550"/>
      <c r="N217" s="405"/>
      <c r="T217" s="405"/>
      <c r="U217" s="405"/>
      <c r="V217" s="405"/>
      <c r="W217" s="405"/>
      <c r="X217" s="405"/>
      <c r="Y217" s="405"/>
      <c r="Z217" s="405"/>
      <c r="AA217" s="405"/>
      <c r="AB217" s="405"/>
      <c r="AC217" s="405"/>
      <c r="AD217" s="405"/>
    </row>
    <row r="218" customFormat="false" ht="13" hidden="false" customHeight="false" outlineLevel="0" collapsed="false">
      <c r="B218" s="562" t="s">
        <v>350</v>
      </c>
      <c r="C218" s="543"/>
      <c r="D218" s="543"/>
      <c r="E218" s="519"/>
      <c r="F218" s="518" t="s">
        <v>351</v>
      </c>
      <c r="G218" s="560"/>
      <c r="H218" s="561"/>
      <c r="I218" s="506"/>
      <c r="J218" s="550" t="str">
        <f aca="false">IF(Information!$D$8="Deutsch",B218,F218)</f>
        <v>Holiday: Min. deduction not (yet) O.K.</v>
      </c>
      <c r="K218" s="550"/>
      <c r="L218" s="550"/>
      <c r="M218" s="550"/>
      <c r="N218" s="405"/>
      <c r="T218" s="405"/>
      <c r="U218" s="405"/>
      <c r="V218" s="405"/>
      <c r="W218" s="405"/>
      <c r="X218" s="405"/>
      <c r="Y218" s="405"/>
      <c r="Z218" s="405"/>
      <c r="AA218" s="405"/>
      <c r="AB218" s="405"/>
      <c r="AC218" s="405"/>
      <c r="AD218" s="405"/>
    </row>
    <row r="219" customFormat="false" ht="13" hidden="false" customHeight="false" outlineLevel="0" collapsed="false">
      <c r="B219" s="562" t="s">
        <v>352</v>
      </c>
      <c r="C219" s="543"/>
      <c r="D219" s="543"/>
      <c r="E219" s="543"/>
      <c r="F219" s="557" t="s">
        <v>353</v>
      </c>
      <c r="G219" s="560"/>
      <c r="H219" s="561"/>
      <c r="I219" s="506"/>
      <c r="J219" s="550" t="str">
        <f aca="false">IF(Information!$D$8="Deutsch",B219,F219)</f>
        <v>Holidays taken</v>
      </c>
      <c r="K219" s="550"/>
      <c r="L219" s="550"/>
      <c r="M219" s="550"/>
      <c r="N219" s="405"/>
      <c r="T219" s="405"/>
      <c r="U219" s="405"/>
      <c r="V219" s="405"/>
      <c r="W219" s="405"/>
      <c r="X219" s="405"/>
      <c r="Y219" s="405"/>
      <c r="Z219" s="405"/>
      <c r="AA219" s="405"/>
      <c r="AB219" s="405"/>
      <c r="AC219" s="405"/>
      <c r="AD219" s="405"/>
    </row>
    <row r="220" customFormat="false" ht="13" hidden="false" customHeight="false" outlineLevel="0" collapsed="false">
      <c r="B220" s="562" t="s">
        <v>354</v>
      </c>
      <c r="C220" s="543"/>
      <c r="D220" s="543"/>
      <c r="E220" s="543"/>
      <c r="F220" s="518" t="s">
        <v>355</v>
      </c>
      <c r="G220" s="560"/>
      <c r="H220" s="561"/>
      <c r="I220" s="506"/>
      <c r="J220" s="550" t="str">
        <f aca="false">IF(Information!$D$8="Deutsch",B220,F220)</f>
        <v>Min. prescribed deduction</v>
      </c>
      <c r="K220" s="550"/>
      <c r="L220" s="550"/>
      <c r="M220" s="550"/>
      <c r="N220" s="405"/>
      <c r="T220" s="405"/>
      <c r="U220" s="405"/>
      <c r="V220" s="405"/>
      <c r="W220" s="405"/>
      <c r="X220" s="405"/>
      <c r="Y220" s="405"/>
      <c r="Z220" s="405"/>
      <c r="AA220" s="405"/>
      <c r="AB220" s="405"/>
      <c r="AC220" s="405"/>
      <c r="AD220" s="405"/>
    </row>
    <row r="221" customFormat="false" ht="13" hidden="false" customHeight="false" outlineLevel="0" collapsed="false">
      <c r="B221" s="562" t="s">
        <v>356</v>
      </c>
      <c r="C221" s="543"/>
      <c r="D221" s="543"/>
      <c r="E221" s="543"/>
      <c r="F221" s="521" t="s">
        <v>357</v>
      </c>
      <c r="G221" s="490"/>
      <c r="H221" s="490"/>
      <c r="I221" s="532"/>
      <c r="J221" s="550" t="str">
        <f aca="false">IF(Information!$D$8="Deutsch",B221,F221)</f>
        <v>Where you find the information in the absence record 2012:</v>
      </c>
      <c r="K221" s="550"/>
      <c r="L221" s="550"/>
      <c r="M221" s="550"/>
    </row>
    <row r="222" customFormat="false" ht="13" hidden="false" customHeight="false" outlineLevel="0" collapsed="false">
      <c r="B222" s="569" t="s">
        <v>358</v>
      </c>
      <c r="C222" s="569"/>
      <c r="D222" s="569"/>
      <c r="E222" s="569"/>
      <c r="F222" s="525" t="s">
        <v>359</v>
      </c>
      <c r="G222" s="525"/>
      <c r="H222" s="525"/>
      <c r="I222" s="525"/>
      <c r="J222" s="550" t="str">
        <f aca="false">IF(Information!$D$8="Deutsch",B222,F222)</f>
        <v>As off 2013, at least 20 days off per calendar year must be taken. If these minimum requirements are not met, the difference expires at the end of the calendar year without compensation (Art. 149 PV). Those days cannot be carried over to the following year.</v>
      </c>
      <c r="K222" s="550"/>
      <c r="L222" s="550"/>
      <c r="M222" s="550"/>
    </row>
    <row r="223" customFormat="false" ht="13" hidden="false" customHeight="false" outlineLevel="0" collapsed="false">
      <c r="B223" s="570" t="s">
        <v>360</v>
      </c>
      <c r="C223" s="571"/>
      <c r="D223" s="571"/>
      <c r="E223" s="571"/>
      <c r="F223" s="557" t="s">
        <v>361</v>
      </c>
      <c r="G223" s="572"/>
      <c r="H223" s="572"/>
      <c r="I223" s="573"/>
      <c r="J223" s="550" t="str">
        <f aca="false">IF(Information!$D$8="Deutsch",B223,F223)</f>
        <v>Holiday balance rounded up to 0:00 in favour of employee!</v>
      </c>
      <c r="K223" s="550"/>
      <c r="L223" s="550"/>
      <c r="M223" s="550"/>
    </row>
    <row r="224" customFormat="false" ht="13" hidden="false" customHeight="false" outlineLevel="0" collapsed="false">
      <c r="B224" s="569" t="s">
        <v>362</v>
      </c>
      <c r="C224" s="574"/>
      <c r="D224" s="574"/>
      <c r="E224" s="574"/>
      <c r="F224" s="518" t="s">
        <v>363</v>
      </c>
      <c r="G224" s="552"/>
      <c r="H224" s="552"/>
      <c r="I224" s="575"/>
      <c r="J224" s="550" t="str">
        <f aca="false">IF(Information!$D$8="Deutsch",B224,F224)</f>
        <v>Holiday taken not in accordance with regulations!</v>
      </c>
      <c r="K224" s="550"/>
      <c r="L224" s="550"/>
      <c r="M224" s="550"/>
    </row>
    <row r="225" customFormat="false" ht="13" hidden="false" customHeight="false" outlineLevel="0" collapsed="false">
      <c r="G225" s="563"/>
      <c r="H225" s="564"/>
      <c r="I225" s="564"/>
      <c r="J225" s="576"/>
      <c r="K225" s="576"/>
      <c r="L225" s="576"/>
      <c r="M225" s="576"/>
    </row>
    <row r="226" customFormat="false" ht="13" hidden="false" customHeight="false" outlineLevel="0" collapsed="false">
      <c r="A226" s="471"/>
      <c r="B226" s="577" t="s">
        <v>364</v>
      </c>
      <c r="C226" s="577"/>
      <c r="D226" s="577"/>
      <c r="E226" s="577"/>
      <c r="F226" s="577"/>
      <c r="G226" s="577"/>
      <c r="H226" s="577"/>
      <c r="I226" s="577"/>
      <c r="J226" s="577"/>
      <c r="K226" s="577"/>
      <c r="L226" s="577"/>
      <c r="M226" s="577"/>
    </row>
    <row r="227" customFormat="false" ht="13" hidden="false" customHeight="false" outlineLevel="0" collapsed="false">
      <c r="A227" s="471" t="n">
        <v>4</v>
      </c>
      <c r="B227" s="548" t="s">
        <v>365</v>
      </c>
      <c r="C227" s="548"/>
      <c r="D227" s="548"/>
      <c r="E227" s="548"/>
      <c r="F227" s="525" t="s">
        <v>366</v>
      </c>
      <c r="G227" s="525"/>
      <c r="H227" s="525"/>
      <c r="I227" s="525"/>
      <c r="J227" s="578" t="str">
        <f aca="false">IF(Information!$D$8="Deutsch",B227,F227)</f>
        <v>Please read this informations before using the Record of Absences!</v>
      </c>
      <c r="K227" s="578"/>
      <c r="L227" s="578"/>
      <c r="M227" s="578"/>
    </row>
    <row r="228" customFormat="false" ht="13" hidden="false" customHeight="false" outlineLevel="0" collapsed="false">
      <c r="A228" s="471" t="n">
        <v>13</v>
      </c>
      <c r="B228" s="548" t="s">
        <v>367</v>
      </c>
      <c r="C228" s="548"/>
      <c r="D228" s="548"/>
      <c r="E228" s="548"/>
      <c r="F228" s="525" t="s">
        <v>368</v>
      </c>
      <c r="G228" s="525"/>
      <c r="H228" s="525"/>
      <c r="I228" s="525"/>
      <c r="J228" s="578" t="str">
        <f aca="false">IF(Information!$D$8="Deutsch",B228,F228)</f>
        <v>Questions, comments and suggestions should be sent to</v>
      </c>
      <c r="K228" s="578"/>
      <c r="L228" s="578"/>
      <c r="M228" s="578"/>
    </row>
    <row r="229" customFormat="false" ht="13" hidden="false" customHeight="false" outlineLevel="0" collapsed="false">
      <c r="A229" s="471" t="n">
        <v>13</v>
      </c>
      <c r="B229" s="579" t="s">
        <v>369</v>
      </c>
      <c r="C229" s="579"/>
      <c r="D229" s="579"/>
      <c r="E229" s="579"/>
      <c r="F229" s="491" t="s">
        <v>341</v>
      </c>
      <c r="G229" s="491"/>
      <c r="H229" s="491"/>
      <c r="I229" s="491"/>
      <c r="J229" s="578" t="str">
        <f aca="false">IF(Information!$D$8="Deutsch",B229,F229)</f>
        <v> </v>
      </c>
      <c r="K229" s="578"/>
      <c r="L229" s="578"/>
      <c r="M229" s="578"/>
    </row>
    <row r="230" customFormat="false" ht="13" hidden="false" customHeight="false" outlineLevel="0" collapsed="false">
      <c r="A230" s="471" t="n">
        <v>17</v>
      </c>
      <c r="B230" s="548" t="s">
        <v>370</v>
      </c>
      <c r="C230" s="548"/>
      <c r="D230" s="548"/>
      <c r="E230" s="548"/>
      <c r="F230" s="525" t="s">
        <v>371</v>
      </c>
      <c r="G230" s="552"/>
      <c r="H230" s="552"/>
      <c r="I230" s="575"/>
      <c r="J230" s="578" t="str">
        <f aca="false">IF(Information!$D$8="Deutsch",B230,F230)</f>
        <v>- The Record of Absences has been completely revised.</v>
      </c>
      <c r="K230" s="578"/>
      <c r="L230" s="578"/>
      <c r="M230" s="578"/>
    </row>
    <row r="231" customFormat="false" ht="13" hidden="false" customHeight="false" outlineLevel="0" collapsed="false">
      <c r="A231" s="471" t="n">
        <v>18</v>
      </c>
      <c r="B231" s="579" t="s">
        <v>372</v>
      </c>
      <c r="C231" s="579"/>
      <c r="D231" s="579"/>
      <c r="E231" s="579"/>
      <c r="F231" s="518" t="s">
        <v>373</v>
      </c>
      <c r="G231" s="580"/>
      <c r="H231" s="580"/>
      <c r="I231" s="580"/>
      <c r="J231" s="578" t="str">
        <f aca="false">IF(Information!$D$8="Deutsch",B231,F231)</f>
        <v>- There is a new file for personal information and transferred data.</v>
      </c>
      <c r="K231" s="578"/>
      <c r="L231" s="578"/>
      <c r="M231" s="578"/>
    </row>
    <row r="232" customFormat="false" ht="13" hidden="false" customHeight="false" outlineLevel="0" collapsed="false">
      <c r="A232" s="471" t="n">
        <v>19</v>
      </c>
      <c r="B232" s="548" t="s">
        <v>374</v>
      </c>
      <c r="C232" s="548"/>
      <c r="D232" s="548"/>
      <c r="E232" s="548"/>
      <c r="F232" s="525" t="s">
        <v>375</v>
      </c>
      <c r="G232" s="580"/>
      <c r="H232" s="580"/>
      <c r="I232" s="580"/>
      <c r="J232" s="578" t="str">
        <f aca="false">IF(Information!$D$8="Deutsch",B232,F232)</f>
        <v>- The Overview of Absences has been abolished. Days absent are now recorded on the individual monthly tables.</v>
      </c>
      <c r="K232" s="578"/>
      <c r="L232" s="578"/>
      <c r="M232" s="578"/>
    </row>
    <row r="233" customFormat="false" ht="13" hidden="false" customHeight="false" outlineLevel="0" collapsed="false">
      <c r="A233" s="471" t="n">
        <v>20</v>
      </c>
      <c r="B233" s="518" t="s">
        <v>376</v>
      </c>
      <c r="C233" s="518"/>
      <c r="D233" s="518"/>
      <c r="E233" s="518"/>
      <c r="F233" s="525" t="s">
        <v>377</v>
      </c>
      <c r="G233" s="552"/>
      <c r="H233" s="552"/>
      <c r="I233" s="575"/>
      <c r="J233" s="578" t="str">
        <f aca="false">IF(Information!$D$8="Deutsch",B233,F233)</f>
        <v>- The working hours template is now incorporated into the monthly tables and as a new feature can be individually adjusted from day to day.</v>
      </c>
      <c r="K233" s="578"/>
      <c r="L233" s="578"/>
      <c r="M233" s="578"/>
    </row>
    <row r="234" customFormat="false" ht="13" hidden="false" customHeight="false" outlineLevel="0" collapsed="false">
      <c r="A234" s="471" t="n">
        <v>24</v>
      </c>
      <c r="B234" s="518" t="s">
        <v>378</v>
      </c>
      <c r="C234" s="518"/>
      <c r="D234" s="518"/>
      <c r="E234" s="518"/>
      <c r="F234" s="548" t="s">
        <v>379</v>
      </c>
      <c r="G234" s="552"/>
      <c r="H234" s="552"/>
      <c r="I234" s="575"/>
      <c r="J234" s="578" t="str">
        <f aca="false">IF(Information!$D$8="Deutsch",B234,F234)</f>
        <v>Click on the tab “Persönliche Daten (pers. data)” on the scroll bar at the bottom of the table and complete the shaded grey fields with the following</v>
      </c>
      <c r="K234" s="578"/>
      <c r="L234" s="578"/>
      <c r="M234" s="578"/>
    </row>
    <row r="235" customFormat="false" ht="13" hidden="false" customHeight="false" outlineLevel="0" collapsed="false">
      <c r="A235" s="471" t="n">
        <v>25</v>
      </c>
      <c r="B235" s="548" t="s">
        <v>380</v>
      </c>
      <c r="C235" s="548"/>
      <c r="D235" s="548"/>
      <c r="E235" s="548"/>
      <c r="F235" s="548" t="s">
        <v>381</v>
      </c>
      <c r="G235" s="552"/>
      <c r="H235" s="552"/>
      <c r="I235" s="575"/>
      <c r="J235" s="578" t="str">
        <f aca="false">IF(Information!$D$8="Deutsch",B235,F235)</f>
        <v>information: first name, family name, date of birth, personnel number, entry date, employment level (BG) and salary classification (GK).</v>
      </c>
      <c r="K235" s="578"/>
      <c r="L235" s="578"/>
      <c r="M235" s="578"/>
    </row>
    <row r="236" customFormat="false" ht="13" hidden="false" customHeight="false" outlineLevel="0" collapsed="false">
      <c r="A236" s="471" t="n">
        <v>26</v>
      </c>
      <c r="B236" s="548" t="s">
        <v>382</v>
      </c>
      <c r="C236" s="548"/>
      <c r="D236" s="548"/>
      <c r="E236" s="548"/>
      <c r="F236" s="548" t="s">
        <v>383</v>
      </c>
      <c r="G236" s="552"/>
      <c r="H236" s="552"/>
      <c r="I236" s="575"/>
      <c r="J236" s="578" t="str">
        <f aca="false">IF(Information!$D$8="Deutsch",B236,F236)</f>
        <v>Use the tabulator key to move from one field to another. The data will be transferred automatically to the monthly tables, and your holiday entitlement</v>
      </c>
      <c r="K236" s="578"/>
      <c r="L236" s="578"/>
      <c r="M236" s="578"/>
    </row>
    <row r="237" customFormat="false" ht="13" hidden="false" customHeight="false" outlineLevel="0" collapsed="false">
      <c r="A237" s="471" t="n">
        <v>27</v>
      </c>
      <c r="B237" s="548" t="s">
        <v>384</v>
      </c>
      <c r="C237" s="548"/>
      <c r="D237" s="548"/>
      <c r="E237" s="548"/>
      <c r="F237" s="548" t="s">
        <v>385</v>
      </c>
      <c r="G237" s="552"/>
      <c r="H237" s="552"/>
      <c r="I237" s="575"/>
      <c r="J237" s="578" t="str">
        <f aca="false">IF(Information!$D$8="Deutsch",B237,F237)</f>
        <v>and planned working time calculated. Trainees should enter the code ‘LE’ in the field ‘salary classification’ (holiday entitlement 32 days).</v>
      </c>
      <c r="K237" s="578"/>
      <c r="L237" s="578"/>
      <c r="M237" s="578"/>
    </row>
    <row r="238" customFormat="false" ht="13" hidden="false" customHeight="false" outlineLevel="0" collapsed="false">
      <c r="A238" s="471" t="n">
        <v>28</v>
      </c>
      <c r="B238" s="579" t="s">
        <v>386</v>
      </c>
      <c r="C238" s="579"/>
      <c r="D238" s="579"/>
      <c r="E238" s="579"/>
      <c r="F238" s="548" t="s">
        <v>387</v>
      </c>
      <c r="G238" s="552"/>
      <c r="H238" s="552"/>
      <c r="I238" s="575"/>
      <c r="J238" s="578" t="str">
        <f aca="false">IF(Information!$D$8="Deutsch",B238,F238)</f>
        <v>Commencement/termination of employment during the year</v>
      </c>
      <c r="K238" s="578"/>
      <c r="L238" s="578"/>
      <c r="M238" s="578"/>
    </row>
    <row r="239" customFormat="false" ht="13" hidden="false" customHeight="false" outlineLevel="0" collapsed="false">
      <c r="A239" s="471" t="n">
        <v>29</v>
      </c>
      <c r="B239" s="548" t="s">
        <v>388</v>
      </c>
      <c r="C239" s="548"/>
      <c r="D239" s="548"/>
      <c r="E239" s="548"/>
      <c r="F239" s="548" t="s">
        <v>389</v>
      </c>
      <c r="G239" s="552"/>
      <c r="H239" s="552"/>
      <c r="I239" s="575"/>
      <c r="J239" s="578" t="str">
        <f aca="false">IF(Information!$D$8="Deutsch",B239,F239)</f>
        <v>If employment is commenced during the course of the year, complete the fields level of employment (BG) and Salary classification (GK) from the month</v>
      </c>
      <c r="K239" s="578"/>
      <c r="L239" s="578"/>
      <c r="M239" s="578"/>
    </row>
    <row r="240" customFormat="false" ht="13" hidden="false" customHeight="false" outlineLevel="0" collapsed="false">
      <c r="A240" s="471" t="n">
        <v>30</v>
      </c>
      <c r="B240" s="518" t="s">
        <v>390</v>
      </c>
      <c r="C240" s="518"/>
      <c r="D240" s="518"/>
      <c r="E240" s="518"/>
      <c r="F240" s="548" t="s">
        <v>391</v>
      </c>
      <c r="G240" s="552"/>
      <c r="H240" s="552"/>
      <c r="I240" s="575"/>
      <c r="J240" s="578" t="str">
        <f aca="false">IF(Information!$D$8="Deutsch",B240,F240)</f>
        <v>of entry. If employment is terminated during the year, enter a "0" for the remaining months. The record then ends with the last month of employment.</v>
      </c>
      <c r="K240" s="578"/>
      <c r="L240" s="578"/>
      <c r="M240" s="578"/>
    </row>
    <row r="241" customFormat="false" ht="13" hidden="false" customHeight="false" outlineLevel="0" collapsed="false">
      <c r="A241" s="471" t="n">
        <v>31</v>
      </c>
      <c r="B241" s="579" t="s">
        <v>392</v>
      </c>
      <c r="C241" s="579"/>
      <c r="D241" s="579"/>
      <c r="E241" s="579"/>
      <c r="F241" s="548" t="s">
        <v>393</v>
      </c>
      <c r="G241" s="552"/>
      <c r="H241" s="552"/>
      <c r="I241" s="575"/>
      <c r="J241" s="578" t="str">
        <f aca="false">IF(Information!$D$8="Deutsch",B241,F241)</f>
        <v>Commencement or change in employment conditions mid-month</v>
      </c>
      <c r="K241" s="578"/>
      <c r="L241" s="578"/>
      <c r="M241" s="578"/>
    </row>
    <row r="242" customFormat="false" ht="13" hidden="false" customHeight="false" outlineLevel="0" collapsed="false">
      <c r="A242" s="471" t="n">
        <v>33</v>
      </c>
      <c r="B242" s="548" t="s">
        <v>394</v>
      </c>
      <c r="C242" s="548"/>
      <c r="D242" s="548"/>
      <c r="E242" s="548"/>
      <c r="F242" s="548" t="s">
        <v>395</v>
      </c>
      <c r="G242" s="552"/>
      <c r="H242" s="552"/>
      <c r="I242" s="575"/>
      <c r="J242" s="578" t="str">
        <f aca="false">IF(Information!$D$8="Deutsch",B242,F242)</f>
        <v>When there is a change in employment during the month, the level of employment (BG) must be recalculated. Use “Umrechnung (Calculation)”.</v>
      </c>
      <c r="K242" s="578"/>
      <c r="L242" s="578"/>
      <c r="M242" s="578"/>
    </row>
    <row r="243" customFormat="false" ht="13" hidden="false" customHeight="false" outlineLevel="0" collapsed="false">
      <c r="A243" s="471" t="n">
        <v>35</v>
      </c>
      <c r="B243" s="518" t="s">
        <v>396</v>
      </c>
      <c r="C243" s="518"/>
      <c r="D243" s="518"/>
      <c r="E243" s="518"/>
      <c r="F243" s="548" t="s">
        <v>397</v>
      </c>
      <c r="G243" s="580"/>
      <c r="H243" s="580"/>
      <c r="I243" s="580"/>
      <c r="J243" s="578" t="str">
        <f aca="false">IF(Information!$D$8="Deutsch",B243,F243)</f>
        <v>If the BG or GK changes during the year, these can be recorded in the corresponding month in the "Persönliche Daten (pers. Data)".</v>
      </c>
      <c r="K243" s="578"/>
      <c r="L243" s="578"/>
      <c r="M243" s="578"/>
    </row>
    <row r="244" customFormat="false" ht="13" hidden="false" customHeight="false" outlineLevel="0" collapsed="false">
      <c r="A244" s="471" t="n">
        <v>36</v>
      </c>
      <c r="B244" s="548" t="s">
        <v>398</v>
      </c>
      <c r="C244" s="548"/>
      <c r="D244" s="548"/>
      <c r="E244" s="548"/>
      <c r="F244" s="525" t="s">
        <v>399</v>
      </c>
      <c r="G244" s="580"/>
      <c r="H244" s="580"/>
      <c r="I244" s="580"/>
      <c r="J244" s="578" t="str">
        <f aca="false">IF(Information!$D$8="Deutsch",B244,F244)</f>
        <v>Enter last years holiday balance as agreed with your supervisor.</v>
      </c>
      <c r="K244" s="578"/>
      <c r="L244" s="578"/>
      <c r="M244" s="578"/>
    </row>
    <row r="245" customFormat="false" ht="13" hidden="false" customHeight="false" outlineLevel="0" collapsed="false">
      <c r="A245" s="471" t="n">
        <v>37</v>
      </c>
      <c r="B245" s="548" t="s">
        <v>341</v>
      </c>
      <c r="C245" s="548"/>
      <c r="D245" s="548"/>
      <c r="E245" s="548"/>
      <c r="F245" s="525" t="s">
        <v>341</v>
      </c>
      <c r="G245" s="552"/>
      <c r="H245" s="552"/>
      <c r="I245" s="575"/>
      <c r="J245" s="578" t="str">
        <f aca="false">IF(Information!$D$8="Deutsch",B245,F245)</f>
        <v> </v>
      </c>
      <c r="K245" s="578"/>
      <c r="L245" s="578"/>
      <c r="M245" s="578"/>
    </row>
    <row r="246" customFormat="false" ht="13" hidden="false" customHeight="false" outlineLevel="0" collapsed="false">
      <c r="A246" s="471" t="n">
        <v>40</v>
      </c>
      <c r="B246" s="548" t="s">
        <v>400</v>
      </c>
      <c r="C246" s="548"/>
      <c r="D246" s="548"/>
      <c r="E246" s="548"/>
      <c r="F246" s="518" t="s">
        <v>401</v>
      </c>
      <c r="G246" s="580"/>
      <c r="H246" s="580"/>
      <c r="I246" s="580"/>
      <c r="J246" s="578" t="str">
        <f aca="false">IF(Information!$D$8="Deutsch",B246,F246)</f>
        <v>This is an overview of your unused holiday entitlement, holiday taken and reduction of holiday.</v>
      </c>
      <c r="K246" s="578"/>
      <c r="L246" s="578"/>
      <c r="M246" s="578"/>
    </row>
    <row r="247" customFormat="false" ht="13" hidden="false" customHeight="false" outlineLevel="0" collapsed="false">
      <c r="A247" s="471" t="n">
        <v>43</v>
      </c>
      <c r="B247" s="548" t="s">
        <v>402</v>
      </c>
      <c r="C247" s="548"/>
      <c r="D247" s="548"/>
      <c r="E247" s="548"/>
      <c r="F247" s="525" t="s">
        <v>403</v>
      </c>
      <c r="G247" s="580"/>
      <c r="H247" s="580"/>
      <c r="I247" s="580"/>
      <c r="J247" s="578" t="str">
        <f aca="false">IF(Information!$D$8="Deutsch",B247,F247)</f>
        <v>Enter here holiday entitlement earned as a result of long-service.</v>
      </c>
      <c r="K247" s="578"/>
      <c r="L247" s="578"/>
      <c r="M247" s="578"/>
    </row>
    <row r="248" customFormat="false" ht="13" hidden="false" customHeight="false" outlineLevel="0" collapsed="false">
      <c r="A248" s="471" t="n">
        <v>45</v>
      </c>
      <c r="B248" s="548" t="s">
        <v>404</v>
      </c>
      <c r="C248" s="548"/>
      <c r="D248" s="548"/>
      <c r="E248" s="548"/>
      <c r="F248" s="525" t="s">
        <v>405</v>
      </c>
      <c r="G248" s="580"/>
      <c r="H248" s="580"/>
      <c r="I248" s="580"/>
      <c r="J248" s="578" t="str">
        <f aca="false">IF(Information!$D$8="Deutsch",B248,F248)</f>
        <v>This is an overview of your reduction of holiday, entered manually. Holiday reduction as a result of unpaid leave, lengthy absences due to illness or</v>
      </c>
      <c r="K248" s="578"/>
      <c r="L248" s="578"/>
      <c r="M248" s="578"/>
    </row>
    <row r="249" customFormat="false" ht="13" hidden="false" customHeight="false" outlineLevel="0" collapsed="false">
      <c r="A249" s="471" t="n">
        <v>46</v>
      </c>
      <c r="B249" s="548" t="s">
        <v>406</v>
      </c>
      <c r="C249" s="548"/>
      <c r="D249" s="548"/>
      <c r="E249" s="548"/>
      <c r="F249" s="525" t="s">
        <v>407</v>
      </c>
      <c r="G249" s="580"/>
      <c r="H249" s="580"/>
      <c r="I249" s="580"/>
      <c r="J249" s="578" t="str">
        <f aca="false">IF(Information!$D$8="Deutsch",B249,F249)</f>
        <v>accident should be entered in hours and minutes. Holiday reductions are entered on the individual monthly tables.</v>
      </c>
      <c r="K249" s="578"/>
      <c r="L249" s="578"/>
      <c r="M249" s="578"/>
    </row>
    <row r="250" customFormat="false" ht="13" hidden="false" customHeight="false" outlineLevel="0" collapsed="false">
      <c r="A250" s="471" t="n">
        <v>47</v>
      </c>
      <c r="B250" s="548" t="s">
        <v>408</v>
      </c>
      <c r="C250" s="548"/>
      <c r="D250" s="548"/>
      <c r="E250" s="548"/>
      <c r="F250" s="525" t="s">
        <v>409</v>
      </c>
      <c r="G250" s="525"/>
      <c r="H250" s="525"/>
      <c r="I250" s="525"/>
      <c r="J250" s="578" t="str">
        <f aca="false">IF(Information!$D$8="Deutsch",B250,F250)</f>
        <v>In the case of lengthy absence consult:</v>
      </c>
      <c r="K250" s="578"/>
      <c r="L250" s="578"/>
      <c r="M250" s="578"/>
    </row>
    <row r="251" customFormat="false" ht="13" hidden="false" customHeight="false" outlineLevel="0" collapsed="false">
      <c r="A251" s="471" t="n">
        <v>49</v>
      </c>
      <c r="B251" s="548" t="s">
        <v>410</v>
      </c>
      <c r="C251" s="548"/>
      <c r="D251" s="548"/>
      <c r="E251" s="548"/>
      <c r="F251" s="525" t="s">
        <v>411</v>
      </c>
      <c r="G251" s="580"/>
      <c r="H251" s="580"/>
      <c r="I251" s="580"/>
      <c r="J251" s="578" t="str">
        <f aca="false">IF(Information!$D$8="Deutsch",B251,F251)</f>
        <v>This is an overview of your absences for the whole year.</v>
      </c>
      <c r="K251" s="578"/>
      <c r="L251" s="578"/>
      <c r="M251" s="578"/>
    </row>
    <row r="252" customFormat="false" ht="13" hidden="false" customHeight="false" outlineLevel="0" collapsed="false">
      <c r="A252" s="471" t="n">
        <v>53</v>
      </c>
      <c r="B252" s="548" t="s">
        <v>412</v>
      </c>
      <c r="C252" s="548"/>
      <c r="D252" s="548"/>
      <c r="E252" s="548"/>
      <c r="F252" s="525" t="s">
        <v>413</v>
      </c>
      <c r="G252" s="580"/>
      <c r="H252" s="580"/>
      <c r="I252" s="580"/>
      <c r="J252" s="578" t="str">
        <f aca="false">IF(Information!$D$8="Deutsch",B252,F252)</f>
        <v>Absences in hours should be entered in hours and minutes in the appropriate fields. In the case of a full or half-day absence, take into account the</v>
      </c>
      <c r="K252" s="578"/>
      <c r="L252" s="578"/>
      <c r="M252" s="578"/>
    </row>
    <row r="253" customFormat="false" ht="13" hidden="false" customHeight="false" outlineLevel="0" collapsed="false">
      <c r="A253" s="471" t="n">
        <v>54</v>
      </c>
      <c r="B253" s="548" t="s">
        <v>414</v>
      </c>
      <c r="C253" s="548"/>
      <c r="D253" s="548"/>
      <c r="E253" s="548"/>
      <c r="F253" s="525" t="s">
        <v>415</v>
      </c>
      <c r="G253" s="580"/>
      <c r="H253" s="580"/>
      <c r="I253" s="580"/>
      <c r="J253" s="578" t="str">
        <f aca="false">IF(Information!$D$8="Deutsch",B253,F253)</f>
        <v>planned working time for the corresponding day. (The theoretical time to be worked for one half day is found below the column with the working</v>
      </c>
      <c r="K253" s="578"/>
      <c r="L253" s="578"/>
      <c r="M253" s="578"/>
    </row>
    <row r="254" customFormat="false" ht="13" hidden="false" customHeight="false" outlineLevel="0" collapsed="false">
      <c r="A254" s="471" t="n">
        <v>55</v>
      </c>
      <c r="B254" s="548" t="s">
        <v>416</v>
      </c>
      <c r="C254" s="548"/>
      <c r="D254" s="548"/>
      <c r="E254" s="548"/>
      <c r="F254" s="525" t="s">
        <v>417</v>
      </c>
      <c r="G254" s="525"/>
      <c r="H254" s="525"/>
      <c r="I254" s="525"/>
      <c r="J254" s="578" t="str">
        <f aca="false">IF(Information!$D$8="Deutsch",B254,F254)</f>
        <v>hours template)</v>
      </c>
      <c r="K254" s="578"/>
      <c r="L254" s="578"/>
      <c r="M254" s="578"/>
    </row>
    <row r="255" customFormat="false" ht="13" hidden="false" customHeight="false" outlineLevel="0" collapsed="false">
      <c r="A255" s="471" t="n">
        <v>57</v>
      </c>
      <c r="B255" s="548" t="s">
        <v>418</v>
      </c>
      <c r="C255" s="548"/>
      <c r="D255" s="548"/>
      <c r="E255" s="548"/>
      <c r="F255" s="525" t="s">
        <v>419</v>
      </c>
      <c r="G255" s="580"/>
      <c r="H255" s="580"/>
      <c r="I255" s="580"/>
      <c r="J255" s="578" t="str">
        <f aca="false">IF(Information!$D$8="Deutsch",B255,F255)</f>
        <v>Absences in days should be entered in the corresponding fields for morning and afternoon. Unlike the absences in hours,entries are not made in hours</v>
      </c>
      <c r="K255" s="578"/>
      <c r="L255" s="578"/>
      <c r="M255" s="578"/>
    </row>
    <row r="256" customFormat="false" ht="13" hidden="false" customHeight="false" outlineLevel="0" collapsed="false">
      <c r="A256" s="471" t="n">
        <v>58</v>
      </c>
      <c r="B256" s="548" t="s">
        <v>420</v>
      </c>
      <c r="C256" s="548"/>
      <c r="D256" s="548"/>
      <c r="E256" s="548"/>
      <c r="F256" s="525" t="s">
        <v>421</v>
      </c>
      <c r="G256" s="580"/>
      <c r="H256" s="580"/>
      <c r="I256" s="580"/>
      <c r="J256" s="578" t="str">
        <f aca="false">IF(Information!$D$8="Deutsch",B256,F256)</f>
        <v>and minutes but by using the corresponding letter. A key to these is found on the monthly tables. The record of absences automatically calculates</v>
      </c>
      <c r="K256" s="578"/>
      <c r="L256" s="578"/>
      <c r="M256" s="578"/>
    </row>
    <row r="257" customFormat="false" ht="13" hidden="false" customHeight="false" outlineLevel="0" collapsed="false">
      <c r="A257" s="471" t="n">
        <v>59</v>
      </c>
      <c r="B257" s="518" t="s">
        <v>422</v>
      </c>
      <c r="C257" s="518"/>
      <c r="D257" s="518"/>
      <c r="E257" s="518"/>
      <c r="F257" s="525" t="s">
        <v>423</v>
      </c>
      <c r="G257" s="525"/>
      <c r="H257" s="525"/>
      <c r="I257" s="525"/>
      <c r="J257" s="578" t="str">
        <f aca="false">IF(Information!$D$8="Deutsch",B257,F257)</f>
        <v>absences taken in hours and minutes.</v>
      </c>
      <c r="K257" s="578"/>
      <c r="L257" s="578"/>
      <c r="M257" s="578"/>
    </row>
    <row r="258" customFormat="false" ht="13" hidden="false" customHeight="false" outlineLevel="0" collapsed="false">
      <c r="A258" s="471" t="n">
        <v>61</v>
      </c>
      <c r="B258" s="548" t="s">
        <v>424</v>
      </c>
      <c r="C258" s="548"/>
      <c r="D258" s="548"/>
      <c r="E258" s="548"/>
      <c r="F258" s="525" t="s">
        <v>425</v>
      </c>
      <c r="G258" s="580"/>
      <c r="H258" s="580"/>
      <c r="I258" s="580"/>
      <c r="J258" s="578" t="str">
        <f aca="false">IF(Information!$D$8="Deutsch",B258,F258)</f>
        <v>A new feature is the working hours template. An individual entry can be made for each day. The working hours template is incorporated in the standard</v>
      </c>
      <c r="K258" s="578"/>
      <c r="L258" s="578"/>
      <c r="M258" s="578"/>
    </row>
    <row r="259" customFormat="false" ht="13" hidden="false" customHeight="false" outlineLevel="0" collapsed="false">
      <c r="A259" s="471" t="n">
        <v>62</v>
      </c>
      <c r="B259" s="518" t="s">
        <v>426</v>
      </c>
      <c r="C259" s="518"/>
      <c r="D259" s="518"/>
      <c r="E259" s="518"/>
      <c r="F259" s="525" t="s">
        <v>427</v>
      </c>
      <c r="G259" s="580"/>
      <c r="H259" s="580"/>
      <c r="I259" s="580"/>
      <c r="J259" s="578" t="str">
        <f aca="false">IF(Information!$D$8="Deutsch",B259,F259)</f>
        <v>settings and not in the print area. Further information can be found:</v>
      </c>
      <c r="K259" s="578"/>
      <c r="L259" s="578"/>
      <c r="M259" s="578"/>
    </row>
    <row r="260" customFormat="false" ht="13" hidden="false" customHeight="false" outlineLevel="0" collapsed="false">
      <c r="A260" s="471" t="n">
        <v>65</v>
      </c>
      <c r="B260" s="548" t="s">
        <v>428</v>
      </c>
      <c r="C260" s="548"/>
      <c r="D260" s="548"/>
      <c r="E260" s="548"/>
      <c r="F260" s="580" t="s">
        <v>429</v>
      </c>
      <c r="G260" s="580"/>
      <c r="H260" s="580"/>
      <c r="I260" s="580"/>
      <c r="J260" s="578" t="str">
        <f aca="false">IF(Information!$D$8="Deutsch",B260,F260)</f>
        <v>In the worksheet "Zeitkennzahlen (key figures)" you will find a summary of the key figures. It is a requirement of the University of Bern that all</v>
      </c>
      <c r="K260" s="578"/>
      <c r="L260" s="578"/>
      <c r="M260" s="578"/>
    </row>
    <row r="261" customFormat="false" ht="13" hidden="false" customHeight="false" outlineLevel="0" collapsed="false">
      <c r="A261" s="471" t="n">
        <v>66</v>
      </c>
      <c r="B261" s="548" t="s">
        <v>430</v>
      </c>
      <c r="C261" s="548"/>
      <c r="D261" s="548"/>
      <c r="E261" s="548"/>
      <c r="F261" s="525" t="s">
        <v>431</v>
      </c>
      <c r="G261" s="580"/>
      <c r="H261" s="580"/>
      <c r="I261" s="580"/>
      <c r="J261" s="578" t="str">
        <f aca="false">IF(Information!$D$8="Deutsch",B261,F261)</f>
        <v>employees submit an annual report of time worked and/or absences. The relevant date is 31.12. each year and the information must be registered</v>
      </c>
      <c r="K261" s="578"/>
      <c r="L261" s="578"/>
      <c r="M261" s="578"/>
    </row>
    <row r="262" customFormat="false" ht="13" hidden="false" customHeight="false" outlineLevel="0" collapsed="false">
      <c r="A262" s="471" t="n">
        <v>67</v>
      </c>
      <c r="B262" s="518" t="s">
        <v>432</v>
      </c>
      <c r="C262" s="518"/>
      <c r="D262" s="518"/>
      <c r="E262" s="518"/>
      <c r="F262" s="580" t="s">
        <v>433</v>
      </c>
      <c r="G262" s="580"/>
      <c r="H262" s="580"/>
      <c r="I262" s="580"/>
      <c r="J262" s="578" t="str">
        <f aca="false">IF(Information!$D$8="Deutsch",B262,F262)</f>
        <v>by the begin of January by the member of staff responsible in each organisational unit.</v>
      </c>
      <c r="K262" s="578"/>
      <c r="L262" s="578"/>
      <c r="M262" s="578"/>
    </row>
    <row r="263" customFormat="false" ht="13" hidden="false" customHeight="false" outlineLevel="0" collapsed="false">
      <c r="A263" s="471" t="n">
        <v>68</v>
      </c>
      <c r="B263" s="579"/>
      <c r="C263" s="579"/>
      <c r="D263" s="579"/>
      <c r="E263" s="579"/>
      <c r="F263" s="580"/>
      <c r="G263" s="490"/>
      <c r="H263" s="490"/>
      <c r="I263" s="490"/>
      <c r="J263" s="578" t="n">
        <f aca="false">IF(Information!$D$8="Deutsch",B263,F263)</f>
        <v>0</v>
      </c>
      <c r="K263" s="578"/>
      <c r="L263" s="578"/>
      <c r="M263" s="578"/>
    </row>
    <row r="264" customFormat="false" ht="13" hidden="false" customHeight="false" outlineLevel="0" collapsed="false">
      <c r="A264" s="471" t="n">
        <v>68</v>
      </c>
      <c r="B264" s="526"/>
      <c r="C264" s="490"/>
      <c r="D264" s="490"/>
      <c r="E264" s="490"/>
      <c r="F264" s="526"/>
      <c r="G264" s="490"/>
      <c r="H264" s="490"/>
      <c r="I264" s="532"/>
      <c r="J264" s="579" t="n">
        <f aca="false">IF(Information!$D$8="Deutsch",B264,F264)</f>
        <v>0</v>
      </c>
      <c r="K264" s="579"/>
      <c r="L264" s="579"/>
      <c r="M264" s="579"/>
    </row>
    <row r="266" customFormat="false" ht="13" hidden="false" customHeight="false" outlineLevel="0" collapsed="false">
      <c r="G266" s="581"/>
      <c r="H266" s="582"/>
    </row>
    <row r="267" customFormat="false" ht="13" hidden="false" customHeight="false" outlineLevel="0" collapsed="false">
      <c r="B267" s="583" t="s">
        <v>434</v>
      </c>
      <c r="C267" s="581"/>
      <c r="D267" s="581"/>
      <c r="E267" s="581"/>
      <c r="F267" s="581"/>
      <c r="G267" s="584" t="s">
        <v>435</v>
      </c>
      <c r="H267" s="585" t="s">
        <v>66</v>
      </c>
    </row>
    <row r="268" customFormat="false" ht="13" hidden="false" customHeight="false" outlineLevel="0" collapsed="false">
      <c r="B268" s="586" t="s">
        <v>436</v>
      </c>
      <c r="C268" s="586" t="s">
        <v>437</v>
      </c>
      <c r="D268" s="587" t="s">
        <v>438</v>
      </c>
      <c r="E268" s="588"/>
      <c r="F268" s="584" t="s">
        <v>439</v>
      </c>
      <c r="G268" s="589" t="s">
        <v>18</v>
      </c>
      <c r="H268" s="589" t="s">
        <v>18</v>
      </c>
    </row>
    <row r="269" customFormat="false" ht="16" hidden="false" customHeight="false" outlineLevel="0" collapsed="false">
      <c r="B269" s="590" t="s">
        <v>106</v>
      </c>
      <c r="C269" s="590" t="s">
        <v>10</v>
      </c>
      <c r="D269" s="591" t="s">
        <v>440</v>
      </c>
      <c r="E269" s="591"/>
      <c r="F269" s="591" t="s">
        <v>235</v>
      </c>
      <c r="G269" s="589" t="s">
        <v>20</v>
      </c>
      <c r="H269" s="589" t="s">
        <v>20</v>
      </c>
      <c r="L269" s="592"/>
    </row>
    <row r="270" customFormat="false" ht="13" hidden="false" customHeight="false" outlineLevel="0" collapsed="false">
      <c r="B270" s="590" t="s">
        <v>1</v>
      </c>
      <c r="C270" s="593" t="s">
        <v>441</v>
      </c>
      <c r="D270" s="591" t="s">
        <v>105</v>
      </c>
      <c r="E270" s="591"/>
      <c r="F270" s="591" t="s">
        <v>154</v>
      </c>
      <c r="G270" s="589" t="s">
        <v>22</v>
      </c>
      <c r="H270" s="589" t="s">
        <v>22</v>
      </c>
    </row>
    <row r="271" customFormat="false" ht="16" hidden="false" customHeight="false" outlineLevel="0" collapsed="false">
      <c r="C271" s="591" t="s">
        <v>442</v>
      </c>
      <c r="D271" s="594"/>
      <c r="E271" s="594"/>
      <c r="F271" s="591" t="s">
        <v>225</v>
      </c>
      <c r="G271" s="589" t="s">
        <v>23</v>
      </c>
      <c r="H271" s="589" t="s">
        <v>23</v>
      </c>
      <c r="L271" s="592"/>
    </row>
    <row r="272" customFormat="false" ht="13" hidden="false" customHeight="false" outlineLevel="0" collapsed="false">
      <c r="B272" s="594"/>
      <c r="C272" s="594"/>
      <c r="D272" s="594"/>
      <c r="E272" s="594"/>
      <c r="F272" s="591" t="s">
        <v>158</v>
      </c>
      <c r="G272" s="589" t="s">
        <v>24</v>
      </c>
      <c r="H272" s="589" t="s">
        <v>24</v>
      </c>
    </row>
    <row r="273" customFormat="false" ht="13" hidden="false" customHeight="false" outlineLevel="0" collapsed="false">
      <c r="B273" s="594"/>
      <c r="C273" s="594"/>
      <c r="D273" s="594"/>
      <c r="E273" s="594"/>
      <c r="F273" s="591" t="s">
        <v>87</v>
      </c>
      <c r="G273" s="589" t="s">
        <v>25</v>
      </c>
      <c r="H273" s="589" t="s">
        <v>25</v>
      </c>
    </row>
    <row r="274" customFormat="false" ht="13" hidden="false" customHeight="false" outlineLevel="0" collapsed="false">
      <c r="B274" s="594"/>
      <c r="C274" s="594"/>
      <c r="D274" s="594"/>
      <c r="E274" s="594"/>
      <c r="F274" s="591" t="s">
        <v>263</v>
      </c>
      <c r="G274" s="589" t="s">
        <v>26</v>
      </c>
      <c r="H274" s="589" t="s">
        <v>26</v>
      </c>
    </row>
    <row r="275" customFormat="false" ht="13" hidden="false" customHeight="false" outlineLevel="0" collapsed="false">
      <c r="B275" s="594"/>
      <c r="C275" s="594"/>
      <c r="D275" s="594"/>
      <c r="E275" s="594"/>
      <c r="F275" s="591" t="s">
        <v>269</v>
      </c>
      <c r="G275" s="589" t="s">
        <v>27</v>
      </c>
      <c r="H275" s="589" t="s">
        <v>27</v>
      </c>
    </row>
    <row r="276" customFormat="false" ht="13" hidden="false" customHeight="false" outlineLevel="0" collapsed="false">
      <c r="B276" s="594"/>
      <c r="C276" s="594"/>
      <c r="D276" s="594"/>
      <c r="E276" s="594"/>
      <c r="F276" s="594"/>
      <c r="G276" s="589" t="s">
        <v>28</v>
      </c>
      <c r="H276" s="589" t="s">
        <v>28</v>
      </c>
    </row>
    <row r="277" customFormat="false" ht="13" hidden="false" customHeight="false" outlineLevel="0" collapsed="false">
      <c r="B277" s="594"/>
      <c r="C277" s="594"/>
      <c r="D277" s="594"/>
      <c r="E277" s="594"/>
      <c r="F277" s="594"/>
      <c r="G277" s="589" t="s">
        <v>29</v>
      </c>
      <c r="H277" s="589" t="s">
        <v>29</v>
      </c>
    </row>
    <row r="278" customFormat="false" ht="13" hidden="false" customHeight="false" outlineLevel="0" collapsed="false">
      <c r="B278" s="594"/>
      <c r="C278" s="594"/>
      <c r="D278" s="594"/>
      <c r="E278" s="594"/>
      <c r="F278" s="594"/>
      <c r="G278" s="589" t="s">
        <v>30</v>
      </c>
      <c r="H278" s="589" t="s">
        <v>30</v>
      </c>
    </row>
    <row r="279" customFormat="false" ht="13" hidden="false" customHeight="false" outlineLevel="0" collapsed="false">
      <c r="B279" s="594"/>
      <c r="C279" s="594"/>
      <c r="D279" s="594"/>
      <c r="E279" s="594"/>
      <c r="F279" s="594"/>
      <c r="G279" s="589" t="s">
        <v>31</v>
      </c>
      <c r="H279" s="589" t="s">
        <v>31</v>
      </c>
    </row>
    <row r="280" customFormat="false" ht="13" hidden="false" customHeight="false" outlineLevel="0" collapsed="false">
      <c r="B280" s="594"/>
      <c r="C280" s="594"/>
      <c r="D280" s="594"/>
      <c r="E280" s="594"/>
      <c r="F280" s="594"/>
      <c r="G280" s="595"/>
      <c r="H280" s="589" t="s">
        <v>32</v>
      </c>
    </row>
    <row r="281" customFormat="false" ht="13" hidden="false" customHeight="false" outlineLevel="0" collapsed="false">
      <c r="B281" s="594"/>
      <c r="C281" s="594"/>
      <c r="D281" s="594"/>
      <c r="E281" s="594"/>
      <c r="F281" s="594"/>
      <c r="G281" s="595"/>
      <c r="H281" s="589" t="s">
        <v>33</v>
      </c>
    </row>
    <row r="282" customFormat="false" ht="13" hidden="false" customHeight="false" outlineLevel="0" collapsed="false">
      <c r="B282" s="594"/>
      <c r="C282" s="594"/>
      <c r="D282" s="594"/>
      <c r="E282" s="594"/>
      <c r="F282" s="594"/>
      <c r="G282" s="595"/>
      <c r="H282" s="589" t="s">
        <v>34</v>
      </c>
    </row>
    <row r="283" customFormat="false" ht="13" hidden="false" customHeight="false" outlineLevel="0" collapsed="false">
      <c r="B283" s="594"/>
      <c r="C283" s="594"/>
      <c r="D283" s="594"/>
      <c r="E283" s="594"/>
      <c r="F283" s="594"/>
      <c r="G283" s="594"/>
      <c r="H283" s="589" t="s">
        <v>35</v>
      </c>
    </row>
    <row r="284" customFormat="false" ht="13" hidden="false" customHeight="false" outlineLevel="0" collapsed="false">
      <c r="B284" s="594"/>
      <c r="C284" s="594"/>
      <c r="D284" s="594"/>
      <c r="E284" s="594"/>
      <c r="F284" s="594"/>
      <c r="G284" s="595"/>
      <c r="H284" s="589" t="s">
        <v>36</v>
      </c>
    </row>
    <row r="285" customFormat="false" ht="13" hidden="false" customHeight="false" outlineLevel="0" collapsed="false">
      <c r="B285" s="594"/>
      <c r="C285" s="594"/>
      <c r="D285" s="594"/>
      <c r="E285" s="594"/>
      <c r="F285" s="594"/>
      <c r="G285" s="595"/>
      <c r="H285" s="589" t="s">
        <v>37</v>
      </c>
    </row>
    <row r="286" customFormat="false" ht="13" hidden="false" customHeight="false" outlineLevel="0" collapsed="false">
      <c r="B286" s="594"/>
      <c r="C286" s="594"/>
      <c r="D286" s="594"/>
      <c r="E286" s="594"/>
      <c r="F286" s="594"/>
      <c r="G286" s="595"/>
      <c r="H286" s="589" t="s">
        <v>38</v>
      </c>
    </row>
    <row r="287" customFormat="false" ht="13" hidden="false" customHeight="false" outlineLevel="0" collapsed="false">
      <c r="B287" s="594"/>
      <c r="C287" s="594"/>
      <c r="D287" s="594"/>
      <c r="E287" s="594"/>
      <c r="F287" s="594"/>
      <c r="G287" s="595"/>
      <c r="H287" s="589" t="s">
        <v>39</v>
      </c>
    </row>
    <row r="288" customFormat="false" ht="13" hidden="false" customHeight="false" outlineLevel="0" collapsed="false">
      <c r="B288" s="594"/>
      <c r="C288" s="594"/>
      <c r="D288" s="594"/>
      <c r="E288" s="594"/>
      <c r="F288" s="594"/>
      <c r="G288" s="595"/>
      <c r="H288" s="589" t="s">
        <v>40</v>
      </c>
    </row>
    <row r="289" customFormat="false" ht="13" hidden="false" customHeight="false" outlineLevel="0" collapsed="false">
      <c r="B289" s="594"/>
      <c r="C289" s="594"/>
      <c r="D289" s="594"/>
      <c r="E289" s="594"/>
      <c r="F289" s="594"/>
      <c r="G289" s="595"/>
      <c r="H289" s="589" t="s">
        <v>41</v>
      </c>
    </row>
    <row r="290" customFormat="false" ht="13" hidden="false" customHeight="false" outlineLevel="0" collapsed="false">
      <c r="B290" s="594"/>
      <c r="C290" s="594"/>
      <c r="D290" s="594"/>
      <c r="E290" s="594"/>
      <c r="F290" s="594"/>
      <c r="G290" s="595"/>
      <c r="H290" s="589" t="s">
        <v>42</v>
      </c>
    </row>
    <row r="291" customFormat="false" ht="13" hidden="false" customHeight="false" outlineLevel="0" collapsed="false">
      <c r="B291" s="594"/>
      <c r="C291" s="594"/>
      <c r="D291" s="594"/>
      <c r="E291" s="594"/>
      <c r="F291" s="594"/>
      <c r="G291" s="594"/>
      <c r="H291" s="589" t="s">
        <v>43</v>
      </c>
    </row>
    <row r="292" customFormat="false" ht="13" hidden="false" customHeight="false" outlineLevel="0" collapsed="false">
      <c r="B292" s="594"/>
      <c r="C292" s="594"/>
      <c r="D292" s="594"/>
      <c r="E292" s="594"/>
      <c r="F292" s="594"/>
      <c r="G292" s="594"/>
      <c r="H292" s="589" t="s">
        <v>44</v>
      </c>
    </row>
    <row r="293" customFormat="false" ht="13" hidden="false" customHeight="false" outlineLevel="0" collapsed="false">
      <c r="B293" s="594"/>
      <c r="C293" s="594"/>
      <c r="D293" s="594"/>
      <c r="E293" s="594"/>
      <c r="F293" s="594"/>
      <c r="G293" s="594"/>
      <c r="H293" s="589" t="s">
        <v>45</v>
      </c>
    </row>
    <row r="294" customFormat="false" ht="13" hidden="false" customHeight="false" outlineLevel="0" collapsed="false">
      <c r="B294" s="594"/>
      <c r="C294" s="594"/>
      <c r="D294" s="594"/>
      <c r="E294" s="594"/>
      <c r="F294" s="594"/>
      <c r="G294" s="594"/>
      <c r="H294" s="589" t="s">
        <v>46</v>
      </c>
    </row>
    <row r="295" customFormat="false" ht="13" hidden="false" customHeight="false" outlineLevel="0" collapsed="false">
      <c r="B295" s="594"/>
      <c r="C295" s="594"/>
      <c r="D295" s="594"/>
      <c r="E295" s="594"/>
      <c r="F295" s="594"/>
      <c r="G295" s="594"/>
      <c r="H295" s="589" t="s">
        <v>47</v>
      </c>
    </row>
    <row r="296" customFormat="false" ht="13" hidden="false" customHeight="false" outlineLevel="0" collapsed="false">
      <c r="B296" s="594"/>
      <c r="C296" s="594"/>
      <c r="D296" s="594"/>
      <c r="E296" s="594"/>
      <c r="F296" s="594"/>
      <c r="G296" s="594"/>
      <c r="H296" s="589" t="s">
        <v>48</v>
      </c>
    </row>
    <row r="297" customFormat="false" ht="13" hidden="false" customHeight="false" outlineLevel="0" collapsed="false">
      <c r="B297" s="594"/>
      <c r="C297" s="594"/>
      <c r="D297" s="594"/>
      <c r="E297" s="594"/>
      <c r="F297" s="594"/>
      <c r="G297" s="594"/>
      <c r="H297" s="589" t="s">
        <v>49</v>
      </c>
    </row>
    <row r="298" customFormat="false" ht="13" hidden="false" customHeight="false" outlineLevel="0" collapsed="false">
      <c r="B298" s="594"/>
      <c r="C298" s="594"/>
      <c r="D298" s="594"/>
      <c r="E298" s="594"/>
      <c r="F298" s="594"/>
      <c r="H298" s="589" t="s">
        <v>50</v>
      </c>
    </row>
  </sheetData>
  <sheetProtection sheet="true" password="cf1f" objects="true" scenarios="true"/>
  <mergeCells count="133">
    <mergeCell ref="E2:F2"/>
    <mergeCell ref="G2:H2"/>
    <mergeCell ref="C4:E4"/>
    <mergeCell ref="F4:H4"/>
    <mergeCell ref="I4:K4"/>
    <mergeCell ref="B63:D63"/>
    <mergeCell ref="B65:M65"/>
    <mergeCell ref="H66:M66"/>
    <mergeCell ref="D67:E67"/>
    <mergeCell ref="W68:X68"/>
    <mergeCell ref="W69:X69"/>
    <mergeCell ref="W70:X70"/>
    <mergeCell ref="D73:E73"/>
    <mergeCell ref="H73:M73"/>
    <mergeCell ref="D74:E74"/>
    <mergeCell ref="D75:E75"/>
    <mergeCell ref="D76:E76"/>
    <mergeCell ref="D77:E77"/>
    <mergeCell ref="D78:E78"/>
    <mergeCell ref="D79:E79"/>
    <mergeCell ref="O80:P80"/>
    <mergeCell ref="B87:C87"/>
    <mergeCell ref="B204:I204"/>
    <mergeCell ref="J204:M204"/>
    <mergeCell ref="B205:E205"/>
    <mergeCell ref="F205:I205"/>
    <mergeCell ref="B206:E206"/>
    <mergeCell ref="J206:M206"/>
    <mergeCell ref="J207:M207"/>
    <mergeCell ref="B208:E208"/>
    <mergeCell ref="J208:M208"/>
    <mergeCell ref="B209:E209"/>
    <mergeCell ref="J209:M209"/>
    <mergeCell ref="J210:M210"/>
    <mergeCell ref="B211:E211"/>
    <mergeCell ref="J211:M211"/>
    <mergeCell ref="J212:M212"/>
    <mergeCell ref="J213:M213"/>
    <mergeCell ref="J214:M214"/>
    <mergeCell ref="J215:M215"/>
    <mergeCell ref="J216:M216"/>
    <mergeCell ref="J217:M217"/>
    <mergeCell ref="J218:M218"/>
    <mergeCell ref="J219:M219"/>
    <mergeCell ref="J220:M220"/>
    <mergeCell ref="J221:M221"/>
    <mergeCell ref="B222:E222"/>
    <mergeCell ref="F222:I222"/>
    <mergeCell ref="J222:M222"/>
    <mergeCell ref="J223:M223"/>
    <mergeCell ref="J224:M224"/>
    <mergeCell ref="B226:M226"/>
    <mergeCell ref="B227:E227"/>
    <mergeCell ref="F227:I227"/>
    <mergeCell ref="J227:M227"/>
    <mergeCell ref="B228:E228"/>
    <mergeCell ref="F228:I228"/>
    <mergeCell ref="J228:M228"/>
    <mergeCell ref="B229:E229"/>
    <mergeCell ref="F229:I229"/>
    <mergeCell ref="J229:M229"/>
    <mergeCell ref="B230:E230"/>
    <mergeCell ref="J230:M230"/>
    <mergeCell ref="B231:E231"/>
    <mergeCell ref="J231:M231"/>
    <mergeCell ref="B232:E232"/>
    <mergeCell ref="J232:M232"/>
    <mergeCell ref="B233:E233"/>
    <mergeCell ref="J233:M233"/>
    <mergeCell ref="B234:E234"/>
    <mergeCell ref="J234:M234"/>
    <mergeCell ref="B235:E235"/>
    <mergeCell ref="J235:M235"/>
    <mergeCell ref="B236:E236"/>
    <mergeCell ref="J236:M236"/>
    <mergeCell ref="B237:E237"/>
    <mergeCell ref="J237:M237"/>
    <mergeCell ref="B238:E238"/>
    <mergeCell ref="J238:M238"/>
    <mergeCell ref="B239:E239"/>
    <mergeCell ref="J239:M239"/>
    <mergeCell ref="B240:E240"/>
    <mergeCell ref="J240:M240"/>
    <mergeCell ref="B241:E241"/>
    <mergeCell ref="J241:M241"/>
    <mergeCell ref="B242:E242"/>
    <mergeCell ref="J242:M242"/>
    <mergeCell ref="B243:E243"/>
    <mergeCell ref="J243:M243"/>
    <mergeCell ref="B244:E244"/>
    <mergeCell ref="J244:M244"/>
    <mergeCell ref="B245:E245"/>
    <mergeCell ref="J245:M245"/>
    <mergeCell ref="B246:E246"/>
    <mergeCell ref="J246:M246"/>
    <mergeCell ref="B247:E247"/>
    <mergeCell ref="J247:M247"/>
    <mergeCell ref="B248:E248"/>
    <mergeCell ref="J248:M248"/>
    <mergeCell ref="B249:E249"/>
    <mergeCell ref="J249:M249"/>
    <mergeCell ref="B250:E250"/>
    <mergeCell ref="F250:I250"/>
    <mergeCell ref="J250:M250"/>
    <mergeCell ref="B251:E251"/>
    <mergeCell ref="J251:M251"/>
    <mergeCell ref="B252:E252"/>
    <mergeCell ref="J252:M252"/>
    <mergeCell ref="B253:E253"/>
    <mergeCell ref="J253:M253"/>
    <mergeCell ref="B254:E254"/>
    <mergeCell ref="F254:I254"/>
    <mergeCell ref="J254:M254"/>
    <mergeCell ref="B255:E255"/>
    <mergeCell ref="J255:M255"/>
    <mergeCell ref="B256:E256"/>
    <mergeCell ref="J256:M256"/>
    <mergeCell ref="B257:E257"/>
    <mergeCell ref="F257:I257"/>
    <mergeCell ref="J257:M257"/>
    <mergeCell ref="B258:E258"/>
    <mergeCell ref="J258:M258"/>
    <mergeCell ref="B259:E259"/>
    <mergeCell ref="J259:M259"/>
    <mergeCell ref="B260:E260"/>
    <mergeCell ref="J260:M260"/>
    <mergeCell ref="B261:E261"/>
    <mergeCell ref="J261:M261"/>
    <mergeCell ref="B262:E262"/>
    <mergeCell ref="J262:M262"/>
    <mergeCell ref="B263:E263"/>
    <mergeCell ref="J263:M263"/>
    <mergeCell ref="J264:M264"/>
  </mergeCells>
  <conditionalFormatting sqref="A82:N298">
    <cfRule type="expression" priority="2" aboveAverage="0" equalAverage="0" bottom="0" percent="0" rank="0" text="" dxfId="88">
      <formula>$Q$80="Aus"</formula>
    </cfRule>
  </conditionalFormatting>
  <conditionalFormatting sqref="B155:E155 G155">
    <cfRule type="expression" priority="3" aboveAverage="0" equalAverage="0" bottom="0" percent="0" rank="0" text="" dxfId="89">
      <formula>$Q$79="Aus"</formula>
    </cfRule>
  </conditionalFormatting>
  <dataValidations count="4">
    <dataValidation allowBlank="true" operator="between" showDropDown="false" showErrorMessage="true" showInputMessage="true" sqref="C67:C72" type="list">
      <formula1>$G$268:$G$279</formula1>
      <formula2>0</formula2>
    </dataValidation>
    <dataValidation allowBlank="true" operator="between" showDropDown="false" showErrorMessage="true" showInputMessage="true" sqref="E63" type="list">
      <formula1>$F$269:$F$275</formula1>
      <formula2>0</formula2>
    </dataValidation>
    <dataValidation allowBlank="true" operator="between" showDropDown="false" showErrorMessage="true" showInputMessage="true" sqref="B67:B72" type="list">
      <formula1>$H$268:$H$298</formula1>
      <formula2>0</formula2>
    </dataValidation>
    <dataValidation allowBlank="true" operator="between" showDropDown="false" showErrorMessage="true" showInputMessage="true" sqref="Q80" type="list">
      <formula1>$D$269:$D$270</formula1>
      <formula2>0</formula2>
    </dataValidation>
  </dataValidation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48"/>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E18" activeCellId="0" sqref="E18"/>
    </sheetView>
  </sheetViews>
  <sheetFormatPr defaultColWidth="11.515625" defaultRowHeight="13" zeroHeight="false" outlineLevelRow="0" outlineLevelCol="0"/>
  <cols>
    <col collapsed="false" customWidth="true" hidden="false" outlineLevel="0" max="1" min="1" style="24" width="13.66"/>
    <col collapsed="false" customWidth="true" hidden="false" outlineLevel="0" max="2" min="2" style="24" width="25.52"/>
    <col collapsed="false" customWidth="true" hidden="false" outlineLevel="0" max="14" min="3" style="24" width="13.66"/>
    <col collapsed="false" customWidth="true" hidden="false" outlineLevel="0" max="15" min="15" style="24" width="10.65"/>
    <col collapsed="false" customWidth="false" hidden="false" outlineLevel="0" max="1024" min="16" style="24" width="11.5"/>
  </cols>
  <sheetData>
    <row r="1" customFormat="false" ht="13.5" hidden="false" customHeight="true" outlineLevel="0" collapsed="false">
      <c r="A1" s="25" t="str">
        <f aca="false">Para1!F166</f>
        <v>personal data</v>
      </c>
      <c r="B1" s="26"/>
      <c r="C1" s="26"/>
      <c r="D1" s="26"/>
      <c r="E1" s="26"/>
      <c r="F1" s="26"/>
      <c r="G1" s="26"/>
      <c r="H1" s="26"/>
      <c r="I1" s="26"/>
      <c r="J1" s="27"/>
      <c r="K1" s="26"/>
      <c r="L1" s="26"/>
      <c r="M1" s="26"/>
      <c r="N1" s="26"/>
      <c r="O1" s="28"/>
    </row>
    <row r="2" customFormat="false" ht="13.5" hidden="false" customHeight="true" outlineLevel="0" collapsed="false">
      <c r="A2" s="29"/>
      <c r="B2" s="30" t="str">
        <f aca="false">Para1!F196</f>
        <v>first name:</v>
      </c>
      <c r="C2" s="31" t="s">
        <v>8</v>
      </c>
      <c r="D2" s="31"/>
      <c r="E2" s="32"/>
      <c r="F2" s="30" t="str">
        <f aca="false">Para1!F159</f>
        <v>surname:</v>
      </c>
      <c r="G2" s="31" t="s">
        <v>9</v>
      </c>
      <c r="H2" s="31"/>
      <c r="I2" s="32"/>
      <c r="J2" s="30" t="str">
        <f aca="false">Para1!F133</f>
        <v>year of birth (4-digit):</v>
      </c>
      <c r="K2" s="33" t="n">
        <v>1994</v>
      </c>
      <c r="L2" s="34" t="str">
        <f aca="false">Para1!F188</f>
        <v>mandatory!</v>
      </c>
      <c r="M2" s="32"/>
      <c r="N2" s="30" t="str">
        <f aca="false">Para1!F131</f>
        <v>year:</v>
      </c>
      <c r="O2" s="35" t="n">
        <f aca="false">Para1!C2</f>
        <v>2021</v>
      </c>
    </row>
    <row r="3" customFormat="false" ht="13.5" hidden="false" customHeight="true" outlineLevel="0" collapsed="false">
      <c r="A3" s="29"/>
      <c r="B3" s="32"/>
      <c r="C3" s="36"/>
      <c r="D3" s="36"/>
      <c r="E3" s="32"/>
      <c r="F3" s="32"/>
      <c r="G3" s="32"/>
      <c r="H3" s="32"/>
      <c r="I3" s="32"/>
      <c r="J3" s="30"/>
      <c r="K3" s="32"/>
      <c r="L3" s="32"/>
      <c r="M3" s="32"/>
      <c r="N3" s="32"/>
      <c r="O3" s="35"/>
    </row>
    <row r="4" customFormat="false" ht="13.5" hidden="false" customHeight="true" outlineLevel="0" collapsed="false">
      <c r="A4" s="25" t="str">
        <f aca="false">Para1!J215</f>
        <v>employment details</v>
      </c>
      <c r="B4" s="26"/>
      <c r="C4" s="26"/>
      <c r="D4" s="26"/>
      <c r="E4" s="26"/>
      <c r="F4" s="26"/>
      <c r="G4" s="26"/>
      <c r="H4" s="26"/>
      <c r="I4" s="26"/>
      <c r="J4" s="26"/>
      <c r="K4" s="26"/>
      <c r="L4" s="26"/>
      <c r="M4" s="26"/>
      <c r="N4" s="26"/>
      <c r="O4" s="37"/>
    </row>
    <row r="5" customFormat="false" ht="13.5" hidden="false" customHeight="true" outlineLevel="0" collapsed="false">
      <c r="A5" s="29"/>
      <c r="B5" s="30" t="str">
        <f aca="false">Para1!F165</f>
        <v>pers.-no.:</v>
      </c>
      <c r="C5" s="38" t="n">
        <v>381322</v>
      </c>
      <c r="D5" s="32"/>
      <c r="E5" s="32"/>
      <c r="F5" s="30" t="str">
        <f aca="false">Para1!F113</f>
        <v>starting date:</v>
      </c>
      <c r="G5" s="39" t="n">
        <v>42688</v>
      </c>
      <c r="H5" s="39"/>
      <c r="I5" s="32"/>
      <c r="N5" s="32"/>
      <c r="O5" s="40"/>
    </row>
    <row r="6" customFormat="false" ht="13.5" hidden="false" customHeight="true" outlineLevel="0" collapsed="false">
      <c r="A6" s="29"/>
      <c r="B6" s="30"/>
      <c r="D6" s="32"/>
      <c r="E6" s="32"/>
      <c r="F6" s="41"/>
      <c r="G6" s="42"/>
      <c r="H6" s="43"/>
      <c r="I6" s="32"/>
      <c r="N6" s="32"/>
      <c r="O6" s="40"/>
    </row>
    <row r="7" customFormat="false" ht="13.5" hidden="false" customHeight="true" outlineLevel="0" collapsed="false">
      <c r="A7" s="29" t="str">
        <f aca="false">Para1!F154</f>
        <v>month</v>
      </c>
      <c r="B7" s="32"/>
      <c r="C7" s="44" t="str">
        <f aca="false">Para1!F134</f>
        <v>January</v>
      </c>
      <c r="D7" s="44" t="str">
        <f aca="false">Para1!F116</f>
        <v>February</v>
      </c>
      <c r="E7" s="44" t="str">
        <f aca="false">Para1!F147</f>
        <v>March</v>
      </c>
      <c r="F7" s="44" t="str">
        <f aca="false">Para1!F85</f>
        <v>April</v>
      </c>
      <c r="G7" s="44" t="str">
        <f aca="false">Para1!F146</f>
        <v>May</v>
      </c>
      <c r="H7" s="44" t="str">
        <f aca="false">Para1!F137</f>
        <v>June</v>
      </c>
      <c r="I7" s="44" t="str">
        <f aca="false">Para1!F136</f>
        <v>July</v>
      </c>
      <c r="J7" s="44" t="str">
        <f aca="false">Para1!F94</f>
        <v>August</v>
      </c>
      <c r="K7" s="44" t="str">
        <f aca="false">Para1!F169</f>
        <v>September</v>
      </c>
      <c r="L7" s="44" t="str">
        <f aca="false">Para1!F164</f>
        <v>October</v>
      </c>
      <c r="M7" s="44" t="str">
        <f aca="false">Para1!F162</f>
        <v>November</v>
      </c>
      <c r="N7" s="44" t="str">
        <f aca="false">Para1!F107</f>
        <v>December</v>
      </c>
      <c r="O7" s="45" t="str">
        <f aca="false">Para1!F180&amp;" Ø"</f>
        <v>total Ø</v>
      </c>
    </row>
    <row r="8" customFormat="false" ht="13.5" hidden="false" customHeight="true" outlineLevel="0" collapsed="false">
      <c r="A8" s="29" t="str">
        <f aca="false">Para1!F97&amp;" in %"</f>
        <v>level of employment in %</v>
      </c>
      <c r="B8" s="32"/>
      <c r="C8" s="38" t="n">
        <v>100</v>
      </c>
      <c r="D8" s="38" t="n">
        <f aca="false">C8</f>
        <v>100</v>
      </c>
      <c r="E8" s="38" t="n">
        <f aca="false">D8</f>
        <v>100</v>
      </c>
      <c r="F8" s="38" t="n">
        <f aca="false">E8</f>
        <v>100</v>
      </c>
      <c r="G8" s="38" t="n">
        <f aca="false">F8</f>
        <v>100</v>
      </c>
      <c r="H8" s="38" t="n">
        <f aca="false">G8</f>
        <v>100</v>
      </c>
      <c r="I8" s="38" t="n">
        <f aca="false">H8</f>
        <v>100</v>
      </c>
      <c r="J8" s="38" t="n">
        <f aca="false">I8</f>
        <v>100</v>
      </c>
      <c r="K8" s="38" t="n">
        <f aca="false">J8</f>
        <v>100</v>
      </c>
      <c r="L8" s="38" t="n">
        <f aca="false">K8</f>
        <v>100</v>
      </c>
      <c r="M8" s="38" t="n">
        <f aca="false">L8</f>
        <v>100</v>
      </c>
      <c r="N8" s="38" t="n">
        <f aca="false">M8</f>
        <v>100</v>
      </c>
      <c r="O8" s="46" t="n">
        <f aca="false">IF(SUM(C8:N8)=0,0,ROUND(AVERAGE($C$8:$N$8)/(12-FREQUENCY($C$8:$N$8,0))*12,0))</f>
        <v>100</v>
      </c>
    </row>
    <row r="9" customFormat="false" ht="13.5" hidden="false" customHeight="true" outlineLevel="0" collapsed="false">
      <c r="A9" s="47" t="str">
        <f aca="false">Para1!F123</f>
        <v>salary class</v>
      </c>
      <c r="B9" s="48"/>
      <c r="C9" s="49" t="s">
        <v>10</v>
      </c>
      <c r="D9" s="49" t="str">
        <f aca="false">C9</f>
        <v>1-18</v>
      </c>
      <c r="E9" s="49" t="str">
        <f aca="false">D9</f>
        <v>1-18</v>
      </c>
      <c r="F9" s="49" t="s">
        <v>10</v>
      </c>
      <c r="G9" s="49" t="str">
        <f aca="false">F9</f>
        <v>1-18</v>
      </c>
      <c r="H9" s="49" t="str">
        <f aca="false">G9</f>
        <v>1-18</v>
      </c>
      <c r="I9" s="49" t="str">
        <f aca="false">H9</f>
        <v>1-18</v>
      </c>
      <c r="J9" s="49" t="str">
        <f aca="false">I9</f>
        <v>1-18</v>
      </c>
      <c r="K9" s="49" t="str">
        <f aca="false">J9</f>
        <v>1-18</v>
      </c>
      <c r="L9" s="49" t="str">
        <f aca="false">K9</f>
        <v>1-18</v>
      </c>
      <c r="M9" s="49" t="str">
        <f aca="false">L9</f>
        <v>1-18</v>
      </c>
      <c r="N9" s="50" t="str">
        <f aca="false">M9</f>
        <v>1-18</v>
      </c>
      <c r="O9" s="51"/>
      <c r="Q9" s="52"/>
    </row>
    <row r="10" customFormat="false" ht="13.5" hidden="false" customHeight="true" outlineLevel="0" collapsed="false">
      <c r="A10" s="53" t="str">
        <f aca="false">Para1!F95</f>
        <v>comment:</v>
      </c>
      <c r="B10" s="26"/>
      <c r="C10" s="54"/>
      <c r="D10" s="54"/>
      <c r="E10" s="54"/>
      <c r="F10" s="54"/>
      <c r="G10" s="54"/>
      <c r="H10" s="26"/>
      <c r="I10" s="26"/>
      <c r="J10" s="26"/>
      <c r="K10" s="26"/>
      <c r="L10" s="26"/>
      <c r="M10" s="26"/>
      <c r="N10" s="26"/>
      <c r="O10" s="55" t="str">
        <f aca="false">Para1!C269</f>
        <v>1-18</v>
      </c>
      <c r="Q10" s="52"/>
    </row>
    <row r="11" customFormat="false" ht="13.5" hidden="false" customHeight="true" outlineLevel="0" collapsed="false">
      <c r="A11" s="29"/>
      <c r="B11" s="32"/>
      <c r="C11" s="54"/>
      <c r="D11" s="54"/>
      <c r="E11" s="54"/>
      <c r="F11" s="54"/>
      <c r="G11" s="54"/>
      <c r="H11" s="32"/>
      <c r="I11" s="32"/>
      <c r="J11" s="32"/>
      <c r="K11" s="32"/>
      <c r="L11" s="32"/>
      <c r="M11" s="32"/>
      <c r="N11" s="32"/>
      <c r="O11" s="56" t="str">
        <f aca="false">Para1!C270</f>
        <v>19-30</v>
      </c>
      <c r="Q11" s="52"/>
    </row>
    <row r="12" customFormat="false" ht="13.5" hidden="false" customHeight="true" outlineLevel="0" collapsed="false">
      <c r="A12" s="47"/>
      <c r="B12" s="48"/>
      <c r="C12" s="48"/>
      <c r="D12" s="48"/>
      <c r="E12" s="48"/>
      <c r="F12" s="48"/>
      <c r="G12" s="48"/>
      <c r="H12" s="48"/>
      <c r="I12" s="48"/>
      <c r="J12" s="48"/>
      <c r="K12" s="48"/>
      <c r="L12" s="48"/>
      <c r="M12" s="48"/>
      <c r="N12" s="48"/>
      <c r="O12" s="57" t="str">
        <f aca="false">Para1!C271</f>
        <v>LE</v>
      </c>
      <c r="Q12" s="52"/>
    </row>
    <row r="13" customFormat="false" ht="5" hidden="false" customHeight="true" outlineLevel="0" collapsed="false">
      <c r="Q13" s="52"/>
    </row>
    <row r="14" customFormat="false" ht="14" hidden="false" customHeight="false" outlineLevel="0" collapsed="false">
      <c r="A14" s="25" t="str">
        <f aca="false">Para1!F184&amp;": "&amp;Para1!C2-1&amp;" =&gt; "&amp;Para1!C2</f>
        <v>hours left from last year: 2020 =&gt; 2021</v>
      </c>
      <c r="B14" s="26"/>
      <c r="C14" s="58" t="str">
        <f aca="false">Para1!F104</f>
        <v>(please enter in hours and minutes)</v>
      </c>
      <c r="D14" s="26"/>
      <c r="E14" s="26"/>
      <c r="F14" s="26"/>
      <c r="G14" s="28"/>
      <c r="H14" s="59" t="str">
        <f aca="false">Para1!F183&amp;": "&amp;Para1!C2&amp;" =&gt; "&amp;Para1!C2+1</f>
        <v>hours to transfer to the next year: 2021 =&gt; 2022</v>
      </c>
      <c r="I14" s="26"/>
      <c r="J14" s="26"/>
      <c r="K14" s="26"/>
      <c r="L14" s="26"/>
      <c r="M14" s="26"/>
      <c r="N14" s="26"/>
      <c r="O14" s="28"/>
      <c r="Q14" s="52"/>
    </row>
    <row r="15" customFormat="false" ht="13" hidden="false" customHeight="false" outlineLevel="0" collapsed="false">
      <c r="A15" s="29"/>
      <c r="B15" s="32"/>
      <c r="C15" s="32"/>
      <c r="D15" s="32"/>
      <c r="E15" s="32"/>
      <c r="F15" s="32"/>
      <c r="G15" s="35"/>
      <c r="H15" s="32"/>
      <c r="I15" s="32"/>
      <c r="J15" s="32"/>
      <c r="K15" s="32"/>
      <c r="L15" s="32"/>
      <c r="M15" s="32"/>
      <c r="N15" s="32"/>
      <c r="O15" s="35"/>
      <c r="Q15" s="52"/>
    </row>
    <row r="16" customFormat="false" ht="12.75" hidden="false" customHeight="true" outlineLevel="0" collapsed="false">
      <c r="A16" s="60" t="str">
        <f aca="false">Para1!F117&amp;"-"&amp;Para1!F171&amp;" in "&amp;Para1!F176</f>
        <v>holiday-balance in hours</v>
      </c>
      <c r="B16" s="32"/>
      <c r="C16" s="61" t="n">
        <v>0.04375</v>
      </c>
      <c r="D16" s="62"/>
      <c r="E16" s="32"/>
      <c r="F16" s="32"/>
      <c r="G16" s="35"/>
      <c r="H16" s="34" t="str">
        <f aca="false">Para1!F117&amp;"-"&amp;Para1!F171</f>
        <v>holiday-balance</v>
      </c>
      <c r="I16" s="32"/>
      <c r="J16" s="32"/>
      <c r="K16" s="63" t="n">
        <f aca="false">'Jahresübersicht (Overview)'!O17+IF(K22&lt;0,K22,0)</f>
        <v>0.393750000000002</v>
      </c>
      <c r="L16" s="64" t="str">
        <f aca="false">IF((K16*24+(4.2*O8/100))&lt;0,Para1!J224,IF(K16&gt;0,"",Para1!J223))</f>
        <v/>
      </c>
      <c r="M16" s="65"/>
      <c r="N16" s="65"/>
      <c r="O16" s="66"/>
      <c r="Q16" s="52"/>
    </row>
    <row r="17" customFormat="false" ht="13" hidden="false" customHeight="false" outlineLevel="0" collapsed="false">
      <c r="A17" s="29"/>
      <c r="B17" s="32"/>
      <c r="C17" s="32"/>
      <c r="D17" s="32"/>
      <c r="E17" s="32"/>
      <c r="F17" s="32"/>
      <c r="G17" s="35"/>
      <c r="H17" s="32"/>
      <c r="I17" s="32"/>
      <c r="J17" s="32"/>
      <c r="K17" s="67"/>
      <c r="L17" s="65"/>
      <c r="M17" s="65"/>
      <c r="N17" s="65"/>
      <c r="O17" s="66"/>
      <c r="Q17" s="52"/>
    </row>
    <row r="18" customFormat="false" ht="13" hidden="false" customHeight="false" outlineLevel="0" collapsed="false">
      <c r="A18" s="68" t="str">
        <f aca="false">Para1!F182</f>
        <v>loyalty premium</v>
      </c>
      <c r="B18" s="68"/>
      <c r="C18" s="69" t="n">
        <v>0</v>
      </c>
      <c r="D18" s="70"/>
      <c r="E18" s="32"/>
      <c r="F18" s="32"/>
      <c r="G18" s="35"/>
      <c r="H18" s="32"/>
      <c r="J18" s="32"/>
      <c r="L18" s="65"/>
      <c r="M18" s="65"/>
      <c r="N18" s="65"/>
      <c r="O18" s="66"/>
      <c r="Q18" s="52"/>
    </row>
    <row r="19" customFormat="false" ht="13" hidden="false" customHeight="false" outlineLevel="0" collapsed="false">
      <c r="A19" s="60"/>
      <c r="B19" s="32"/>
      <c r="C19" s="32"/>
      <c r="D19" s="32"/>
      <c r="E19" s="32"/>
      <c r="F19" s="32"/>
      <c r="G19" s="35"/>
      <c r="H19" s="32"/>
      <c r="I19" s="34" t="str">
        <f aca="false">Para1!J217</f>
        <v>Required minimum holiday deduction</v>
      </c>
      <c r="J19" s="32"/>
      <c r="K19" s="67"/>
      <c r="L19" s="65"/>
      <c r="M19" s="65"/>
      <c r="N19" s="65"/>
      <c r="O19" s="66"/>
      <c r="Q19" s="52"/>
    </row>
    <row r="20" customFormat="false" ht="13" hidden="false" customHeight="false" outlineLevel="0" collapsed="false">
      <c r="A20" s="60"/>
      <c r="B20" s="32"/>
      <c r="C20" s="71"/>
      <c r="D20" s="72"/>
      <c r="E20" s="32"/>
      <c r="F20" s="32"/>
      <c r="G20" s="32"/>
      <c r="H20" s="29"/>
      <c r="I20" s="32" t="str">
        <f aca="false">Para1!J219</f>
        <v>Holidays taken</v>
      </c>
      <c r="J20" s="73"/>
      <c r="K20" s="71" t="n">
        <f aca="false">'Jahresübersicht (Overview)'!O15</f>
        <v>8.4</v>
      </c>
      <c r="L20" s="32"/>
      <c r="M20" s="32"/>
      <c r="N20" s="32"/>
      <c r="O20" s="35"/>
      <c r="Q20" s="52"/>
    </row>
    <row r="21" customFormat="false" ht="13" hidden="false" customHeight="false" outlineLevel="0" collapsed="false">
      <c r="A21" s="60"/>
      <c r="B21" s="32"/>
      <c r="C21" s="74"/>
      <c r="D21" s="72"/>
      <c r="E21" s="32"/>
      <c r="F21" s="32"/>
      <c r="G21" s="32"/>
      <c r="H21" s="29"/>
      <c r="I21" s="32" t="str">
        <f aca="false">Para1!J220</f>
        <v>Min. prescribed deduction</v>
      </c>
      <c r="J21" s="44"/>
      <c r="K21" s="71" t="n">
        <f aca="false">(20*(12-FREQUENCY($C$8:$N$8,0))/12*$O$8/100*8.4)/24*(1-'Jahresübersicht (Overview)'!O16/('Jahresübersicht (Overview)'!O14-'Jahresübersicht (Overview)'!D11-'Jahresübersicht (Overview)'!G11))</f>
        <v>7</v>
      </c>
      <c r="L21" s="32"/>
      <c r="M21" s="73"/>
      <c r="N21" s="71"/>
      <c r="O21" s="35"/>
      <c r="Q21" s="52"/>
    </row>
    <row r="22" customFormat="false" ht="14" hidden="false" customHeight="false" outlineLevel="0" collapsed="false">
      <c r="A22" s="47"/>
      <c r="B22" s="48"/>
      <c r="C22" s="48"/>
      <c r="D22" s="48"/>
      <c r="E22" s="48"/>
      <c r="F22" s="48"/>
      <c r="G22" s="48"/>
      <c r="H22" s="47"/>
      <c r="I22" s="48" t="str">
        <f aca="false">Para1!F110</f>
        <v>difference</v>
      </c>
      <c r="J22" s="75"/>
      <c r="K22" s="76" t="n">
        <f aca="false">K20-K21</f>
        <v>1.4</v>
      </c>
      <c r="L22" s="77" t="str">
        <f aca="false">IF(K22&lt;0,Para1!J218,"")</f>
        <v/>
      </c>
      <c r="M22" s="48"/>
      <c r="N22" s="48"/>
      <c r="O22" s="51"/>
      <c r="Q22" s="52"/>
    </row>
    <row r="23" customFormat="false" ht="14" hidden="false" customHeight="false" outlineLevel="0" collapsed="false"/>
    <row r="24" customFormat="false" ht="12.75" hidden="false" customHeight="true" outlineLevel="0" collapsed="false">
      <c r="A24" s="78" t="str">
        <f aca="false">Para1!J222</f>
        <v>As off 2013, at least 20 days off per calendar year must be taken. If these minimum requirements are not met, the difference expires at the end of the calendar year without compensation (Art. 149 PV). Those days cannot be carried over to the following year.</v>
      </c>
      <c r="B24" s="78"/>
      <c r="C24" s="78"/>
      <c r="D24" s="78"/>
      <c r="E24" s="78"/>
      <c r="F24" s="78"/>
      <c r="G24" s="78"/>
      <c r="H24" s="78"/>
      <c r="I24" s="78"/>
      <c r="J24" s="78"/>
      <c r="K24" s="78"/>
      <c r="L24" s="78"/>
      <c r="M24" s="78"/>
      <c r="N24" s="78"/>
      <c r="O24" s="78"/>
    </row>
    <row r="25" customFormat="false" ht="13" hidden="false" customHeight="false" outlineLevel="0" collapsed="false">
      <c r="A25" s="78"/>
      <c r="B25" s="78"/>
      <c r="C25" s="78"/>
      <c r="D25" s="78"/>
      <c r="E25" s="78"/>
      <c r="F25" s="78"/>
      <c r="G25" s="78"/>
      <c r="H25" s="78"/>
      <c r="I25" s="78"/>
      <c r="J25" s="78"/>
      <c r="K25" s="78"/>
      <c r="L25" s="78"/>
      <c r="M25" s="78"/>
      <c r="N25" s="78"/>
      <c r="O25" s="78"/>
    </row>
    <row r="27" customFormat="false" ht="13" hidden="false" customHeight="false" outlineLevel="0" collapsed="false">
      <c r="B27" s="79"/>
    </row>
    <row r="28" customFormat="false" ht="13" hidden="false" customHeight="false" outlineLevel="0" collapsed="false">
      <c r="A28" s="80"/>
    </row>
    <row r="29" customFormat="false" ht="13" hidden="false" customHeight="false" outlineLevel="0" collapsed="false">
      <c r="A29" s="81"/>
    </row>
    <row r="32" customFormat="false" ht="13" hidden="false" customHeight="false" outlineLevel="0" collapsed="false">
      <c r="H32" s="32"/>
      <c r="I32" s="32"/>
      <c r="J32" s="32"/>
      <c r="K32" s="32"/>
    </row>
    <row r="33" customFormat="false" ht="13" hidden="false" customHeight="false" outlineLevel="0" collapsed="false">
      <c r="H33" s="32"/>
      <c r="I33" s="32"/>
      <c r="J33" s="32"/>
      <c r="K33" s="32"/>
    </row>
    <row r="34" customFormat="false" ht="13" hidden="false" customHeight="false" outlineLevel="0" collapsed="false">
      <c r="H34" s="32"/>
      <c r="I34" s="36"/>
      <c r="J34" s="36"/>
      <c r="K34" s="36"/>
    </row>
    <row r="35" customFormat="false" ht="13" hidden="false" customHeight="false" outlineLevel="0" collapsed="false">
      <c r="H35" s="41"/>
      <c r="I35" s="36"/>
      <c r="J35" s="36"/>
      <c r="K35" s="36"/>
    </row>
    <row r="36" customFormat="false" ht="13" hidden="false" customHeight="false" outlineLevel="0" collapsed="false">
      <c r="H36" s="41"/>
      <c r="I36" s="36"/>
      <c r="J36" s="36"/>
      <c r="K36" s="36"/>
    </row>
    <row r="37" customFormat="false" ht="13" hidden="false" customHeight="false" outlineLevel="0" collapsed="false">
      <c r="B37" s="82"/>
      <c r="H37" s="41"/>
      <c r="I37" s="36"/>
      <c r="J37" s="36"/>
      <c r="K37" s="36"/>
    </row>
    <row r="38" customFormat="false" ht="13" hidden="false" customHeight="false" outlineLevel="0" collapsed="false">
      <c r="H38" s="41"/>
      <c r="I38" s="36"/>
      <c r="J38" s="36"/>
      <c r="K38" s="36"/>
    </row>
    <row r="39" customFormat="false" ht="13" hidden="false" customHeight="false" outlineLevel="0" collapsed="false">
      <c r="A39" s="80"/>
      <c r="H39" s="32"/>
      <c r="I39" s="36"/>
      <c r="J39" s="36"/>
      <c r="K39" s="36"/>
    </row>
    <row r="40" customFormat="false" ht="13" hidden="false" customHeight="false" outlineLevel="0" collapsed="false">
      <c r="H40" s="32"/>
      <c r="I40" s="43"/>
      <c r="J40" s="43"/>
      <c r="K40" s="43"/>
    </row>
    <row r="41" customFormat="false" ht="13" hidden="false" customHeight="false" outlineLevel="0" collapsed="false">
      <c r="H41" s="32"/>
      <c r="I41" s="32"/>
      <c r="J41" s="32"/>
      <c r="K41" s="32"/>
    </row>
    <row r="42" customFormat="false" ht="13" hidden="false" customHeight="false" outlineLevel="0" collapsed="false">
      <c r="H42" s="32"/>
      <c r="I42" s="32"/>
      <c r="J42" s="32"/>
      <c r="K42" s="32"/>
    </row>
    <row r="43" customFormat="false" ht="13" hidden="false" customHeight="false" outlineLevel="0" collapsed="false">
      <c r="H43" s="32"/>
      <c r="I43" s="32"/>
      <c r="J43" s="32"/>
      <c r="K43" s="32"/>
    </row>
    <row r="44" customFormat="false" ht="13" hidden="false" customHeight="false" outlineLevel="0" collapsed="false">
      <c r="H44" s="32"/>
      <c r="I44" s="32"/>
      <c r="J44" s="32"/>
      <c r="K44" s="32"/>
    </row>
    <row r="48" customFormat="false" ht="13" hidden="false" customHeight="false" outlineLevel="0" collapsed="false">
      <c r="B48" s="82"/>
    </row>
  </sheetData>
  <sheetProtection sheet="true" password="cf1f" objects="true" scenarios="true"/>
  <mergeCells count="6">
    <mergeCell ref="C2:D2"/>
    <mergeCell ref="G2:H2"/>
    <mergeCell ref="G5:H5"/>
    <mergeCell ref="C10:G11"/>
    <mergeCell ref="A18:B18"/>
    <mergeCell ref="A24:O25"/>
  </mergeCells>
  <dataValidations count="1">
    <dataValidation allowBlank="true" operator="between" showDropDown="false" showErrorMessage="true" showInputMessage="true" sqref="C9:N9" type="list">
      <formula1>$O$10:$O$12</formula1>
      <formula2>0</formula2>
    </dataValidation>
  </dataValidations>
  <printOptions headings="false" gridLines="false" gridLinesSet="true" horizontalCentered="false" verticalCentered="false"/>
  <pageMargins left="0.7" right="0.7" top="0.7875" bottom="0.7875" header="0.3" footer="0.3"/>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&amp;C&amp;16Absenzenerfassung -  &amp;A</oddHeader>
    <oddFooter>&amp;L&amp;Z&amp;F</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3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4" activeCellId="0" sqref="B34"/>
    </sheetView>
  </sheetViews>
  <sheetFormatPr defaultColWidth="10.70703125" defaultRowHeight="13" zeroHeight="false" outlineLevelRow="0" outlineLevelCol="0"/>
  <cols>
    <col collapsed="false" customWidth="true" hidden="false" outlineLevel="0" max="1" min="1" style="0" width="13.66"/>
    <col collapsed="false" customWidth="true" hidden="false" outlineLevel="0" max="2" min="2" style="0" width="25.52"/>
    <col collapsed="false" customWidth="true" hidden="false" outlineLevel="0" max="14" min="3" style="0" width="13.66"/>
  </cols>
  <sheetData>
    <row r="1" customFormat="false" ht="13.5" hidden="false" customHeight="true" outlineLevel="0" collapsed="false">
      <c r="A1" s="25" t="str">
        <f aca="false">Para1!F166</f>
        <v>personal data</v>
      </c>
      <c r="B1" s="26"/>
      <c r="C1" s="26"/>
      <c r="D1" s="26"/>
      <c r="E1" s="26"/>
      <c r="F1" s="26"/>
      <c r="G1" s="26"/>
      <c r="H1" s="26"/>
      <c r="I1" s="26"/>
      <c r="J1" s="27"/>
      <c r="K1" s="26"/>
      <c r="L1" s="26"/>
      <c r="M1" s="26"/>
      <c r="N1" s="26"/>
      <c r="O1" s="28"/>
    </row>
    <row r="2" customFormat="false" ht="13.5" hidden="false" customHeight="true" outlineLevel="0" collapsed="false">
      <c r="A2" s="29"/>
      <c r="B2" s="30" t="str">
        <f aca="false">Para1!F196</f>
        <v>first name:</v>
      </c>
      <c r="C2" s="83" t="str">
        <f aca="false">'Persönliche Daten (pers. data)'!C2</f>
        <v>Mathieu</v>
      </c>
      <c r="D2" s="83"/>
      <c r="E2" s="32"/>
      <c r="F2" s="30" t="str">
        <f aca="false">Para1!F159</f>
        <v>surname:</v>
      </c>
      <c r="G2" s="83" t="str">
        <f aca="false">'Persönliche Daten (pers. data)'!G2</f>
        <v>Simon</v>
      </c>
      <c r="H2" s="83"/>
      <c r="I2" s="32"/>
      <c r="J2" s="30" t="str">
        <f aca="false">Para1!F133</f>
        <v>year of birth (4-digit):</v>
      </c>
      <c r="K2" s="43" t="n">
        <f aca="false">'Persönliche Daten (pers. data)'!K2</f>
        <v>1994</v>
      </c>
      <c r="L2" s="84"/>
      <c r="M2" s="32"/>
      <c r="N2" s="44" t="str">
        <f aca="false">Para1!F131</f>
        <v>year:</v>
      </c>
      <c r="O2" s="35" t="n">
        <f aca="false">Para1!C2</f>
        <v>2021</v>
      </c>
    </row>
    <row r="3" customFormat="false" ht="13.5" hidden="false" customHeight="true" outlineLevel="0" collapsed="false">
      <c r="A3" s="29"/>
      <c r="B3" s="32"/>
      <c r="C3" s="36"/>
      <c r="D3" s="36"/>
      <c r="E3" s="32"/>
      <c r="F3" s="32"/>
      <c r="G3" s="32"/>
      <c r="H3" s="32"/>
      <c r="I3" s="32"/>
      <c r="J3" s="30"/>
      <c r="K3" s="32"/>
      <c r="L3" s="32"/>
      <c r="M3" s="32"/>
      <c r="N3" s="32"/>
      <c r="O3" s="35"/>
    </row>
    <row r="4" customFormat="false" ht="13.5" hidden="false" customHeight="true" outlineLevel="0" collapsed="false">
      <c r="A4" s="29"/>
      <c r="B4" s="30" t="str">
        <f aca="false">Para1!F165</f>
        <v>pers.-no.:</v>
      </c>
      <c r="C4" s="43" t="n">
        <f aca="false">'Persönliche Daten (pers. data)'!C5</f>
        <v>381322</v>
      </c>
      <c r="D4" s="32"/>
      <c r="E4" s="32"/>
      <c r="F4" s="30" t="str">
        <f aca="false">Para1!F113</f>
        <v>starting date:</v>
      </c>
      <c r="G4" s="42" t="n">
        <f aca="false">'Persönliche Daten (pers. data)'!G5</f>
        <v>42688</v>
      </c>
      <c r="H4" s="42"/>
      <c r="I4" s="32"/>
      <c r="J4" s="30" t="str">
        <f aca="false">Para1!F95</f>
        <v>comment:</v>
      </c>
      <c r="K4" s="85" t="n">
        <f aca="false">'Persönliche Daten (pers. data)'!C10</f>
        <v>0</v>
      </c>
      <c r="L4" s="85"/>
      <c r="M4" s="85"/>
      <c r="N4" s="32"/>
      <c r="O4" s="35"/>
    </row>
    <row r="5" customFormat="false" ht="13.5" hidden="false" customHeight="true" outlineLevel="0" collapsed="false">
      <c r="A5" s="29"/>
      <c r="B5" s="32"/>
      <c r="C5" s="32"/>
      <c r="D5" s="32"/>
      <c r="E5" s="32"/>
      <c r="F5" s="32"/>
      <c r="G5" s="32"/>
      <c r="H5" s="32"/>
      <c r="I5" s="32"/>
      <c r="J5" s="32"/>
      <c r="K5" s="85"/>
      <c r="L5" s="85"/>
      <c r="M5" s="85"/>
      <c r="N5" s="32"/>
      <c r="O5" s="35"/>
    </row>
    <row r="6" customFormat="false" ht="13.5" hidden="false" customHeight="true" outlineLevel="0" collapsed="false">
      <c r="A6" s="86"/>
      <c r="B6" s="26"/>
      <c r="C6" s="26"/>
      <c r="D6" s="26"/>
      <c r="E6" s="26"/>
      <c r="F6" s="26"/>
      <c r="G6" s="26"/>
      <c r="H6" s="26"/>
      <c r="I6" s="26"/>
      <c r="J6" s="26"/>
      <c r="K6" s="26"/>
      <c r="L6" s="26"/>
      <c r="M6" s="26"/>
      <c r="N6" s="28"/>
      <c r="O6" s="37"/>
    </row>
    <row r="7" customFormat="false" ht="13.5" hidden="false" customHeight="true" outlineLevel="0" collapsed="false">
      <c r="A7" s="29" t="str">
        <f aca="false">Para1!F154</f>
        <v>month</v>
      </c>
      <c r="B7" s="32"/>
      <c r="C7" s="44" t="str">
        <f aca="false">Para1!F134</f>
        <v>January</v>
      </c>
      <c r="D7" s="44" t="str">
        <f aca="false">Para1!F116</f>
        <v>February</v>
      </c>
      <c r="E7" s="44" t="str">
        <f aca="false">Para1!F147</f>
        <v>March</v>
      </c>
      <c r="F7" s="44" t="str">
        <f aca="false">Para1!F85</f>
        <v>April</v>
      </c>
      <c r="G7" s="44" t="str">
        <f aca="false">Para1!F146</f>
        <v>May</v>
      </c>
      <c r="H7" s="44" t="str">
        <f aca="false">Para1!F137</f>
        <v>June</v>
      </c>
      <c r="I7" s="44" t="str">
        <f aca="false">Para1!F136</f>
        <v>July</v>
      </c>
      <c r="J7" s="44" t="str">
        <f aca="false">Para1!F94</f>
        <v>August</v>
      </c>
      <c r="K7" s="44" t="str">
        <f aca="false">Para1!F169</f>
        <v>September</v>
      </c>
      <c r="L7" s="44" t="str">
        <f aca="false">Para1!F164</f>
        <v>October</v>
      </c>
      <c r="M7" s="44" t="str">
        <f aca="false">Para1!F162</f>
        <v>November</v>
      </c>
      <c r="N7" s="87" t="str">
        <f aca="false">Para1!F107</f>
        <v>December</v>
      </c>
      <c r="O7" s="88" t="str">
        <f aca="false">Para1!F180&amp;" Ø"</f>
        <v>total Ø</v>
      </c>
    </row>
    <row r="8" customFormat="false" ht="13.5" hidden="false" customHeight="true" outlineLevel="0" collapsed="false">
      <c r="A8" s="29" t="str">
        <f aca="false">Para1!F97&amp;" in %"</f>
        <v>level of employment in %</v>
      </c>
      <c r="B8" s="32"/>
      <c r="C8" s="32" t="n">
        <f aca="false">'Persönliche Daten (pers. data)'!C8</f>
        <v>100</v>
      </c>
      <c r="D8" s="32" t="n">
        <f aca="false">'Persönliche Daten (pers. data)'!D8</f>
        <v>100</v>
      </c>
      <c r="E8" s="32" t="n">
        <f aca="false">'Persönliche Daten (pers. data)'!E8</f>
        <v>100</v>
      </c>
      <c r="F8" s="32" t="n">
        <f aca="false">'Persönliche Daten (pers. data)'!F8</f>
        <v>100</v>
      </c>
      <c r="G8" s="32" t="n">
        <f aca="false">'Persönliche Daten (pers. data)'!G8</f>
        <v>100</v>
      </c>
      <c r="H8" s="32" t="n">
        <f aca="false">'Persönliche Daten (pers. data)'!H8</f>
        <v>100</v>
      </c>
      <c r="I8" s="32" t="n">
        <f aca="false">'Persönliche Daten (pers. data)'!I8</f>
        <v>100</v>
      </c>
      <c r="J8" s="32" t="n">
        <f aca="false">'Persönliche Daten (pers. data)'!J8</f>
        <v>100</v>
      </c>
      <c r="K8" s="32" t="n">
        <f aca="false">'Persönliche Daten (pers. data)'!K8</f>
        <v>100</v>
      </c>
      <c r="L8" s="32" t="n">
        <f aca="false">'Persönliche Daten (pers. data)'!L8</f>
        <v>100</v>
      </c>
      <c r="M8" s="32" t="n">
        <f aca="false">'Persönliche Daten (pers. data)'!M8</f>
        <v>100</v>
      </c>
      <c r="N8" s="35" t="n">
        <f aca="false">'Persönliche Daten (pers. data)'!N8</f>
        <v>100</v>
      </c>
      <c r="O8" s="89" t="n">
        <f aca="false">IF(SUM(C8:N8)=0,0,ROUND(AVERAGE($C$8:$N$8)/(12-FREQUENCY($C$8:$N$8,0))*12,0))</f>
        <v>100</v>
      </c>
    </row>
    <row r="9" customFormat="false" ht="13.5" hidden="false" customHeight="true" outlineLevel="0" collapsed="false">
      <c r="A9" s="47" t="str">
        <f aca="false">Para1!F123</f>
        <v>salary class</v>
      </c>
      <c r="B9" s="48"/>
      <c r="C9" s="90" t="str">
        <f aca="false">'Persönliche Daten (pers. data)'!C9</f>
        <v>1-18</v>
      </c>
      <c r="D9" s="90" t="str">
        <f aca="false">'Persönliche Daten (pers. data)'!D9</f>
        <v>1-18</v>
      </c>
      <c r="E9" s="90" t="str">
        <f aca="false">'Persönliche Daten (pers. data)'!E9</f>
        <v>1-18</v>
      </c>
      <c r="F9" s="90" t="str">
        <f aca="false">'Persönliche Daten (pers. data)'!F9</f>
        <v>1-18</v>
      </c>
      <c r="G9" s="90" t="str">
        <f aca="false">'Persönliche Daten (pers. data)'!G9</f>
        <v>1-18</v>
      </c>
      <c r="H9" s="90" t="str">
        <f aca="false">'Persönliche Daten (pers. data)'!H9</f>
        <v>1-18</v>
      </c>
      <c r="I9" s="90" t="str">
        <f aca="false">'Persönliche Daten (pers. data)'!I9</f>
        <v>1-18</v>
      </c>
      <c r="J9" s="90" t="str">
        <f aca="false">'Persönliche Daten (pers. data)'!J9</f>
        <v>1-18</v>
      </c>
      <c r="K9" s="90" t="str">
        <f aca="false">'Persönliche Daten (pers. data)'!K9</f>
        <v>1-18</v>
      </c>
      <c r="L9" s="90" t="str">
        <f aca="false">'Persönliche Daten (pers. data)'!L9</f>
        <v>1-18</v>
      </c>
      <c r="M9" s="90" t="str">
        <f aca="false">'Persönliche Daten (pers. data)'!M9</f>
        <v>1-18</v>
      </c>
      <c r="N9" s="91" t="str">
        <f aca="false">'Persönliche Daten (pers. data)'!N9</f>
        <v>1-18</v>
      </c>
      <c r="O9" s="51"/>
    </row>
    <row r="10" customFormat="false" ht="5" hidden="false" customHeight="true" outlineLevel="0" collapsed="false">
      <c r="A10" s="24"/>
      <c r="B10" s="24"/>
      <c r="C10" s="24"/>
      <c r="D10" s="24"/>
      <c r="E10" s="24"/>
      <c r="F10" s="24"/>
      <c r="G10" s="24"/>
      <c r="H10" s="24"/>
      <c r="I10" s="24"/>
      <c r="J10" s="24"/>
      <c r="K10" s="24"/>
      <c r="L10" s="24"/>
      <c r="M10" s="24"/>
      <c r="N10" s="24"/>
      <c r="O10" s="24"/>
    </row>
    <row r="11" customFormat="false" ht="14" hidden="false" customHeight="false" outlineLevel="0" collapsed="false">
      <c r="A11" s="25" t="str">
        <f aca="false">Para1!F117</f>
        <v>holiday</v>
      </c>
      <c r="B11" s="92"/>
      <c r="C11" s="27" t="str">
        <f aca="false">Para1!F184</f>
        <v>hours left from last year</v>
      </c>
      <c r="D11" s="93" t="n">
        <f aca="false">'Persönliche Daten (pers. data)'!C16</f>
        <v>0.04375</v>
      </c>
      <c r="E11" s="26"/>
      <c r="F11" s="27" t="str">
        <f aca="false">Para1!F182</f>
        <v>loyalty premium</v>
      </c>
      <c r="G11" s="94" t="n">
        <f aca="false">'Persönliche Daten (pers. data)'!C18</f>
        <v>0</v>
      </c>
      <c r="H11" s="95"/>
      <c r="I11" s="27"/>
      <c r="J11" s="93"/>
      <c r="K11" s="26"/>
      <c r="L11" s="27"/>
      <c r="M11" s="93"/>
      <c r="N11" s="26"/>
      <c r="O11" s="37"/>
    </row>
    <row r="12" customFormat="false" ht="13" hidden="false" customHeight="false" outlineLevel="0" collapsed="false">
      <c r="A12" s="29"/>
      <c r="B12" s="32"/>
      <c r="C12" s="32"/>
      <c r="D12" s="32"/>
      <c r="E12" s="32"/>
      <c r="F12" s="32"/>
      <c r="G12" s="32"/>
      <c r="H12" s="32"/>
      <c r="I12" s="32"/>
      <c r="J12" s="32"/>
      <c r="K12" s="32"/>
      <c r="L12" s="32"/>
      <c r="M12" s="32"/>
      <c r="N12" s="32"/>
      <c r="O12" s="40"/>
    </row>
    <row r="13" customFormat="false" ht="13" hidden="false" customHeight="false" outlineLevel="0" collapsed="false">
      <c r="A13" s="29" t="str">
        <f aca="false">Para1!F154</f>
        <v>month</v>
      </c>
      <c r="B13" s="44"/>
      <c r="C13" s="44" t="str">
        <f aca="false">Para1!F134</f>
        <v>January</v>
      </c>
      <c r="D13" s="44" t="str">
        <f aca="false">Para1!F116</f>
        <v>February</v>
      </c>
      <c r="E13" s="44" t="str">
        <f aca="false">Para1!F147</f>
        <v>March</v>
      </c>
      <c r="F13" s="44" t="str">
        <f aca="false">Para1!F85</f>
        <v>April</v>
      </c>
      <c r="G13" s="44" t="str">
        <f aca="false">Para1!F146</f>
        <v>May</v>
      </c>
      <c r="H13" s="44" t="str">
        <f aca="false">Para1!F137</f>
        <v>June</v>
      </c>
      <c r="I13" s="44" t="str">
        <f aca="false">Para1!F136</f>
        <v>July</v>
      </c>
      <c r="J13" s="44" t="str">
        <f aca="false">Para1!F94</f>
        <v>August</v>
      </c>
      <c r="K13" s="44" t="str">
        <f aca="false">Para1!F169</f>
        <v>September</v>
      </c>
      <c r="L13" s="44" t="str">
        <f aca="false">Para1!F164</f>
        <v>October</v>
      </c>
      <c r="M13" s="44" t="str">
        <f aca="false">Para1!F162</f>
        <v>November</v>
      </c>
      <c r="N13" s="44" t="str">
        <f aca="false">Para1!F107</f>
        <v>December</v>
      </c>
      <c r="O13" s="45" t="str">
        <f aca="false">Para1!F180</f>
        <v>total</v>
      </c>
    </row>
    <row r="14" customFormat="false" ht="13" hidden="false" customHeight="false" outlineLevel="0" collapsed="false">
      <c r="A14" s="60" t="str">
        <f aca="false">Para1!F181</f>
        <v>current holiday balance</v>
      </c>
      <c r="B14" s="32"/>
      <c r="C14" s="96" t="n">
        <f aca="false">IF($K$2="",0,IF(C9="",0,IF(C9="LE",VLOOKUP(Para1!$C$3,Para1!$B$6:$K$56,10,1),(IF(C9="1-18",VLOOKUP(Para1!$C$3,Para1!$B$6:$K$56,8,1),VLOOKUP(Para1!$C$3,Para1!$B$6:$K$56,9,1))))))*C8/(100*12)+$D$11+$G$11</f>
        <v>0.772916666666667</v>
      </c>
      <c r="D14" s="96" t="n">
        <f aca="false">IF($K$2="",0,IF(D9="",0,IF(D9="LE",VLOOKUP(Para1!$C$3,Para1!$B$6:$K$56,10,1),(IF(D9="1-18",VLOOKUP(Para1!$C$3,Para1!$B$6:$K$56,8,1),VLOOKUP(Para1!$C$3,Para1!$B$6:$K$56,9,1))))))*D8/(100*12)</f>
        <v>0.729166666666667</v>
      </c>
      <c r="E14" s="96" t="n">
        <f aca="false">IF($K$2="",0,IF(E9="",0,IF(E9="LE",VLOOKUP(Para1!$C$3,Para1!$B$6:$K$56,10,1),(IF(E9="1-18",VLOOKUP(Para1!$C$3,Para1!$B$6:$K$56,8,1),VLOOKUP(Para1!$C$3,Para1!$B$6:$K$56,9,1))))))*E8/(100*12)</f>
        <v>0.729166666666667</v>
      </c>
      <c r="F14" s="96" t="n">
        <f aca="false">IF($K$2="",0,IF(F9="",0,IF(F9="LE",VLOOKUP(Para1!$C$3,Para1!$B$6:$K$56,10,1),(IF(F9="1-18",VLOOKUP(Para1!$C$3,Para1!$B$6:$K$56,8,1),VLOOKUP(Para1!$C$3,Para1!$B$6:$K$56,9,1))))))*F8/(100*12)</f>
        <v>0.729166666666667</v>
      </c>
      <c r="G14" s="96" t="n">
        <f aca="false">IF($K$2="",0,IF(G9="",0,IF(G9="LE",VLOOKUP(Para1!$C$3,Para1!$B$6:$K$56,10,1),(IF(G9="1-18",VLOOKUP(Para1!$C$3,Para1!$B$6:$K$56,8,1),VLOOKUP(Para1!$C$3,Para1!$B$6:$K$56,9,1))))))*G8/(100*12)</f>
        <v>0.729166666666667</v>
      </c>
      <c r="H14" s="96" t="n">
        <f aca="false">IF($K$2="",0,IF(H9="",0,IF(H9="LE",VLOOKUP(Para1!$C$3,Para1!$B$6:$K$56,10,1),(IF(H9="1-18",VLOOKUP(Para1!$C$3,Para1!$B$6:$K$56,8,1),VLOOKUP(Para1!$C$3,Para1!$B$6:$K$56,9,1))))))*H8/(100*12)</f>
        <v>0.729166666666667</v>
      </c>
      <c r="I14" s="96" t="n">
        <f aca="false">IF($K$2="",0,IF(I9="",0,IF(I9="LE",VLOOKUP(Para1!$C$3,Para1!$B$6:$K$56,10,1),(IF(I9="1-18",VLOOKUP(Para1!$C$3,Para1!$B$6:$K$56,8,1),VLOOKUP(Para1!$C$3,Para1!$B$6:$K$56,9,1))))))*I8/(100*12)</f>
        <v>0.729166666666667</v>
      </c>
      <c r="J14" s="96" t="n">
        <f aca="false">IF($K$2="",0,IF(J9="",0,IF(J9="LE",VLOOKUP(Para1!$C$3,Para1!$B$6:$K$56,10,1),(IF(J9="1-18",VLOOKUP(Para1!$C$3,Para1!$B$6:$K$56,8,1),VLOOKUP(Para1!$C$3,Para1!$B$6:$K$56,9,1))))))*J8/(100*12)</f>
        <v>0.729166666666667</v>
      </c>
      <c r="K14" s="96" t="n">
        <f aca="false">IF($K$2="",0,IF(K9="",0,IF(K9="LE",VLOOKUP(Para1!$C$3,Para1!$B$6:$K$56,10,1),(IF(K9="1-18",VLOOKUP(Para1!$C$3,Para1!$B$6:$K$56,8,1),VLOOKUP(Para1!$C$3,Para1!$B$6:$K$56,9,1))))))*K8/(100*12)</f>
        <v>0.729166666666667</v>
      </c>
      <c r="L14" s="96" t="n">
        <f aca="false">IF($K$2="",0,IF(L9="",0,IF(L9="LE",VLOOKUP(Para1!$C$3,Para1!$B$6:$K$56,10,1),(IF(L9="1-18",VLOOKUP(Para1!$C$3,Para1!$B$6:$K$56,8,1),VLOOKUP(Para1!$C$3,Para1!$B$6:$K$56,9,1))))))*L8/(100*12)</f>
        <v>0.729166666666667</v>
      </c>
      <c r="M14" s="96" t="n">
        <f aca="false">IF($K$2="",0,IF(M9="",0,IF(M9="LE",VLOOKUP(Para1!$C$3,Para1!$B$6:$K$56,10,1),(IF(M9="1-18",VLOOKUP(Para1!$C$3,Para1!$B$6:$K$56,8,1),VLOOKUP(Para1!$C$3,Para1!$B$6:$K$56,9,1))))))*M8/(100*12)</f>
        <v>0.729166666666667</v>
      </c>
      <c r="N14" s="96" t="n">
        <f aca="false">IF($K$2="",0,IF(N9="",0,IF(N9="LE",VLOOKUP(Para1!$C$3,Para1!$B$6:$K$56,10,1),(IF(N9="1-18",VLOOKUP(Para1!$C$3,Para1!$B$6:$K$56,8,1),VLOOKUP(Para1!$C$3,Para1!$B$6:$K$56,9,1))))))*N8/(100*12)</f>
        <v>0.729166666666667</v>
      </c>
      <c r="O14" s="97" t="n">
        <f aca="false">SUM(C14:N14)</f>
        <v>8.79375</v>
      </c>
    </row>
    <row r="15" customFormat="false" ht="13" hidden="false" customHeight="false" outlineLevel="0" collapsed="false">
      <c r="A15" s="98" t="str">
        <f aca="false">"./. "&amp;Para1!F103</f>
        <v>./. hours taken curr. month</v>
      </c>
      <c r="B15" s="99"/>
      <c r="C15" s="100" t="n">
        <f aca="false">Januar!$E9</f>
        <v>1.75</v>
      </c>
      <c r="D15" s="100" t="n">
        <f aca="false">Februar!$E9</f>
        <v>0</v>
      </c>
      <c r="E15" s="100" t="n">
        <f aca="false">Maerz!$E9</f>
        <v>0</v>
      </c>
      <c r="F15" s="100" t="n">
        <f aca="false">April!$E$9</f>
        <v>0</v>
      </c>
      <c r="G15" s="100" t="n">
        <f aca="false">Mai!$E$9</f>
        <v>0</v>
      </c>
      <c r="H15" s="100" t="n">
        <f aca="false">Juni!$E$9</f>
        <v>0</v>
      </c>
      <c r="I15" s="100" t="n">
        <f aca="false">Juli!$E$9</f>
        <v>1.75</v>
      </c>
      <c r="J15" s="100" t="n">
        <f aca="false">August!$E$9</f>
        <v>3.5</v>
      </c>
      <c r="K15" s="100" t="n">
        <f aca="false">September!$E$9</f>
        <v>0</v>
      </c>
      <c r="L15" s="100" t="n">
        <f aca="false">Oktober!$E$9</f>
        <v>0</v>
      </c>
      <c r="M15" s="100" t="n">
        <f aca="false">November!$E$9</f>
        <v>0</v>
      </c>
      <c r="N15" s="100" t="n">
        <f aca="false">Dezember!$E$9</f>
        <v>1.4</v>
      </c>
      <c r="O15" s="101" t="n">
        <f aca="false">SUM(C15:N15)</f>
        <v>8.4</v>
      </c>
    </row>
    <row r="16" customFormat="false" ht="13" hidden="false" customHeight="false" outlineLevel="0" collapsed="false">
      <c r="A16" s="29" t="str">
        <f aca="false">"./. "&amp;Para1!F119</f>
        <v>./. reduction of holiday</v>
      </c>
      <c r="B16" s="32"/>
      <c r="C16" s="102" t="n">
        <f aca="false">Januar!$E10</f>
        <v>0</v>
      </c>
      <c r="D16" s="102" t="n">
        <f aca="false">Februar!$E10</f>
        <v>0</v>
      </c>
      <c r="E16" s="71" t="n">
        <f aca="false">Maerz!$E10</f>
        <v>0</v>
      </c>
      <c r="F16" s="71" t="n">
        <f aca="false">April!$E10</f>
        <v>0</v>
      </c>
      <c r="G16" s="71" t="n">
        <f aca="false">Mai!$E10</f>
        <v>0</v>
      </c>
      <c r="H16" s="71" t="n">
        <f aca="false">Juni!$E10</f>
        <v>0</v>
      </c>
      <c r="I16" s="71" t="n">
        <f aca="false">Juli!$E10</f>
        <v>0</v>
      </c>
      <c r="J16" s="71" t="n">
        <f aca="false">August!$E10</f>
        <v>0</v>
      </c>
      <c r="K16" s="71" t="n">
        <f aca="false">September!$E10</f>
        <v>0</v>
      </c>
      <c r="L16" s="71" t="n">
        <f aca="false">Oktober!$E10</f>
        <v>0</v>
      </c>
      <c r="M16" s="71" t="n">
        <f aca="false">November!$E10</f>
        <v>0</v>
      </c>
      <c r="N16" s="71" t="n">
        <f aca="false">Dezember!$E10</f>
        <v>0</v>
      </c>
      <c r="O16" s="97" t="n">
        <f aca="false">SUM(C16:N16)</f>
        <v>0</v>
      </c>
    </row>
    <row r="17" customFormat="false" ht="14" hidden="false" customHeight="false" outlineLevel="0" collapsed="false">
      <c r="A17" s="103" t="str">
        <f aca="false">Para1!F172</f>
        <v>current balance</v>
      </c>
      <c r="B17" s="104"/>
      <c r="C17" s="76" t="n">
        <f aca="false">O14-C15-C16</f>
        <v>7.04375</v>
      </c>
      <c r="D17" s="76" t="n">
        <f aca="false">C17-D15-D16</f>
        <v>7.04375</v>
      </c>
      <c r="E17" s="76" t="n">
        <f aca="false">D17-E15-E16</f>
        <v>7.04375</v>
      </c>
      <c r="F17" s="76" t="n">
        <f aca="false">E17-F15-F16</f>
        <v>7.04375</v>
      </c>
      <c r="G17" s="76" t="n">
        <f aca="false">F17-G15-G16</f>
        <v>7.04375</v>
      </c>
      <c r="H17" s="76" t="n">
        <f aca="false">G17-H15-H16</f>
        <v>7.04375</v>
      </c>
      <c r="I17" s="76" t="n">
        <f aca="false">H17-I15-I16</f>
        <v>5.29375</v>
      </c>
      <c r="J17" s="76" t="n">
        <f aca="false">I17-J15-J16</f>
        <v>1.79375</v>
      </c>
      <c r="K17" s="76" t="n">
        <f aca="false">J17-K15-K16</f>
        <v>1.79375</v>
      </c>
      <c r="L17" s="76" t="n">
        <f aca="false">K17-L15-L16</f>
        <v>1.79375</v>
      </c>
      <c r="M17" s="76" t="n">
        <f aca="false">L17-M15-M16</f>
        <v>1.79375</v>
      </c>
      <c r="N17" s="76" t="n">
        <f aca="false">M17-N15-N16</f>
        <v>0.393750000000002</v>
      </c>
      <c r="O17" s="105" t="n">
        <f aca="false">N17</f>
        <v>0.393750000000002</v>
      </c>
    </row>
    <row r="18" customFormat="false" ht="5" hidden="false" customHeight="true" outlineLevel="0" collapsed="false">
      <c r="A18" s="24"/>
      <c r="B18" s="24"/>
      <c r="C18" s="24"/>
      <c r="D18" s="24"/>
      <c r="E18" s="24"/>
      <c r="F18" s="24"/>
      <c r="G18" s="24"/>
      <c r="H18" s="24"/>
      <c r="I18" s="24"/>
      <c r="J18" s="24"/>
      <c r="K18" s="24"/>
      <c r="L18" s="24"/>
      <c r="M18" s="24"/>
      <c r="N18" s="24"/>
      <c r="O18" s="24"/>
    </row>
    <row r="19" customFormat="false" ht="14" hidden="false" customHeight="false" outlineLevel="0" collapsed="false">
      <c r="A19" s="25" t="str">
        <f aca="false">Para1!F83</f>
        <v>absences</v>
      </c>
      <c r="B19" s="26"/>
      <c r="C19" s="26"/>
      <c r="D19" s="26"/>
      <c r="E19" s="26"/>
      <c r="F19" s="26"/>
      <c r="G19" s="26"/>
      <c r="H19" s="26"/>
      <c r="I19" s="26"/>
      <c r="J19" s="26"/>
      <c r="K19" s="26"/>
      <c r="L19" s="26"/>
      <c r="M19" s="26"/>
      <c r="N19" s="26"/>
      <c r="O19" s="37"/>
    </row>
    <row r="20" customFormat="false" ht="13" hidden="false" customHeight="false" outlineLevel="0" collapsed="false">
      <c r="A20" s="29"/>
      <c r="B20" s="32"/>
      <c r="C20" s="32"/>
      <c r="D20" s="32"/>
      <c r="E20" s="32"/>
      <c r="F20" s="32"/>
      <c r="G20" s="32"/>
      <c r="H20" s="32"/>
      <c r="I20" s="32"/>
      <c r="J20" s="32"/>
      <c r="K20" s="32"/>
      <c r="L20" s="32"/>
      <c r="M20" s="32"/>
      <c r="N20" s="32"/>
      <c r="O20" s="40"/>
    </row>
    <row r="21" customFormat="false" ht="13" hidden="false" customHeight="false" outlineLevel="0" collapsed="false">
      <c r="A21" s="29" t="str">
        <f aca="false">Para1!F154</f>
        <v>month</v>
      </c>
      <c r="B21" s="32"/>
      <c r="C21" s="44" t="str">
        <f aca="false">Para1!F134</f>
        <v>January</v>
      </c>
      <c r="D21" s="44" t="str">
        <f aca="false">Para1!F116</f>
        <v>February</v>
      </c>
      <c r="E21" s="44" t="str">
        <f aca="false">Para1!F147</f>
        <v>March</v>
      </c>
      <c r="F21" s="44" t="str">
        <f aca="false">Para1!F85</f>
        <v>April</v>
      </c>
      <c r="G21" s="44" t="str">
        <f aca="false">Para1!F146</f>
        <v>May</v>
      </c>
      <c r="H21" s="44" t="str">
        <f aca="false">Para1!F137</f>
        <v>June</v>
      </c>
      <c r="I21" s="44" t="str">
        <f aca="false">Para1!F136</f>
        <v>July</v>
      </c>
      <c r="J21" s="44" t="str">
        <f aca="false">Para1!F94</f>
        <v>August</v>
      </c>
      <c r="K21" s="44" t="str">
        <f aca="false">Para1!F169</f>
        <v>September</v>
      </c>
      <c r="L21" s="44" t="str">
        <f aca="false">Para1!F164</f>
        <v>October</v>
      </c>
      <c r="M21" s="44" t="str">
        <f aca="false">Para1!F162</f>
        <v>November</v>
      </c>
      <c r="N21" s="44" t="str">
        <f aca="false">Para1!F107</f>
        <v>December</v>
      </c>
      <c r="O21" s="45" t="str">
        <f aca="false">Para1!F180</f>
        <v>total</v>
      </c>
    </row>
    <row r="22" customFormat="false" ht="13" hidden="false" customHeight="false" outlineLevel="0" collapsed="false">
      <c r="A22" s="106" t="str">
        <f aca="false">Para1!F141</f>
        <v>illness</v>
      </c>
      <c r="B22" s="107"/>
      <c r="C22" s="108" t="n">
        <f aca="false">Januar!$L8</f>
        <v>0</v>
      </c>
      <c r="D22" s="108" t="n">
        <f aca="false">Februar!$L8</f>
        <v>0</v>
      </c>
      <c r="E22" s="108" t="n">
        <f aca="false">Maerz!$L8</f>
        <v>0</v>
      </c>
      <c r="F22" s="108" t="n">
        <f aca="false">April!$L8</f>
        <v>0</v>
      </c>
      <c r="G22" s="108" t="n">
        <f aca="false">Mai!$L8</f>
        <v>0</v>
      </c>
      <c r="H22" s="108" t="n">
        <f aca="false">Juni!$L8</f>
        <v>0</v>
      </c>
      <c r="I22" s="108" t="n">
        <f aca="false">Juli!$L8</f>
        <v>0</v>
      </c>
      <c r="J22" s="108" t="n">
        <f aca="false">August!$L8</f>
        <v>0</v>
      </c>
      <c r="K22" s="108" t="n">
        <f aca="false">September!$L8</f>
        <v>0</v>
      </c>
      <c r="L22" s="108" t="n">
        <f aca="false">Oktober!$L8</f>
        <v>0</v>
      </c>
      <c r="M22" s="108" t="n">
        <f aca="false">November!$L8</f>
        <v>0</v>
      </c>
      <c r="N22" s="108" t="n">
        <f aca="false">Dezember!$L8</f>
        <v>0</v>
      </c>
      <c r="O22" s="109" t="n">
        <f aca="false">SUM(C22:N22)</f>
        <v>0</v>
      </c>
    </row>
    <row r="23" customFormat="false" ht="13" hidden="false" customHeight="false" outlineLevel="0" collapsed="false">
      <c r="A23" s="29" t="str">
        <f aca="false">Para1!F190&amp;" "&amp;Para1!F99</f>
        <v>accident work related</v>
      </c>
      <c r="B23" s="32"/>
      <c r="C23" s="110" t="n">
        <f aca="false">Januar!$L9</f>
        <v>0</v>
      </c>
      <c r="D23" s="110" t="n">
        <f aca="false">Februar!$L9</f>
        <v>0</v>
      </c>
      <c r="E23" s="110" t="n">
        <f aca="false">Maerz!$L9</f>
        <v>0</v>
      </c>
      <c r="F23" s="110" t="n">
        <f aca="false">April!$L9</f>
        <v>0</v>
      </c>
      <c r="G23" s="110" t="n">
        <f aca="false">Mai!$L9</f>
        <v>0</v>
      </c>
      <c r="H23" s="110" t="n">
        <f aca="false">Juni!$L9</f>
        <v>0</v>
      </c>
      <c r="I23" s="110" t="n">
        <f aca="false">Juli!$L9</f>
        <v>0</v>
      </c>
      <c r="J23" s="110" t="n">
        <f aca="false">August!$L9</f>
        <v>0</v>
      </c>
      <c r="K23" s="110" t="n">
        <f aca="false">September!$L9</f>
        <v>0</v>
      </c>
      <c r="L23" s="110" t="n">
        <f aca="false">Oktober!$L9</f>
        <v>0</v>
      </c>
      <c r="M23" s="110" t="n">
        <f aca="false">November!$L9</f>
        <v>0</v>
      </c>
      <c r="N23" s="110" t="n">
        <f aca="false">Dezember!$L9</f>
        <v>0</v>
      </c>
      <c r="O23" s="111" t="n">
        <f aca="false">SUM(C23:N23)</f>
        <v>0</v>
      </c>
    </row>
    <row r="24" customFormat="false" ht="13" hidden="false" customHeight="false" outlineLevel="0" collapsed="false">
      <c r="A24" s="106" t="str">
        <f aca="false">Para1!F190&amp;" "&amp;Para1!F161&amp;" "&amp;Para1!F99</f>
        <v>accident not work related</v>
      </c>
      <c r="B24" s="107"/>
      <c r="C24" s="108" t="n">
        <f aca="false">Januar!$L10</f>
        <v>0</v>
      </c>
      <c r="D24" s="108" t="n">
        <f aca="false">Februar!$L10</f>
        <v>0</v>
      </c>
      <c r="E24" s="108" t="n">
        <f aca="false">Maerz!$L10</f>
        <v>0</v>
      </c>
      <c r="F24" s="108" t="n">
        <f aca="false">April!$L10</f>
        <v>0</v>
      </c>
      <c r="G24" s="108" t="n">
        <f aca="false">Mai!$L10</f>
        <v>0</v>
      </c>
      <c r="H24" s="108" t="n">
        <f aca="false">Juni!$L10</f>
        <v>0</v>
      </c>
      <c r="I24" s="108" t="n">
        <f aca="false">Juli!$L10</f>
        <v>0</v>
      </c>
      <c r="J24" s="108" t="n">
        <f aca="false">August!$L10</f>
        <v>0</v>
      </c>
      <c r="K24" s="108" t="n">
        <f aca="false">September!$L10</f>
        <v>0</v>
      </c>
      <c r="L24" s="108" t="n">
        <f aca="false">Oktober!$L10</f>
        <v>0</v>
      </c>
      <c r="M24" s="108" t="n">
        <f aca="false">November!$L10</f>
        <v>0</v>
      </c>
      <c r="N24" s="108" t="n">
        <f aca="false">Dezember!$L10</f>
        <v>0</v>
      </c>
      <c r="O24" s="109" t="n">
        <f aca="false">SUM(C24:N24)</f>
        <v>0</v>
      </c>
    </row>
    <row r="25" customFormat="false" ht="13" hidden="false" customHeight="false" outlineLevel="0" collapsed="false">
      <c r="A25" s="29" t="str">
        <f aca="false">Para1!F142</f>
        <v>short vacation</v>
      </c>
      <c r="B25" s="32"/>
      <c r="C25" s="110" t="n">
        <f aca="false">Januar!$L11</f>
        <v>0</v>
      </c>
      <c r="D25" s="110" t="n">
        <f aca="false">Februar!$L11</f>
        <v>0</v>
      </c>
      <c r="E25" s="110" t="n">
        <f aca="false">Maerz!$L11</f>
        <v>0</v>
      </c>
      <c r="F25" s="110" t="n">
        <f aca="false">April!$L11</f>
        <v>0</v>
      </c>
      <c r="G25" s="110" t="n">
        <f aca="false">Mai!$L11</f>
        <v>0</v>
      </c>
      <c r="H25" s="110" t="n">
        <f aca="false">Juni!$L11</f>
        <v>0</v>
      </c>
      <c r="I25" s="110" t="n">
        <f aca="false">Juli!$L11</f>
        <v>0</v>
      </c>
      <c r="J25" s="110" t="n">
        <f aca="false">August!$L11</f>
        <v>0</v>
      </c>
      <c r="K25" s="110" t="n">
        <f aca="false">September!$L11</f>
        <v>0</v>
      </c>
      <c r="L25" s="110" t="n">
        <f aca="false">Oktober!$L11</f>
        <v>0</v>
      </c>
      <c r="M25" s="110" t="n">
        <f aca="false">November!$L11</f>
        <v>0</v>
      </c>
      <c r="N25" s="110" t="n">
        <f aca="false">Dezember!$L11</f>
        <v>0</v>
      </c>
      <c r="O25" s="111" t="n">
        <f aca="false">SUM(C25:N25)</f>
        <v>0</v>
      </c>
    </row>
    <row r="26" customFormat="false" ht="13" hidden="false" customHeight="false" outlineLevel="0" collapsed="false">
      <c r="A26" s="106" t="str">
        <f aca="false">Para1!F198</f>
        <v>training / education</v>
      </c>
      <c r="B26" s="107"/>
      <c r="C26" s="108" t="n">
        <f aca="false">Januar!$L12</f>
        <v>0</v>
      </c>
      <c r="D26" s="108" t="n">
        <f aca="false">Februar!$L12</f>
        <v>0</v>
      </c>
      <c r="E26" s="108" t="n">
        <f aca="false">Maerz!$L12</f>
        <v>0</v>
      </c>
      <c r="F26" s="108" t="n">
        <f aca="false">April!$L12</f>
        <v>0</v>
      </c>
      <c r="G26" s="108" t="n">
        <f aca="false">Mai!$L12</f>
        <v>0</v>
      </c>
      <c r="H26" s="108" t="n">
        <f aca="false">Juni!$L12</f>
        <v>0</v>
      </c>
      <c r="I26" s="108" t="n">
        <f aca="false">Juli!$L12</f>
        <v>0</v>
      </c>
      <c r="J26" s="108" t="n">
        <f aca="false">August!$L12</f>
        <v>0</v>
      </c>
      <c r="K26" s="108" t="n">
        <f aca="false">September!$L12</f>
        <v>0</v>
      </c>
      <c r="L26" s="108" t="n">
        <f aca="false">Oktober!$L12</f>
        <v>0</v>
      </c>
      <c r="M26" s="108" t="n">
        <f aca="false">November!$L12</f>
        <v>0</v>
      </c>
      <c r="N26" s="108" t="n">
        <f aca="false">Dezember!$L12</f>
        <v>0</v>
      </c>
      <c r="O26" s="109" t="n">
        <f aca="false">SUM(C26:N26)</f>
        <v>0</v>
      </c>
    </row>
    <row r="27" customFormat="false" ht="13" hidden="false" customHeight="false" outlineLevel="0" collapsed="false">
      <c r="A27" s="29" t="str">
        <f aca="false">Para1!F163</f>
        <v>public office</v>
      </c>
      <c r="B27" s="32"/>
      <c r="C27" s="110" t="n">
        <f aca="false">Januar!$L13</f>
        <v>0</v>
      </c>
      <c r="D27" s="110" t="n">
        <f aca="false">Februar!$L13</f>
        <v>0</v>
      </c>
      <c r="E27" s="110" t="n">
        <f aca="false">Maerz!$L13</f>
        <v>0</v>
      </c>
      <c r="F27" s="110" t="n">
        <f aca="false">April!$L13</f>
        <v>0</v>
      </c>
      <c r="G27" s="110" t="n">
        <f aca="false">Mai!$L13</f>
        <v>0</v>
      </c>
      <c r="H27" s="110" t="n">
        <f aca="false">Juni!$L13</f>
        <v>0</v>
      </c>
      <c r="I27" s="110" t="n">
        <f aca="false">Juli!$L13</f>
        <v>0</v>
      </c>
      <c r="J27" s="110" t="n">
        <f aca="false">August!$L13</f>
        <v>0</v>
      </c>
      <c r="K27" s="110" t="n">
        <f aca="false">September!$L13</f>
        <v>0</v>
      </c>
      <c r="L27" s="110" t="n">
        <f aca="false">Oktober!$L13</f>
        <v>0</v>
      </c>
      <c r="M27" s="110" t="n">
        <f aca="false">November!$L13</f>
        <v>0</v>
      </c>
      <c r="N27" s="110" t="n">
        <f aca="false">Dezember!$L13</f>
        <v>0</v>
      </c>
      <c r="O27" s="111" t="n">
        <f aca="false">SUM(C27:N27)</f>
        <v>0</v>
      </c>
    </row>
    <row r="28" customFormat="false" ht="13" hidden="false" customHeight="false" outlineLevel="0" collapsed="false">
      <c r="A28" s="106" t="str">
        <f aca="false">Para1!F192&amp;" "&amp;Para1!F101</f>
        <v>leave paid</v>
      </c>
      <c r="B28" s="107"/>
      <c r="C28" s="108" t="n">
        <f aca="false">Januar!$L14</f>
        <v>0</v>
      </c>
      <c r="D28" s="108" t="n">
        <f aca="false">Februar!$L14</f>
        <v>0</v>
      </c>
      <c r="E28" s="108" t="n">
        <f aca="false">Maerz!$L14</f>
        <v>0</v>
      </c>
      <c r="F28" s="112" t="n">
        <f aca="false">April!$L14</f>
        <v>0</v>
      </c>
      <c r="G28" s="108" t="n">
        <f aca="false">Mai!$L14</f>
        <v>0</v>
      </c>
      <c r="H28" s="108" t="n">
        <f aca="false">Juni!$L14</f>
        <v>0</v>
      </c>
      <c r="I28" s="108" t="n">
        <f aca="false">Juli!$L14</f>
        <v>0</v>
      </c>
      <c r="J28" s="108" t="n">
        <f aca="false">August!$L14</f>
        <v>0</v>
      </c>
      <c r="K28" s="108" t="n">
        <f aca="false">September!$L14</f>
        <v>0</v>
      </c>
      <c r="L28" s="108" t="n">
        <f aca="false">Oktober!$L14</f>
        <v>0</v>
      </c>
      <c r="M28" s="108" t="n">
        <f aca="false">November!$L14</f>
        <v>0</v>
      </c>
      <c r="N28" s="108" t="n">
        <f aca="false">Dezember!$L14</f>
        <v>-0.175</v>
      </c>
      <c r="O28" s="109" t="n">
        <f aca="false">SUM(C28:N28)</f>
        <v>-0.175</v>
      </c>
    </row>
    <row r="29" customFormat="false" ht="13" hidden="false" customHeight="false" outlineLevel="0" collapsed="false">
      <c r="A29" s="29" t="str">
        <f aca="false">Para1!F192&amp;" "&amp;Para1!F189</f>
        <v>leave unpaid</v>
      </c>
      <c r="B29" s="32"/>
      <c r="C29" s="110" t="n">
        <f aca="false">Januar!$L15</f>
        <v>0</v>
      </c>
      <c r="D29" s="110" t="n">
        <f aca="false">Februar!$L15</f>
        <v>0</v>
      </c>
      <c r="E29" s="110" t="n">
        <f aca="false">Maerz!$L15</f>
        <v>0</v>
      </c>
      <c r="F29" s="110" t="n">
        <f aca="false">April!$L15</f>
        <v>0</v>
      </c>
      <c r="G29" s="110" t="n">
        <f aca="false">Mai!$L15</f>
        <v>0</v>
      </c>
      <c r="H29" s="110" t="n">
        <f aca="false">Juni!$L15</f>
        <v>0</v>
      </c>
      <c r="I29" s="110" t="n">
        <f aca="false">Juli!$L15</f>
        <v>0</v>
      </c>
      <c r="J29" s="110" t="n">
        <f aca="false">August!$L15</f>
        <v>0</v>
      </c>
      <c r="K29" s="110" t="n">
        <f aca="false">September!$L15</f>
        <v>0</v>
      </c>
      <c r="L29" s="110" t="n">
        <f aca="false">Oktober!$L15</f>
        <v>0</v>
      </c>
      <c r="M29" s="110" t="n">
        <f aca="false">November!$L15</f>
        <v>0</v>
      </c>
      <c r="N29" s="110" t="n">
        <f aca="false">Dezember!$L15</f>
        <v>-0.0875</v>
      </c>
      <c r="O29" s="111" t="n">
        <f aca="false">SUM(C29:N29)</f>
        <v>-0.0875</v>
      </c>
    </row>
    <row r="30" customFormat="false" ht="13" hidden="false" customHeight="false" outlineLevel="0" collapsed="false">
      <c r="A30" s="106" t="str">
        <f aca="false">Para1!F157</f>
        <v>parental leave</v>
      </c>
      <c r="B30" s="107"/>
      <c r="C30" s="108" t="n">
        <f aca="false">Januar!$L16</f>
        <v>0</v>
      </c>
      <c r="D30" s="108" t="n">
        <f aca="false">Februar!$L16</f>
        <v>0</v>
      </c>
      <c r="E30" s="108" t="n">
        <f aca="false">Maerz!$L16</f>
        <v>0</v>
      </c>
      <c r="F30" s="108" t="n">
        <f aca="false">April!$L16</f>
        <v>0</v>
      </c>
      <c r="G30" s="108" t="n">
        <f aca="false">Mai!$L16</f>
        <v>0</v>
      </c>
      <c r="H30" s="108" t="n">
        <f aca="false">Juni!$L16</f>
        <v>0</v>
      </c>
      <c r="I30" s="108" t="n">
        <f aca="false">Juli!$L16</f>
        <v>0</v>
      </c>
      <c r="J30" s="108" t="n">
        <f aca="false">August!$L16</f>
        <v>0</v>
      </c>
      <c r="K30" s="108" t="n">
        <f aca="false">September!$L16</f>
        <v>0</v>
      </c>
      <c r="L30" s="108" t="n">
        <f aca="false">Oktober!$L16</f>
        <v>0</v>
      </c>
      <c r="M30" s="108" t="n">
        <f aca="false">November!$L16</f>
        <v>0</v>
      </c>
      <c r="N30" s="108" t="n">
        <f aca="false">Dezember!$L16</f>
        <v>-8.8375</v>
      </c>
      <c r="O30" s="109" t="n">
        <f aca="false">SUM(C30:N30)</f>
        <v>-8.8375</v>
      </c>
    </row>
    <row r="31" customFormat="false" ht="13" hidden="false" customHeight="false" outlineLevel="0" collapsed="false">
      <c r="A31" s="29" t="str">
        <f aca="false">Para1!F150</f>
        <v>military/civil def./civil serv.</v>
      </c>
      <c r="B31" s="32"/>
      <c r="C31" s="110" t="n">
        <f aca="false">Januar!$L17</f>
        <v>0</v>
      </c>
      <c r="D31" s="110" t="n">
        <f aca="false">Februar!$L17</f>
        <v>0</v>
      </c>
      <c r="E31" s="110" t="n">
        <f aca="false">Maerz!$L17</f>
        <v>0</v>
      </c>
      <c r="F31" s="110" t="n">
        <f aca="false">April!$L17</f>
        <v>0</v>
      </c>
      <c r="G31" s="110" t="n">
        <f aca="false">Mai!$L17</f>
        <v>0</v>
      </c>
      <c r="H31" s="110" t="n">
        <f aca="false">Juni!$L17</f>
        <v>0</v>
      </c>
      <c r="I31" s="110" t="n">
        <f aca="false">Juli!$L17</f>
        <v>0</v>
      </c>
      <c r="J31" s="110" t="n">
        <f aca="false">August!$L17</f>
        <v>0</v>
      </c>
      <c r="K31" s="110" t="n">
        <f aca="false">September!$L17</f>
        <v>0</v>
      </c>
      <c r="L31" s="110" t="n">
        <f aca="false">Oktober!$L17</f>
        <v>0</v>
      </c>
      <c r="M31" s="110" t="n">
        <f aca="false">November!$L17</f>
        <v>0</v>
      </c>
      <c r="N31" s="110" t="n">
        <f aca="false">Dezember!$L17</f>
        <v>-0.175</v>
      </c>
      <c r="O31" s="111" t="n">
        <f aca="false">SUM(C31:N31)</f>
        <v>-0.175</v>
      </c>
    </row>
    <row r="32" customFormat="false" ht="14" hidden="false" customHeight="false" outlineLevel="0" collapsed="false">
      <c r="A32" s="103" t="str">
        <f aca="false">Para1!F180</f>
        <v>total</v>
      </c>
      <c r="B32" s="104"/>
      <c r="C32" s="113" t="n">
        <f aca="false">SUM(C22:C31)</f>
        <v>0</v>
      </c>
      <c r="D32" s="113" t="n">
        <f aca="false">SUM(D22:D31)</f>
        <v>0</v>
      </c>
      <c r="E32" s="113" t="n">
        <f aca="false">SUM(E22:E31)</f>
        <v>0</v>
      </c>
      <c r="F32" s="113" t="n">
        <f aca="false">SUM(F22:F31)</f>
        <v>0</v>
      </c>
      <c r="G32" s="113" t="n">
        <f aca="false">SUM(G22:G31)</f>
        <v>0</v>
      </c>
      <c r="H32" s="113" t="n">
        <f aca="false">SUM(H22:H31)</f>
        <v>0</v>
      </c>
      <c r="I32" s="113" t="n">
        <f aca="false">SUM(I22:I31)</f>
        <v>0</v>
      </c>
      <c r="J32" s="113" t="n">
        <f aca="false">SUM(J22:J31)</f>
        <v>0</v>
      </c>
      <c r="K32" s="113" t="n">
        <f aca="false">SUM(K22:K31)</f>
        <v>0</v>
      </c>
      <c r="L32" s="113" t="n">
        <f aca="false">SUM(L22:L31)</f>
        <v>0</v>
      </c>
      <c r="M32" s="113" t="n">
        <f aca="false">SUM(M22:M31)</f>
        <v>0</v>
      </c>
      <c r="N32" s="113" t="n">
        <f aca="false">SUM(N22:N31)</f>
        <v>-9.275</v>
      </c>
      <c r="O32" s="105"/>
    </row>
    <row r="33" customFormat="false" ht="14" hidden="false" customHeight="false" outlineLevel="0" collapsed="false">
      <c r="O33" s="114" t="str">
        <f aca="false">Para1!G2</f>
        <v>AE v1_01 02.12.2021</v>
      </c>
    </row>
    <row r="34" customFormat="false" ht="15.75" hidden="false" customHeight="true" outlineLevel="0" collapsed="false">
      <c r="A34" s="11" t="str">
        <f aca="false">Para1!F106</f>
        <v>date</v>
      </c>
      <c r="B34" s="115"/>
      <c r="D34" s="0" t="str">
        <f aca="false">Para1!F191&amp;" "&amp;Para1!F152</f>
        <v>signature employee</v>
      </c>
      <c r="F34" s="115"/>
      <c r="G34" s="115"/>
      <c r="H34" s="115"/>
      <c r="J34" s="0" t="str">
        <f aca="false">Para1!F191&amp;" "&amp;Para1!F193</f>
        <v>signature manager</v>
      </c>
      <c r="L34" s="115"/>
      <c r="M34" s="115"/>
      <c r="N34" s="115"/>
    </row>
  </sheetData>
  <sheetProtection sheet="true" password="cf1f" objects="true" scenarios="true"/>
  <mergeCells count="4">
    <mergeCell ref="C2:D2"/>
    <mergeCell ref="G2:H2"/>
    <mergeCell ref="G4:H4"/>
    <mergeCell ref="K4:M5"/>
  </mergeCells>
  <conditionalFormatting sqref="C15:N16 C22:N31">
    <cfRule type="cellIs" priority="2" operator="equal" aboveAverage="0" equalAverage="0" bottom="0" percent="0" rank="0" text="" dxfId="0">
      <formula>0</formula>
    </cfRule>
  </conditionalFormatting>
  <printOptions headings="false" gridLines="false" gridLinesSet="true" horizontalCentered="false" verticalCentered="false"/>
  <pageMargins left="0.708333333333333" right="0.708333333333333" top="0.788194444444444" bottom="0.7875" header="0.315277777777778" footer="0.315277777777778"/>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&amp;C&amp;16Absenzenerfassung -  &amp;A</oddHeader>
    <oddFooter>&amp;L&amp;Z&amp;F</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Q61"/>
  <sheetViews>
    <sheetView showFormulas="false" showGridLines="false" showRowColHeaders="true" showZeros="true" rightToLeft="false" tabSelected="false" showOutlineSymbols="true" defaultGridColor="true" view="normal" topLeftCell="A13" colorId="64" zoomScale="85" zoomScaleNormal="85" zoomScalePageLayoutView="100" workbookViewId="0">
      <selection pane="topLeft" activeCell="K31" activeCellId="0" sqref="K31"/>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8" min="4" style="117" width="12.66"/>
    <col collapsed="false" customWidth="true" hidden="false" outlineLevel="0" max="9" min="9" style="24" width="12.66"/>
    <col collapsed="false" customWidth="true" hidden="false" outlineLevel="0" max="10" min="10" style="24" width="2.84"/>
    <col collapsed="false" customWidth="true" hidden="false" outlineLevel="0" max="12" min="11" style="24"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2"/>
    <col collapsed="false" customWidth="false" hidden="false" outlineLevel="0" max="1024" min="24" style="117" width="11.5"/>
  </cols>
  <sheetData>
    <row r="1" customFormat="fals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J1" s="121"/>
      <c r="K1" s="121" t="str">
        <f aca="false">Para1!F133</f>
        <v>year of birth (4-digit):</v>
      </c>
      <c r="L1" s="122" t="n">
        <f aca="false">'Jahresübersicht (Overview)'!K2</f>
        <v>1994</v>
      </c>
      <c r="O1" s="123"/>
      <c r="P1" s="123"/>
      <c r="AO1" s="24"/>
      <c r="AP1" s="24"/>
    </row>
    <row r="2" customFormat="false" ht="6" hidden="false" customHeight="true" outlineLevel="0" collapsed="false">
      <c r="D2" s="124"/>
      <c r="E2" s="124"/>
      <c r="F2" s="124"/>
      <c r="G2" s="124"/>
      <c r="I2" s="124"/>
      <c r="J2" s="124"/>
      <c r="K2" s="124"/>
      <c r="L2" s="124"/>
      <c r="AO2" s="24"/>
      <c r="AP2" s="24"/>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(Overview)'!C8</f>
        <v>100</v>
      </c>
      <c r="H3" s="117" t="s">
        <v>11</v>
      </c>
      <c r="J3" s="119"/>
      <c r="K3" s="126" t="str">
        <f aca="false">Para1!F113</f>
        <v>starting date:</v>
      </c>
      <c r="L3" s="127" t="n">
        <f aca="false">'Jahresübersicht (Overview)'!G4</f>
        <v>42688</v>
      </c>
      <c r="M3" s="128"/>
      <c r="N3" s="128"/>
      <c r="AL3" s="24"/>
      <c r="AM3" s="24"/>
    </row>
    <row r="4" customFormat="false" ht="6" hidden="false" customHeight="true" outlineLevel="0" collapsed="false">
      <c r="A4" s="129"/>
      <c r="B4" s="130"/>
      <c r="C4" s="130"/>
      <c r="D4" s="131"/>
      <c r="E4" s="131"/>
      <c r="F4" s="131"/>
      <c r="G4" s="131"/>
      <c r="H4" s="131"/>
      <c r="I4" s="132"/>
      <c r="J4" s="132"/>
      <c r="K4" s="132"/>
      <c r="L4" s="132"/>
      <c r="M4" s="130"/>
      <c r="N4" s="130"/>
      <c r="AH4" s="133"/>
      <c r="AI4" s="133"/>
      <c r="AJ4" s="133"/>
      <c r="AK4" s="133"/>
      <c r="AL4" s="32"/>
      <c r="AM4" s="32"/>
      <c r="AN4" s="133"/>
      <c r="AO4" s="133"/>
      <c r="AP4" s="133"/>
      <c r="AQ4" s="133"/>
    </row>
    <row r="5" customFormat="false" ht="6" hidden="false" customHeight="true" outlineLevel="0" collapsed="false">
      <c r="D5" s="124"/>
      <c r="E5" s="124"/>
      <c r="F5" s="124"/>
      <c r="G5" s="124"/>
      <c r="H5" s="124"/>
      <c r="I5" s="134"/>
      <c r="J5" s="134"/>
      <c r="K5" s="134"/>
      <c r="L5" s="134"/>
      <c r="AL5" s="24"/>
      <c r="AM5" s="24"/>
    </row>
    <row r="6" customFormat="false" ht="15" hidden="false" customHeight="true" outlineLevel="0" collapsed="false">
      <c r="D6" s="124"/>
      <c r="E6" s="135"/>
      <c r="F6" s="124"/>
      <c r="G6" s="124"/>
      <c r="H6" s="124"/>
      <c r="I6" s="134"/>
      <c r="J6" s="134"/>
      <c r="K6" s="134"/>
      <c r="L6" s="134"/>
    </row>
    <row r="7" customFormat="false" ht="15" hidden="false" customHeight="true" outlineLevel="0" collapsed="false">
      <c r="C7" s="136"/>
      <c r="D7" s="126" t="str">
        <f aca="false">Para1!F117</f>
        <v>holiday</v>
      </c>
      <c r="E7" s="137" t="s">
        <v>12</v>
      </c>
      <c r="I7" s="121" t="str">
        <f aca="false">Para1!F83</f>
        <v>absences</v>
      </c>
      <c r="J7" s="117" t="s">
        <v>12</v>
      </c>
      <c r="K7" s="117"/>
      <c r="L7" s="138" t="str">
        <f aca="false">Para1!F84</f>
        <v>curr. mnth</v>
      </c>
      <c r="N7" s="139" t="str">
        <f aca="false">Para1!F171</f>
        <v>balance</v>
      </c>
      <c r="O7" s="140"/>
      <c r="AO7" s="24"/>
      <c r="AP7" s="24"/>
    </row>
    <row r="8" customFormat="false" ht="15" hidden="false" customHeight="true" outlineLevel="0" collapsed="false">
      <c r="D8" s="138" t="str">
        <f aca="false">Para1!B171&amp;" "&amp;Para1!B88&amp;" "&amp;Para1!B154</f>
        <v>Saldo Anfang Monat</v>
      </c>
      <c r="E8" s="141" t="n">
        <f aca="false">'Jahresübersicht (Overview)'!O14</f>
        <v>8.79375</v>
      </c>
      <c r="I8" s="135" t="str">
        <f aca="false">Para1!F141</f>
        <v>illness</v>
      </c>
      <c r="J8" s="142"/>
      <c r="K8" s="117"/>
      <c r="L8" s="143" t="n">
        <f aca="false">D54</f>
        <v>0</v>
      </c>
      <c r="M8" s="143"/>
      <c r="N8" s="144" t="n">
        <f aca="false">SUM(L8:M8)</f>
        <v>0</v>
      </c>
      <c r="AN8" s="24"/>
      <c r="AO8" s="24"/>
      <c r="AP8" s="24"/>
    </row>
    <row r="9" customFormat="false" ht="15" hidden="false" customHeight="true" outlineLevel="0" collapsed="false">
      <c r="D9" s="138" t="str">
        <f aca="false">"./. "&amp;Para1!F118</f>
        <v>./. holiday taken</v>
      </c>
      <c r="E9" s="141" t="n">
        <f aca="false">COUNTIF($K$23:$L$53,"f")*$P$55-IF(ISNA(F9),0,((S54+T54)/100*G3)/48)-IF(ISNA(G9),0,((S54+T54)/100*G3)/48)</f>
        <v>1.75</v>
      </c>
      <c r="F9" s="145" t="e">
        <f aca="false">INDEX(U23:U53,MATCH("f",U23:U53,0))</f>
        <v>#N/A</v>
      </c>
      <c r="G9" s="145" t="e">
        <f aca="false">INDEX(V23:V53,MATCH("f",V23:V53,0))</f>
        <v>#N/A</v>
      </c>
      <c r="I9" s="135" t="str">
        <f aca="false">Para1!F190</f>
        <v>accident</v>
      </c>
      <c r="J9" s="120" t="str">
        <f aca="false">Para1!F99</f>
        <v>work related</v>
      </c>
      <c r="K9" s="120"/>
      <c r="L9" s="143" t="n">
        <f aca="false">E54</f>
        <v>0</v>
      </c>
      <c r="M9" s="143"/>
      <c r="N9" s="144" t="n">
        <f aca="false">SUM(L9:M9)</f>
        <v>0</v>
      </c>
      <c r="X9" s="146"/>
      <c r="Y9" s="143"/>
      <c r="Z9" s="144"/>
      <c r="AN9" s="24"/>
      <c r="AO9" s="24"/>
      <c r="AP9" s="24"/>
    </row>
    <row r="10" customFormat="false" ht="15" hidden="false" customHeight="true" outlineLevel="0" collapsed="false">
      <c r="D10" s="138" t="str">
        <f aca="false">"./ ."&amp;Para1!F119</f>
        <v>./ .reduction of holiday</v>
      </c>
      <c r="E10" s="147" t="n">
        <v>0</v>
      </c>
      <c r="I10" s="135"/>
      <c r="J10" s="120" t="str">
        <f aca="false">Para1!F161&amp;" "&amp;Para1!F100</f>
        <v>not work. rel.</v>
      </c>
      <c r="K10" s="120"/>
      <c r="L10" s="143" t="n">
        <f aca="false">F54</f>
        <v>0</v>
      </c>
      <c r="M10" s="143"/>
      <c r="N10" s="144" t="n">
        <f aca="false">SUM(L10:M10)</f>
        <v>0</v>
      </c>
      <c r="X10" s="146"/>
      <c r="Y10" s="143"/>
      <c r="Z10" s="144"/>
      <c r="AN10" s="24"/>
      <c r="AO10" s="24"/>
      <c r="AP10" s="24"/>
    </row>
    <row r="11" s="117" customFormat="true" ht="15" hidden="false" customHeight="true" outlineLevel="0" collapsed="false">
      <c r="A11" s="116"/>
      <c r="B11" s="136"/>
      <c r="C11" s="136"/>
      <c r="D11" s="126" t="str">
        <f aca="false">Para1!F171&amp;" "&amp;Para1!F115&amp;" "&amp;Para1!F154</f>
        <v>balance end of the month</v>
      </c>
      <c r="E11" s="148" t="n">
        <f aca="false">$E$8-$E$9-$E$10</f>
        <v>7.04375</v>
      </c>
      <c r="I11" s="149" t="str">
        <f aca="false">Para1!F142</f>
        <v>short vacation</v>
      </c>
      <c r="L11" s="143" t="n">
        <f aca="false">G54</f>
        <v>0</v>
      </c>
      <c r="M11" s="143"/>
      <c r="N11" s="144" t="n">
        <f aca="false">SUM(L11:M11)</f>
        <v>0</v>
      </c>
      <c r="AN11" s="24"/>
      <c r="AO11" s="24"/>
      <c r="AP11" s="24"/>
    </row>
    <row r="12" s="117" customFormat="true" ht="15" hidden="false" customHeight="true" outlineLevel="0" collapsed="false">
      <c r="A12" s="116"/>
      <c r="B12" s="150" t="str">
        <f aca="false">IF((E11*24+(4.2*'Persönliche Daten (pers. data)'!O8/100))&lt;0,Para1!J224,IF(E11&gt;0,"",Para1!J223))</f>
        <v/>
      </c>
      <c r="I12" s="151" t="str">
        <f aca="false">Para1!F198</f>
        <v>training / education</v>
      </c>
      <c r="L12" s="143" t="n">
        <f aca="false">H54</f>
        <v>0</v>
      </c>
      <c r="M12" s="143"/>
      <c r="N12" s="144" t="n">
        <f aca="false">SUM(L12:M12)</f>
        <v>0</v>
      </c>
      <c r="AP12" s="24"/>
    </row>
    <row r="13" s="117" customFormat="true" ht="15" hidden="false" customHeight="true" outlineLevel="0" collapsed="false">
      <c r="A13" s="116"/>
      <c r="B13" s="152" t="str">
        <f aca="false">Para1!F105&amp;" "&amp;Para1!F122&amp;" "&amp;Para1!F83&amp;" in "&amp;Para1!F178&amp;":"</f>
        <v>letters for absences in days:</v>
      </c>
      <c r="C13" s="152"/>
      <c r="D13" s="152"/>
      <c r="E13" s="152"/>
      <c r="I13" s="135" t="str">
        <f aca="false">Para1!F163</f>
        <v>public office</v>
      </c>
      <c r="L13" s="143" t="n">
        <f aca="false">I54</f>
        <v>0</v>
      </c>
      <c r="M13" s="143"/>
      <c r="N13" s="144" t="n">
        <f aca="false">SUM(L13:M13)</f>
        <v>0</v>
      </c>
      <c r="AP13" s="24"/>
    </row>
    <row r="14" customFormat="false" ht="14" hidden="false" customHeight="false" outlineLevel="0" collapsed="false">
      <c r="B14" s="153" t="s">
        <v>13</v>
      </c>
      <c r="C14" s="154" t="str">
        <f aca="false">Para1!F117</f>
        <v>holiday</v>
      </c>
      <c r="D14" s="154"/>
      <c r="E14" s="154"/>
      <c r="I14" s="155" t="str">
        <f aca="false">Para1!F192</f>
        <v>leave</v>
      </c>
      <c r="J14" s="146" t="str">
        <f aca="false">Para1!F101</f>
        <v>paid</v>
      </c>
      <c r="L14" s="146" t="n">
        <f aca="false">COUNTIF($K$23:$L$53,"b")*$P$55-IF(ISNA(O14),0,(($S$54+$T$54)/100*$G$3)/48)-IF(ISNA(P14),0,(($S$54+$T$54)/100*$G$3)/48)</f>
        <v>0</v>
      </c>
      <c r="M14" s="143"/>
      <c r="N14" s="144" t="n">
        <f aca="false">SUM(L14:M14)</f>
        <v>0</v>
      </c>
      <c r="O14" s="145" t="e">
        <f aca="false">INDEX(U23:U53,MATCH("b",U23:U53,0))</f>
        <v>#N/A</v>
      </c>
      <c r="P14" s="145" t="e">
        <f aca="false">INDEX(V23:V53,MATCH("b",V23:V53,0))</f>
        <v>#N/A</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COUNTIF($K$23:$L$53,"u")*$P$55-IF(ISNA(O15),0,(($S$54+$T$54)/100*$G$3)/48)-IF(ISNA(P15),0,(($S$54+$T$54)/100*$G$3)/48)</f>
        <v>0</v>
      </c>
      <c r="M15" s="143"/>
      <c r="N15" s="144" t="n">
        <f aca="false">SUM(L15:M15)</f>
        <v>0</v>
      </c>
      <c r="O15" s="145" t="e">
        <f aca="false">INDEX(U23:U53,MATCH("u",U23:U53,0))</f>
        <v>#N/A</v>
      </c>
      <c r="P15" s="145" t="e">
        <f aca="false">INDEX(V23:V53,MATCH("u",V23:V53,0))</f>
        <v>#N/A</v>
      </c>
      <c r="R15" s="157"/>
      <c r="AN15" s="24"/>
      <c r="AO15" s="24"/>
      <c r="AP15" s="24"/>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L16" s="158" t="n">
        <f aca="false">COUNTIF($K$23:$L$53,"m")*$P$55-IF(ISNA(O16),0,(($S$54+$T$54)/100*$G$3)/48)-IF(ISNA(P16),0,(($S$54+$T$54)/100*$G$3)/48)</f>
        <v>0</v>
      </c>
      <c r="M16" s="143"/>
      <c r="N16" s="144" t="n">
        <f aca="false">SUM(L16:M16)</f>
        <v>0</v>
      </c>
      <c r="O16" s="145" t="e">
        <f aca="false">INDEX(U23:U53,MATCH("m",U23:U53,0))</f>
        <v>#N/A</v>
      </c>
      <c r="P16" s="145" t="e">
        <f aca="false">INDEX(V23:V53,MATCH("m",V23:V53,0))</f>
        <v>#N/A</v>
      </c>
      <c r="R16" s="157"/>
      <c r="AN16" s="24"/>
      <c r="AO16" s="24"/>
      <c r="AP16" s="24"/>
    </row>
    <row r="17" customFormat="false" ht="15" hidden="false" customHeight="true" outlineLevel="0" collapsed="false">
      <c r="B17" s="159" t="s">
        <v>16</v>
      </c>
      <c r="C17" s="156" t="str">
        <f aca="false">Para1!F192&amp;" "&amp;Para1!F101</f>
        <v>leave paid</v>
      </c>
      <c r="D17" s="156"/>
      <c r="E17" s="156"/>
      <c r="G17" s="157"/>
      <c r="H17" s="157"/>
      <c r="I17" s="135" t="str">
        <f aca="false">Para1!F150</f>
        <v>military/civil def./civil serv.</v>
      </c>
      <c r="L17" s="158" t="n">
        <f aca="false">COUNTIF($K$23:$L$53,"z")*$P$55-IF(ISNA(O17),0,(($S$54+$T$54)/100*$G$3)/48)-IF(ISNA(P17),0,(($S$54+$T$54)/100*$G$3)/48)</f>
        <v>0</v>
      </c>
      <c r="M17" s="143"/>
      <c r="N17" s="144" t="n">
        <f aca="false">SUM(L17:M17)</f>
        <v>0</v>
      </c>
      <c r="O17" s="145" t="e">
        <f aca="false">INDEX(U23:U53,MATCH("z",U23:U53,0))</f>
        <v>#N/A</v>
      </c>
      <c r="P17" s="145" t="e">
        <f aca="false">INDEX(V23:V53,MATCH("z",V23:V53,0))</f>
        <v>#N/A</v>
      </c>
      <c r="AN17" s="24"/>
      <c r="AO17" s="24"/>
      <c r="AP17" s="24"/>
    </row>
    <row r="18" s="117" customFormat="true" ht="15" hidden="false" customHeight="true" outlineLevel="0" collapsed="false">
      <c r="A18" s="116"/>
      <c r="B18" s="159" t="s">
        <v>17</v>
      </c>
      <c r="C18" s="154" t="str">
        <f aca="false">Para1!F192&amp;" "&amp;Para1!F189</f>
        <v>leave unpaid</v>
      </c>
      <c r="D18" s="154"/>
      <c r="E18" s="154"/>
      <c r="I18" s="121" t="str">
        <f aca="false">Para1!F180</f>
        <v>total</v>
      </c>
      <c r="L18" s="160" t="n">
        <f aca="false">SUM(L8:L17)</f>
        <v>0</v>
      </c>
      <c r="M18" s="160" t="n">
        <f aca="false">SUM(M8:M17)</f>
        <v>0</v>
      </c>
      <c r="N18" s="160" t="n">
        <f aca="false">SUM(N8:N17)</f>
        <v>0</v>
      </c>
      <c r="AN18" s="24"/>
      <c r="AO18" s="24"/>
      <c r="AP18" s="24"/>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c r="AO19" s="24"/>
      <c r="AP19" s="2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row>
    <row r="21" s="179" customFormat="true" ht="18.75" hidden="false" customHeight="true" outlineLevel="0" collapsed="false">
      <c r="A21" s="167" t="n">
        <f aca="true">TODAY()</f>
        <v>42894</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173"/>
      <c r="K21" s="174" t="str">
        <f aca="false">Para1!F194</f>
        <v>morning</v>
      </c>
      <c r="L21" s="175" t="str">
        <f aca="false">Para1!F158</f>
        <v>afternoon</v>
      </c>
      <c r="M21" s="176"/>
      <c r="N21" s="136"/>
      <c r="O21" s="136"/>
      <c r="P21" s="177" t="str">
        <f aca="false">Para1!F194</f>
        <v>morning</v>
      </c>
      <c r="Q21" s="178" t="str">
        <f aca="false">Para1!F158</f>
        <v>afternoon</v>
      </c>
    </row>
    <row r="22" s="179" customFormat="true" ht="15.75" hidden="false" customHeight="true" outlineLevel="0" collapsed="false">
      <c r="A22" s="180" t="str">
        <f aca="false">Para1!F106</f>
        <v>date</v>
      </c>
      <c r="B22" s="180"/>
      <c r="C22" s="181"/>
      <c r="D22" s="169"/>
      <c r="E22" s="170"/>
      <c r="F22" s="171"/>
      <c r="G22" s="170"/>
      <c r="H22" s="170"/>
      <c r="I22" s="172"/>
      <c r="J22" s="182"/>
      <c r="K22" s="174"/>
      <c r="L22" s="175"/>
      <c r="M22" s="183"/>
      <c r="N22" s="136"/>
      <c r="O22" s="136"/>
      <c r="P22" s="177"/>
      <c r="Q22" s="178"/>
    </row>
    <row r="23" customFormat="false" ht="17" hidden="false" customHeight="true" outlineLevel="0" collapsed="false">
      <c r="A23" s="184" t="s">
        <v>18</v>
      </c>
      <c r="B23" s="185" t="str">
        <f aca="false">Para1!G63</f>
        <v>Fri</v>
      </c>
      <c r="C23" s="186"/>
      <c r="D23" s="187"/>
      <c r="E23" s="188"/>
      <c r="F23" s="189"/>
      <c r="G23" s="188"/>
      <c r="H23" s="188"/>
      <c r="I23" s="190"/>
      <c r="J23" s="191"/>
      <c r="K23" s="192"/>
      <c r="L23" s="193"/>
      <c r="M23" s="194"/>
      <c r="N23" s="195"/>
      <c r="O23" s="196"/>
      <c r="P23" s="197"/>
      <c r="Q23" s="197"/>
      <c r="R23" s="145" t="s">
        <v>19</v>
      </c>
      <c r="S23" s="145" t="str">
        <f aca="false">IF((P23+Q23)=0,"",IF(ISNA(R23),"",IF(R23="","",VLOOKUP(R23,Para1!$D$67:$G$79,3,0)*(IF(P23+Q23=1,0.5,1)))))</f>
        <v/>
      </c>
      <c r="T23" s="145" t="str">
        <f aca="false">IF(P23+Q23=0,"",IF(ISNA(R24),"",IF(R24="","",VLOOKUP(R24,Para1!$D$67:$G$79,4,0)*(IF(P23+Q23=1,0.5,1)))))</f>
        <v/>
      </c>
      <c r="U23" s="145" t="n">
        <f aca="false">IF(S23=0,P23+Q23,0)</f>
        <v>0</v>
      </c>
      <c r="V23" s="117" t="str">
        <f aca="false">IF(SUM(S23:T23)&gt;0,L23,"")</f>
        <v/>
      </c>
      <c r="W23" s="145" t="n">
        <f aca="false">IF(S23=0,P23+Q23,0)</f>
        <v>0</v>
      </c>
    </row>
    <row r="24" customFormat="false" ht="17" hidden="false" customHeight="true" outlineLevel="0" collapsed="false">
      <c r="A24" s="198" t="s">
        <v>20</v>
      </c>
      <c r="B24" s="185" t="str">
        <f aca="false">IF(B23=Para1!$F$153,Para1!$F$109,IF(B23=Para1!$F$109,Para1!$F$148,IF(B23=Para1!$F$148,Para1!$F$111,IF(B23=Para1!$F$111,Para1!$F$120,IF(B23=Para1!$F$120,Para1!$F$170,IF(B23=Para1!$F$170,Para1!$F$173,Para1!$F$153))))))</f>
        <v>Sat</v>
      </c>
      <c r="C24" s="186"/>
      <c r="D24" s="187"/>
      <c r="E24" s="188"/>
      <c r="F24" s="189"/>
      <c r="G24" s="188"/>
      <c r="H24" s="188"/>
      <c r="I24" s="190"/>
      <c r="J24" s="191"/>
      <c r="K24" s="192"/>
      <c r="L24" s="193"/>
      <c r="M24" s="194"/>
      <c r="N24" s="195"/>
      <c r="O24" s="196"/>
      <c r="P24" s="199"/>
      <c r="Q24" s="199"/>
      <c r="R24" s="145" t="s">
        <v>21</v>
      </c>
      <c r="S24" s="145" t="str">
        <f aca="false">IF((P24+Q24)=0,"",IF(ISNA(R24),"",IF(R24="","",VLOOKUP(R24,Para1!$D$67:$G$79,3,0)*(IF(P24+Q24=1,0.5,1)))))</f>
        <v/>
      </c>
      <c r="T24" s="145" t="str">
        <f aca="false">IF(P24+Q24=0,"",IF(ISNA(R25),"",IF(R25="","",VLOOKUP(R25,Para1!$D$67:$G$79,4,0)*(IF(P24+Q24=1,0.5,1)))))</f>
        <v/>
      </c>
      <c r="U24" s="145" t="n">
        <f aca="false">IF(S24=0,P24+Q24,0)</f>
        <v>0</v>
      </c>
      <c r="V24" s="117" t="str">
        <f aca="false">IF(SUM(S24:T24)&gt;0,L24,"")</f>
        <v/>
      </c>
      <c r="W24" s="145" t="n">
        <f aca="false">IF(S24=0,P24+Q24,0)</f>
        <v>0</v>
      </c>
    </row>
    <row r="25" customFormat="false" ht="17" hidden="false" customHeight="true" outlineLevel="0" collapsed="false">
      <c r="A25" s="200" t="s">
        <v>22</v>
      </c>
      <c r="B25" s="201" t="str">
        <f aca="false">IF(B24=Para1!$F$153,Para1!$F$109,IF(B24=Para1!$F$109,Para1!$F$148,IF(B24=Para1!$F$148,Para1!$F$111,IF(B24=Para1!$F$111,Para1!$F$120,IF(B24=Para1!$F$120,Para1!$F$170,IF(B24=Para1!$F$170,Para1!$F$173,Para1!$F$153))))))</f>
        <v>Sun</v>
      </c>
      <c r="C25" s="202"/>
      <c r="D25" s="203"/>
      <c r="E25" s="204"/>
      <c r="F25" s="205"/>
      <c r="G25" s="204"/>
      <c r="H25" s="204"/>
      <c r="I25" s="206"/>
      <c r="J25" s="207"/>
      <c r="K25" s="208"/>
      <c r="L25" s="209"/>
      <c r="M25" s="210"/>
      <c r="N25" s="195"/>
      <c r="O25" s="196"/>
      <c r="P25" s="211" t="n">
        <f aca="false">IF(OR($B25="Sa",$B25="So",$B25="Sat",$B25="Sun"),0,1)</f>
        <v>0</v>
      </c>
      <c r="Q25" s="212" t="n">
        <f aca="false">IF(OR($B25="Sa",$B25="So",$B25="Sat",$B25="Sun"),0,1)</f>
        <v>0</v>
      </c>
      <c r="R25" s="145" t="e">
        <f aca="false">IF(VLOOKUP(A25,Para1!$B$67:$E$72,2,0)="1.",VLOOKUP(A25,Para1!$B$67:$E$72,3,0),"")</f>
        <v>#N/A</v>
      </c>
      <c r="S25" s="145" t="str">
        <f aca="false">IF((P25+Q25)=0,"",IF(ISNA(R25),"",IF(R25="","",VLOOKUP(R25,Para1!$D$67:$G$79,3,0)*(IF(P25+Q25=1,0.5,1)))))</f>
        <v/>
      </c>
      <c r="T25" s="145" t="str">
        <f aca="false">IF(P25+Q25=0,"",IF(ISNA(R26),"",IF(R26="","",VLOOKUP(R26,Para1!$D$67:$G$79,4,0)*(IF(P25+Q25=1,0.5,1)))))</f>
        <v/>
      </c>
      <c r="U25" s="145" t="n">
        <f aca="false">IF(S25=0,P25+Q25,0)</f>
        <v>0</v>
      </c>
      <c r="V25" s="117" t="str">
        <f aca="false">IF(SUM(S25:T25)&gt;0,L25,"")</f>
        <v/>
      </c>
      <c r="W25" s="145" t="n">
        <f aca="false">IF(S25=0,P25+Q25,0)</f>
        <v>0</v>
      </c>
    </row>
    <row r="26" customFormat="false" ht="17" hidden="false" customHeight="true" outlineLevel="0" collapsed="false">
      <c r="A26" s="200" t="s">
        <v>23</v>
      </c>
      <c r="B26" s="201" t="str">
        <f aca="false">IF(B25=Para1!$F$153,Para1!$F$109,IF(B25=Para1!$F$109,Para1!$F$148,IF(B25=Para1!$F$148,Para1!$F$111,IF(B25=Para1!$F$111,Para1!$F$120,IF(B25=Para1!$F$120,Para1!$F$170,IF(B25=Para1!$F$170,Para1!$F$173,Para1!$F$153))))))</f>
        <v>Mon</v>
      </c>
      <c r="C26" s="213"/>
      <c r="D26" s="203"/>
      <c r="E26" s="204"/>
      <c r="F26" s="205"/>
      <c r="G26" s="204"/>
      <c r="H26" s="204"/>
      <c r="I26" s="206"/>
      <c r="J26" s="207"/>
      <c r="K26" s="208" t="s">
        <v>13</v>
      </c>
      <c r="L26" s="209" t="s">
        <v>13</v>
      </c>
      <c r="M26" s="210"/>
      <c r="N26" s="195"/>
      <c r="O26" s="196"/>
      <c r="P26" s="214" t="n">
        <f aca="false">IF(OR($B26="Sa",$B26="So",$B26="Sat",$B26="Sun"),0,1)</f>
        <v>1</v>
      </c>
      <c r="Q26" s="215" t="n">
        <f aca="false">IF(OR($B26="Sa",$B26="So",$B26="Sat",$B26="Sun"),0,1)</f>
        <v>1</v>
      </c>
      <c r="R26" s="145" t="str">
        <f aca="false">IF(VLOOKUP(A26,Para1!$B$67:$E$72,2,0)="1.",VLOOKUP(A26,Para1!$B$67:$E$72,3,0),"")</f>
        <v/>
      </c>
      <c r="S26" s="145" t="str">
        <f aca="false">IF((P26+Q26)=0,"",IF(ISNA(R26),"",IF(R26="","",VLOOKUP(R26,Para1!$D$67:$G$79,3,0)*(IF(P26+Q26=1,0.5,1)))))</f>
        <v/>
      </c>
      <c r="T26" s="145" t="str">
        <f aca="false">IF(P26+Q26=0,"",IF(ISNA(R27),"",IF(R27="","",VLOOKUP(R27,Para1!$D$67:$G$79,4,0)*(IF(P26+Q26=1,0.5,1)))))</f>
        <v/>
      </c>
      <c r="U26" s="145" t="n">
        <f aca="false">IF(S26=0,P26+Q26,0)</f>
        <v>0</v>
      </c>
      <c r="V26" s="117" t="str">
        <f aca="false">IF(SUM(S26:T26)&gt;0,L26,"")</f>
        <v/>
      </c>
      <c r="W26" s="145" t="n">
        <f aca="false">IF(S26=0,P26+Q26,0)</f>
        <v>0</v>
      </c>
    </row>
    <row r="27" customFormat="false" ht="17" hidden="false" customHeight="true" outlineLevel="0" collapsed="false">
      <c r="A27" s="216" t="s">
        <v>24</v>
      </c>
      <c r="B27" s="201" t="str">
        <f aca="false">IF(B26=Para1!$F$153,Para1!$F$109,IF(B26=Para1!$F$109,Para1!$F$148,IF(B26=Para1!$F$148,Para1!$F$111,IF(B26=Para1!$F$111,Para1!$F$120,IF(B26=Para1!$F$120,Para1!$F$170,IF(B26=Para1!$F$170,Para1!$F$173,Para1!$F$153))))))</f>
        <v>Tue</v>
      </c>
      <c r="C27" s="213"/>
      <c r="D27" s="203"/>
      <c r="E27" s="204"/>
      <c r="F27" s="205"/>
      <c r="G27" s="204"/>
      <c r="H27" s="204"/>
      <c r="I27" s="206"/>
      <c r="J27" s="207"/>
      <c r="K27" s="208" t="s">
        <v>13</v>
      </c>
      <c r="L27" s="209" t="s">
        <v>13</v>
      </c>
      <c r="M27" s="210"/>
      <c r="N27" s="195"/>
      <c r="O27" s="196"/>
      <c r="P27" s="214" t="n">
        <f aca="false">IF(OR($B27="Sa",$B27="So",$B27="Sat",$B27="Sun"),0,1)</f>
        <v>1</v>
      </c>
      <c r="Q27" s="215" t="n">
        <f aca="false">IF(OR($B27="Sa",$B27="So",$B27="Sat",$B27="Sun"),0,1)</f>
        <v>1</v>
      </c>
      <c r="R27" s="145" t="str">
        <f aca="false">IF(VLOOKUP(A27,Para1!$B$67:$E$72,2,0)="1.",VLOOKUP(A27,Para1!$B$67:$E$72,3,0),"")</f>
        <v/>
      </c>
      <c r="S27" s="145" t="str">
        <f aca="false">IF((P27+Q27)=0,"",IF(ISNA(R27),"",IF(R27="","",VLOOKUP(R27,Para1!$D$67:$G$79,3,0)*(IF(P27+Q27=1,0.5,1)))))</f>
        <v/>
      </c>
      <c r="T27" s="145" t="str">
        <f aca="false">IF(P27+Q27=0,"",IF(ISNA(R28),"",IF(R28="","",VLOOKUP(R28,Para1!$D$67:$G$79,4,0)*(IF(P27+Q27=1,0.5,1)))))</f>
        <v/>
      </c>
      <c r="U27" s="145" t="n">
        <f aca="false">IF(S27=0,P27+Q27,0)</f>
        <v>0</v>
      </c>
      <c r="V27" s="117" t="str">
        <f aca="false">IF(SUM(S27:T27)&gt;0,L27,"")</f>
        <v/>
      </c>
      <c r="W27" s="145" t="n">
        <f aca="false">IF(S27=0,P27+Q27,0)</f>
        <v>0</v>
      </c>
    </row>
    <row r="28" customFormat="false" ht="17" hidden="false" customHeight="true" outlineLevel="0" collapsed="false">
      <c r="A28" s="216" t="s">
        <v>25</v>
      </c>
      <c r="B28" s="201" t="str">
        <f aca="false">IF(B27=Para1!$F$153,Para1!$F$109,IF(B27=Para1!$F$109,Para1!$F$148,IF(B27=Para1!$F$148,Para1!$F$111,IF(B27=Para1!$F$111,Para1!$F$120,IF(B27=Para1!$F$120,Para1!$F$170,IF(B27=Para1!$F$170,Para1!$F$173,Para1!$F$153))))))</f>
        <v>Wed</v>
      </c>
      <c r="C28" s="213"/>
      <c r="D28" s="203"/>
      <c r="E28" s="204"/>
      <c r="F28" s="205"/>
      <c r="G28" s="204"/>
      <c r="H28" s="204"/>
      <c r="I28" s="206"/>
      <c r="J28" s="207"/>
      <c r="K28" s="208" t="s">
        <v>13</v>
      </c>
      <c r="L28" s="209" t="s">
        <v>13</v>
      </c>
      <c r="M28" s="210"/>
      <c r="N28" s="195"/>
      <c r="O28" s="196"/>
      <c r="P28" s="214" t="n">
        <f aca="false">IF(OR($B28="Sa",$B28="So",$B28="Sat",$B28="Sun"),0,1)</f>
        <v>1</v>
      </c>
      <c r="Q28" s="215" t="n">
        <f aca="false">IF(OR($B28="Sa",$B28="So",$B28="Sat",$B28="Sun"),0,1)</f>
        <v>1</v>
      </c>
      <c r="R28" s="145" t="e">
        <f aca="false">IF(VLOOKUP(A28,Para1!$B$67:$E$72,2,0)="1.",VLOOKUP(A28,Para1!$B$67:$E$72,3,0),"")</f>
        <v>#N/A</v>
      </c>
      <c r="S28" s="145" t="str">
        <f aca="false">IF((P28+Q28)=0,"",IF(ISNA(R28),"",IF(R28="","",VLOOKUP(R28,Para1!$D$67:$G$79,3,0)*(IF(P28+Q28=1,0.5,1)))))</f>
        <v/>
      </c>
      <c r="T28" s="145" t="str">
        <f aca="false">IF(P28+Q28=0,"",IF(ISNA(R29),"",IF(R29="","",VLOOKUP(R29,Para1!$D$67:$G$79,4,0)*(IF(P28+Q28=1,0.5,1)))))</f>
        <v/>
      </c>
      <c r="U28" s="145" t="n">
        <f aca="false">IF(S28=0,P28+Q28,0)</f>
        <v>0</v>
      </c>
      <c r="V28" s="117" t="str">
        <f aca="false">IF(SUM(S28:T28)&gt;0,L28,"")</f>
        <v/>
      </c>
      <c r="W28" s="145" t="n">
        <f aca="false">IF(S28=0,P28+Q28,0)</f>
        <v>0</v>
      </c>
    </row>
    <row r="29" customFormat="false" ht="17" hidden="false" customHeight="true" outlineLevel="0" collapsed="false">
      <c r="A29" s="216" t="s">
        <v>26</v>
      </c>
      <c r="B29" s="201" t="str">
        <f aca="false">IF(B28=Para1!$F$153,Para1!$F$109,IF(B28=Para1!$F$109,Para1!$F$148,IF(B28=Para1!$F$148,Para1!$F$111,IF(B28=Para1!$F$111,Para1!$F$120,IF(B28=Para1!$F$120,Para1!$F$170,IF(B28=Para1!$F$170,Para1!$F$173,Para1!$F$153))))))</f>
        <v>Thu</v>
      </c>
      <c r="C29" s="186"/>
      <c r="D29" s="203"/>
      <c r="E29" s="204"/>
      <c r="F29" s="205"/>
      <c r="G29" s="204"/>
      <c r="H29" s="204"/>
      <c r="I29" s="206"/>
      <c r="J29" s="207"/>
      <c r="K29" s="208" t="s">
        <v>13</v>
      </c>
      <c r="L29" s="209" t="s">
        <v>13</v>
      </c>
      <c r="M29" s="210"/>
      <c r="N29" s="195"/>
      <c r="O29" s="196"/>
      <c r="P29" s="214" t="n">
        <f aca="false">IF(OR($B29="Sa",$B29="So",$B29="Sat",$B29="Sun"),0,1)</f>
        <v>1</v>
      </c>
      <c r="Q29" s="215" t="n">
        <f aca="false">IF(OR($B29="Sa",$B29="So",$B29="Sat",$B29="Sun"),0,1)</f>
        <v>1</v>
      </c>
      <c r="R29" s="145" t="e">
        <f aca="false">IF(VLOOKUP(A29,Para1!$B$67:$E$72,2,0)="1.",VLOOKUP(A29,Para1!$B$67:$E$72,3,0),"")</f>
        <v>#N/A</v>
      </c>
      <c r="S29" s="145" t="str">
        <f aca="false">IF((P29+Q29)=0,"",IF(ISNA(R29),"",IF(R29="","",VLOOKUP(R29,Para1!$D$67:$G$79,3,0)*(IF(P29+Q29=1,0.5,1)))))</f>
        <v/>
      </c>
      <c r="T29" s="145" t="str">
        <f aca="false">IF(P29+Q29=0,"",IF(ISNA(R30),"",IF(R30="","",VLOOKUP(R30,Para1!$D$67:$G$79,4,0)*(IF(P29+Q29=1,0.5,1)))))</f>
        <v/>
      </c>
      <c r="U29" s="145" t="n">
        <f aca="false">IF(S29=0,P29+Q29,0)</f>
        <v>0</v>
      </c>
      <c r="V29" s="117" t="str">
        <f aca="false">IF(SUM(S29:T29)&gt;0,L29,"")</f>
        <v/>
      </c>
      <c r="W29" s="145" t="n">
        <f aca="false">IF(S29=0,P29+Q29,0)</f>
        <v>0</v>
      </c>
    </row>
    <row r="30" customFormat="false" ht="17" hidden="false" customHeight="true" outlineLevel="0" collapsed="false">
      <c r="A30" s="200" t="s">
        <v>27</v>
      </c>
      <c r="B30" s="201" t="str">
        <f aca="false">IF(B29=Para1!$F$153,Para1!$F$109,IF(B29=Para1!$F$109,Para1!$F$148,IF(B29=Para1!$F$148,Para1!$F$111,IF(B29=Para1!$F$111,Para1!$F$120,IF(B29=Para1!$F$120,Para1!$F$170,IF(B29=Para1!$F$170,Para1!$F$173,Para1!$F$153))))))</f>
        <v>Fri</v>
      </c>
      <c r="C30" s="186"/>
      <c r="D30" s="203"/>
      <c r="E30" s="204"/>
      <c r="F30" s="205"/>
      <c r="G30" s="204"/>
      <c r="H30" s="204"/>
      <c r="I30" s="206"/>
      <c r="J30" s="207"/>
      <c r="K30" s="208" t="s">
        <v>13</v>
      </c>
      <c r="L30" s="209" t="s">
        <v>13</v>
      </c>
      <c r="M30" s="210"/>
      <c r="N30" s="195"/>
      <c r="O30" s="196"/>
      <c r="P30" s="214" t="n">
        <f aca="false">IF(OR($B30="Sa",$B30="So",$B30="Sat",$B30="Sun"),0,1)</f>
        <v>1</v>
      </c>
      <c r="Q30" s="215" t="n">
        <f aca="false">IF(OR($B30="Sa",$B30="So",$B30="Sat",$B30="Sun"),0,1)</f>
        <v>1</v>
      </c>
      <c r="R30" s="145" t="e">
        <f aca="false">IF(VLOOKUP(A30,Para1!$B$67:$E$72,2,0)="1.",VLOOKUP(A30,Para1!$B$67:$E$72,3,0),"")</f>
        <v>#N/A</v>
      </c>
      <c r="S30" s="145" t="str">
        <f aca="false">IF((P30+Q30)=0,"",IF(ISNA(R30),"",IF(R30="","",VLOOKUP(R30,Para1!$D$67:$G$79,3,0)*(IF(P30+Q30=1,0.5,1)))))</f>
        <v/>
      </c>
      <c r="T30" s="145" t="str">
        <f aca="false">IF(P30+Q30=0,"",IF(ISNA(R31),"",IF(R31="","",VLOOKUP(R31,Para1!$D$67:$G$79,4,0)*(IF(P30+Q30=1,0.5,1)))))</f>
        <v/>
      </c>
      <c r="U30" s="145" t="n">
        <f aca="false">IF(S30=0,P30+Q30,0)</f>
        <v>0</v>
      </c>
      <c r="V30" s="117" t="str">
        <f aca="false">IF(SUM(S30:T30)&gt;0,L30,"")</f>
        <v/>
      </c>
      <c r="W30" s="145" t="n">
        <f aca="false">IF(S30=0,P30+Q30,0)</f>
        <v>0</v>
      </c>
    </row>
    <row r="31" customFormat="false" ht="17" hidden="false" customHeight="true" outlineLevel="0" collapsed="false">
      <c r="A31" s="200" t="s">
        <v>28</v>
      </c>
      <c r="B31" s="201" t="str">
        <f aca="false">IF(B30=Para1!$F$153,Para1!$F$109,IF(B30=Para1!$F$109,Para1!$F$148,IF(B30=Para1!$F$148,Para1!$F$111,IF(B30=Para1!$F$111,Para1!$F$120,IF(B30=Para1!$F$120,Para1!$F$170,IF(B30=Para1!$F$170,Para1!$F$173,Para1!$F$153))))))</f>
        <v>Sat</v>
      </c>
      <c r="C31" s="202"/>
      <c r="D31" s="203"/>
      <c r="E31" s="204"/>
      <c r="F31" s="205"/>
      <c r="G31" s="204"/>
      <c r="H31" s="204"/>
      <c r="I31" s="206"/>
      <c r="J31" s="207"/>
      <c r="K31" s="208"/>
      <c r="L31" s="209"/>
      <c r="M31" s="210"/>
      <c r="N31" s="195"/>
      <c r="O31" s="196"/>
      <c r="P31" s="214" t="n">
        <f aca="false">IF(OR($B31="Sa",$B31="So",$B31="Sat",$B31="Sun"),0,1)</f>
        <v>0</v>
      </c>
      <c r="Q31" s="215" t="n">
        <f aca="false">IF(OR($B31="Sa",$B31="So",$B31="Sat",$B31="Sun"),0,1)</f>
        <v>0</v>
      </c>
      <c r="R31" s="145" t="e">
        <f aca="false">IF(VLOOKUP(A31,Para1!$B$67:$E$72,2,0)="1.",VLOOKUP(A31,Para1!$B$67:$E$72,3,0),"")</f>
        <v>#N/A</v>
      </c>
      <c r="S31" s="145" t="str">
        <f aca="false">IF((P31+Q31)=0,"",IF(ISNA(R31),"",IF(R31="","",VLOOKUP(R31,Para1!$D$67:$G$79,3,0)*(IF(P31+Q31=1,0.5,1)))))</f>
        <v/>
      </c>
      <c r="T31" s="145" t="str">
        <f aca="false">IF(P31+Q31=0,"",IF(ISNA(R32),"",IF(R32="","",VLOOKUP(R32,Para1!$D$67:$G$79,4,0)*(IF(P31+Q31=1,0.5,1)))))</f>
        <v/>
      </c>
      <c r="U31" s="145" t="n">
        <f aca="false">IF(S31=0,P31+Q31,0)</f>
        <v>0</v>
      </c>
      <c r="V31" s="117" t="str">
        <f aca="false">IF(SUM(S31:T31)&gt;0,L31,"")</f>
        <v/>
      </c>
      <c r="W31" s="145" t="n">
        <f aca="false">IF(S31=0,P31+Q31,0)</f>
        <v>0</v>
      </c>
    </row>
    <row r="32" customFormat="false" ht="17" hidden="false" customHeight="true" outlineLevel="0" collapsed="false">
      <c r="A32" s="200" t="s">
        <v>29</v>
      </c>
      <c r="B32" s="201" t="str">
        <f aca="false">IF(B31=Para1!$F$153,Para1!$F$109,IF(B31=Para1!$F$109,Para1!$F$148,IF(B31=Para1!$F$148,Para1!$F$111,IF(B31=Para1!$F$111,Para1!$F$120,IF(B31=Para1!$F$120,Para1!$F$170,IF(B31=Para1!$F$170,Para1!$F$173,Para1!$F$153))))))</f>
        <v>Sun</v>
      </c>
      <c r="C32" s="202"/>
      <c r="D32" s="203"/>
      <c r="E32" s="204"/>
      <c r="F32" s="205"/>
      <c r="G32" s="204"/>
      <c r="H32" s="204"/>
      <c r="I32" s="206"/>
      <c r="J32" s="207"/>
      <c r="K32" s="208"/>
      <c r="L32" s="209"/>
      <c r="M32" s="210"/>
      <c r="N32" s="195"/>
      <c r="O32" s="196"/>
      <c r="P32" s="217" t="n">
        <f aca="false">P25</f>
        <v>0</v>
      </c>
      <c r="Q32" s="218" t="n">
        <f aca="false">Q25</f>
        <v>0</v>
      </c>
      <c r="R32" s="145" t="e">
        <f aca="false">IF(VLOOKUP(A32,Para1!$B$67:$E$72,2,0)="1.",VLOOKUP(A32,Para1!$B$67:$E$72,3,0),"")</f>
        <v>#N/A</v>
      </c>
      <c r="S32" s="145" t="str">
        <f aca="false">IF((P32+Q32)=0,"",IF(ISNA(R32),"",IF(R32="","",VLOOKUP(R32,Para1!$D$67:$G$79,3,0)*(IF(P32+Q32=1,0.5,1)))))</f>
        <v/>
      </c>
      <c r="T32" s="145" t="str">
        <f aca="false">IF(P32+Q32=0,"",IF(ISNA(R33),"",IF(R33="","",VLOOKUP(R33,Para1!$D$67:$G$79,4,0)*(IF(P32+Q32=1,0.5,1)))))</f>
        <v/>
      </c>
      <c r="U32" s="145" t="n">
        <f aca="false">IF(S32=0,P32+Q32,0)</f>
        <v>0</v>
      </c>
      <c r="V32" s="117" t="str">
        <f aca="false">IF(SUM(S32:T32)&gt;0,L32,"")</f>
        <v/>
      </c>
      <c r="W32" s="145" t="n">
        <f aca="false">IF(S32=0,P32+Q32,0)</f>
        <v>0</v>
      </c>
    </row>
    <row r="33" customFormat="false" ht="17" hidden="false" customHeight="true" outlineLevel="0" collapsed="false">
      <c r="A33" s="216" t="s">
        <v>30</v>
      </c>
      <c r="B33" s="201" t="str">
        <f aca="false">IF(B32=Para1!$F$153,Para1!$F$109,IF(B32=Para1!$F$109,Para1!$F$148,IF(B32=Para1!$F$148,Para1!$F$111,IF(B32=Para1!$F$111,Para1!$F$120,IF(B32=Para1!$F$120,Para1!$F$170,IF(B32=Para1!$F$170,Para1!$F$173,Para1!$F$153))))))</f>
        <v>Mon</v>
      </c>
      <c r="C33" s="213"/>
      <c r="D33" s="203"/>
      <c r="E33" s="204"/>
      <c r="F33" s="205"/>
      <c r="G33" s="204"/>
      <c r="H33" s="204"/>
      <c r="I33" s="206"/>
      <c r="J33" s="207"/>
      <c r="K33" s="208"/>
      <c r="L33" s="209"/>
      <c r="M33" s="210"/>
      <c r="N33" s="195"/>
      <c r="O33" s="196"/>
      <c r="P33" s="217" t="n">
        <f aca="false">P26</f>
        <v>1</v>
      </c>
      <c r="Q33" s="218" t="n">
        <f aca="false">Q26</f>
        <v>1</v>
      </c>
      <c r="R33" s="145" t="e">
        <f aca="false">IF(VLOOKUP(A33,Para1!$B$67:$E$72,2,0)="1.",VLOOKUP(A33,Para1!$B$67:$E$72,3,0),"")</f>
        <v>#N/A</v>
      </c>
      <c r="S33" s="145" t="str">
        <f aca="false">IF((P33+Q33)=0,"",IF(ISNA(R33),"",IF(R33="","",VLOOKUP(R33,Para1!$D$67:$G$79,3,0)*(IF(P33+Q33=1,0.5,1)))))</f>
        <v/>
      </c>
      <c r="T33" s="145" t="str">
        <f aca="false">IF(P33+Q33=0,"",IF(ISNA(R34),"",IF(R34="","",VLOOKUP(R34,Para1!$D$67:$G$79,4,0)*(IF(P33+Q33=1,0.5,1)))))</f>
        <v/>
      </c>
      <c r="U33" s="145" t="n">
        <f aca="false">IF(S33=0,P33+Q33,0)</f>
        <v>0</v>
      </c>
      <c r="V33" s="117" t="str">
        <f aca="false">IF(SUM(S33:T33)&gt;0,L33,"")</f>
        <v/>
      </c>
      <c r="W33" s="145" t="n">
        <f aca="false">IF(S33=0,P33+Q33,0)</f>
        <v>0</v>
      </c>
    </row>
    <row r="34" customFormat="false" ht="17" hidden="false" customHeight="true" outlineLevel="0" collapsed="false">
      <c r="A34" s="216" t="s">
        <v>31</v>
      </c>
      <c r="B34" s="201" t="str">
        <f aca="false">IF(B33=Para1!$F$153,Para1!$F$109,IF(B33=Para1!$F$109,Para1!$F$148,IF(B33=Para1!$F$148,Para1!$F$111,IF(B33=Para1!$F$111,Para1!$F$120,IF(B33=Para1!$F$120,Para1!$F$170,IF(B33=Para1!$F$170,Para1!$F$173,Para1!$F$153))))))</f>
        <v>Tue</v>
      </c>
      <c r="C34" s="213"/>
      <c r="D34" s="203"/>
      <c r="E34" s="204"/>
      <c r="F34" s="205"/>
      <c r="G34" s="204"/>
      <c r="H34" s="204"/>
      <c r="I34" s="206"/>
      <c r="J34" s="207"/>
      <c r="K34" s="208"/>
      <c r="L34" s="209"/>
      <c r="M34" s="210"/>
      <c r="N34" s="195"/>
      <c r="O34" s="196"/>
      <c r="P34" s="217" t="n">
        <f aca="false">P27</f>
        <v>1</v>
      </c>
      <c r="Q34" s="218" t="n">
        <f aca="false">Q27</f>
        <v>1</v>
      </c>
      <c r="R34" s="145" t="e">
        <f aca="false">IF(VLOOKUP(A34,Para1!$B$67:$E$72,2,0)="1.",VLOOKUP(A34,Para1!$B$67:$E$72,3,0),"")</f>
        <v>#N/A</v>
      </c>
      <c r="S34" s="145" t="str">
        <f aca="false">IF((P34+Q34)=0,"",IF(ISNA(R34),"",IF(R34="","",VLOOKUP(R34,Para1!$D$67:$G$79,3,0)*(IF(P34+Q34=1,0.5,1)))))</f>
        <v/>
      </c>
      <c r="T34" s="145" t="str">
        <f aca="false">IF(P34+Q34=0,"",IF(ISNA(R35),"",IF(R35="","",VLOOKUP(R35,Para1!$D$67:$G$79,4,0)*(IF(P34+Q34=1,0.5,1)))))</f>
        <v/>
      </c>
      <c r="U34" s="145" t="n">
        <f aca="false">IF(S34=0,P34+Q34,0)</f>
        <v>0</v>
      </c>
      <c r="V34" s="117" t="str">
        <f aca="false">IF(SUM(S34:T34)&gt;0,L34,"")</f>
        <v/>
      </c>
      <c r="W34" s="145" t="n">
        <f aca="false">IF(S34=0,P34+Q34,0)</f>
        <v>0</v>
      </c>
    </row>
    <row r="35" customFormat="false" ht="17" hidden="false" customHeight="true" outlineLevel="0" collapsed="false">
      <c r="A35" s="216" t="s">
        <v>32</v>
      </c>
      <c r="B35" s="201" t="str">
        <f aca="false">IF(B34=Para1!$F$153,Para1!$F$109,IF(B34=Para1!$F$109,Para1!$F$148,IF(B34=Para1!$F$148,Para1!$F$111,IF(B34=Para1!$F$111,Para1!$F$120,IF(B34=Para1!$F$120,Para1!$F$170,IF(B34=Para1!$F$170,Para1!$F$173,Para1!$F$153))))))</f>
        <v>Wed</v>
      </c>
      <c r="C35" s="213"/>
      <c r="D35" s="203"/>
      <c r="E35" s="204"/>
      <c r="F35" s="205"/>
      <c r="G35" s="204"/>
      <c r="H35" s="204"/>
      <c r="I35" s="206"/>
      <c r="J35" s="207"/>
      <c r="K35" s="208"/>
      <c r="L35" s="209"/>
      <c r="M35" s="210"/>
      <c r="N35" s="195"/>
      <c r="O35" s="196"/>
      <c r="P35" s="217" t="n">
        <f aca="false">P28</f>
        <v>1</v>
      </c>
      <c r="Q35" s="218" t="n">
        <f aca="false">Q28</f>
        <v>1</v>
      </c>
      <c r="R35" s="145" t="str">
        <f aca="false">IF(VLOOKUP(A35,Para1!$B$67:$E$72,2,0)="1.",VLOOKUP(A35,Para1!$B$67:$E$72,3,0),"")</f>
        <v/>
      </c>
      <c r="S35" s="145" t="str">
        <f aca="false">IF((P35+Q35)=0,"",IF(ISNA(R35),"",IF(R35="","",VLOOKUP(R35,Para1!$D$67:$G$79,3,0)*(IF(P35+Q35=1,0.5,1)))))</f>
        <v/>
      </c>
      <c r="T35" s="145" t="str">
        <f aca="false">IF(P35+Q35=0,"",IF(ISNA(R36),"",IF(R36="","",VLOOKUP(R36,Para1!$D$67:$G$79,4,0)*(IF(P35+Q35=1,0.5,1)))))</f>
        <v/>
      </c>
      <c r="U35" s="145" t="n">
        <f aca="false">IF(S35=0,P35+Q35,0)</f>
        <v>0</v>
      </c>
      <c r="V35" s="117" t="str">
        <f aca="false">IF(SUM(S35:T35)&gt;0,L35,"")</f>
        <v/>
      </c>
      <c r="W35" s="145" t="n">
        <f aca="false">IF(S35=0,P35+Q35,0)</f>
        <v>0</v>
      </c>
    </row>
    <row r="36" customFormat="false" ht="17" hidden="false" customHeight="true" outlineLevel="0" collapsed="false">
      <c r="A36" s="216" t="s">
        <v>33</v>
      </c>
      <c r="B36" s="201" t="str">
        <f aca="false">IF(B35=Para1!$F$153,Para1!$F$109,IF(B35=Para1!$F$109,Para1!$F$148,IF(B35=Para1!$F$148,Para1!$F$111,IF(B35=Para1!$F$111,Para1!$F$120,IF(B35=Para1!$F$120,Para1!$F$170,IF(B35=Para1!$F$170,Para1!$F$173,Para1!$F$153))))))</f>
        <v>Thu</v>
      </c>
      <c r="C36" s="186"/>
      <c r="D36" s="203"/>
      <c r="E36" s="204"/>
      <c r="F36" s="205"/>
      <c r="G36" s="204"/>
      <c r="H36" s="204"/>
      <c r="I36" s="206"/>
      <c r="J36" s="207"/>
      <c r="K36" s="208"/>
      <c r="L36" s="209"/>
      <c r="M36" s="210"/>
      <c r="N36" s="195"/>
      <c r="O36" s="196"/>
      <c r="P36" s="217" t="n">
        <f aca="false">P29</f>
        <v>1</v>
      </c>
      <c r="Q36" s="218" t="n">
        <f aca="false">Q29</f>
        <v>1</v>
      </c>
      <c r="R36" s="145" t="e">
        <f aca="false">IF(VLOOKUP(A36,Para1!$B$67:$E$72,2,0)="1.",VLOOKUP(A36,Para1!$B$67:$E$72,3,0),"")</f>
        <v>#N/A</v>
      </c>
      <c r="S36" s="145" t="str">
        <f aca="false">IF((P36+Q36)=0,"",IF(ISNA(R36),"",IF(R36="","",VLOOKUP(R36,Para1!$D$67:$G$79,3,0)*(IF(P36+Q36=1,0.5,1)))))</f>
        <v/>
      </c>
      <c r="T36" s="145" t="str">
        <f aca="false">IF(P36+Q36=0,"",IF(ISNA(R37),"",IF(R37="","",VLOOKUP(R37,Para1!$D$67:$G$79,4,0)*(IF(P36+Q36=1,0.5,1)))))</f>
        <v/>
      </c>
      <c r="U36" s="145" t="n">
        <f aca="false">IF(S36=0,P36+Q36,0)</f>
        <v>0</v>
      </c>
      <c r="V36" s="117" t="str">
        <f aca="false">IF(SUM(S36:T36)&gt;0,L36,"")</f>
        <v/>
      </c>
      <c r="W36" s="145" t="n">
        <f aca="false">IF(S36=0,P36+Q36,0)</f>
        <v>0</v>
      </c>
    </row>
    <row r="37" customFormat="false" ht="17" hidden="false" customHeight="true" outlineLevel="0" collapsed="false">
      <c r="A37" s="200" t="s">
        <v>34</v>
      </c>
      <c r="B37" s="201" t="str">
        <f aca="false">IF(B36=Para1!$F$153,Para1!$F$109,IF(B36=Para1!$F$109,Para1!$F$148,IF(B36=Para1!$F$148,Para1!$F$111,IF(B36=Para1!$F$111,Para1!$F$120,IF(B36=Para1!$F$120,Para1!$F$170,IF(B36=Para1!$F$170,Para1!$F$173,Para1!$F$153))))))</f>
        <v>Fri</v>
      </c>
      <c r="C37" s="186"/>
      <c r="D37" s="203"/>
      <c r="E37" s="204"/>
      <c r="F37" s="205"/>
      <c r="G37" s="204"/>
      <c r="H37" s="204"/>
      <c r="I37" s="206"/>
      <c r="J37" s="207"/>
      <c r="K37" s="208"/>
      <c r="L37" s="209"/>
      <c r="M37" s="210"/>
      <c r="N37" s="195"/>
      <c r="O37" s="196"/>
      <c r="P37" s="217" t="n">
        <f aca="false">P30</f>
        <v>1</v>
      </c>
      <c r="Q37" s="218" t="n">
        <f aca="false">Q30</f>
        <v>1</v>
      </c>
      <c r="R37" s="145" t="e">
        <f aca="false">IF(VLOOKUP(A37,Para1!$B$67:$E$72,2,0)="1.",VLOOKUP(A37,Para1!$B$67:$E$72,3,0),"")</f>
        <v>#N/A</v>
      </c>
      <c r="S37" s="145" t="str">
        <f aca="false">IF((P37+Q37)=0,"",IF(ISNA(R37),"",IF(R37="","",VLOOKUP(R37,Para1!$D$67:$G$79,3,0)*(IF(P37+Q37=1,0.5,1)))))</f>
        <v/>
      </c>
      <c r="T37" s="145" t="str">
        <f aca="false">IF(P37+Q37=0,"",IF(ISNA(R38),"",IF(R38="","",VLOOKUP(R38,Para1!$D$67:$G$79,4,0)*(IF(P37+Q37=1,0.5,1)))))</f>
        <v/>
      </c>
      <c r="U37" s="145" t="n">
        <f aca="false">IF(S37=0,P37+Q37,0)</f>
        <v>0</v>
      </c>
      <c r="V37" s="117" t="str">
        <f aca="false">IF(SUM(S37:T37)&gt;0,L37,"")</f>
        <v/>
      </c>
      <c r="W37" s="145" t="n">
        <f aca="false">IF(S37=0,P37+Q37,0)</f>
        <v>0</v>
      </c>
    </row>
    <row r="38" customFormat="false" ht="17" hidden="false" customHeight="true" outlineLevel="0" collapsed="false">
      <c r="A38" s="200" t="s">
        <v>35</v>
      </c>
      <c r="B38" s="201" t="str">
        <f aca="false">IF(B37=Para1!$F$153,Para1!$F$109,IF(B37=Para1!$F$109,Para1!$F$148,IF(B37=Para1!$F$148,Para1!$F$111,IF(B37=Para1!$F$111,Para1!$F$120,IF(B37=Para1!$F$120,Para1!$F$170,IF(B37=Para1!$F$170,Para1!$F$173,Para1!$F$153))))))</f>
        <v>Sat</v>
      </c>
      <c r="C38" s="202"/>
      <c r="D38" s="203"/>
      <c r="E38" s="204"/>
      <c r="F38" s="205"/>
      <c r="G38" s="204"/>
      <c r="H38" s="204"/>
      <c r="I38" s="206"/>
      <c r="J38" s="207"/>
      <c r="K38" s="208"/>
      <c r="L38" s="209"/>
      <c r="M38" s="210"/>
      <c r="N38" s="195"/>
      <c r="O38" s="196"/>
      <c r="P38" s="217" t="n">
        <f aca="false">P31</f>
        <v>0</v>
      </c>
      <c r="Q38" s="218" t="n">
        <f aca="false">Q31</f>
        <v>0</v>
      </c>
      <c r="R38" s="145" t="e">
        <f aca="false">IF(VLOOKUP(A38,Para1!$B$67:$E$72,2,0)="1.",VLOOKUP(A38,Para1!$B$67:$E$72,3,0),"")</f>
        <v>#N/A</v>
      </c>
      <c r="S38" s="145" t="str">
        <f aca="false">IF((P38+Q38)=0,"",IF(ISNA(R38),"",IF(R38="","",VLOOKUP(R38,Para1!$D$67:$G$79,3,0)*(IF(P38+Q38=1,0.5,1)))))</f>
        <v/>
      </c>
      <c r="T38" s="145" t="str">
        <f aca="false">IF(P38+Q38=0,"",IF(ISNA(R39),"",IF(R39="","",VLOOKUP(R39,Para1!$D$67:$G$79,4,0)*(IF(P38+Q38=1,0.5,1)))))</f>
        <v/>
      </c>
      <c r="U38" s="145" t="n">
        <f aca="false">IF(S38=0,P38+Q38,0)</f>
        <v>0</v>
      </c>
      <c r="V38" s="117" t="str">
        <f aca="false">IF(SUM(S38:T38)&gt;0,L38,"")</f>
        <v/>
      </c>
      <c r="W38" s="145" t="n">
        <f aca="false">IF(S38=0,P38+Q38,0)</f>
        <v>0</v>
      </c>
    </row>
    <row r="39" customFormat="false" ht="17" hidden="false" customHeight="true" outlineLevel="0" collapsed="false">
      <c r="A39" s="216" t="s">
        <v>36</v>
      </c>
      <c r="B39" s="201" t="str">
        <f aca="false">IF(B38=Para1!$F$153,Para1!$F$109,IF(B38=Para1!$F$109,Para1!$F$148,IF(B38=Para1!$F$148,Para1!$F$111,IF(B38=Para1!$F$111,Para1!$F$120,IF(B38=Para1!$F$120,Para1!$F$170,IF(B38=Para1!$F$170,Para1!$F$173,Para1!$F$153))))))</f>
        <v>Sun</v>
      </c>
      <c r="C39" s="202"/>
      <c r="D39" s="203"/>
      <c r="E39" s="204"/>
      <c r="F39" s="205"/>
      <c r="G39" s="204"/>
      <c r="H39" s="204"/>
      <c r="I39" s="206"/>
      <c r="J39" s="207"/>
      <c r="K39" s="208"/>
      <c r="L39" s="209"/>
      <c r="M39" s="210"/>
      <c r="N39" s="195"/>
      <c r="O39" s="196"/>
      <c r="P39" s="217" t="n">
        <f aca="false">P32</f>
        <v>0</v>
      </c>
      <c r="Q39" s="218" t="n">
        <f aca="false">Q32</f>
        <v>0</v>
      </c>
      <c r="R39" s="145" t="e">
        <f aca="false">IF(VLOOKUP(A39,Para1!$B$67:$E$72,2,0)="1.",VLOOKUP(A39,Para1!$B$67:$E$72,3,0),"")</f>
        <v>#N/A</v>
      </c>
      <c r="S39" s="145" t="str">
        <f aca="false">IF((P39+Q39)=0,"",IF(ISNA(R39),"",IF(R39="","",VLOOKUP(R39,Para1!$D$67:$G$79,3,0)*(IF(P39+Q39=1,0.5,1)))))</f>
        <v/>
      </c>
      <c r="T39" s="145" t="str">
        <f aca="false">IF(P39+Q39=0,"",IF(ISNA(R40),"",IF(R40="","",VLOOKUP(R40,Para1!$D$67:$G$79,4,0)*(IF(P39+Q39=1,0.5,1)))))</f>
        <v/>
      </c>
      <c r="U39" s="145" t="n">
        <f aca="false">IF(S39=0,P39+Q39,0)</f>
        <v>0</v>
      </c>
      <c r="V39" s="117" t="str">
        <f aca="false">IF(SUM(S39:T39)&gt;0,L39,"")</f>
        <v/>
      </c>
      <c r="W39" s="145" t="n">
        <f aca="false">IF(S39=0,P39+Q39,0)</f>
        <v>0</v>
      </c>
    </row>
    <row r="40" customFormat="false" ht="17" hidden="false" customHeight="true" outlineLevel="0" collapsed="false">
      <c r="A40" s="216" t="s">
        <v>37</v>
      </c>
      <c r="B40" s="201" t="str">
        <f aca="false">IF(B39=Para1!$F$153,Para1!$F$109,IF(B39=Para1!$F$109,Para1!$F$148,IF(B39=Para1!$F$148,Para1!$F$111,IF(B39=Para1!$F$111,Para1!$F$120,IF(B39=Para1!$F$120,Para1!$F$170,IF(B39=Para1!$F$170,Para1!$F$173,Para1!$F$153))))))</f>
        <v>Mon</v>
      </c>
      <c r="C40" s="213"/>
      <c r="D40" s="203"/>
      <c r="E40" s="204"/>
      <c r="F40" s="205"/>
      <c r="G40" s="204"/>
      <c r="H40" s="204"/>
      <c r="I40" s="206"/>
      <c r="J40" s="207"/>
      <c r="K40" s="208"/>
      <c r="L40" s="209"/>
      <c r="M40" s="210"/>
      <c r="N40" s="195"/>
      <c r="O40" s="196"/>
      <c r="P40" s="217" t="n">
        <f aca="false">P33</f>
        <v>1</v>
      </c>
      <c r="Q40" s="218" t="n">
        <f aca="false">Q33</f>
        <v>1</v>
      </c>
      <c r="R40" s="145" t="e">
        <f aca="false">IF(VLOOKUP(A40,Para1!$B$67:$E$72,2,0)="1.",VLOOKUP(A40,Para1!$B$67:$E$72,3,0),"")</f>
        <v>#N/A</v>
      </c>
      <c r="S40" s="145" t="str">
        <f aca="false">IF((P40+Q40)=0,"",IF(ISNA(R40),"",IF(R40="","",VLOOKUP(R40,Para1!$D$67:$G$79,3,0)*(IF(P40+Q40=1,0.5,1)))))</f>
        <v/>
      </c>
      <c r="T40" s="145" t="str">
        <f aca="false">IF(P40+Q40=0,"",IF(ISNA(R41),"",IF(R41="","",VLOOKUP(R41,Para1!$D$67:$G$79,4,0)*(IF(P40+Q40=1,0.5,1)))))</f>
        <v/>
      </c>
      <c r="U40" s="145" t="n">
        <f aca="false">IF(S40=0,P40+Q40,0)</f>
        <v>0</v>
      </c>
      <c r="V40" s="117" t="str">
        <f aca="false">IF(SUM(S40:T40)&gt;0,L40,"")</f>
        <v/>
      </c>
      <c r="W40" s="145" t="n">
        <f aca="false">IF(S40=0,P40+Q40,0)</f>
        <v>0</v>
      </c>
    </row>
    <row r="41" customFormat="false" ht="17" hidden="false" customHeight="true" outlineLevel="0" collapsed="false">
      <c r="A41" s="216" t="s">
        <v>38</v>
      </c>
      <c r="B41" s="201" t="str">
        <f aca="false">IF(B40=Para1!$F$153,Para1!$F$109,IF(B40=Para1!$F$109,Para1!$F$148,IF(B40=Para1!$F$148,Para1!$F$111,IF(B40=Para1!$F$111,Para1!$F$120,IF(B40=Para1!$F$120,Para1!$F$170,IF(B40=Para1!$F$170,Para1!$F$173,Para1!$F$153))))))</f>
        <v>Tue</v>
      </c>
      <c r="C41" s="213"/>
      <c r="D41" s="203"/>
      <c r="E41" s="204"/>
      <c r="F41" s="205"/>
      <c r="G41" s="204"/>
      <c r="H41" s="204"/>
      <c r="I41" s="206"/>
      <c r="J41" s="207"/>
      <c r="K41" s="208"/>
      <c r="L41" s="209"/>
      <c r="M41" s="210"/>
      <c r="N41" s="195"/>
      <c r="O41" s="196"/>
      <c r="P41" s="217" t="n">
        <f aca="false">P34</f>
        <v>1</v>
      </c>
      <c r="Q41" s="218" t="n">
        <f aca="false">Q34</f>
        <v>1</v>
      </c>
      <c r="R41" s="145" t="e">
        <f aca="false">IF(VLOOKUP(A41,Para1!$B$67:$E$72,2,0)="1.",VLOOKUP(A41,Para1!$B$67:$E$72,3,0),"")</f>
        <v>#N/A</v>
      </c>
      <c r="S41" s="145" t="str">
        <f aca="false">IF((P41+Q41)=0,"",IF(ISNA(R41),"",IF(R41="","",VLOOKUP(R41,Para1!$D$67:$G$79,3,0)*(IF(P41+Q41=1,0.5,1)))))</f>
        <v/>
      </c>
      <c r="T41" s="145" t="str">
        <f aca="false">IF(P41+Q41=0,"",IF(ISNA(R42),"",IF(R42="","",VLOOKUP(R42,Para1!$D$67:$G$79,4,0)*(IF(P41+Q41=1,0.5,1)))))</f>
        <v/>
      </c>
      <c r="U41" s="145" t="n">
        <f aca="false">IF(S41=0,P41+Q41,0)</f>
        <v>0</v>
      </c>
      <c r="V41" s="117" t="str">
        <f aca="false">IF(SUM(S41:T41)&gt;0,L41,"")</f>
        <v/>
      </c>
      <c r="W41" s="145" t="n">
        <f aca="false">IF(S41=0,P41+Q41,0)</f>
        <v>0</v>
      </c>
    </row>
    <row r="42" customFormat="false" ht="17" hidden="false" customHeight="true" outlineLevel="0" collapsed="false">
      <c r="A42" s="216" t="s">
        <v>39</v>
      </c>
      <c r="B42" s="201" t="str">
        <f aca="false">IF(B41=Para1!$F$153,Para1!$F$109,IF(B41=Para1!$F$109,Para1!$F$148,IF(B41=Para1!$F$148,Para1!$F$111,IF(B41=Para1!$F$111,Para1!$F$120,IF(B41=Para1!$F$120,Para1!$F$170,IF(B41=Para1!$F$170,Para1!$F$173,Para1!$F$153))))))</f>
        <v>Wed</v>
      </c>
      <c r="C42" s="213"/>
      <c r="D42" s="203"/>
      <c r="E42" s="204"/>
      <c r="F42" s="205"/>
      <c r="G42" s="204"/>
      <c r="H42" s="204"/>
      <c r="I42" s="206"/>
      <c r="J42" s="207"/>
      <c r="K42" s="208"/>
      <c r="L42" s="209"/>
      <c r="M42" s="210"/>
      <c r="N42" s="195"/>
      <c r="O42" s="196"/>
      <c r="P42" s="217" t="n">
        <f aca="false">P35</f>
        <v>1</v>
      </c>
      <c r="Q42" s="218" t="n">
        <f aca="false">Q35</f>
        <v>1</v>
      </c>
      <c r="R42" s="145" t="e">
        <f aca="false">IF(VLOOKUP(A42,Para1!$B$67:$E$72,2,0)="1.",VLOOKUP(A42,Para1!$B$67:$E$72,3,0),"")</f>
        <v>#N/A</v>
      </c>
      <c r="S42" s="145" t="str">
        <f aca="false">IF((P42+Q42)=0,"",IF(ISNA(R42),"",IF(R42="","",VLOOKUP(R42,Para1!$D$67:$G$79,3,0)*(IF(P42+Q42=1,0.5,1)))))</f>
        <v/>
      </c>
      <c r="T42" s="145" t="str">
        <f aca="false">IF(P42+Q42=0,"",IF(ISNA(R43),"",IF(R43="","",VLOOKUP(R43,Para1!$D$67:$G$79,4,0)*(IF(P42+Q42=1,0.5,1)))))</f>
        <v/>
      </c>
      <c r="U42" s="145" t="n">
        <f aca="false">IF(S42=0,P42+Q42,0)</f>
        <v>0</v>
      </c>
      <c r="V42" s="117" t="str">
        <f aca="false">IF(SUM(S42:T42)&gt;0,L42,"")</f>
        <v/>
      </c>
      <c r="W42" s="145" t="n">
        <f aca="false">IF(S42=0,P42+Q42,0)</f>
        <v>0</v>
      </c>
    </row>
    <row r="43" customFormat="false" ht="17" hidden="false" customHeight="true" outlineLevel="0" collapsed="false">
      <c r="A43" s="216" t="s">
        <v>40</v>
      </c>
      <c r="B43" s="201" t="str">
        <f aca="false">IF(B42=Para1!$F$153,Para1!$F$109,IF(B42=Para1!$F$109,Para1!$F$148,IF(B42=Para1!$F$148,Para1!$F$111,IF(B42=Para1!$F$111,Para1!$F$120,IF(B42=Para1!$F$120,Para1!$F$170,IF(B42=Para1!$F$170,Para1!$F$173,Para1!$F$153))))))</f>
        <v>Thu</v>
      </c>
      <c r="C43" s="186"/>
      <c r="D43" s="203"/>
      <c r="E43" s="204"/>
      <c r="F43" s="205"/>
      <c r="G43" s="204"/>
      <c r="H43" s="204"/>
      <c r="I43" s="206"/>
      <c r="J43" s="207"/>
      <c r="K43" s="208"/>
      <c r="L43" s="209"/>
      <c r="M43" s="210"/>
      <c r="N43" s="195"/>
      <c r="O43" s="196"/>
      <c r="P43" s="217" t="n">
        <f aca="false">P36</f>
        <v>1</v>
      </c>
      <c r="Q43" s="218" t="n">
        <f aca="false">Q36</f>
        <v>1</v>
      </c>
      <c r="R43" s="145" t="e">
        <f aca="false">IF(VLOOKUP(A43,Para1!$B$67:$E$72,2,0)="1.",VLOOKUP(A43,Para1!$B$67:$E$72,3,0),"")</f>
        <v>#N/A</v>
      </c>
      <c r="S43" s="145" t="str">
        <f aca="false">IF((P43+Q43)=0,"",IF(ISNA(R43),"",IF(R43="","",VLOOKUP(R43,Para1!$D$67:$G$79,3,0)*(IF(P43+Q43=1,0.5,1)))))</f>
        <v/>
      </c>
      <c r="T43" s="145" t="str">
        <f aca="false">IF(P43+Q43=0,"",IF(ISNA(R44),"",IF(R44="","",VLOOKUP(R44,Para1!$D$67:$G$79,4,0)*(IF(P43+Q43=1,0.5,1)))))</f>
        <v/>
      </c>
      <c r="U43" s="145" t="n">
        <f aca="false">IF(S43=0,P43+Q43,0)</f>
        <v>0</v>
      </c>
      <c r="V43" s="117" t="str">
        <f aca="false">IF(SUM(S43:T43)&gt;0,L43,"")</f>
        <v/>
      </c>
      <c r="W43" s="145" t="n">
        <f aca="false">IF(S43=0,P43+Q43,0)</f>
        <v>0</v>
      </c>
    </row>
    <row r="44" customFormat="false" ht="17" hidden="false" customHeight="true" outlineLevel="0" collapsed="false">
      <c r="A44" s="200" t="s">
        <v>41</v>
      </c>
      <c r="B44" s="201" t="str">
        <f aca="false">IF(B43=Para1!$F$153,Para1!$F$109,IF(B43=Para1!$F$109,Para1!$F$148,IF(B43=Para1!$F$148,Para1!$F$111,IF(B43=Para1!$F$111,Para1!$F$120,IF(B43=Para1!$F$120,Para1!$F$170,IF(B43=Para1!$F$170,Para1!$F$173,Para1!$F$153))))))</f>
        <v>Fri</v>
      </c>
      <c r="C44" s="186"/>
      <c r="D44" s="203"/>
      <c r="E44" s="204"/>
      <c r="F44" s="205"/>
      <c r="G44" s="204"/>
      <c r="H44" s="204"/>
      <c r="I44" s="206"/>
      <c r="J44" s="207"/>
      <c r="K44" s="208"/>
      <c r="L44" s="209"/>
      <c r="M44" s="210"/>
      <c r="N44" s="195"/>
      <c r="O44" s="196"/>
      <c r="P44" s="217" t="n">
        <f aca="false">P37</f>
        <v>1</v>
      </c>
      <c r="Q44" s="218" t="n">
        <f aca="false">Q37</f>
        <v>1</v>
      </c>
      <c r="R44" s="145" t="e">
        <f aca="false">IF(VLOOKUP(A44,Para1!$B$67:$E$72,2,0)="1.",VLOOKUP(A44,Para1!$B$67:$E$72,3,0),"")</f>
        <v>#N/A</v>
      </c>
      <c r="S44" s="145" t="str">
        <f aca="false">IF((P44+Q44)=0,"",IF(ISNA(R44),"",IF(R44="","",VLOOKUP(R44,Para1!$D$67:$G$79,3,0)*(IF(P44+Q44=1,0.5,1)))))</f>
        <v/>
      </c>
      <c r="T44" s="145" t="str">
        <f aca="false">IF(P44+Q44=0,"",IF(ISNA(R45),"",IF(R45="","",VLOOKUP(R45,Para1!$D$67:$G$79,4,0)*(IF(P44+Q44=1,0.5,1)))))</f>
        <v/>
      </c>
      <c r="U44" s="145" t="n">
        <f aca="false">IF(S44=0,P44+Q44,0)</f>
        <v>0</v>
      </c>
      <c r="V44" s="117" t="str">
        <f aca="false">IF(SUM(S44:T44)&gt;0,L44,"")</f>
        <v/>
      </c>
      <c r="W44" s="145" t="n">
        <f aca="false">IF(S44=0,P44+Q44,0)</f>
        <v>0</v>
      </c>
    </row>
    <row r="45" customFormat="false" ht="17" hidden="false" customHeight="true" outlineLevel="0" collapsed="false">
      <c r="A45" s="200" t="s">
        <v>42</v>
      </c>
      <c r="B45" s="201" t="str">
        <f aca="false">IF(B44=Para1!$F$153,Para1!$F$109,IF(B44=Para1!$F$109,Para1!$F$148,IF(B44=Para1!$F$148,Para1!$F$111,IF(B44=Para1!$F$111,Para1!$F$120,IF(B44=Para1!$F$120,Para1!$F$170,IF(B44=Para1!$F$170,Para1!$F$173,Para1!$F$153))))))</f>
        <v>Sat</v>
      </c>
      <c r="C45" s="202"/>
      <c r="D45" s="203"/>
      <c r="E45" s="204"/>
      <c r="F45" s="205"/>
      <c r="G45" s="204"/>
      <c r="H45" s="204"/>
      <c r="I45" s="206"/>
      <c r="J45" s="207"/>
      <c r="K45" s="208"/>
      <c r="L45" s="209"/>
      <c r="M45" s="210"/>
      <c r="N45" s="195"/>
      <c r="O45" s="196"/>
      <c r="P45" s="217" t="n">
        <f aca="false">P38</f>
        <v>0</v>
      </c>
      <c r="Q45" s="218" t="n">
        <f aca="false">Q38</f>
        <v>0</v>
      </c>
      <c r="R45" s="145" t="str">
        <f aca="false">IF(VLOOKUP(A45,Para1!$B$67:$E$72,2,0)="1.",VLOOKUP(A45,Para1!$B$67:$E$72,3,0),"")</f>
        <v/>
      </c>
      <c r="S45" s="145" t="str">
        <f aca="false">IF((P45+Q45)=0,"",IF(ISNA(R45),"",IF(R45="","",VLOOKUP(R45,Para1!$D$67:$G$79,3,0)*(IF(P45+Q45=1,0.5,1)))))</f>
        <v/>
      </c>
      <c r="T45" s="145" t="str">
        <f aca="false">IF(P45+Q45=0,"",IF(ISNA(R46),"",IF(R46="","",VLOOKUP(R46,Para1!$D$67:$G$79,4,0)*(IF(P45+Q45=1,0.5,1)))))</f>
        <v/>
      </c>
      <c r="U45" s="145" t="n">
        <f aca="false">IF(S45=0,P45+Q45,0)</f>
        <v>0</v>
      </c>
      <c r="V45" s="117" t="str">
        <f aca="false">IF(SUM(S45:T45)&gt;0,L45,"")</f>
        <v/>
      </c>
      <c r="W45" s="145" t="n">
        <f aca="false">IF(S45=0,P45+Q45,0)</f>
        <v>0</v>
      </c>
    </row>
    <row r="46" customFormat="false" ht="17" hidden="false" customHeight="true" outlineLevel="0" collapsed="false">
      <c r="A46" s="216" t="s">
        <v>43</v>
      </c>
      <c r="B46" s="201" t="str">
        <f aca="false">IF(B45=Para1!$F$153,Para1!$F$109,IF(B45=Para1!$F$109,Para1!$F$148,IF(B45=Para1!$F$148,Para1!$F$111,IF(B45=Para1!$F$111,Para1!$F$120,IF(B45=Para1!$F$120,Para1!$F$170,IF(B45=Para1!$F$170,Para1!$F$173,Para1!$F$153))))))</f>
        <v>Sun</v>
      </c>
      <c r="C46" s="202"/>
      <c r="D46" s="203"/>
      <c r="E46" s="204"/>
      <c r="F46" s="205"/>
      <c r="G46" s="204"/>
      <c r="H46" s="204"/>
      <c r="I46" s="206"/>
      <c r="J46" s="207"/>
      <c r="K46" s="208"/>
      <c r="L46" s="209"/>
      <c r="M46" s="210"/>
      <c r="N46" s="195"/>
      <c r="O46" s="196"/>
      <c r="P46" s="217" t="n">
        <f aca="false">P39</f>
        <v>0</v>
      </c>
      <c r="Q46" s="218" t="n">
        <f aca="false">Q39</f>
        <v>0</v>
      </c>
      <c r="R46" s="145" t="str">
        <f aca="false">IF(VLOOKUP(A46,Para1!$B$67:$E$72,2,0)="1.",VLOOKUP(A46,Para1!$B$67:$E$72,3,0),"")</f>
        <v/>
      </c>
      <c r="S46" s="145" t="str">
        <f aca="false">IF((P46+Q46)=0,"",IF(ISNA(R46),"",IF(R46="","",VLOOKUP(R46,Para1!$D$67:$G$79,3,0)*(IF(P46+Q46=1,0.5,1)))))</f>
        <v/>
      </c>
      <c r="T46" s="145" t="str">
        <f aca="false">IF(P46+Q46=0,"",IF(ISNA(R47),"",IF(R47="","",VLOOKUP(R47,Para1!$D$67:$G$79,4,0)*(IF(P46+Q46=1,0.5,1)))))</f>
        <v/>
      </c>
      <c r="U46" s="145" t="n">
        <f aca="false">IF(S46=0,P46+Q46,0)</f>
        <v>0</v>
      </c>
      <c r="V46" s="117" t="str">
        <f aca="false">IF(SUM(S46:T46)&gt;0,L46,"")</f>
        <v/>
      </c>
      <c r="W46" s="145" t="n">
        <f aca="false">IF(S46=0,P46+Q46,0)</f>
        <v>0</v>
      </c>
    </row>
    <row r="47" customFormat="false" ht="17" hidden="false" customHeight="true" outlineLevel="0" collapsed="false">
      <c r="A47" s="216" t="s">
        <v>44</v>
      </c>
      <c r="B47" s="201" t="str">
        <f aca="false">IF(B46=Para1!$F$153,Para1!$F$109,IF(B46=Para1!$F$109,Para1!$F$148,IF(B46=Para1!$F$148,Para1!$F$111,IF(B46=Para1!$F$111,Para1!$F$120,IF(B46=Para1!$F$120,Para1!$F$170,IF(B46=Para1!$F$170,Para1!$F$173,Para1!$F$153))))))</f>
        <v>Mon</v>
      </c>
      <c r="C47" s="213"/>
      <c r="D47" s="203"/>
      <c r="E47" s="204"/>
      <c r="F47" s="205"/>
      <c r="G47" s="204"/>
      <c r="H47" s="204"/>
      <c r="I47" s="206"/>
      <c r="J47" s="207"/>
      <c r="K47" s="208"/>
      <c r="L47" s="209"/>
      <c r="M47" s="210"/>
      <c r="N47" s="195"/>
      <c r="O47" s="196"/>
      <c r="P47" s="217" t="n">
        <f aca="false">P40</f>
        <v>1</v>
      </c>
      <c r="Q47" s="218" t="n">
        <f aca="false">Q40</f>
        <v>1</v>
      </c>
      <c r="R47" s="145" t="e">
        <f aca="false">IF(VLOOKUP(A47,Para1!$B$67:$E$72,2,0)="1.",VLOOKUP(A47,Para1!$B$67:$E$72,3,0),"")</f>
        <v>#N/A</v>
      </c>
      <c r="S47" s="145" t="str">
        <f aca="false">IF((P47+Q47)=0,"",IF(ISNA(R47),"",IF(R47="","",VLOOKUP(R47,Para1!$D$67:$G$79,3,0)*(IF(P47+Q47=1,0.5,1)))))</f>
        <v/>
      </c>
      <c r="T47" s="145" t="str">
        <f aca="false">IF(P47+Q47=0,"",IF(ISNA(R48),"",IF(R48="","",VLOOKUP(R48,Para1!$D$67:$G$79,4,0)*(IF(P47+Q47=1,0.5,1)))))</f>
        <v/>
      </c>
      <c r="U47" s="145" t="n">
        <f aca="false">IF(S47=0,P47+Q47,0)</f>
        <v>0</v>
      </c>
      <c r="V47" s="117" t="str">
        <f aca="false">IF(SUM(S47:T47)&gt;0,L47,"")</f>
        <v/>
      </c>
      <c r="W47" s="145" t="n">
        <f aca="false">IF(S47=0,P47+Q47,0)</f>
        <v>0</v>
      </c>
    </row>
    <row r="48" customFormat="false" ht="17" hidden="false" customHeight="true" outlineLevel="0" collapsed="false">
      <c r="A48" s="216" t="s">
        <v>45</v>
      </c>
      <c r="B48" s="201" t="str">
        <f aca="false">IF(B47=Para1!$F$153,Para1!$F$109,IF(B47=Para1!$F$109,Para1!$F$148,IF(B47=Para1!$F$148,Para1!$F$111,IF(B47=Para1!$F$111,Para1!$F$120,IF(B47=Para1!$F$120,Para1!$F$170,IF(B47=Para1!$F$170,Para1!$F$173,Para1!$F$153))))))</f>
        <v>Tue</v>
      </c>
      <c r="C48" s="213"/>
      <c r="D48" s="203"/>
      <c r="E48" s="204"/>
      <c r="F48" s="205"/>
      <c r="G48" s="204"/>
      <c r="H48" s="204"/>
      <c r="I48" s="206"/>
      <c r="J48" s="207"/>
      <c r="K48" s="208"/>
      <c r="L48" s="209"/>
      <c r="M48" s="210"/>
      <c r="N48" s="195"/>
      <c r="O48" s="196"/>
      <c r="P48" s="217" t="n">
        <f aca="false">P41</f>
        <v>1</v>
      </c>
      <c r="Q48" s="218" t="n">
        <f aca="false">Q41</f>
        <v>1</v>
      </c>
      <c r="R48" s="145" t="e">
        <f aca="false">IF(VLOOKUP(A48,Para1!$B$67:$E$72,2,0)="1.",VLOOKUP(A48,Para1!$B$67:$E$72,3,0),"")</f>
        <v>#N/A</v>
      </c>
      <c r="S48" s="145" t="str">
        <f aca="false">IF((P48+Q48)=0,"",IF(ISNA(R48),"",IF(R48="","",VLOOKUP(R48,Para1!$D$67:$G$79,3,0)*(IF(P48+Q48=1,0.5,1)))))</f>
        <v/>
      </c>
      <c r="T48" s="145" t="str">
        <f aca="false">IF(P48+Q48=0,"",IF(ISNA(R49),"",IF(R49="","",VLOOKUP(R49,Para1!$D$67:$G$79,4,0)*(IF(P48+Q48=1,0.5,1)))))</f>
        <v/>
      </c>
      <c r="U48" s="145" t="n">
        <f aca="false">IF(S48=0,P48+Q48,0)</f>
        <v>0</v>
      </c>
      <c r="V48" s="117" t="str">
        <f aca="false">IF(SUM(S48:T48)&gt;0,L48,"")</f>
        <v/>
      </c>
      <c r="W48" s="145" t="n">
        <f aca="false">IF(S48=0,P48+Q48,0)</f>
        <v>0</v>
      </c>
    </row>
    <row r="49" customFormat="false" ht="17" hidden="false" customHeight="true" outlineLevel="0" collapsed="false">
      <c r="A49" s="216" t="s">
        <v>46</v>
      </c>
      <c r="B49" s="201" t="str">
        <f aca="false">IF(B48=Para1!$F$153,Para1!$F$109,IF(B48=Para1!$F$109,Para1!$F$148,IF(B48=Para1!$F$148,Para1!$F$111,IF(B48=Para1!$F$111,Para1!$F$120,IF(B48=Para1!$F$120,Para1!$F$170,IF(B48=Para1!$F$170,Para1!$F$173,Para1!$F$153))))))</f>
        <v>Wed</v>
      </c>
      <c r="C49" s="213"/>
      <c r="D49" s="203"/>
      <c r="E49" s="204"/>
      <c r="F49" s="205"/>
      <c r="G49" s="204"/>
      <c r="H49" s="204"/>
      <c r="I49" s="206"/>
      <c r="J49" s="207"/>
      <c r="K49" s="208"/>
      <c r="L49" s="209"/>
      <c r="M49" s="210"/>
      <c r="N49" s="195"/>
      <c r="O49" s="196"/>
      <c r="P49" s="217" t="n">
        <f aca="false">P42</f>
        <v>1</v>
      </c>
      <c r="Q49" s="218" t="n">
        <f aca="false">Q42</f>
        <v>1</v>
      </c>
      <c r="R49" s="145" t="e">
        <f aca="false">IF(VLOOKUP(A49,Para1!$B$67:$E$72,2,0)="1.",VLOOKUP(A49,Para1!$B$67:$E$72,3,0),"")</f>
        <v>#N/A</v>
      </c>
      <c r="S49" s="145" t="str">
        <f aca="false">IF((P49+Q49)=0,"",IF(ISNA(R49),"",IF(R49="","",VLOOKUP(R49,Para1!$D$67:$G$79,3,0)*(IF(P49+Q49=1,0.5,1)))))</f>
        <v/>
      </c>
      <c r="T49" s="145" t="str">
        <f aca="false">IF(P49+Q49=0,"",IF(ISNA(R50),"",IF(R50="","",VLOOKUP(R50,Para1!$D$67:$G$79,4,0)*(IF(P49+Q49=1,0.5,1)))))</f>
        <v/>
      </c>
      <c r="U49" s="145" t="n">
        <f aca="false">IF(S49=0,P49+Q49,0)</f>
        <v>0</v>
      </c>
      <c r="V49" s="117" t="str">
        <f aca="false">IF(SUM(S49:T49)&gt;0,L49,"")</f>
        <v/>
      </c>
      <c r="W49" s="145" t="n">
        <f aca="false">IF(S49=0,P49+Q49,0)</f>
        <v>0</v>
      </c>
    </row>
    <row r="50" customFormat="false" ht="16.5" hidden="false" customHeight="true" outlineLevel="0" collapsed="false">
      <c r="A50" s="216" t="s">
        <v>47</v>
      </c>
      <c r="B50" s="201" t="str">
        <f aca="false">IF(B49=Para1!$F$153,Para1!$F$109,IF(B49=Para1!$F$109,Para1!$F$148,IF(B49=Para1!$F$148,Para1!$F$111,IF(B49=Para1!$F$111,Para1!$F$120,IF(B49=Para1!$F$120,Para1!$F$170,IF(B49=Para1!$F$170,Para1!$F$173,Para1!$F$153))))))</f>
        <v>Thu</v>
      </c>
      <c r="C50" s="186"/>
      <c r="D50" s="203"/>
      <c r="E50" s="204"/>
      <c r="F50" s="205"/>
      <c r="G50" s="204"/>
      <c r="H50" s="204"/>
      <c r="I50" s="206"/>
      <c r="J50" s="207"/>
      <c r="K50" s="208"/>
      <c r="L50" s="209"/>
      <c r="M50" s="210"/>
      <c r="N50" s="195"/>
      <c r="O50" s="196"/>
      <c r="P50" s="217" t="n">
        <f aca="false">P43</f>
        <v>1</v>
      </c>
      <c r="Q50" s="218" t="n">
        <f aca="false">Q43</f>
        <v>1</v>
      </c>
      <c r="R50" s="145" t="e">
        <f aca="false">IF(VLOOKUP(A50,Para1!$B$67:$E$72,2,0)="1.",VLOOKUP(A50,Para1!$B$67:$E$72,3,0),"")</f>
        <v>#N/A</v>
      </c>
      <c r="S50" s="145" t="str">
        <f aca="false">IF((P50+Q50)=0,"",IF(ISNA(R50),"",IF(R50="","",VLOOKUP(R50,Para1!$D$67:$G$79,3,0)*(IF(P50+Q50=1,0.5,1)))))</f>
        <v/>
      </c>
      <c r="T50" s="145" t="str">
        <f aca="false">IF(P50+Q50=0,"",IF(ISNA(R51),"",IF(R51="","",VLOOKUP(R51,Para1!$D$67:$G$79,4,0)*(IF(P50+Q50=1,0.5,1)))))</f>
        <v/>
      </c>
      <c r="U50" s="145" t="n">
        <f aca="false">IF(S50=0,P50+Q50,0)</f>
        <v>0</v>
      </c>
      <c r="V50" s="117" t="str">
        <f aca="false">IF(SUM(S50:T50)&gt;0,L50,"")</f>
        <v/>
      </c>
      <c r="W50" s="145" t="n">
        <f aca="false">IF(S50=0,P50+Q50,0)</f>
        <v>0</v>
      </c>
    </row>
    <row r="51" customFormat="false" ht="16.5" hidden="false" customHeight="true" outlineLevel="0" collapsed="false">
      <c r="A51" s="200" t="s">
        <v>48</v>
      </c>
      <c r="B51" s="201" t="str">
        <f aca="false">IF(B50=Para1!$F$153,Para1!$F$109,IF(B50=Para1!$F$109,Para1!$F$148,IF(B50=Para1!$F$148,Para1!$F$111,IF(B50=Para1!$F$111,Para1!$F$120,IF(B50=Para1!$F$120,Para1!$F$170,IF(B50=Para1!$F$170,Para1!$F$173,Para1!$F$153))))))</f>
        <v>Fri</v>
      </c>
      <c r="C51" s="186"/>
      <c r="D51" s="203"/>
      <c r="E51" s="204"/>
      <c r="F51" s="205"/>
      <c r="G51" s="204"/>
      <c r="H51" s="204"/>
      <c r="I51" s="206"/>
      <c r="J51" s="207"/>
      <c r="K51" s="208"/>
      <c r="L51" s="209"/>
      <c r="M51" s="210"/>
      <c r="N51" s="195"/>
      <c r="O51" s="196"/>
      <c r="P51" s="217" t="n">
        <f aca="false">P44</f>
        <v>1</v>
      </c>
      <c r="Q51" s="218" t="n">
        <f aca="false">Q44</f>
        <v>1</v>
      </c>
      <c r="R51" s="145" t="e">
        <f aca="false">IF(VLOOKUP(A51,Para1!$B$67:$E$72,2,0)="1.",VLOOKUP(A51,Para1!$B$67:$E$72,3,0),"")</f>
        <v>#N/A</v>
      </c>
      <c r="S51" s="145" t="str">
        <f aca="false">IF((P51+Q51)=0,"",IF(ISNA(R51),"",IF(R51="","",VLOOKUP(R51,Para1!$D$67:$G$79,3,0)*(IF(P51+Q51=1,0.5,1)))))</f>
        <v/>
      </c>
      <c r="T51" s="145" t="str">
        <f aca="false">IF(P51+Q51=0,"",IF(ISNA(R52),"",IF(R52="","",VLOOKUP(R52,Para1!$D$67:$G$79,4,0)*(IF(P51+Q51=1,0.5,1)))))</f>
        <v/>
      </c>
      <c r="U51" s="145" t="n">
        <f aca="false">IF(S51=0,P51+Q51,0)</f>
        <v>0</v>
      </c>
      <c r="V51" s="117" t="str">
        <f aca="false">IF(SUM(S51:T51)&gt;0,L51,"")</f>
        <v/>
      </c>
      <c r="W51" s="145" t="n">
        <f aca="false">IF(S51=0,P51+Q51,0)</f>
        <v>0</v>
      </c>
    </row>
    <row r="52" customFormat="false" ht="16.5" hidden="false" customHeight="true" outlineLevel="0" collapsed="false">
      <c r="A52" s="200" t="s">
        <v>49</v>
      </c>
      <c r="B52" s="201" t="str">
        <f aca="false">IF(B51=Para1!$F$153,Para1!$F$109,IF(B51=Para1!$F$109,Para1!$F$148,IF(B51=Para1!$F$148,Para1!$F$111,IF(B51=Para1!$F$111,Para1!$F$120,IF(B51=Para1!$F$120,Para1!$F$170,IF(B51=Para1!$F$170,Para1!$F$173,Para1!$F$153))))))</f>
        <v>Sat</v>
      </c>
      <c r="C52" s="202"/>
      <c r="D52" s="203"/>
      <c r="E52" s="204"/>
      <c r="F52" s="205"/>
      <c r="G52" s="204"/>
      <c r="H52" s="204"/>
      <c r="I52" s="206"/>
      <c r="J52" s="207"/>
      <c r="K52" s="208"/>
      <c r="L52" s="209"/>
      <c r="M52" s="210"/>
      <c r="N52" s="195"/>
      <c r="O52" s="196"/>
      <c r="P52" s="217" t="n">
        <f aca="false">P45</f>
        <v>0</v>
      </c>
      <c r="Q52" s="218" t="n">
        <f aca="false">Q45</f>
        <v>0</v>
      </c>
      <c r="R52" s="145" t="e">
        <f aca="false">IF(VLOOKUP(A52,Para1!$B$67:$E$72,2,0)="1.",VLOOKUP(A52,Para1!$B$67:$E$72,3,0),"")</f>
        <v>#N/A</v>
      </c>
      <c r="S52" s="145" t="str">
        <f aca="false">IF((P52+Q52)=0,"",IF(ISNA(R52),"",IF(R52="","",VLOOKUP(R52,Para1!$D$67:$G$79,3,0)*(IF(P52+Q52=1,0.5,1)))))</f>
        <v/>
      </c>
      <c r="T52" s="145" t="str">
        <f aca="false">IF(P52+Q52=0,"",IF(ISNA(R53),"",IF(R53="","",VLOOKUP(R53,Para1!$D$67:$G$79,4,0)*(IF(P52+Q52=1,0.5,1)))))</f>
        <v/>
      </c>
      <c r="U52" s="145" t="n">
        <f aca="false">IF(S52=0,P52+Q52,0)</f>
        <v>0</v>
      </c>
      <c r="V52" s="117" t="str">
        <f aca="false">IF(SUM(S52:T52)&gt;0,L52,"")</f>
        <v/>
      </c>
      <c r="W52" s="145" t="n">
        <f aca="false">IF(S52=0,P52+Q52,0)</f>
        <v>0</v>
      </c>
    </row>
    <row r="53" customFormat="false" ht="17" hidden="false" customHeight="true" outlineLevel="0" collapsed="false">
      <c r="A53" s="200" t="s">
        <v>50</v>
      </c>
      <c r="B53" s="201" t="str">
        <f aca="false">IF(B52=Para1!$F$153,Para1!$F$109,IF(B52=Para1!$F$109,Para1!$F$148,IF(B52=Para1!$F$148,Para1!$F$111,IF(B52=Para1!$F$111,Para1!$F$120,IF(B52=Para1!$F$120,Para1!$F$170,IF(B52=Para1!$F$170,Para1!$F$173,Para1!$F$153))))))</f>
        <v>Sun</v>
      </c>
      <c r="C53" s="202"/>
      <c r="D53" s="203"/>
      <c r="E53" s="204"/>
      <c r="F53" s="205"/>
      <c r="G53" s="204"/>
      <c r="H53" s="204"/>
      <c r="I53" s="206"/>
      <c r="J53" s="207"/>
      <c r="K53" s="219"/>
      <c r="L53" s="220"/>
      <c r="M53" s="210"/>
      <c r="N53" s="195"/>
      <c r="O53" s="196"/>
      <c r="P53" s="221" t="n">
        <f aca="false">P46</f>
        <v>0</v>
      </c>
      <c r="Q53" s="222" t="n">
        <f aca="false">Q46</f>
        <v>0</v>
      </c>
      <c r="R53" s="145" t="e">
        <f aca="false">IF(VLOOKUP(A53,Para1!$B$67:$E$72,2,0)="1.",VLOOKUP(A53,Para1!$B$67:$E$72,3,0),"")</f>
        <v>#N/A</v>
      </c>
      <c r="S53" s="145" t="str">
        <f aca="false">IF((P53+Q53)=0,"",IF(ISNA(R53),"",IF(R53="","",VLOOKUP(R53,Para1!$D$67:$G$79,3,0)*(IF(P53+Q53=1,0.5,1)))))</f>
        <v/>
      </c>
      <c r="T53" s="145" t="str">
        <f aca="false">IF(P53+Q53=0,"",IF(ISNA(Februar!R23),"",IF(Februar!R23="","",VLOOKUP(Februar!R23,Para1!$D$67:$G$79,4,0)*(IF(P53+Q53=1,0.5,1)))))</f>
        <v/>
      </c>
      <c r="U53" s="145" t="n">
        <f aca="false">IF(S53=0,P53+Q53,0)</f>
        <v>0</v>
      </c>
      <c r="V53" s="117" t="str">
        <f aca="false">IF(SUM(S53:T53)&gt;0,L53,"")</f>
        <v/>
      </c>
      <c r="W53" s="145" t="n">
        <f aca="false">IF(S53=0,P53+Q53,0)</f>
        <v>0</v>
      </c>
    </row>
    <row r="54" customFormat="false" ht="15" hidden="false" customHeight="false" outlineLevel="0" collapsed="false">
      <c r="A54" s="223"/>
      <c r="B54" s="197"/>
      <c r="C54" s="133"/>
      <c r="D54" s="224" t="n">
        <f aca="false">SUM(D23:D53)</f>
        <v>0</v>
      </c>
      <c r="E54" s="225" t="n">
        <f aca="false">SUM(E23:E53)</f>
        <v>0</v>
      </c>
      <c r="F54" s="225" t="n">
        <f aca="false">SUM(F23:F53)</f>
        <v>0</v>
      </c>
      <c r="G54" s="225" t="n">
        <f aca="false">SUM(G23:G53)</f>
        <v>0</v>
      </c>
      <c r="H54" s="225" t="n">
        <f aca="false">SUM(H23:H53)</f>
        <v>0</v>
      </c>
      <c r="I54" s="226" t="n">
        <f aca="false">SUM(I23:I53)</f>
        <v>0</v>
      </c>
      <c r="J54" s="227"/>
      <c r="K54" s="228"/>
      <c r="L54" s="228"/>
      <c r="M54" s="133"/>
      <c r="P54" s="229" t="str">
        <f aca="false">Para1!F174&amp;" "&amp;Para1!F168</f>
        <v>balance due / half-day</v>
      </c>
      <c r="Q54" s="229"/>
      <c r="R54" s="145" t="n">
        <f aca="false">SUM(W23:W53)</f>
        <v>0</v>
      </c>
      <c r="S54" s="145" t="n">
        <f aca="false">SUM(S23:S53)</f>
        <v>0</v>
      </c>
      <c r="T54" s="145" t="n">
        <f aca="false">SUM(T23:T53)</f>
        <v>0</v>
      </c>
    </row>
    <row r="55" customFormat="false" ht="15" hidden="false" customHeight="false" outlineLevel="0" collapsed="false">
      <c r="D55" s="230" t="n">
        <f aca="false">D54*24</f>
        <v>0</v>
      </c>
      <c r="E55" s="231" t="n">
        <f aca="false">E54*24</f>
        <v>0</v>
      </c>
      <c r="F55" s="231" t="n">
        <f aca="false">F54*24</f>
        <v>0</v>
      </c>
      <c r="G55" s="231" t="n">
        <f aca="false">G54*24</f>
        <v>0</v>
      </c>
      <c r="H55" s="231" t="n">
        <f aca="false">H54*24</f>
        <v>0</v>
      </c>
      <c r="I55" s="232" t="n">
        <f aca="false">I54*24</f>
        <v>0</v>
      </c>
      <c r="J55" s="233"/>
      <c r="K55" s="234"/>
      <c r="L55" s="234"/>
      <c r="M55" s="235" t="str">
        <f aca="false">Para1!G2</f>
        <v>AE v1_01 02.12.2021</v>
      </c>
      <c r="P55" s="236" t="n">
        <f aca="false">(Para1!C59/100*$G$3+((S54+T54)/100*$G$3))/(SUM(P23:Q53)-R54)/24</f>
        <v>0.175</v>
      </c>
      <c r="Q55" s="236"/>
    </row>
    <row r="56" s="117" customFormat="true" ht="15" hidden="false" customHeight="false" outlineLevel="0" collapsed="false">
      <c r="A56" s="116"/>
      <c r="H56" s="145"/>
      <c r="K56" s="133"/>
      <c r="Q56" s="133"/>
      <c r="R56" s="133"/>
      <c r="S56" s="133"/>
      <c r="T56" s="133"/>
      <c r="U56" s="133"/>
      <c r="V56" s="133"/>
      <c r="W56" s="133"/>
      <c r="X56" s="133"/>
    </row>
    <row r="57" customFormat="false" ht="22.5" hidden="false" customHeight="true" outlineLevel="0" collapsed="false">
      <c r="A57" s="237" t="str">
        <f aca="false">Para1!F106</f>
        <v>date</v>
      </c>
      <c r="B57" s="238"/>
      <c r="C57" s="238"/>
      <c r="D57" s="239"/>
      <c r="E57" s="238"/>
      <c r="F57" s="240" t="str">
        <f aca="false">Para1!F191&amp;" "&amp;Para1!F152</f>
        <v>signature employee</v>
      </c>
      <c r="G57" s="238"/>
      <c r="H57" s="241"/>
      <c r="I57" s="241"/>
      <c r="J57" s="241"/>
      <c r="K57" s="241"/>
      <c r="L57" s="241"/>
      <c r="Q57" s="133"/>
      <c r="R57" s="133"/>
      <c r="S57" s="133"/>
      <c r="T57" s="242"/>
      <c r="U57" s="237"/>
      <c r="V57" s="133"/>
      <c r="W57" s="133"/>
      <c r="X57" s="133"/>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row r="60" s="117" customFormat="true" ht="14" hidden="false" customHeight="false" outlineLevel="0" collapsed="false">
      <c r="A60" s="116"/>
      <c r="H60" s="145"/>
    </row>
    <row r="61" customFormat="false" ht="22.5" hidden="false" customHeight="true" outlineLevel="0" collapsed="false">
      <c r="A61" s="247"/>
      <c r="B61" s="238"/>
      <c r="C61" s="238"/>
      <c r="D61" s="248"/>
      <c r="E61" s="249"/>
      <c r="F61" s="248"/>
      <c r="G61" s="242"/>
      <c r="I61" s="250"/>
      <c r="J61" s="250"/>
      <c r="K61" s="250"/>
      <c r="L61" s="250"/>
      <c r="M61" s="250"/>
      <c r="O61" s="238"/>
      <c r="S61" s="24"/>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P25:P53 K25:K53">
    <cfRule type="expression" priority="2" aboveAverage="0" equalAverage="0" bottom="0" percent="0" rank="0" text="" dxfId="1">
      <formula>$P25=0</formula>
    </cfRule>
  </conditionalFormatting>
  <conditionalFormatting sqref="Q25:Q53 L25:L53">
    <cfRule type="expression" priority="3" aboveAverage="0" equalAverage="0" bottom="0" percent="0" rank="0" text="" dxfId="2">
      <formula>$Q25=0</formula>
    </cfRule>
  </conditionalFormatting>
  <conditionalFormatting sqref="A25:B53">
    <cfRule type="expression" priority="4" aboveAverage="0" equalAverage="0" bottom="0" percent="0" rank="0" text="" dxfId="3">
      <formula>$P25+$Q25=0</formula>
    </cfRule>
  </conditionalFormatting>
  <conditionalFormatting sqref="D25:I53">
    <cfRule type="expression" priority="5" aboveAverage="0" equalAverage="0" bottom="0" percent="0" rank="0" text="" dxfId="4">
      <formula>$P25+$Q25=1</formula>
    </cfRule>
    <cfRule type="expression" priority="6" aboveAverage="0" equalAverage="0" bottom="0" percent="0" rank="0" text="" dxfId="5">
      <formula>$P25+$Q25=0</formula>
    </cfRule>
  </conditionalFormatting>
  <conditionalFormatting sqref="P25:Q53 D25:I53 K25:L53">
    <cfRule type="expression" priority="7" aboveAverage="0" equalAverage="0" bottom="0" percent="0" rank="0" text="" dxfId="6">
      <formula>$S25=0</formula>
    </cfRule>
  </conditionalFormatting>
  <conditionalFormatting sqref="A23:B53">
    <cfRule type="expression" priority="8" aboveAverage="0" equalAverage="0" bottom="0" percent="0" rank="0" text="" dxfId="7">
      <formula>$S23=0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M23:M53" type="textLength">
      <formula1>0</formula1>
      <formula2>25</formula2>
    </dataValidation>
  </dataValidations>
  <printOptions headings="false" gridLines="false" gridLinesSet="true" horizontalCentered="false" verticalCentered="false"/>
  <pageMargins left="0.39375" right="0.39375" top="0.7875" bottom="0.39375" header="0.275694444444444"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59"/>
  <sheetViews>
    <sheetView showFormulas="false" showGridLines="false" showRowColHeaders="true" showZeros="true" rightToLeft="false" tabSelected="false" showOutlineSymbols="true" defaultGridColor="true" view="normal" topLeftCell="A10" colorId="64" zoomScale="85" zoomScaleNormal="85" zoomScalePageLayoutView="100" workbookViewId="0">
      <selection pane="topLeft" activeCell="B42" activeCellId="0" sqref="B42"/>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7" min="4" style="117" width="12.66"/>
    <col collapsed="false" customWidth="true" hidden="false" outlineLevel="0" max="8" min="8" style="145" width="12.66"/>
    <col collapsed="false" customWidth="true" hidden="false" outlineLevel="0" max="9" min="9" style="117" width="12.66"/>
    <col collapsed="false" customWidth="true" hidden="false" outlineLevel="0" max="10" min="10" style="117" width="2.84"/>
    <col collapsed="false" customWidth="true" hidden="false" outlineLevel="0" max="12" min="11" style="117"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2"/>
    <col collapsed="false" customWidth="false" hidden="false" outlineLevel="0" max="1024" min="24" style="117" width="11.5"/>
  </cols>
  <sheetData>
    <row r="1" s="117" customFormat="tru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I1" s="24"/>
      <c r="J1" s="121"/>
      <c r="K1" s="121" t="str">
        <f aca="false">Para1!F133</f>
        <v>year of birth (4-digit):</v>
      </c>
      <c r="L1" s="122" t="n">
        <f aca="false">'Jahresübersicht (Overview)'!K2</f>
        <v>1994</v>
      </c>
      <c r="O1" s="134"/>
      <c r="P1" s="123"/>
      <c r="Q1" s="24"/>
    </row>
    <row r="2" customFormat="false" ht="6" hidden="false" customHeight="true" outlineLevel="0" collapsed="false">
      <c r="D2" s="124"/>
      <c r="E2" s="124"/>
      <c r="F2" s="124"/>
      <c r="G2" s="124"/>
      <c r="H2" s="117"/>
      <c r="I2" s="124"/>
      <c r="J2" s="124"/>
      <c r="K2" s="124"/>
      <c r="L2" s="124"/>
      <c r="O2" s="134"/>
      <c r="Q2" s="24"/>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(Overview)'!D8</f>
        <v>100</v>
      </c>
      <c r="H3" s="117" t="s">
        <v>11</v>
      </c>
      <c r="I3" s="24"/>
      <c r="J3" s="119"/>
      <c r="K3" s="126" t="str">
        <f aca="false">Para1!F113</f>
        <v>starting date:</v>
      </c>
      <c r="L3" s="127" t="n">
        <f aca="false">'Jahresübersicht (Overview)'!G4</f>
        <v>42688</v>
      </c>
      <c r="M3" s="128"/>
      <c r="N3" s="128"/>
      <c r="Q3" s="24"/>
    </row>
    <row r="4" customFormat="false" ht="6" hidden="false" customHeight="true" outlineLevel="0" collapsed="false">
      <c r="A4" s="129"/>
      <c r="B4" s="130"/>
      <c r="C4" s="130"/>
      <c r="D4" s="131"/>
      <c r="E4" s="131"/>
      <c r="F4" s="131"/>
      <c r="G4" s="131"/>
      <c r="H4" s="131"/>
      <c r="I4" s="132"/>
      <c r="J4" s="132"/>
      <c r="K4" s="132"/>
      <c r="L4" s="132"/>
      <c r="M4" s="130"/>
      <c r="N4" s="130"/>
      <c r="O4" s="133"/>
    </row>
    <row r="5" customFormat="false" ht="6" hidden="false" customHeight="true" outlineLevel="0" collapsed="false">
      <c r="D5" s="124"/>
      <c r="E5" s="124"/>
      <c r="F5" s="124"/>
      <c r="G5" s="124"/>
      <c r="H5" s="124"/>
      <c r="I5" s="134"/>
      <c r="J5" s="134"/>
      <c r="K5" s="134"/>
      <c r="L5" s="134"/>
    </row>
    <row r="6" customFormat="false" ht="15" hidden="false" customHeight="true" outlineLevel="0" collapsed="false">
      <c r="D6" s="124"/>
      <c r="E6" s="135"/>
      <c r="F6" s="124"/>
      <c r="G6" s="124"/>
      <c r="H6" s="124"/>
      <c r="I6" s="134"/>
      <c r="J6" s="134"/>
      <c r="K6" s="134"/>
      <c r="L6" s="134"/>
    </row>
    <row r="7" customFormat="false" ht="15" hidden="false" customHeight="true" outlineLevel="0" collapsed="false">
      <c r="C7" s="136"/>
      <c r="D7" s="126" t="str">
        <f aca="false">Para1!F117</f>
        <v>holiday</v>
      </c>
      <c r="E7" s="137" t="s">
        <v>12</v>
      </c>
      <c r="H7" s="117"/>
      <c r="I7" s="121" t="str">
        <f aca="false">Para1!F83</f>
        <v>absences</v>
      </c>
      <c r="J7" s="117" t="s">
        <v>12</v>
      </c>
      <c r="L7" s="138" t="str">
        <f aca="false">Para1!F84</f>
        <v>curr. mnth</v>
      </c>
      <c r="M7" s="138" t="str">
        <f aca="false">Para1!F195</f>
        <v>last mnth(s)</v>
      </c>
      <c r="N7" s="139" t="str">
        <f aca="false">Para1!F171</f>
        <v>balance</v>
      </c>
      <c r="O7" s="251"/>
      <c r="P7" s="140"/>
    </row>
    <row r="8" customFormat="false" ht="15" hidden="false" customHeight="true" outlineLevel="0" collapsed="false">
      <c r="D8" s="138" t="str">
        <f aca="false">Para1!B171&amp;" "&amp;Para1!B88&amp;" "&amp;Para1!B154</f>
        <v>Saldo Anfang Monat</v>
      </c>
      <c r="E8" s="141" t="n">
        <f aca="false">Januar!E11</f>
        <v>7.04375</v>
      </c>
      <c r="H8" s="117"/>
      <c r="I8" s="135" t="str">
        <f aca="false">Para1!F141</f>
        <v>illness</v>
      </c>
      <c r="J8" s="142"/>
      <c r="L8" s="143" t="n">
        <f aca="false">D54</f>
        <v>0</v>
      </c>
      <c r="M8" s="143" t="n">
        <f aca="false">Januar!N8</f>
        <v>0</v>
      </c>
      <c r="N8" s="144" t="n">
        <f aca="false">SUM(L8:M8)</f>
        <v>0</v>
      </c>
    </row>
    <row r="9" customFormat="false" ht="15" hidden="false" customHeight="true" outlineLevel="0" collapsed="false">
      <c r="D9" s="138" t="str">
        <f aca="false">"./. "&amp;Para1!F118</f>
        <v>./. holiday taken</v>
      </c>
      <c r="E9" s="141" t="n">
        <f aca="false">COUNTIF($K$23:$L$53,"f")*$P$55-IF(ISNA(F9),0,((S54+T54)/100*G3)/48)-IF(ISNA(G9),0,((S54+T54)/100*G3)/48)</f>
        <v>0</v>
      </c>
      <c r="F9" s="145" t="e">
        <f aca="false">INDEX(U23:U53,MATCH("f",U23:U53,0))</f>
        <v>#N/A</v>
      </c>
      <c r="G9" s="145" t="e">
        <f aca="false">INDEX(V23:V53,MATCH("f",V23:V53,0))</f>
        <v>#N/A</v>
      </c>
      <c r="H9" s="117"/>
      <c r="I9" s="135" t="str">
        <f aca="false">Para1!F190</f>
        <v>accident</v>
      </c>
      <c r="J9" s="120" t="str">
        <f aca="false">Para1!F99</f>
        <v>work related</v>
      </c>
      <c r="K9" s="120"/>
      <c r="L9" s="143" t="n">
        <f aca="false">E54</f>
        <v>0</v>
      </c>
      <c r="M9" s="143" t="n">
        <f aca="false">Januar!N9</f>
        <v>0</v>
      </c>
      <c r="N9" s="144" t="n">
        <f aca="false">SUM(L9:M9)</f>
        <v>0</v>
      </c>
      <c r="Q9" s="145"/>
    </row>
    <row r="10" customFormat="false" ht="15" hidden="false" customHeight="true" outlineLevel="0" collapsed="false">
      <c r="D10" s="138" t="str">
        <f aca="false">"./ ."&amp;Para1!F119</f>
        <v>./ .reduction of holiday</v>
      </c>
      <c r="E10" s="147" t="n">
        <v>0</v>
      </c>
      <c r="H10" s="117"/>
      <c r="I10" s="135"/>
      <c r="J10" s="120" t="str">
        <f aca="false">Para1!F161&amp;" "&amp;Para1!F100</f>
        <v>not work. rel.</v>
      </c>
      <c r="K10" s="120"/>
      <c r="L10" s="143" t="n">
        <f aca="false">F54</f>
        <v>0</v>
      </c>
      <c r="M10" s="143" t="n">
        <f aca="false">Januar!N10</f>
        <v>0</v>
      </c>
      <c r="N10" s="144" t="n">
        <f aca="false">SUM(L10:M10)</f>
        <v>0</v>
      </c>
      <c r="Q10" s="145"/>
    </row>
    <row r="11" customFormat="false" ht="15" hidden="false" customHeight="true" outlineLevel="0" collapsed="false">
      <c r="B11" s="136"/>
      <c r="C11" s="136"/>
      <c r="D11" s="126" t="str">
        <f aca="false">Para1!F171&amp;" "&amp;Para1!F115&amp;" "&amp;Para1!F154</f>
        <v>balance end of the month</v>
      </c>
      <c r="E11" s="148" t="n">
        <f aca="false">$E$8-$E$9-$E$10</f>
        <v>7.04375</v>
      </c>
      <c r="H11" s="117"/>
      <c r="I11" s="149" t="str">
        <f aca="false">Para1!F142</f>
        <v>short vacation</v>
      </c>
      <c r="L11" s="143" t="n">
        <f aca="false">G54</f>
        <v>0</v>
      </c>
      <c r="M11" s="143" t="n">
        <f aca="false">Januar!N11</f>
        <v>0</v>
      </c>
      <c r="N11" s="144" t="n">
        <f aca="false">SUM(L11:M11)</f>
        <v>0</v>
      </c>
    </row>
    <row r="12" customFormat="false" ht="15" hidden="false" customHeight="true" outlineLevel="0" collapsed="false">
      <c r="B12" s="150" t="str">
        <f aca="false">IF((E11*24+(4.2*'Persönliche Daten (pers. data)'!O8/100))&lt;0,Para1!J224,IF(E11&gt;0,"",Para1!J223))</f>
        <v/>
      </c>
      <c r="H12" s="117"/>
      <c r="I12" s="151" t="str">
        <f aca="false">Para1!F198</f>
        <v>training / education</v>
      </c>
      <c r="L12" s="143" t="n">
        <f aca="false">H54</f>
        <v>0</v>
      </c>
      <c r="M12" s="143" t="n">
        <f aca="false">Januar!N12</f>
        <v>0</v>
      </c>
      <c r="N12" s="144" t="n">
        <f aca="false">SUM(L12:M12)</f>
        <v>0</v>
      </c>
    </row>
    <row r="13" customFormat="false" ht="15" hidden="false" customHeight="true" outlineLevel="0" collapsed="false">
      <c r="B13" s="152" t="str">
        <f aca="false">Para1!F105&amp;" "&amp;Para1!F122&amp;" "&amp;Para1!F83&amp;" in "&amp;Para1!F178&amp;":"</f>
        <v>letters for absences in days:</v>
      </c>
      <c r="C13" s="152"/>
      <c r="D13" s="152"/>
      <c r="E13" s="152"/>
      <c r="H13" s="117"/>
      <c r="I13" s="135" t="str">
        <f aca="false">Para1!F163</f>
        <v>public office</v>
      </c>
      <c r="L13" s="143" t="n">
        <f aca="false">I54</f>
        <v>0</v>
      </c>
      <c r="M13" s="143" t="n">
        <f aca="false">Januar!N13</f>
        <v>0</v>
      </c>
      <c r="N13" s="144" t="n">
        <f aca="false">SUM(L13:M13)</f>
        <v>0</v>
      </c>
    </row>
    <row r="14" customFormat="false" ht="15" hidden="false" customHeight="true" outlineLevel="0" collapsed="false">
      <c r="B14" s="153" t="s">
        <v>13</v>
      </c>
      <c r="C14" s="154" t="str">
        <f aca="false">Para1!F117</f>
        <v>holiday</v>
      </c>
      <c r="D14" s="154"/>
      <c r="E14" s="154"/>
      <c r="H14" s="117"/>
      <c r="I14" s="155" t="str">
        <f aca="false">Para1!F192</f>
        <v>leave</v>
      </c>
      <c r="J14" s="146" t="str">
        <f aca="false">Para1!F101</f>
        <v>paid</v>
      </c>
      <c r="K14" s="157"/>
      <c r="L14" s="146" t="n">
        <f aca="false">COUNTIF($K$23:$L$53,"b")*$P$55-IF(ISNA(O14),0,(($S$54+$T$54)/100*$G$3)/48)-IF(ISNA(P14),0,(($S$54+$T$54)/100*$G$3)/48)</f>
        <v>0</v>
      </c>
      <c r="M14" s="143" t="n">
        <f aca="false">Januar!N14</f>
        <v>0</v>
      </c>
      <c r="N14" s="144" t="n">
        <f aca="false">SUM(L14:M14)</f>
        <v>0</v>
      </c>
      <c r="O14" s="145" t="e">
        <f aca="false">INDEX(U23:U53,MATCH("b",U23:U53,0))</f>
        <v>#N/A</v>
      </c>
      <c r="P14" s="145" t="e">
        <f aca="false">INDEX(V23:V53,MATCH("b",V23:V53,0))</f>
        <v>#N/A</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COUNTIF($K$23:$L$53,"u")*$P$55-IF(ISNA(O15),0,(($S$54+$T$54)/100*$G$3)/48)-IF(ISNA(P15),0,(($S$54+$T$54)/100*$G$3)/48)</f>
        <v>0</v>
      </c>
      <c r="M15" s="143" t="n">
        <f aca="false">Januar!N15</f>
        <v>0</v>
      </c>
      <c r="N15" s="144" t="n">
        <f aca="false">SUM(L15:M15)</f>
        <v>0</v>
      </c>
      <c r="O15" s="145" t="e">
        <f aca="false">INDEX(U23:U53,MATCH("u",U23:U53,0))</f>
        <v>#N/A</v>
      </c>
      <c r="P15" s="145" t="e">
        <f aca="false">INDEX(V23:V53,MATCH("u",V23:V53,0))</f>
        <v>#N/A</v>
      </c>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J16" s="157"/>
      <c r="K16" s="157"/>
      <c r="L16" s="146" t="n">
        <f aca="false">COUNTIF($K$23:$L$53,"m")*$P$55-IF(ISNA(O16),0,(($S$54+$T$54)/100*$G$3)/48)-IF(ISNA(P16),0,(($S$54+$T$54)/100*$G$3)/48)</f>
        <v>0</v>
      </c>
      <c r="M16" s="143" t="n">
        <f aca="false">Januar!N16</f>
        <v>0</v>
      </c>
      <c r="N16" s="144" t="n">
        <f aca="false">SUM(L16:M16)</f>
        <v>0</v>
      </c>
      <c r="O16" s="145" t="e">
        <f aca="false">INDEX(U23:U53,MATCH("m",U23:U53,0))</f>
        <v>#N/A</v>
      </c>
      <c r="P16" s="145" t="e">
        <f aca="false">INDEX(V23:V53,MATCH("m",V23:V53,0))</f>
        <v>#N/A</v>
      </c>
    </row>
    <row r="17" customFormat="false" ht="15" hidden="false" customHeight="true" outlineLevel="0" collapsed="false">
      <c r="B17" s="153" t="s">
        <v>16</v>
      </c>
      <c r="C17" s="154" t="str">
        <f aca="false">Para1!F192&amp;" "&amp;Para1!F101</f>
        <v>leave paid</v>
      </c>
      <c r="D17" s="154"/>
      <c r="E17" s="154"/>
      <c r="I17" s="135" t="str">
        <f aca="false">Para1!F150</f>
        <v>military/civil def./civil serv.</v>
      </c>
      <c r="J17" s="24"/>
      <c r="K17" s="24"/>
      <c r="L17" s="146" t="n">
        <f aca="false">COUNTIF($K$23:$L$53,"z")*$P$55-IF(ISNA(O17),0,(($S$54+$T$54)/100*$G$3)/48)-IF(ISNA(P17),0,(($S$54+$T$54)/100*$G$3)/48)</f>
        <v>0</v>
      </c>
      <c r="M17" s="143" t="n">
        <f aca="false">Januar!N17</f>
        <v>0</v>
      </c>
      <c r="N17" s="144" t="n">
        <f aca="false">SUM(L17:M17)</f>
        <v>0</v>
      </c>
      <c r="O17" s="145" t="e">
        <f aca="false">INDEX(U23:U53,MATCH("z",U23:U53,0))</f>
        <v>#N/A</v>
      </c>
      <c r="P17" s="145" t="e">
        <f aca="false">INDEX(V23:V53,MATCH("z",V23:V53,0))</f>
        <v>#N/A</v>
      </c>
    </row>
    <row r="18" customFormat="false" ht="15" hidden="false" customHeight="true" outlineLevel="0" collapsed="false">
      <c r="B18" s="153" t="s">
        <v>17</v>
      </c>
      <c r="C18" s="154" t="str">
        <f aca="false">Para1!F192&amp;" "&amp;Para1!F189</f>
        <v>leave unpaid</v>
      </c>
      <c r="D18" s="154"/>
      <c r="E18" s="154"/>
      <c r="H18" s="117"/>
      <c r="I18" s="121" t="str">
        <f aca="false">Para1!F180</f>
        <v>total</v>
      </c>
      <c r="L18" s="160" t="n">
        <f aca="false">SUM(L8:L17)</f>
        <v>0</v>
      </c>
      <c r="M18" s="160" t="n">
        <f aca="false">SUM(M8:M17)</f>
        <v>0</v>
      </c>
      <c r="N18" s="160" t="n">
        <f aca="false">SUM(N8:N17)</f>
        <v>0</v>
      </c>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row>
    <row r="21" s="179" customFormat="true" ht="18.75" hidden="false" customHeight="true" outlineLevel="0" collapsed="false">
      <c r="A21" s="167" t="n">
        <f aca="true">TODAY()</f>
        <v>42894</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252"/>
      <c r="K21" s="253" t="str">
        <f aca="false">Para1!F194</f>
        <v>morning</v>
      </c>
      <c r="L21" s="175" t="str">
        <f aca="false">Para1!F158</f>
        <v>afternoon</v>
      </c>
      <c r="M21" s="176"/>
      <c r="N21" s="136"/>
      <c r="O21" s="136"/>
      <c r="P21" s="177" t="str">
        <f aca="false">Para1!F194</f>
        <v>morning</v>
      </c>
      <c r="Q21" s="178" t="str">
        <f aca="false">Para1!F158</f>
        <v>afternoon</v>
      </c>
      <c r="R21" s="117"/>
    </row>
    <row r="22" s="179" customFormat="true" ht="15.75" hidden="false" customHeight="true" outlineLevel="0" collapsed="false">
      <c r="A22" s="180" t="str">
        <f aca="false">Para1!F106</f>
        <v>date</v>
      </c>
      <c r="B22" s="180"/>
      <c r="C22" s="181"/>
      <c r="D22" s="169"/>
      <c r="E22" s="170"/>
      <c r="F22" s="171"/>
      <c r="G22" s="170"/>
      <c r="H22" s="170"/>
      <c r="I22" s="172"/>
      <c r="J22" s="254"/>
      <c r="K22" s="253"/>
      <c r="L22" s="175"/>
      <c r="M22" s="183"/>
      <c r="N22" s="136"/>
      <c r="O22" s="136"/>
      <c r="P22" s="177"/>
      <c r="Q22" s="178"/>
    </row>
    <row r="23" customFormat="false" ht="17" hidden="false" customHeight="true" outlineLevel="0" collapsed="false">
      <c r="A23" s="216" t="s">
        <v>18</v>
      </c>
      <c r="B23" s="201" t="str">
        <f aca="false">IF(Januar!B53=Para1!$F$153,Para1!$F$109,IF(Januar!B53=Para1!$F$109,Para1!$F$148,IF(Januar!B53=Para1!$F$148,Para1!$F$111,IF(Januar!B53=Para1!$F$111,Para1!$F$120,IF(Januar!B53=Para1!$F$120,Para1!$F$170,IF(Januar!B53=Para1!$F$170,Para1!$F$173,Para1!$F$153))))))</f>
        <v>Mon</v>
      </c>
      <c r="C23" s="202"/>
      <c r="D23" s="203"/>
      <c r="E23" s="204"/>
      <c r="F23" s="205"/>
      <c r="G23" s="204"/>
      <c r="H23" s="204"/>
      <c r="I23" s="206"/>
      <c r="J23" s="255"/>
      <c r="K23" s="256"/>
      <c r="L23" s="209"/>
      <c r="M23" s="194"/>
      <c r="N23" s="195"/>
      <c r="O23" s="145"/>
      <c r="P23" s="257" t="n">
        <f aca="false">Januar!P47</f>
        <v>1</v>
      </c>
      <c r="Q23" s="257" t="n">
        <f aca="false">Januar!Q47</f>
        <v>1</v>
      </c>
      <c r="R23" s="145" t="e">
        <f aca="false">IF(VLOOKUP(A23,Para1!$B$67:$E$72,2,0)="2.",VLOOKUP(A23,Para1!$B$67:$E$72,3,0),"")</f>
        <v>#N/A</v>
      </c>
      <c r="S23" s="145" t="str">
        <f aca="false">IF((P23+Q23)=0,"",IF(ISNA(R23),"",IF(R23="","",VLOOKUP(R23,Para1!$D$67:$G$79,3,0)*(IF(P23+Q23=1,0.5,1)))))</f>
        <v/>
      </c>
      <c r="T23" s="145" t="str">
        <f aca="false">IF(P23+Q23=0,"",IF(ISNA(R24),"",IF(R24="","",VLOOKUP(R24,Para1!$D$67:$G$79,4,0)*(IF(P23+Q23=1,0.5,1)))))</f>
        <v/>
      </c>
      <c r="U23" s="145" t="str">
        <f aca="false">IF(SUM(S23:T23)&gt;0,K23,"")</f>
        <v/>
      </c>
      <c r="V23" s="145" t="str">
        <f aca="false">IF(SUM(S23:T23)&gt;0,L23,"")</f>
        <v/>
      </c>
      <c r="W23" s="145" t="n">
        <f aca="false">IF(S23=0,P23+Q23,0)</f>
        <v>0</v>
      </c>
    </row>
    <row r="24" customFormat="false" ht="16.5" hidden="false" customHeight="true" outlineLevel="0" collapsed="false">
      <c r="A24" s="216" t="s">
        <v>20</v>
      </c>
      <c r="B24" s="201" t="str">
        <f aca="false">IF(B23=Para1!$F$153,Para1!$F$109,IF(B23=Para1!$F$109,Para1!$F$148,IF(B23=Para1!$F$148,Para1!$F$111,IF(B23=Para1!$F$111,Para1!$F$120,IF(B23=Para1!$F$120,Para1!$F$170,IF(B23=Para1!$F$170,Para1!$F$173,Para1!$F$153))))))</f>
        <v>Tue</v>
      </c>
      <c r="C24" s="202"/>
      <c r="D24" s="203"/>
      <c r="E24" s="204"/>
      <c r="F24" s="205"/>
      <c r="G24" s="204"/>
      <c r="H24" s="204"/>
      <c r="I24" s="206"/>
      <c r="J24" s="255"/>
      <c r="K24" s="256"/>
      <c r="L24" s="209"/>
      <c r="M24" s="194"/>
      <c r="N24" s="195"/>
      <c r="O24" s="145"/>
      <c r="P24" s="257" t="n">
        <f aca="false">Januar!P48</f>
        <v>1</v>
      </c>
      <c r="Q24" s="257" t="n">
        <f aca="false">Januar!Q48</f>
        <v>1</v>
      </c>
      <c r="R24" s="145" t="str">
        <f aca="false">IF(VLOOKUP(A24,Para1!$B$67:$E$72,2,0)="2.",VLOOKUP(A24,Para1!$B$67:$E$72,3,0),"")</f>
        <v/>
      </c>
      <c r="S24" s="145" t="str">
        <f aca="false">IF((P24+Q24)=0,"",IF(ISNA(R24),"",IF(R24="","",VLOOKUP(R24,Para1!$D$67:$G$79,3,0)*(IF(P24+Q24=1,0.5,1)))))</f>
        <v/>
      </c>
      <c r="T24" s="145" t="str">
        <f aca="false">IF(P24+Q24=0,"",IF(ISNA(R25),"",IF(R25="","",VLOOKUP(R25,Para1!$D$67:$G$79,4,0)*(IF(P24+Q24=1,0.5,1)))))</f>
        <v/>
      </c>
      <c r="U24" s="145" t="str">
        <f aca="false">IF(SUM(S24:T24)&gt;0,K24,"")</f>
        <v/>
      </c>
      <c r="V24" s="145" t="str">
        <f aca="false">IF(SUM(S24:T24)&gt;0,L24,"")</f>
        <v/>
      </c>
      <c r="W24" s="145" t="n">
        <f aca="false">IF(S24=0,P24+Q24,0)</f>
        <v>0</v>
      </c>
    </row>
    <row r="25" customFormat="false" ht="17" hidden="false" customHeight="true" outlineLevel="0" collapsed="false">
      <c r="A25" s="216" t="s">
        <v>22</v>
      </c>
      <c r="B25" s="201" t="str">
        <f aca="false">IF(B24=Para1!$F$153,Para1!$F$109,IF(B24=Para1!$F$109,Para1!$F$148,IF(B24=Para1!$F$148,Para1!$F$111,IF(B24=Para1!$F$111,Para1!$F$120,IF(B24=Para1!$F$120,Para1!$F$170,IF(B24=Para1!$F$170,Para1!$F$173,Para1!$F$153))))))</f>
        <v>Wed</v>
      </c>
      <c r="C25" s="202"/>
      <c r="D25" s="203"/>
      <c r="E25" s="204"/>
      <c r="F25" s="205"/>
      <c r="G25" s="204"/>
      <c r="H25" s="204"/>
      <c r="I25" s="206"/>
      <c r="J25" s="255"/>
      <c r="K25" s="256"/>
      <c r="L25" s="209"/>
      <c r="M25" s="210"/>
      <c r="N25" s="195"/>
      <c r="O25" s="145"/>
      <c r="P25" s="257" t="n">
        <f aca="false">Januar!P49</f>
        <v>1</v>
      </c>
      <c r="Q25" s="257" t="n">
        <f aca="false">Januar!Q49</f>
        <v>1</v>
      </c>
      <c r="R25" s="145" t="e">
        <f aca="false">IF(VLOOKUP(A25,Para1!$B$67:$E$72,2,0)="2.",VLOOKUP(A25,Para1!$B$67:$E$72,3,0),"")</f>
        <v>#N/A</v>
      </c>
      <c r="S25" s="145" t="str">
        <f aca="false">IF((P25+Q25)=0,"",IF(ISNA(R25),"",IF(R25="","",VLOOKUP(R25,Para1!$D$67:$G$79,3,0)*(IF(P25+Q25=1,0.5,1)))))</f>
        <v/>
      </c>
      <c r="T25" s="145" t="str">
        <f aca="false">IF(P25+Q25=0,"",IF(ISNA(R26),"",IF(R26="","",VLOOKUP(R26,Para1!$D$67:$G$79,4,0)*(IF(P25+Q25=1,0.5,1)))))</f>
        <v/>
      </c>
      <c r="U25" s="145" t="str">
        <f aca="false">IF(SUM(S25:T25)&gt;0,K25,"")</f>
        <v/>
      </c>
      <c r="V25" s="145" t="str">
        <f aca="false">IF(SUM(S25:T25)&gt;0,L25,"")</f>
        <v/>
      </c>
      <c r="W25" s="145" t="n">
        <f aca="false">IF(S25=0,P25+Q25,0)</f>
        <v>0</v>
      </c>
    </row>
    <row r="26" customFormat="false" ht="17" hidden="false" customHeight="true" outlineLevel="0" collapsed="false">
      <c r="A26" s="216" t="s">
        <v>23</v>
      </c>
      <c r="B26" s="201" t="str">
        <f aca="false">IF(B25=Para1!$F$153,Para1!$F$109,IF(B25=Para1!$F$109,Para1!$F$148,IF(B25=Para1!$F$148,Para1!$F$111,IF(B25=Para1!$F$111,Para1!$F$120,IF(B25=Para1!$F$120,Para1!$F$170,IF(B25=Para1!$F$170,Para1!$F$173,Para1!$F$153))))))</f>
        <v>Thu</v>
      </c>
      <c r="C26" s="186"/>
      <c r="D26" s="203"/>
      <c r="E26" s="204"/>
      <c r="F26" s="205"/>
      <c r="G26" s="204"/>
      <c r="H26" s="204"/>
      <c r="I26" s="206"/>
      <c r="J26" s="255"/>
      <c r="K26" s="256"/>
      <c r="L26" s="209"/>
      <c r="M26" s="210"/>
      <c r="N26" s="195"/>
      <c r="O26" s="145"/>
      <c r="P26" s="257" t="n">
        <f aca="false">Januar!P50</f>
        <v>1</v>
      </c>
      <c r="Q26" s="257" t="n">
        <f aca="false">Januar!Q50</f>
        <v>1</v>
      </c>
      <c r="R26" s="145" t="str">
        <f aca="false">IF(VLOOKUP(A26,Para1!$B$67:$E$72,2,0)="2.",VLOOKUP(A26,Para1!$B$67:$E$72,3,0),"")</f>
        <v/>
      </c>
      <c r="S26" s="145" t="str">
        <f aca="false">IF((P26+Q26)=0,"",IF(ISNA(R26),"",IF(R26="","",VLOOKUP(R26,Para1!$D$67:$G$79,3,0)*(IF(P26+Q26=1,0.5,1)))))</f>
        <v/>
      </c>
      <c r="T26" s="145" t="str">
        <f aca="false">IF(P26+Q26=0,"",IF(ISNA(R27),"",IF(R27="","",VLOOKUP(R27,Para1!$D$67:$G$79,4,0)*(IF(P26+Q26=1,0.5,1)))))</f>
        <v/>
      </c>
      <c r="U26" s="145" t="str">
        <f aca="false">IF(SUM(S26:T26)&gt;0,K26,"")</f>
        <v/>
      </c>
      <c r="V26" s="145" t="str">
        <f aca="false">IF(SUM(S26:T26)&gt;0,L26,"")</f>
        <v/>
      </c>
      <c r="W26" s="145" t="n">
        <f aca="false">IF(S26=0,P26+Q26,0)</f>
        <v>0</v>
      </c>
    </row>
    <row r="27" customFormat="false" ht="17" hidden="false" customHeight="true" outlineLevel="0" collapsed="false">
      <c r="A27" s="216" t="s">
        <v>24</v>
      </c>
      <c r="B27" s="201" t="str">
        <f aca="false">IF(B26=Para1!$F$153,Para1!$F$109,IF(B26=Para1!$F$109,Para1!$F$148,IF(B26=Para1!$F$148,Para1!$F$111,IF(B26=Para1!$F$111,Para1!$F$120,IF(B26=Para1!$F$120,Para1!$F$170,IF(B26=Para1!$F$170,Para1!$F$173,Para1!$F$153))))))</f>
        <v>Fri</v>
      </c>
      <c r="C27" s="186"/>
      <c r="D27" s="203"/>
      <c r="E27" s="204"/>
      <c r="F27" s="205"/>
      <c r="G27" s="204"/>
      <c r="H27" s="204"/>
      <c r="I27" s="206"/>
      <c r="J27" s="255"/>
      <c r="K27" s="256"/>
      <c r="L27" s="209"/>
      <c r="M27" s="210"/>
      <c r="N27" s="195"/>
      <c r="O27" s="145"/>
      <c r="P27" s="257" t="n">
        <f aca="false">Januar!P51</f>
        <v>1</v>
      </c>
      <c r="Q27" s="257" t="n">
        <f aca="false">Januar!Q51</f>
        <v>1</v>
      </c>
      <c r="R27" s="145" t="str">
        <f aca="false">IF(VLOOKUP(A27,Para1!$B$67:$E$72,2,0)="2.",VLOOKUP(A27,Para1!$B$67:$E$72,3,0),"")</f>
        <v/>
      </c>
      <c r="S27" s="145" t="str">
        <f aca="false">IF((P27+Q27)=0,"",IF(ISNA(R27),"",IF(R27="","",VLOOKUP(R27,Para1!$D$67:$G$79,3,0)*(IF(P27+Q27=1,0.5,1)))))</f>
        <v/>
      </c>
      <c r="T27" s="145" t="str">
        <f aca="false">IF(P27+Q27=0,"",IF(ISNA(R28),"",IF(R28="","",VLOOKUP(R28,Para1!$D$67:$G$79,4,0)*(IF(P27+Q27=1,0.5,1)))))</f>
        <v/>
      </c>
      <c r="U27" s="145" t="str">
        <f aca="false">IF(SUM(S27:T27)&gt;0,K27,"")</f>
        <v/>
      </c>
      <c r="V27" s="145" t="str">
        <f aca="false">IF(SUM(S27:T27)&gt;0,L27,"")</f>
        <v/>
      </c>
      <c r="W27" s="145" t="n">
        <f aca="false">IF(S27=0,P27+Q27,0)</f>
        <v>0</v>
      </c>
    </row>
    <row r="28" customFormat="false" ht="17" hidden="false" customHeight="true" outlineLevel="0" collapsed="false">
      <c r="A28" s="216" t="s">
        <v>25</v>
      </c>
      <c r="B28" s="201" t="str">
        <f aca="false">IF(B27=Para1!$F$153,Para1!$F$109,IF(B27=Para1!$F$109,Para1!$F$148,IF(B27=Para1!$F$148,Para1!$F$111,IF(B27=Para1!$F$111,Para1!$F$120,IF(B27=Para1!$F$120,Para1!$F$170,IF(B27=Para1!$F$170,Para1!$F$173,Para1!$F$153))))))</f>
        <v>Sat</v>
      </c>
      <c r="C28" s="202"/>
      <c r="D28" s="203"/>
      <c r="E28" s="204"/>
      <c r="F28" s="205"/>
      <c r="G28" s="204"/>
      <c r="H28" s="204"/>
      <c r="I28" s="206"/>
      <c r="J28" s="255"/>
      <c r="K28" s="256"/>
      <c r="L28" s="209"/>
      <c r="M28" s="210"/>
      <c r="N28" s="195"/>
      <c r="O28" s="145"/>
      <c r="P28" s="257" t="n">
        <f aca="false">Januar!P52</f>
        <v>0</v>
      </c>
      <c r="Q28" s="257" t="n">
        <f aca="false">Januar!Q52</f>
        <v>0</v>
      </c>
      <c r="R28" s="145" t="e">
        <f aca="false">IF(VLOOKUP(A28,Para1!$B$67:$E$72,2,0)="2.",VLOOKUP(A28,Para1!$B$67:$E$72,3,0),"")</f>
        <v>#N/A</v>
      </c>
      <c r="S28" s="145" t="str">
        <f aca="false">IF((P28+Q28)=0,"",IF(ISNA(R28),"",IF(R28="","",VLOOKUP(R28,Para1!$D$67:$G$79,3,0)*(IF(P28+Q28=1,0.5,1)))))</f>
        <v/>
      </c>
      <c r="T28" s="145" t="str">
        <f aca="false">IF(P28+Q28=0,"",IF(ISNA(R29),"",IF(R29="","",VLOOKUP(R29,Para1!$D$67:$G$79,4,0)*(IF(P28+Q28=1,0.5,1)))))</f>
        <v/>
      </c>
      <c r="U28" s="145" t="str">
        <f aca="false">IF(SUM(S28:T28)&gt;0,K28,"")</f>
        <v/>
      </c>
      <c r="V28" s="145" t="str">
        <f aca="false">IF(SUM(S28:T28)&gt;0,L28,"")</f>
        <v/>
      </c>
      <c r="W28" s="145" t="n">
        <f aca="false">IF(S28=0,P28+Q28,0)</f>
        <v>0</v>
      </c>
    </row>
    <row r="29" s="258" customFormat="true" ht="17" hidden="false" customHeight="true" outlineLevel="0" collapsed="false">
      <c r="A29" s="216" t="s">
        <v>26</v>
      </c>
      <c r="B29" s="201" t="str">
        <f aca="false">IF(B28=Para1!$F$153,Para1!$F$109,IF(B28=Para1!$F$109,Para1!$F$148,IF(B28=Para1!$F$148,Para1!$F$111,IF(B28=Para1!$F$111,Para1!$F$120,IF(B28=Para1!$F$120,Para1!$F$170,IF(B28=Para1!$F$170,Para1!$F$173,Para1!$F$153))))))</f>
        <v>Sun</v>
      </c>
      <c r="C29" s="202"/>
      <c r="D29" s="203"/>
      <c r="E29" s="204"/>
      <c r="F29" s="205"/>
      <c r="G29" s="204"/>
      <c r="H29" s="204"/>
      <c r="I29" s="206"/>
      <c r="J29" s="255"/>
      <c r="K29" s="256"/>
      <c r="L29" s="209"/>
      <c r="M29" s="210"/>
      <c r="N29" s="195"/>
      <c r="O29" s="145"/>
      <c r="P29" s="257" t="n">
        <f aca="false">Januar!P53</f>
        <v>0</v>
      </c>
      <c r="Q29" s="257" t="n">
        <f aca="false">Januar!Q53</f>
        <v>0</v>
      </c>
      <c r="R29" s="145" t="e">
        <f aca="false">IF(VLOOKUP(A29,Para1!$B$67:$E$72,2,0)="2.",VLOOKUP(A29,Para1!$B$67:$E$72,3,0),"")</f>
        <v>#N/A</v>
      </c>
      <c r="S29" s="145" t="str">
        <f aca="false">IF((P29+Q29)=0,"",IF(ISNA(R29),"",IF(R29="","",VLOOKUP(R29,Para1!$D$67:$G$79,3,0)*(IF(P29+Q29=1,0.5,1)))))</f>
        <v/>
      </c>
      <c r="T29" s="145" t="str">
        <f aca="false">IF(P29+Q29=0,"",IF(ISNA(R30),"",IF(R30="","",VLOOKUP(R30,Para1!$D$67:$G$79,4,0)*(IF(P29+Q29=1,0.5,1)))))</f>
        <v/>
      </c>
      <c r="U29" s="145" t="str">
        <f aca="false">IF(SUM(S29:T29)&gt;0,K29,"")</f>
        <v/>
      </c>
      <c r="V29" s="145" t="str">
        <f aca="false">IF(SUM(S29:T29)&gt;0,L29,"")</f>
        <v/>
      </c>
      <c r="W29" s="145" t="n">
        <f aca="false">IF(S29=0,P29+Q29,0)</f>
        <v>0</v>
      </c>
    </row>
    <row r="30" s="258" customFormat="true" ht="17" hidden="false" customHeight="true" outlineLevel="0" collapsed="false">
      <c r="A30" s="216" t="s">
        <v>27</v>
      </c>
      <c r="B30" s="201" t="str">
        <f aca="false">IF(B29=Para1!$F$153,Para1!$F$109,IF(B29=Para1!$F$109,Para1!$F$148,IF(B29=Para1!$F$148,Para1!$F$111,IF(B29=Para1!$F$111,Para1!$F$120,IF(B29=Para1!$F$120,Para1!$F$170,IF(B29=Para1!$F$170,Para1!$F$173,Para1!$F$153))))))</f>
        <v>Mon</v>
      </c>
      <c r="C30" s="202"/>
      <c r="D30" s="203"/>
      <c r="E30" s="204"/>
      <c r="F30" s="205"/>
      <c r="G30" s="204"/>
      <c r="H30" s="204"/>
      <c r="I30" s="206"/>
      <c r="J30" s="255"/>
      <c r="K30" s="256"/>
      <c r="L30" s="209"/>
      <c r="M30" s="210"/>
      <c r="N30" s="195"/>
      <c r="O30" s="145"/>
      <c r="P30" s="259" t="n">
        <f aca="false">P23</f>
        <v>1</v>
      </c>
      <c r="Q30" s="259" t="n">
        <f aca="false">Q23</f>
        <v>1</v>
      </c>
      <c r="R30" s="145" t="e">
        <f aca="false">IF(VLOOKUP(A30,Para1!$B$67:$E$72,2,0)="2.",VLOOKUP(A30,Para1!$B$67:$E$72,3,0),"")</f>
        <v>#N/A</v>
      </c>
      <c r="S30" s="145" t="str">
        <f aca="false">IF((P30+Q30)=0,"",IF(ISNA(R30),"",IF(R30="","",VLOOKUP(R30,Para1!$D$67:$G$79,3,0)*(IF(P30+Q30=1,0.5,1)))))</f>
        <v/>
      </c>
      <c r="T30" s="145" t="str">
        <f aca="false">IF(P30+Q30=0,"",IF(ISNA(R31),"",IF(R31="","",VLOOKUP(R31,Para1!$D$67:$G$79,4,0)*(IF(P30+Q30=1,0.5,1)))))</f>
        <v/>
      </c>
      <c r="U30" s="145" t="str">
        <f aca="false">IF(SUM(S30:T30)&gt;0,K30,"")</f>
        <v/>
      </c>
      <c r="V30" s="145" t="str">
        <f aca="false">IF(SUM(S30:T30)&gt;0,L30,"")</f>
        <v/>
      </c>
      <c r="W30" s="145" t="n">
        <f aca="false">IF(S30=0,P30+Q30,0)</f>
        <v>0</v>
      </c>
    </row>
    <row r="31" customFormat="false" ht="17" hidden="false" customHeight="true" outlineLevel="0" collapsed="false">
      <c r="A31" s="216" t="s">
        <v>28</v>
      </c>
      <c r="B31" s="201" t="str">
        <f aca="false">IF(B30=Para1!$F$153,Para1!$F$109,IF(B30=Para1!$F$109,Para1!$F$148,IF(B30=Para1!$F$148,Para1!$F$111,IF(B30=Para1!$F$111,Para1!$F$120,IF(B30=Para1!$F$120,Para1!$F$170,IF(B30=Para1!$F$170,Para1!$F$173,Para1!$F$153))))))</f>
        <v>Tue</v>
      </c>
      <c r="C31" s="202"/>
      <c r="D31" s="203"/>
      <c r="E31" s="204"/>
      <c r="F31" s="205"/>
      <c r="G31" s="204"/>
      <c r="H31" s="204"/>
      <c r="I31" s="206"/>
      <c r="J31" s="255"/>
      <c r="K31" s="256"/>
      <c r="L31" s="209"/>
      <c r="M31" s="210"/>
      <c r="N31" s="195"/>
      <c r="O31" s="145"/>
      <c r="P31" s="259" t="n">
        <f aca="false">P24</f>
        <v>1</v>
      </c>
      <c r="Q31" s="259" t="n">
        <f aca="false">Q24</f>
        <v>1</v>
      </c>
      <c r="R31" s="145" t="e">
        <f aca="false">IF(VLOOKUP(A31,Para1!$B$67:$E$72,2,0)="2.",VLOOKUP(A31,Para1!$B$67:$E$72,3,0),"")</f>
        <v>#N/A</v>
      </c>
      <c r="S31" s="145" t="str">
        <f aca="false">IF((P31+Q31)=0,"",IF(ISNA(R31),"",IF(R31="","",VLOOKUP(R31,Para1!$D$67:$G$79,3,0)*(IF(P31+Q31=1,0.5,1)))))</f>
        <v/>
      </c>
      <c r="T31" s="145" t="str">
        <f aca="false">IF(P31+Q31=0,"",IF(ISNA(R32),"",IF(R32="","",VLOOKUP(R32,Para1!$D$67:$G$79,4,0)*(IF(P31+Q31=1,0.5,1)))))</f>
        <v/>
      </c>
      <c r="U31" s="145" t="str">
        <f aca="false">IF(SUM(S31:T31)&gt;0,K31,"")</f>
        <v/>
      </c>
      <c r="V31" s="145" t="str">
        <f aca="false">IF(SUM(S31:T31)&gt;0,L31,"")</f>
        <v/>
      </c>
      <c r="W31" s="145" t="n">
        <f aca="false">IF(S31=0,P31+Q31,0)</f>
        <v>0</v>
      </c>
    </row>
    <row r="32" customFormat="false" ht="17" hidden="false" customHeight="true" outlineLevel="0" collapsed="false">
      <c r="A32" s="216" t="s">
        <v>29</v>
      </c>
      <c r="B32" s="201" t="str">
        <f aca="false">IF(B31=Para1!$F$153,Para1!$F$109,IF(B31=Para1!$F$109,Para1!$F$148,IF(B31=Para1!$F$148,Para1!$F$111,IF(B31=Para1!$F$111,Para1!$F$120,IF(B31=Para1!$F$120,Para1!$F$170,IF(B31=Para1!$F$170,Para1!$F$173,Para1!$F$153))))))</f>
        <v>Wed</v>
      </c>
      <c r="C32" s="202"/>
      <c r="D32" s="203"/>
      <c r="E32" s="204"/>
      <c r="F32" s="205"/>
      <c r="G32" s="204"/>
      <c r="H32" s="204"/>
      <c r="I32" s="206"/>
      <c r="J32" s="255"/>
      <c r="K32" s="256"/>
      <c r="L32" s="209"/>
      <c r="M32" s="210"/>
      <c r="N32" s="195"/>
      <c r="O32" s="145"/>
      <c r="P32" s="259" t="n">
        <f aca="false">P25</f>
        <v>1</v>
      </c>
      <c r="Q32" s="259" t="n">
        <f aca="false">Q25</f>
        <v>1</v>
      </c>
      <c r="R32" s="145" t="e">
        <f aca="false">IF(VLOOKUP(A32,Para1!$B$67:$E$72,2,0)="2.",VLOOKUP(A32,Para1!$B$67:$E$72,3,0),"")</f>
        <v>#N/A</v>
      </c>
      <c r="S32" s="145" t="str">
        <f aca="false">IF((P32+Q32)=0,"",IF(ISNA(R32),"",IF(R32="","",VLOOKUP(R32,Para1!$D$67:$G$79,3,0)*(IF(P32+Q32=1,0.5,1)))))</f>
        <v/>
      </c>
      <c r="T32" s="145" t="str">
        <f aca="false">IF(P32+Q32=0,"",IF(ISNA(R33),"",IF(R33="","",VLOOKUP(R33,Para1!$D$67:$G$79,4,0)*(IF(P32+Q32=1,0.5,1)))))</f>
        <v/>
      </c>
      <c r="U32" s="145" t="str">
        <f aca="false">IF(SUM(S32:T32)&gt;0,K32,"")</f>
        <v/>
      </c>
      <c r="V32" s="145" t="str">
        <f aca="false">IF(SUM(S32:T32)&gt;0,L32,"")</f>
        <v/>
      </c>
      <c r="W32" s="145" t="n">
        <f aca="false">IF(S32=0,P32+Q32,0)</f>
        <v>0</v>
      </c>
    </row>
    <row r="33" customFormat="false" ht="17" hidden="false" customHeight="true" outlineLevel="0" collapsed="false">
      <c r="A33" s="216" t="s">
        <v>30</v>
      </c>
      <c r="B33" s="201" t="str">
        <f aca="false">IF(B32=Para1!$F$153,Para1!$F$109,IF(B32=Para1!$F$109,Para1!$F$148,IF(B32=Para1!$F$148,Para1!$F$111,IF(B32=Para1!$F$111,Para1!$F$120,IF(B32=Para1!$F$120,Para1!$F$170,IF(B32=Para1!$F$170,Para1!$F$173,Para1!$F$153))))))</f>
        <v>Thu</v>
      </c>
      <c r="C33" s="186"/>
      <c r="D33" s="203"/>
      <c r="E33" s="204"/>
      <c r="F33" s="205"/>
      <c r="G33" s="204"/>
      <c r="H33" s="204"/>
      <c r="I33" s="206"/>
      <c r="J33" s="255"/>
      <c r="K33" s="256"/>
      <c r="L33" s="209"/>
      <c r="M33" s="210"/>
      <c r="N33" s="195"/>
      <c r="O33" s="145"/>
      <c r="P33" s="259" t="n">
        <f aca="false">P26</f>
        <v>1</v>
      </c>
      <c r="Q33" s="259" t="n">
        <f aca="false">Q26</f>
        <v>1</v>
      </c>
      <c r="R33" s="145" t="e">
        <f aca="false">IF(VLOOKUP(A33,Para1!$B$67:$E$72,2,0)="2.",VLOOKUP(A33,Para1!$B$67:$E$72,3,0),"")</f>
        <v>#N/A</v>
      </c>
      <c r="S33" s="145" t="str">
        <f aca="false">IF((P33+Q33)=0,"",IF(ISNA(R33),"",IF(R33="","",VLOOKUP(R33,Para1!$D$67:$G$79,3,0)*(IF(P33+Q33=1,0.5,1)))))</f>
        <v/>
      </c>
      <c r="T33" s="145" t="str">
        <f aca="false">IF(P33+Q33=0,"",IF(ISNA(R34),"",IF(R34="","",VLOOKUP(R34,Para1!$D$67:$G$79,4,0)*(IF(P33+Q33=1,0.5,1)))))</f>
        <v/>
      </c>
      <c r="U33" s="145" t="str">
        <f aca="false">IF(SUM(S33:T33)&gt;0,K33,"")</f>
        <v/>
      </c>
      <c r="V33" s="145" t="str">
        <f aca="false">IF(SUM(S33:T33)&gt;0,L33,"")</f>
        <v/>
      </c>
      <c r="W33" s="145" t="n">
        <f aca="false">IF(S33=0,P33+Q33,0)</f>
        <v>0</v>
      </c>
    </row>
    <row r="34" customFormat="false" ht="17" hidden="false" customHeight="true" outlineLevel="0" collapsed="false">
      <c r="A34" s="216" t="s">
        <v>31</v>
      </c>
      <c r="B34" s="201" t="str">
        <f aca="false">IF(B33=Para1!$F$153,Para1!$F$109,IF(B33=Para1!$F$109,Para1!$F$148,IF(B33=Para1!$F$148,Para1!$F$111,IF(B33=Para1!$F$111,Para1!$F$120,IF(B33=Para1!$F$120,Para1!$F$170,IF(B33=Para1!$F$170,Para1!$F$173,Para1!$F$153))))))</f>
        <v>Fri</v>
      </c>
      <c r="C34" s="186"/>
      <c r="D34" s="203"/>
      <c r="E34" s="204"/>
      <c r="F34" s="205"/>
      <c r="G34" s="204"/>
      <c r="H34" s="204"/>
      <c r="I34" s="206"/>
      <c r="J34" s="255"/>
      <c r="K34" s="256"/>
      <c r="L34" s="209"/>
      <c r="M34" s="210"/>
      <c r="N34" s="195"/>
      <c r="O34" s="145"/>
      <c r="P34" s="259" t="n">
        <f aca="false">P27</f>
        <v>1</v>
      </c>
      <c r="Q34" s="259" t="n">
        <f aca="false">Q27</f>
        <v>1</v>
      </c>
      <c r="R34" s="145" t="e">
        <f aca="false">IF(VLOOKUP(A34,Para1!$B$67:$E$72,2,0)="2.",VLOOKUP(A34,Para1!$B$67:$E$72,3,0),"")</f>
        <v>#N/A</v>
      </c>
      <c r="S34" s="145" t="str">
        <f aca="false">IF((P34+Q34)=0,"",IF(ISNA(R34),"",IF(R34="","",VLOOKUP(R34,Para1!$D$67:$G$79,3,0)*(IF(P34+Q34=1,0.5,1)))))</f>
        <v/>
      </c>
      <c r="T34" s="145" t="str">
        <f aca="false">IF(P34+Q34=0,"",IF(ISNA(R35),"",IF(R35="","",VLOOKUP(R35,Para1!$D$67:$G$79,4,0)*(IF(P34+Q34=1,0.5,1)))))</f>
        <v/>
      </c>
      <c r="U34" s="145" t="str">
        <f aca="false">IF(SUM(S34:T34)&gt;0,K34,"")</f>
        <v/>
      </c>
      <c r="V34" s="145" t="str">
        <f aca="false">IF(SUM(S34:T34)&gt;0,L34,"")</f>
        <v/>
      </c>
      <c r="W34" s="145" t="n">
        <f aca="false">IF(S34=0,P34+Q34,0)</f>
        <v>0</v>
      </c>
    </row>
    <row r="35" customFormat="false" ht="17" hidden="false" customHeight="true" outlineLevel="0" collapsed="false">
      <c r="A35" s="216" t="s">
        <v>32</v>
      </c>
      <c r="B35" s="201" t="str">
        <f aca="false">IF(B34=Para1!$F$153,Para1!$F$109,IF(B34=Para1!$F$109,Para1!$F$148,IF(B34=Para1!$F$148,Para1!$F$111,IF(B34=Para1!$F$111,Para1!$F$120,IF(B34=Para1!$F$120,Para1!$F$170,IF(B34=Para1!$F$170,Para1!$F$173,Para1!$F$153))))))</f>
        <v>Sat</v>
      </c>
      <c r="C35" s="202"/>
      <c r="D35" s="203"/>
      <c r="E35" s="204"/>
      <c r="F35" s="205"/>
      <c r="G35" s="204"/>
      <c r="H35" s="204"/>
      <c r="I35" s="206"/>
      <c r="J35" s="255"/>
      <c r="K35" s="256"/>
      <c r="L35" s="209"/>
      <c r="M35" s="210"/>
      <c r="N35" s="195"/>
      <c r="O35" s="145"/>
      <c r="P35" s="259" t="n">
        <f aca="false">P28</f>
        <v>0</v>
      </c>
      <c r="Q35" s="259" t="n">
        <f aca="false">Q28</f>
        <v>0</v>
      </c>
      <c r="R35" s="145" t="str">
        <f aca="false">IF(VLOOKUP(A35,Para1!$B$67:$E$72,2,0)="2.",VLOOKUP(A35,Para1!$B$67:$E$72,3,0),"")</f>
        <v/>
      </c>
      <c r="S35" s="145" t="str">
        <f aca="false">IF((P35+Q35)=0,"",IF(ISNA(R35),"",IF(R35="","",VLOOKUP(R35,Para1!$D$67:$G$79,3,0)*(IF(P35+Q35=1,0.5,1)))))</f>
        <v/>
      </c>
      <c r="T35" s="145" t="str">
        <f aca="false">IF(P35+Q35=0,"",IF(ISNA(R36),"",IF(R36="","",VLOOKUP(R36,Para1!$D$67:$G$79,4,0)*(IF(P35+Q35=1,0.5,1)))))</f>
        <v/>
      </c>
      <c r="U35" s="145" t="str">
        <f aca="false">IF(SUM(S35:T35)&gt;0,K35,"")</f>
        <v/>
      </c>
      <c r="V35" s="145" t="str">
        <f aca="false">IF(SUM(S35:T35)&gt;0,L35,"")</f>
        <v/>
      </c>
      <c r="W35" s="145" t="n">
        <f aca="false">IF(S35=0,P35+Q35,0)</f>
        <v>0</v>
      </c>
    </row>
    <row r="36" s="258" customFormat="true" ht="17" hidden="false" customHeight="true" outlineLevel="0" collapsed="false">
      <c r="A36" s="216" t="s">
        <v>33</v>
      </c>
      <c r="B36" s="201" t="str">
        <f aca="false">IF(B35=Para1!$F$153,Para1!$F$109,IF(B35=Para1!$F$109,Para1!$F$148,IF(B35=Para1!$F$148,Para1!$F$111,IF(B35=Para1!$F$111,Para1!$F$120,IF(B35=Para1!$F$120,Para1!$F$170,IF(B35=Para1!$F$170,Para1!$F$173,Para1!$F$153))))))</f>
        <v>Sun</v>
      </c>
      <c r="C36" s="202"/>
      <c r="D36" s="203"/>
      <c r="E36" s="204"/>
      <c r="F36" s="205"/>
      <c r="G36" s="204"/>
      <c r="H36" s="204"/>
      <c r="I36" s="206"/>
      <c r="J36" s="255"/>
      <c r="K36" s="256"/>
      <c r="L36" s="209"/>
      <c r="M36" s="210"/>
      <c r="N36" s="195"/>
      <c r="O36" s="145"/>
      <c r="P36" s="259" t="n">
        <f aca="false">P29</f>
        <v>0</v>
      </c>
      <c r="Q36" s="259" t="n">
        <f aca="false">Q29</f>
        <v>0</v>
      </c>
      <c r="R36" s="145" t="e">
        <f aca="false">IF(VLOOKUP(A36,Para1!$B$67:$E$72,2,0)="2.",VLOOKUP(A36,Para1!$B$67:$E$72,3,0),"")</f>
        <v>#N/A</v>
      </c>
      <c r="S36" s="145" t="str">
        <f aca="false">IF((P36+Q36)=0,"",IF(ISNA(R36),"",IF(R36="","",VLOOKUP(R36,Para1!$D$67:$G$79,3,0)*(IF(P36+Q36=1,0.5,1)))))</f>
        <v/>
      </c>
      <c r="T36" s="145" t="str">
        <f aca="false">IF(P36+Q36=0,"",IF(ISNA(R37),"",IF(R37="","",VLOOKUP(R37,Para1!$D$67:$G$79,4,0)*(IF(P36+Q36=1,0.5,1)))))</f>
        <v/>
      </c>
      <c r="U36" s="145" t="str">
        <f aca="false">IF(SUM(S36:T36)&gt;0,K36,"")</f>
        <v/>
      </c>
      <c r="V36" s="145" t="str">
        <f aca="false">IF(SUM(S36:T36)&gt;0,L36,"")</f>
        <v/>
      </c>
      <c r="W36" s="145" t="n">
        <f aca="false">IF(S36=0,P36+Q36,0)</f>
        <v>0</v>
      </c>
    </row>
    <row r="37" s="258" customFormat="true" ht="17" hidden="false" customHeight="true" outlineLevel="0" collapsed="false">
      <c r="A37" s="216" t="s">
        <v>34</v>
      </c>
      <c r="B37" s="201" t="str">
        <f aca="false">IF(B36=Para1!$F$153,Para1!$F$109,IF(B36=Para1!$F$109,Para1!$F$148,IF(B36=Para1!$F$148,Para1!$F$111,IF(B36=Para1!$F$111,Para1!$F$120,IF(B36=Para1!$F$120,Para1!$F$170,IF(B36=Para1!$F$170,Para1!$F$173,Para1!$F$153))))))</f>
        <v>Mon</v>
      </c>
      <c r="C37" s="202"/>
      <c r="D37" s="203"/>
      <c r="E37" s="204"/>
      <c r="F37" s="205"/>
      <c r="G37" s="204"/>
      <c r="H37" s="204"/>
      <c r="I37" s="206"/>
      <c r="J37" s="255"/>
      <c r="K37" s="256"/>
      <c r="L37" s="209"/>
      <c r="M37" s="210"/>
      <c r="N37" s="195"/>
      <c r="O37" s="145"/>
      <c r="P37" s="259" t="n">
        <f aca="false">P30</f>
        <v>1</v>
      </c>
      <c r="Q37" s="259" t="n">
        <f aca="false">Q30</f>
        <v>1</v>
      </c>
      <c r="R37" s="145" t="e">
        <f aca="false">IF(VLOOKUP(A37,Para1!$B$67:$E$72,2,0)="2.",VLOOKUP(A37,Para1!$B$67:$E$72,3,0),"")</f>
        <v>#N/A</v>
      </c>
      <c r="S37" s="145" t="str">
        <f aca="false">IF((P37+Q37)=0,"",IF(ISNA(R37),"",IF(R37="","",VLOOKUP(R37,Para1!$D$67:$G$79,3,0)*(IF(P37+Q37=1,0.5,1)))))</f>
        <v/>
      </c>
      <c r="T37" s="145" t="str">
        <f aca="false">IF(P37+Q37=0,"",IF(ISNA(R38),"",IF(R38="","",VLOOKUP(R38,Para1!$D$67:$G$79,4,0)*(IF(P37+Q37=1,0.5,1)))))</f>
        <v/>
      </c>
      <c r="U37" s="145" t="str">
        <f aca="false">IF(SUM(S37:T37)&gt;0,K37,"")</f>
        <v/>
      </c>
      <c r="V37" s="145" t="str">
        <f aca="false">IF(SUM(S37:T37)&gt;0,L37,"")</f>
        <v/>
      </c>
      <c r="W37" s="145" t="n">
        <f aca="false">IF(S37=0,P37+Q37,0)</f>
        <v>0</v>
      </c>
    </row>
    <row r="38" customFormat="false" ht="17" hidden="false" customHeight="true" outlineLevel="0" collapsed="false">
      <c r="A38" s="216" t="s">
        <v>35</v>
      </c>
      <c r="B38" s="201" t="str">
        <f aca="false">IF(B37=Para1!$F$153,Para1!$F$109,IF(B37=Para1!$F$109,Para1!$F$148,IF(B37=Para1!$F$148,Para1!$F$111,IF(B37=Para1!$F$111,Para1!$F$120,IF(B37=Para1!$F$120,Para1!$F$170,IF(B37=Para1!$F$170,Para1!$F$173,Para1!$F$153))))))</f>
        <v>Tue</v>
      </c>
      <c r="C38" s="202"/>
      <c r="D38" s="203"/>
      <c r="E38" s="204"/>
      <c r="F38" s="205"/>
      <c r="G38" s="204"/>
      <c r="H38" s="204"/>
      <c r="I38" s="206"/>
      <c r="J38" s="255"/>
      <c r="K38" s="256"/>
      <c r="L38" s="209"/>
      <c r="M38" s="210"/>
      <c r="N38" s="195"/>
      <c r="O38" s="145"/>
      <c r="P38" s="259" t="n">
        <f aca="false">P31</f>
        <v>1</v>
      </c>
      <c r="Q38" s="259" t="n">
        <f aca="false">Q31</f>
        <v>1</v>
      </c>
      <c r="R38" s="145" t="e">
        <f aca="false">IF(VLOOKUP(A38,Para1!$B$67:$E$72,2,0)="2.",VLOOKUP(A38,Para1!$B$67:$E$72,3,0),"")</f>
        <v>#N/A</v>
      </c>
      <c r="S38" s="145" t="str">
        <f aca="false">IF((P38+Q38)=0,"",IF(ISNA(R38),"",IF(R38="","",VLOOKUP(R38,Para1!$D$67:$G$79,3,0)*(IF(P38+Q38=1,0.5,1)))))</f>
        <v/>
      </c>
      <c r="T38" s="145" t="str">
        <f aca="false">IF(P38+Q38=0,"",IF(ISNA(R39),"",IF(R39="","",VLOOKUP(R39,Para1!$D$67:$G$79,4,0)*(IF(P38+Q38=1,0.5,1)))))</f>
        <v/>
      </c>
      <c r="U38" s="145" t="str">
        <f aca="false">IF(SUM(S38:T38)&gt;0,K38,"")</f>
        <v/>
      </c>
      <c r="V38" s="145" t="str">
        <f aca="false">IF(SUM(S38:T38)&gt;0,L38,"")</f>
        <v/>
      </c>
      <c r="W38" s="145" t="n">
        <f aca="false">IF(S38=0,P38+Q38,0)</f>
        <v>0</v>
      </c>
    </row>
    <row r="39" customFormat="false" ht="17" hidden="false" customHeight="true" outlineLevel="0" collapsed="false">
      <c r="A39" s="216" t="s">
        <v>36</v>
      </c>
      <c r="B39" s="201" t="str">
        <f aca="false">IF(B38=Para1!$F$153,Para1!$F$109,IF(B38=Para1!$F$109,Para1!$F$148,IF(B38=Para1!$F$148,Para1!$F$111,IF(B38=Para1!$F$111,Para1!$F$120,IF(B38=Para1!$F$120,Para1!$F$170,IF(B38=Para1!$F$170,Para1!$F$173,Para1!$F$153))))))</f>
        <v>Wed</v>
      </c>
      <c r="C39" s="202"/>
      <c r="D39" s="203"/>
      <c r="E39" s="204"/>
      <c r="F39" s="205"/>
      <c r="G39" s="204"/>
      <c r="H39" s="204"/>
      <c r="I39" s="206"/>
      <c r="J39" s="255"/>
      <c r="K39" s="256"/>
      <c r="L39" s="209"/>
      <c r="M39" s="210"/>
      <c r="N39" s="195"/>
      <c r="O39" s="145"/>
      <c r="P39" s="259" t="n">
        <f aca="false">P32</f>
        <v>1</v>
      </c>
      <c r="Q39" s="259" t="n">
        <f aca="false">Q32</f>
        <v>1</v>
      </c>
      <c r="R39" s="145" t="e">
        <f aca="false">IF(VLOOKUP(A39,Para1!$B$67:$E$72,2,0)="2.",VLOOKUP(A39,Para1!$B$67:$E$72,3,0),"")</f>
        <v>#N/A</v>
      </c>
      <c r="S39" s="145" t="str">
        <f aca="false">IF((P39+Q39)=0,"",IF(ISNA(R39),"",IF(R39="","",VLOOKUP(R39,Para1!$D$67:$G$79,3,0)*(IF(P39+Q39=1,0.5,1)))))</f>
        <v/>
      </c>
      <c r="T39" s="145" t="str">
        <f aca="false">IF(P39+Q39=0,"",IF(ISNA(R40),"",IF(R40="","",VLOOKUP(R40,Para1!$D$67:$G$79,4,0)*(IF(P39+Q39=1,0.5,1)))))</f>
        <v/>
      </c>
      <c r="U39" s="145" t="str">
        <f aca="false">IF(SUM(S39:T39)&gt;0,K39,"")</f>
        <v/>
      </c>
      <c r="V39" s="145" t="str">
        <f aca="false">IF(SUM(S39:T39)&gt;0,L39,"")</f>
        <v/>
      </c>
      <c r="W39" s="145" t="n">
        <f aca="false">IF(S39=0,P39+Q39,0)</f>
        <v>0</v>
      </c>
    </row>
    <row r="40" customFormat="false" ht="17" hidden="false" customHeight="true" outlineLevel="0" collapsed="false">
      <c r="A40" s="216" t="s">
        <v>37</v>
      </c>
      <c r="B40" s="201" t="str">
        <f aca="false">IF(B39=Para1!$F$153,Para1!$F$109,IF(B39=Para1!$F$109,Para1!$F$148,IF(B39=Para1!$F$148,Para1!$F$111,IF(B39=Para1!$F$111,Para1!$F$120,IF(B39=Para1!$F$120,Para1!$F$170,IF(B39=Para1!$F$170,Para1!$F$173,Para1!$F$153))))))</f>
        <v>Thu</v>
      </c>
      <c r="C40" s="186"/>
      <c r="D40" s="203"/>
      <c r="E40" s="204"/>
      <c r="F40" s="205"/>
      <c r="G40" s="204"/>
      <c r="H40" s="204"/>
      <c r="I40" s="206"/>
      <c r="J40" s="255"/>
      <c r="K40" s="256"/>
      <c r="L40" s="209"/>
      <c r="M40" s="210"/>
      <c r="N40" s="195"/>
      <c r="O40" s="145"/>
      <c r="P40" s="259" t="n">
        <f aca="false">P33</f>
        <v>1</v>
      </c>
      <c r="Q40" s="259" t="n">
        <f aca="false">Q33</f>
        <v>1</v>
      </c>
      <c r="R40" s="145" t="e">
        <f aca="false">IF(VLOOKUP(A40,Para1!$B$67:$E$72,2,0)="2.",VLOOKUP(A40,Para1!$B$67:$E$72,3,0),"")</f>
        <v>#N/A</v>
      </c>
      <c r="S40" s="145" t="str">
        <f aca="false">IF((P40+Q40)=0,"",IF(ISNA(R40),"",IF(R40="","",VLOOKUP(R40,Para1!$D$67:$G$79,3,0)*(IF(P40+Q40=1,0.5,1)))))</f>
        <v/>
      </c>
      <c r="T40" s="145" t="str">
        <f aca="false">IF(P40+Q40=0,"",IF(ISNA(R41),"",IF(R41="","",VLOOKUP(R41,Para1!$D$67:$G$79,4,0)*(IF(P40+Q40=1,0.5,1)))))</f>
        <v/>
      </c>
      <c r="U40" s="145" t="str">
        <f aca="false">IF(SUM(S40:T40)&gt;0,K40,"")</f>
        <v/>
      </c>
      <c r="V40" s="145" t="str">
        <f aca="false">IF(SUM(S40:T40)&gt;0,L40,"")</f>
        <v/>
      </c>
      <c r="W40" s="145" t="n">
        <f aca="false">IF(S40=0,P40+Q40,0)</f>
        <v>0</v>
      </c>
    </row>
    <row r="41" customFormat="false" ht="17" hidden="false" customHeight="true" outlineLevel="0" collapsed="false">
      <c r="A41" s="216" t="s">
        <v>38</v>
      </c>
      <c r="B41" s="201" t="str">
        <f aca="false">IF(B40=Para1!$F$153,Para1!$F$109,IF(B40=Para1!$F$109,Para1!$F$148,IF(B40=Para1!$F$148,Para1!$F$111,IF(B40=Para1!$F$111,Para1!$F$120,IF(B40=Para1!$F$120,Para1!$F$170,IF(B40=Para1!$F$170,Para1!$F$173,Para1!$F$153))))))</f>
        <v>Fri</v>
      </c>
      <c r="C41" s="186"/>
      <c r="D41" s="203"/>
      <c r="E41" s="204"/>
      <c r="F41" s="205"/>
      <c r="G41" s="204"/>
      <c r="H41" s="204"/>
      <c r="I41" s="206"/>
      <c r="J41" s="255"/>
      <c r="K41" s="256"/>
      <c r="L41" s="209"/>
      <c r="M41" s="210"/>
      <c r="N41" s="195"/>
      <c r="O41" s="145"/>
      <c r="P41" s="259" t="n">
        <f aca="false">P34</f>
        <v>1</v>
      </c>
      <c r="Q41" s="259" t="n">
        <f aca="false">Q34</f>
        <v>1</v>
      </c>
      <c r="R41" s="145" t="e">
        <f aca="false">IF(VLOOKUP(A41,Para1!$B$67:$E$72,2,0)="2.",VLOOKUP(A41,Para1!$B$67:$E$72,3,0),"")</f>
        <v>#N/A</v>
      </c>
      <c r="S41" s="145" t="str">
        <f aca="false">IF((P41+Q41)=0,"",IF(ISNA(R41),"",IF(R41="","",VLOOKUP(R41,Para1!$D$67:$G$79,3,0)*(IF(P41+Q41=1,0.5,1)))))</f>
        <v/>
      </c>
      <c r="T41" s="145" t="str">
        <f aca="false">IF(P41+Q41=0,"",IF(ISNA(R42),"",IF(R42="","",VLOOKUP(R42,Para1!$D$67:$G$79,4,0)*(IF(P41+Q41=1,0.5,1)))))</f>
        <v/>
      </c>
      <c r="U41" s="145" t="str">
        <f aca="false">IF(SUM(S41:T41)&gt;0,K41,"")</f>
        <v/>
      </c>
      <c r="V41" s="145" t="str">
        <f aca="false">IF(SUM(S41:T41)&gt;0,L41,"")</f>
        <v/>
      </c>
      <c r="W41" s="145" t="n">
        <f aca="false">IF(S41=0,P41+Q41,0)</f>
        <v>0</v>
      </c>
    </row>
    <row r="42" customFormat="false" ht="17" hidden="false" customHeight="true" outlineLevel="0" collapsed="false">
      <c r="A42" s="216" t="s">
        <v>39</v>
      </c>
      <c r="B42" s="201" t="str">
        <f aca="false">IF(B41=Para1!$F$153,Para1!$F$109,IF(B41=Para1!$F$109,Para1!$F$148,IF(B41=Para1!$F$148,Para1!$F$111,IF(B41=Para1!$F$111,Para1!$F$120,IF(B41=Para1!$F$120,Para1!$F$170,IF(B41=Para1!$F$170,Para1!$F$173,Para1!$F$153))))))</f>
        <v>Sat</v>
      </c>
      <c r="C42" s="202"/>
      <c r="D42" s="203"/>
      <c r="E42" s="204"/>
      <c r="F42" s="205"/>
      <c r="G42" s="204"/>
      <c r="H42" s="204"/>
      <c r="I42" s="206"/>
      <c r="J42" s="255"/>
      <c r="K42" s="256"/>
      <c r="L42" s="209"/>
      <c r="M42" s="210"/>
      <c r="N42" s="195"/>
      <c r="O42" s="145"/>
      <c r="P42" s="259" t="n">
        <f aca="false">P35</f>
        <v>0</v>
      </c>
      <c r="Q42" s="259" t="n">
        <f aca="false">Q35</f>
        <v>0</v>
      </c>
      <c r="R42" s="145" t="e">
        <f aca="false">IF(VLOOKUP(A42,Para1!$B$67:$E$72,2,0)="2.",VLOOKUP(A42,Para1!$B$67:$E$72,3,0),"")</f>
        <v>#N/A</v>
      </c>
      <c r="S42" s="145" t="str">
        <f aca="false">IF((P42+Q42)=0,"",IF(ISNA(R42),"",IF(R42="","",VLOOKUP(R42,Para1!$D$67:$G$79,3,0)*(IF(P42+Q42=1,0.5,1)))))</f>
        <v/>
      </c>
      <c r="T42" s="145" t="str">
        <f aca="false">IF(P42+Q42=0,"",IF(ISNA(R43),"",IF(R43="","",VLOOKUP(R43,Para1!$D$67:$G$79,4,0)*(IF(P42+Q42=1,0.5,1)))))</f>
        <v/>
      </c>
      <c r="U42" s="145" t="str">
        <f aca="false">IF(SUM(S42:T42)&gt;0,K42,"")</f>
        <v/>
      </c>
      <c r="V42" s="145" t="str">
        <f aca="false">IF(SUM(S42:T42)&gt;0,L42,"")</f>
        <v/>
      </c>
      <c r="W42" s="145" t="n">
        <f aca="false">IF(S42=0,P42+Q42,0)</f>
        <v>0</v>
      </c>
      <c r="X42" s="133"/>
      <c r="Y42" s="133"/>
      <c r="Z42" s="133"/>
      <c r="AA42" s="133"/>
    </row>
    <row r="43" s="258" customFormat="true" ht="17" hidden="false" customHeight="true" outlineLevel="0" collapsed="false">
      <c r="A43" s="216" t="s">
        <v>40</v>
      </c>
      <c r="B43" s="201" t="str">
        <f aca="false">IF(B42=Para1!$F$153,Para1!$F$109,IF(B42=Para1!$F$109,Para1!$F$148,IF(B42=Para1!$F$148,Para1!$F$111,IF(B42=Para1!$F$111,Para1!$F$120,IF(B42=Para1!$F$120,Para1!$F$170,IF(B42=Para1!$F$170,Para1!$F$173,Para1!$F$153))))))</f>
        <v>Sun</v>
      </c>
      <c r="C43" s="202"/>
      <c r="D43" s="203"/>
      <c r="E43" s="204"/>
      <c r="F43" s="205"/>
      <c r="G43" s="204"/>
      <c r="H43" s="204"/>
      <c r="I43" s="206"/>
      <c r="J43" s="255"/>
      <c r="K43" s="256"/>
      <c r="L43" s="209"/>
      <c r="M43" s="210"/>
      <c r="N43" s="195"/>
      <c r="O43" s="145"/>
      <c r="P43" s="259" t="n">
        <f aca="false">P36</f>
        <v>0</v>
      </c>
      <c r="Q43" s="259" t="n">
        <f aca="false">Q36</f>
        <v>0</v>
      </c>
      <c r="R43" s="145" t="e">
        <f aca="false">IF(VLOOKUP(A43,Para1!$B$67:$E$72,2,0)="2.",VLOOKUP(A43,Para1!$B$67:$E$72,3,0),"")</f>
        <v>#N/A</v>
      </c>
      <c r="S43" s="145" t="str">
        <f aca="false">IF((P43+Q43)=0,"",IF(ISNA(R43),"",IF(R43="","",VLOOKUP(R43,Para1!$D$67:$G$79,3,0)*(IF(P43+Q43=1,0.5,1)))))</f>
        <v/>
      </c>
      <c r="T43" s="145" t="str">
        <f aca="false">IF(P43+Q43=0,"",IF(ISNA(R44),"",IF(R44="","",VLOOKUP(R44,Para1!$D$67:$G$79,4,0)*(IF(P43+Q43=1,0.5,1)))))</f>
        <v/>
      </c>
      <c r="U43" s="145" t="str">
        <f aca="false">IF(SUM(S43:T43)&gt;0,K43,"")</f>
        <v/>
      </c>
      <c r="V43" s="145" t="str">
        <f aca="false">IF(SUM(S43:T43)&gt;0,L43,"")</f>
        <v/>
      </c>
      <c r="W43" s="145" t="n">
        <f aca="false">IF(S43=0,P43+Q43,0)</f>
        <v>0</v>
      </c>
      <c r="X43" s="176"/>
      <c r="Y43" s="260"/>
      <c r="Z43" s="260"/>
      <c r="AA43" s="260"/>
    </row>
    <row r="44" s="258" customFormat="true" ht="17" hidden="false" customHeight="true" outlineLevel="0" collapsed="false">
      <c r="A44" s="216" t="s">
        <v>41</v>
      </c>
      <c r="B44" s="201" t="str">
        <f aca="false">IF(B43=Para1!$F$153,Para1!$F$109,IF(B43=Para1!$F$109,Para1!$F$148,IF(B43=Para1!$F$148,Para1!$F$111,IF(B43=Para1!$F$111,Para1!$F$120,IF(B43=Para1!$F$120,Para1!$F$170,IF(B43=Para1!$F$170,Para1!$F$173,Para1!$F$153))))))</f>
        <v>Mon</v>
      </c>
      <c r="C44" s="202"/>
      <c r="D44" s="203"/>
      <c r="E44" s="204"/>
      <c r="F44" s="205"/>
      <c r="G44" s="204"/>
      <c r="H44" s="204"/>
      <c r="I44" s="206"/>
      <c r="J44" s="255"/>
      <c r="K44" s="256"/>
      <c r="L44" s="209"/>
      <c r="M44" s="210"/>
      <c r="N44" s="195"/>
      <c r="O44" s="145"/>
      <c r="P44" s="259" t="n">
        <f aca="false">P37</f>
        <v>1</v>
      </c>
      <c r="Q44" s="259" t="n">
        <f aca="false">Q37</f>
        <v>1</v>
      </c>
      <c r="R44" s="145" t="e">
        <f aca="false">IF(VLOOKUP(A44,Para1!$B$67:$E$72,2,0)="2.",VLOOKUP(A44,Para1!$B$67:$E$72,3,0),"")</f>
        <v>#N/A</v>
      </c>
      <c r="S44" s="145" t="str">
        <f aca="false">IF((P44+Q44)=0,"",IF(ISNA(R44),"",IF(R44="","",VLOOKUP(R44,Para1!$D$67:$G$79,3,0)*(IF(P44+Q44=1,0.5,1)))))</f>
        <v/>
      </c>
      <c r="T44" s="145" t="str">
        <f aca="false">IF(P44+Q44=0,"",IF(ISNA(R45),"",IF(R45="","",VLOOKUP(R45,Para1!$D$67:$G$79,4,0)*(IF(P44+Q44=1,0.5,1)))))</f>
        <v/>
      </c>
      <c r="U44" s="145" t="str">
        <f aca="false">IF(SUM(S44:T44)&gt;0,K44,"")</f>
        <v/>
      </c>
      <c r="V44" s="145" t="str">
        <f aca="false">IF(SUM(S44:T44)&gt;0,L44,"")</f>
        <v/>
      </c>
      <c r="W44" s="145" t="n">
        <f aca="false">IF(S44=0,P44+Q44,0)</f>
        <v>0</v>
      </c>
      <c r="X44" s="261"/>
      <c r="Y44" s="260"/>
      <c r="Z44" s="260"/>
      <c r="AA44" s="260"/>
    </row>
    <row r="45" customFormat="false" ht="17" hidden="false" customHeight="true" outlineLevel="0" collapsed="false">
      <c r="A45" s="216" t="s">
        <v>42</v>
      </c>
      <c r="B45" s="201" t="str">
        <f aca="false">IF(B44=Para1!$F$153,Para1!$F$109,IF(B44=Para1!$F$109,Para1!$F$148,IF(B44=Para1!$F$148,Para1!$F$111,IF(B44=Para1!$F$111,Para1!$F$120,IF(B44=Para1!$F$120,Para1!$F$170,IF(B44=Para1!$F$170,Para1!$F$173,Para1!$F$153))))))</f>
        <v>Tue</v>
      </c>
      <c r="C45" s="202"/>
      <c r="D45" s="203"/>
      <c r="E45" s="204"/>
      <c r="F45" s="205"/>
      <c r="G45" s="204"/>
      <c r="H45" s="204"/>
      <c r="I45" s="206"/>
      <c r="J45" s="255"/>
      <c r="K45" s="256"/>
      <c r="L45" s="209"/>
      <c r="M45" s="210"/>
      <c r="N45" s="195"/>
      <c r="O45" s="145"/>
      <c r="P45" s="259" t="n">
        <f aca="false">P38</f>
        <v>1</v>
      </c>
      <c r="Q45" s="259" t="n">
        <f aca="false">Q38</f>
        <v>1</v>
      </c>
      <c r="R45" s="145" t="str">
        <f aca="false">IF(VLOOKUP(A45,Para1!$B$67:$E$72,2,0)="2.",VLOOKUP(A45,Para1!$B$67:$E$72,3,0),"")</f>
        <v/>
      </c>
      <c r="S45" s="145" t="str">
        <f aca="false">IF((P45+Q45)=0,"",IF(ISNA(R45),"",IF(R45="","",VLOOKUP(R45,Para1!$D$67:$G$79,3,0)*(IF(P45+Q45=1,0.5,1)))))</f>
        <v/>
      </c>
      <c r="T45" s="145" t="str">
        <f aca="false">IF(P45+Q45=0,"",IF(ISNA(R46),"",IF(R46="","",VLOOKUP(R46,Para1!$D$67:$G$79,4,0)*(IF(P45+Q45=1,0.5,1)))))</f>
        <v/>
      </c>
      <c r="U45" s="145" t="str">
        <f aca="false">IF(SUM(S45:T45)&gt;0,K45,"")</f>
        <v/>
      </c>
      <c r="V45" s="145" t="str">
        <f aca="false">IF(SUM(S45:T45)&gt;0,L45,"")</f>
        <v/>
      </c>
      <c r="W45" s="145" t="n">
        <f aca="false">IF(S45=0,P45+Q45,0)</f>
        <v>0</v>
      </c>
      <c r="X45" s="133"/>
      <c r="Y45" s="133"/>
      <c r="Z45" s="133"/>
      <c r="AA45" s="133"/>
    </row>
    <row r="46" customFormat="false" ht="17" hidden="false" customHeight="true" outlineLevel="0" collapsed="false">
      <c r="A46" s="216" t="s">
        <v>43</v>
      </c>
      <c r="B46" s="201" t="str">
        <f aca="false">IF(B45=Para1!$F$153,Para1!$F$109,IF(B45=Para1!$F$109,Para1!$F$148,IF(B45=Para1!$F$148,Para1!$F$111,IF(B45=Para1!$F$111,Para1!$F$120,IF(B45=Para1!$F$120,Para1!$F$170,IF(B45=Para1!$F$170,Para1!$F$173,Para1!$F$153))))))</f>
        <v>Wed</v>
      </c>
      <c r="C46" s="202"/>
      <c r="D46" s="203"/>
      <c r="E46" s="204"/>
      <c r="F46" s="205"/>
      <c r="G46" s="204"/>
      <c r="H46" s="204"/>
      <c r="I46" s="206"/>
      <c r="J46" s="255"/>
      <c r="K46" s="256"/>
      <c r="L46" s="209"/>
      <c r="M46" s="210"/>
      <c r="N46" s="195"/>
      <c r="O46" s="145"/>
      <c r="P46" s="259" t="n">
        <f aca="false">P39</f>
        <v>1</v>
      </c>
      <c r="Q46" s="259" t="n">
        <f aca="false">Q39</f>
        <v>1</v>
      </c>
      <c r="R46" s="145" t="str">
        <f aca="false">IF(VLOOKUP(A46,Para1!$B$67:$E$72,2,0)="2.",VLOOKUP(A46,Para1!$B$67:$E$72,3,0),"")</f>
        <v/>
      </c>
      <c r="S46" s="145" t="str">
        <f aca="false">IF((P46+Q46)=0,"",IF(ISNA(R46),"",IF(R46="","",VLOOKUP(R46,Para1!$D$67:$G$79,3,0)*(IF(P46+Q46=1,0.5,1)))))</f>
        <v/>
      </c>
      <c r="T46" s="145" t="str">
        <f aca="false">IF(P46+Q46=0,"",IF(ISNA(R47),"",IF(R47="","",VLOOKUP(R47,Para1!$D$67:$G$79,4,0)*(IF(P46+Q46=1,0.5,1)))))</f>
        <v/>
      </c>
      <c r="U46" s="145" t="str">
        <f aca="false">IF(SUM(S46:T46)&gt;0,K46,"")</f>
        <v/>
      </c>
      <c r="V46" s="145" t="str">
        <f aca="false">IF(SUM(S46:T46)&gt;0,L46,"")</f>
        <v/>
      </c>
      <c r="W46" s="145" t="n">
        <f aca="false">IF(S46=0,P46+Q46,0)</f>
        <v>0</v>
      </c>
      <c r="X46" s="133"/>
      <c r="Y46" s="133"/>
      <c r="Z46" s="133"/>
      <c r="AA46" s="133"/>
    </row>
    <row r="47" customFormat="false" ht="17" hidden="false" customHeight="true" outlineLevel="0" collapsed="false">
      <c r="A47" s="216" t="s">
        <v>44</v>
      </c>
      <c r="B47" s="201" t="str">
        <f aca="false">IF(B46=Para1!$F$153,Para1!$F$109,IF(B46=Para1!$F$109,Para1!$F$148,IF(B46=Para1!$F$148,Para1!$F$111,IF(B46=Para1!$F$111,Para1!$F$120,IF(B46=Para1!$F$120,Para1!$F$170,IF(B46=Para1!$F$170,Para1!$F$173,Para1!$F$153))))))</f>
        <v>Thu</v>
      </c>
      <c r="C47" s="186"/>
      <c r="D47" s="203"/>
      <c r="E47" s="204"/>
      <c r="F47" s="205"/>
      <c r="G47" s="204"/>
      <c r="H47" s="204"/>
      <c r="I47" s="206"/>
      <c r="J47" s="255"/>
      <c r="K47" s="256"/>
      <c r="L47" s="209"/>
      <c r="M47" s="210"/>
      <c r="N47" s="195"/>
      <c r="O47" s="145"/>
      <c r="P47" s="259" t="n">
        <f aca="false">P40</f>
        <v>1</v>
      </c>
      <c r="Q47" s="259" t="n">
        <f aca="false">Q40</f>
        <v>1</v>
      </c>
      <c r="R47" s="145" t="e">
        <f aca="false">IF(VLOOKUP(A47,Para1!$B$67:$E$72,2,0)="2.",VLOOKUP(A47,Para1!$B$67:$E$72,3,0),"")</f>
        <v>#N/A</v>
      </c>
      <c r="S47" s="145" t="str">
        <f aca="false">IF((P47+Q47)=0,"",IF(ISNA(R47),"",IF(R47="","",VLOOKUP(R47,Para1!$D$67:$G$79,3,0)*(IF(P47+Q47=1,0.5,1)))))</f>
        <v/>
      </c>
      <c r="T47" s="145" t="str">
        <f aca="false">IF(P47+Q47=0,"",IF(ISNA(R48),"",IF(R48="","",VLOOKUP(R48,Para1!$D$67:$G$79,4,0)*(IF(P47+Q47=1,0.5,1)))))</f>
        <v/>
      </c>
      <c r="U47" s="145" t="str">
        <f aca="false">IF(SUM(S47:T47)&gt;0,K47,"")</f>
        <v/>
      </c>
      <c r="V47" s="145" t="str">
        <f aca="false">IF(SUM(S47:T47)&gt;0,L47,"")</f>
        <v/>
      </c>
      <c r="W47" s="145" t="n">
        <f aca="false">IF(S47=0,P47+Q47,0)</f>
        <v>0</v>
      </c>
      <c r="X47" s="133"/>
      <c r="Y47" s="133"/>
      <c r="Z47" s="133"/>
      <c r="AA47" s="133"/>
    </row>
    <row r="48" customFormat="false" ht="17" hidden="false" customHeight="true" outlineLevel="0" collapsed="false">
      <c r="A48" s="216" t="s">
        <v>45</v>
      </c>
      <c r="B48" s="201" t="str">
        <f aca="false">IF(B47=Para1!$F$153,Para1!$F$109,IF(B47=Para1!$F$109,Para1!$F$148,IF(B47=Para1!$F$148,Para1!$F$111,IF(B47=Para1!$F$111,Para1!$F$120,IF(B47=Para1!$F$120,Para1!$F$170,IF(B47=Para1!$F$170,Para1!$F$173,Para1!$F$153))))))</f>
        <v>Fri</v>
      </c>
      <c r="C48" s="186"/>
      <c r="D48" s="203"/>
      <c r="E48" s="204"/>
      <c r="F48" s="205"/>
      <c r="G48" s="204"/>
      <c r="H48" s="204"/>
      <c r="I48" s="206"/>
      <c r="J48" s="255"/>
      <c r="K48" s="256"/>
      <c r="L48" s="209"/>
      <c r="M48" s="210"/>
      <c r="N48" s="195"/>
      <c r="O48" s="145"/>
      <c r="P48" s="259" t="n">
        <f aca="false">P41</f>
        <v>1</v>
      </c>
      <c r="Q48" s="259" t="n">
        <f aca="false">Q41</f>
        <v>1</v>
      </c>
      <c r="R48" s="145" t="e">
        <f aca="false">IF(VLOOKUP(A48,Para1!$B$67:$E$72,2,0)="2.",VLOOKUP(A48,Para1!$B$67:$E$72,3,0),"")</f>
        <v>#N/A</v>
      </c>
      <c r="S48" s="145" t="str">
        <f aca="false">IF((P48+Q48)=0,"",IF(ISNA(R48),"",IF(R48="","",VLOOKUP(R48,Para1!$D$67:$G$79,3,0)*(IF(P48+Q48=1,0.5,1)))))</f>
        <v/>
      </c>
      <c r="T48" s="145" t="str">
        <f aca="false">IF(P48+Q48=0,"",IF(ISNA(R49),"",IF(R49="","",VLOOKUP(R49,Para1!$D$67:$G$79,4,0)*(IF(P48+Q48=1,0.5,1)))))</f>
        <v/>
      </c>
      <c r="U48" s="145" t="str">
        <f aca="false">IF(SUM(S48:T48)&gt;0,K48,"")</f>
        <v/>
      </c>
      <c r="V48" s="145" t="str">
        <f aca="false">IF(SUM(S48:T48)&gt;0,L48,"")</f>
        <v/>
      </c>
      <c r="W48" s="145" t="n">
        <f aca="false">IF(S48=0,P48+Q48,0)</f>
        <v>0</v>
      </c>
      <c r="X48" s="133"/>
      <c r="Y48" s="133"/>
      <c r="Z48" s="133"/>
      <c r="AA48" s="133"/>
    </row>
    <row r="49" customFormat="false" ht="17" hidden="false" customHeight="true" outlineLevel="0" collapsed="false">
      <c r="A49" s="216" t="s">
        <v>46</v>
      </c>
      <c r="B49" s="201" t="str">
        <f aca="false">IF(B48=Para1!$F$153,Para1!$F$109,IF(B48=Para1!$F$109,Para1!$F$148,IF(B48=Para1!$F$148,Para1!$F$111,IF(B48=Para1!$F$111,Para1!$F$120,IF(B48=Para1!$F$120,Para1!$F$170,IF(B48=Para1!$F$170,Para1!$F$173,Para1!$F$153))))))</f>
        <v>Sat</v>
      </c>
      <c r="C49" s="202"/>
      <c r="D49" s="203"/>
      <c r="E49" s="204"/>
      <c r="F49" s="205"/>
      <c r="G49" s="204"/>
      <c r="H49" s="204"/>
      <c r="I49" s="206"/>
      <c r="J49" s="255"/>
      <c r="K49" s="256"/>
      <c r="L49" s="209"/>
      <c r="M49" s="210"/>
      <c r="N49" s="195"/>
      <c r="O49" s="145"/>
      <c r="P49" s="259" t="n">
        <f aca="false">P42</f>
        <v>0</v>
      </c>
      <c r="Q49" s="259" t="n">
        <f aca="false">Q42</f>
        <v>0</v>
      </c>
      <c r="R49" s="145" t="e">
        <f aca="false">IF(VLOOKUP(A49,Para1!$B$67:$E$72,2,0)="2.",VLOOKUP(A49,Para1!$B$67:$E$72,3,0),"")</f>
        <v>#N/A</v>
      </c>
      <c r="S49" s="145" t="str">
        <f aca="false">IF((P49+Q49)=0,"",IF(ISNA(R49),"",IF(R49="","",VLOOKUP(R49,Para1!$D$67:$G$79,3,0)*(IF(P49+Q49=1,0.5,1)))))</f>
        <v/>
      </c>
      <c r="T49" s="145" t="str">
        <f aca="false">IF(P49+Q49=0,"",IF(ISNA(R50),"",IF(R50="","",VLOOKUP(R50,Para1!$D$67:$G$79,4,0)*(IF(P49+Q49=1,0.5,1)))))</f>
        <v/>
      </c>
      <c r="U49" s="145" t="str">
        <f aca="false">IF(SUM(S49:T49)&gt;0,K49,"")</f>
        <v/>
      </c>
      <c r="V49" s="145" t="str">
        <f aca="false">IF(SUM(S49:T49)&gt;0,L49,"")</f>
        <v/>
      </c>
      <c r="W49" s="145" t="n">
        <f aca="false">IF(S49=0,P49+Q49,0)</f>
        <v>0</v>
      </c>
      <c r="X49" s="133"/>
      <c r="Y49" s="133"/>
      <c r="Z49" s="133"/>
      <c r="AA49" s="133"/>
    </row>
    <row r="50" s="258" customFormat="true" ht="17" hidden="false" customHeight="true" outlineLevel="0" collapsed="false">
      <c r="A50" s="216" t="s">
        <v>47</v>
      </c>
      <c r="B50" s="201" t="str">
        <f aca="false">IF(B49=Para1!$F$153,Para1!$F$109,IF(B49=Para1!$F$109,Para1!$F$148,IF(B49=Para1!$F$148,Para1!$F$111,IF(B49=Para1!$F$111,Para1!$F$120,IF(B49=Para1!$F$120,Para1!$F$170,IF(B49=Para1!$F$170,Para1!$F$173,Para1!$F$153))))))</f>
        <v>Sun</v>
      </c>
      <c r="C50" s="202"/>
      <c r="D50" s="203"/>
      <c r="E50" s="204"/>
      <c r="F50" s="205"/>
      <c r="G50" s="204"/>
      <c r="H50" s="204"/>
      <c r="I50" s="206"/>
      <c r="J50" s="255"/>
      <c r="K50" s="256"/>
      <c r="L50" s="209"/>
      <c r="M50" s="210"/>
      <c r="N50" s="195"/>
      <c r="O50" s="145"/>
      <c r="P50" s="262" t="n">
        <f aca="false">P43</f>
        <v>0</v>
      </c>
      <c r="Q50" s="262" t="n">
        <f aca="false">Q43</f>
        <v>0</v>
      </c>
      <c r="R50" s="145" t="e">
        <f aca="false">IF(VLOOKUP(A50,Para1!$B$67:$E$72,2,0)="2.",VLOOKUP(A50,Para1!$B$67:$E$72,3,0),"")</f>
        <v>#N/A</v>
      </c>
      <c r="S50" s="145" t="str">
        <f aca="false">IF((P50+Q50)=0,"",IF(ISNA(R50),"",IF(R50="","",VLOOKUP(R50,Para1!$D$67:$G$79,3,0)*(IF(P50+Q50=1,0.5,1)))))</f>
        <v/>
      </c>
      <c r="T50" s="145" t="str">
        <f aca="false">IF(P50+Q50=0,"",IF(ISNA(Maerz!R23),"",IF(Maerz!R23="","",VLOOKUP(Maerz!R23,Para1!$D$67:$G$79,4,0)*(IF(P50+Q50=1,0.5,1)))))</f>
        <v/>
      </c>
      <c r="U50" s="145" t="str">
        <f aca="false">IF(SUM(S50:T50)&gt;0,K50,"")</f>
        <v/>
      </c>
      <c r="V50" s="145" t="str">
        <f aca="false">IF(SUM(S50:T50)&gt;0,L50,"")</f>
        <v/>
      </c>
      <c r="W50" s="145" t="n">
        <f aca="false">IF(S50=0,P50+Q50,0)</f>
        <v>0</v>
      </c>
      <c r="X50" s="133"/>
      <c r="Y50" s="260"/>
      <c r="Z50" s="260"/>
      <c r="AA50" s="260"/>
    </row>
    <row r="51" s="258" customFormat="true" ht="16.5" hidden="false" customHeight="true" outlineLevel="0" collapsed="false">
      <c r="A51" s="216"/>
      <c r="B51" s="201"/>
      <c r="C51" s="202"/>
      <c r="D51" s="187"/>
      <c r="E51" s="188"/>
      <c r="F51" s="189"/>
      <c r="G51" s="188"/>
      <c r="H51" s="188"/>
      <c r="I51" s="190"/>
      <c r="J51" s="255"/>
      <c r="K51" s="263"/>
      <c r="L51" s="193"/>
      <c r="M51" s="210"/>
      <c r="N51" s="195"/>
      <c r="P51" s="264"/>
      <c r="Q51" s="264"/>
      <c r="R51" s="145" t="e">
        <f aca="false">IF(VLOOKUP(A51,Para1!$B$67:$E$72,2,0)="2.",VLOOKUP(A51,Para1!$B$67:$E$72,3,0),"")</f>
        <v>#N/A</v>
      </c>
      <c r="S51" s="145" t="str">
        <f aca="false">IF((P51+Q51)=0,"",IF(ISNA(R51),"",IF(R51="","",VLOOKUP(R51,Para1!$D$67:$G$79,3,0)*(IF(P51+Q51=1,0.5,1)))))</f>
        <v/>
      </c>
      <c r="T51" s="265"/>
      <c r="U51" s="145" t="str">
        <f aca="false">IF(SUM(S51:T51)&gt;0,K51,"")</f>
        <v/>
      </c>
      <c r="V51" s="145" t="str">
        <f aca="false">IF(SUM(S51:T51)&gt;0,L51,"")</f>
        <v/>
      </c>
      <c r="W51" s="145" t="n">
        <f aca="false">IF(S51=0,P51+Q51,0)</f>
        <v>0</v>
      </c>
      <c r="X51" s="260"/>
      <c r="Y51" s="260"/>
      <c r="Z51" s="260"/>
      <c r="AA51" s="260"/>
    </row>
    <row r="52" customFormat="false" ht="16.5" hidden="false" customHeight="true" outlineLevel="0" collapsed="false">
      <c r="A52" s="266"/>
      <c r="B52" s="267"/>
      <c r="C52" s="186"/>
      <c r="D52" s="268"/>
      <c r="E52" s="269"/>
      <c r="F52" s="270"/>
      <c r="G52" s="269"/>
      <c r="H52" s="269"/>
      <c r="I52" s="271"/>
      <c r="J52" s="255"/>
      <c r="K52" s="263"/>
      <c r="L52" s="193"/>
      <c r="M52" s="210"/>
      <c r="N52" s="195"/>
      <c r="P52" s="272"/>
      <c r="Q52" s="272"/>
      <c r="R52" s="145" t="e">
        <f aca="false">IF(VLOOKUP(A52,Para1!$B$67:$E$72,2,0)="2.",VLOOKUP(A52,Para1!$B$67:$E$72,3,0),"")</f>
        <v>#N/A</v>
      </c>
      <c r="S52" s="145" t="str">
        <f aca="false">IF((P52+Q52)=0,"",IF(ISNA(R52),"",IF(R52="","",VLOOKUP(R52,Para1!$D$67:$G$79,3,0)*(IF(P52+Q52=1,0.5,1)))))</f>
        <v/>
      </c>
      <c r="T52" s="265"/>
      <c r="U52" s="145" t="str">
        <f aca="false">IF(SUM(S52:T52)&gt;0,K52,"")</f>
        <v/>
      </c>
      <c r="V52" s="145" t="str">
        <f aca="false">IF(SUM(S52:T52)&gt;0,L52,"")</f>
        <v/>
      </c>
      <c r="W52" s="145" t="n">
        <f aca="false">IF(S52=0,P52+Q52,0)</f>
        <v>0</v>
      </c>
      <c r="X52" s="133"/>
      <c r="Y52" s="133"/>
      <c r="Z52" s="133"/>
      <c r="AA52" s="133"/>
    </row>
    <row r="53" customFormat="false" ht="17" hidden="false" customHeight="true" outlineLevel="0" collapsed="false">
      <c r="A53" s="273"/>
      <c r="B53" s="274"/>
      <c r="C53" s="202"/>
      <c r="D53" s="275"/>
      <c r="E53" s="276"/>
      <c r="F53" s="277"/>
      <c r="G53" s="276"/>
      <c r="H53" s="276"/>
      <c r="I53" s="278"/>
      <c r="J53" s="255"/>
      <c r="K53" s="279"/>
      <c r="L53" s="280"/>
      <c r="M53" s="210"/>
      <c r="N53" s="195"/>
      <c r="P53" s="281"/>
      <c r="Q53" s="281"/>
      <c r="R53" s="145" t="e">
        <f aca="false">IF(VLOOKUP(A53,Para1!$B$67:$E$72,2,0)="2.",VLOOKUP(A53,Para1!$B$67:$E$72,3,0),"")</f>
        <v>#N/A</v>
      </c>
      <c r="S53" s="145" t="str">
        <f aca="false">IF((P53+Q53)=0,"",IF(ISNA(R53),"",IF(R53="","",VLOOKUP(R53,Para1!$D$67:$G$79,3,0)*(IF(P53+Q53=1,0.5,1)))))</f>
        <v/>
      </c>
      <c r="T53" s="265"/>
      <c r="U53" s="145" t="str">
        <f aca="false">IF(SUM(S53:T53)&gt;0,K53,"")</f>
        <v/>
      </c>
      <c r="V53" s="145" t="str">
        <f aca="false">IF(SUM(S53:T53)&gt;0,L53,"")</f>
        <v/>
      </c>
      <c r="W53" s="145" t="n">
        <f aca="false">IF(S53=0,P53+Q53,0)</f>
        <v>0</v>
      </c>
      <c r="X53" s="133"/>
      <c r="Y53" s="133"/>
      <c r="Z53" s="133"/>
      <c r="AA53" s="133"/>
    </row>
    <row r="54" customFormat="false" ht="15" hidden="false" customHeight="false" outlineLevel="0" collapsed="false">
      <c r="A54" s="223"/>
      <c r="B54" s="197"/>
      <c r="C54" s="133"/>
      <c r="D54" s="224" t="n">
        <f aca="false">SUM(D23:D53)</f>
        <v>0</v>
      </c>
      <c r="E54" s="225" t="n">
        <f aca="false">SUM(E23:E53)</f>
        <v>0</v>
      </c>
      <c r="F54" s="225" t="n">
        <f aca="false">SUM(F23:F53)</f>
        <v>0</v>
      </c>
      <c r="G54" s="225" t="n">
        <f aca="false">SUM(G23:G53)</f>
        <v>0</v>
      </c>
      <c r="H54" s="225" t="n">
        <f aca="false">SUM(H23:H53)</f>
        <v>0</v>
      </c>
      <c r="I54" s="226" t="n">
        <f aca="false">SUM(I23:I53)</f>
        <v>0</v>
      </c>
      <c r="J54" s="282"/>
      <c r="K54" s="228"/>
      <c r="L54" s="228"/>
      <c r="M54" s="133"/>
      <c r="P54" s="229" t="str">
        <f aca="false">Para1!F174&amp;" "&amp;Para1!F168</f>
        <v>balance due / half-day</v>
      </c>
      <c r="Q54" s="229"/>
      <c r="R54" s="265" t="n">
        <f aca="false">SUM(W23:W53)</f>
        <v>0</v>
      </c>
      <c r="S54" s="265" t="n">
        <f aca="false">SUM(S23:S53)</f>
        <v>0</v>
      </c>
      <c r="T54" s="265" t="n">
        <f aca="false">SUM(T23:T53)</f>
        <v>0</v>
      </c>
      <c r="U54" s="133"/>
      <c r="V54" s="133"/>
      <c r="W54" s="133"/>
      <c r="X54" s="133"/>
      <c r="Y54" s="133"/>
      <c r="Z54" s="133"/>
      <c r="AA54" s="133"/>
    </row>
    <row r="55" customFormat="false" ht="15" hidden="false" customHeight="false" outlineLevel="0" collapsed="false">
      <c r="A55" s="283"/>
      <c r="B55" s="284"/>
      <c r="C55" s="284"/>
      <c r="D55" s="230" t="n">
        <f aca="false">D54*24</f>
        <v>0</v>
      </c>
      <c r="E55" s="231" t="n">
        <f aca="false">E54*24</f>
        <v>0</v>
      </c>
      <c r="F55" s="231" t="n">
        <f aca="false">F54*24</f>
        <v>0</v>
      </c>
      <c r="G55" s="231" t="n">
        <f aca="false">G54*24</f>
        <v>0</v>
      </c>
      <c r="H55" s="231" t="n">
        <f aca="false">H54*24</f>
        <v>0</v>
      </c>
      <c r="I55" s="232" t="n">
        <f aca="false">I54*24</f>
        <v>0</v>
      </c>
      <c r="J55" s="285"/>
      <c r="K55" s="234"/>
      <c r="L55" s="234"/>
      <c r="M55" s="235" t="str">
        <f aca="false">Para1!G2</f>
        <v>AE v1_01 02.12.2021</v>
      </c>
      <c r="P55" s="236" t="n">
        <f aca="false">(Para1!E59/100*$G$3+((S54+T54)/100*$G$3))/(SUM(P23:Q53)-R54)/24</f>
        <v>0.175</v>
      </c>
      <c r="Q55" s="236"/>
      <c r="R55" s="133"/>
      <c r="S55" s="133"/>
      <c r="T55" s="133"/>
      <c r="U55" s="133"/>
      <c r="V55" s="133"/>
      <c r="W55" s="133"/>
      <c r="X55" s="133"/>
      <c r="Y55" s="133"/>
      <c r="Z55" s="133"/>
      <c r="AA55" s="133"/>
    </row>
    <row r="56" customFormat="false" ht="15" hidden="false" customHeight="false" outlineLevel="0" collapsed="false">
      <c r="K56" s="133"/>
      <c r="Q56" s="133"/>
      <c r="R56" s="133"/>
      <c r="S56" s="133"/>
      <c r="T56" s="133"/>
      <c r="U56" s="133"/>
      <c r="V56" s="133"/>
      <c r="W56" s="133"/>
      <c r="X56" s="133"/>
      <c r="Y56" s="133"/>
      <c r="Z56" s="133"/>
      <c r="AA56" s="133"/>
    </row>
    <row r="57" customFormat="false" ht="22.5" hidden="false" customHeight="true" outlineLevel="0" collapsed="false">
      <c r="A57" s="237" t="str">
        <f aca="false">Para1!F106</f>
        <v>date</v>
      </c>
      <c r="B57" s="238"/>
      <c r="C57" s="238"/>
      <c r="D57" s="239"/>
      <c r="E57" s="238"/>
      <c r="F57" s="240" t="str">
        <f aca="false">Para1!F191&amp;" "&amp;Para1!F152</f>
        <v>signature employee</v>
      </c>
      <c r="G57" s="238"/>
      <c r="H57" s="241"/>
      <c r="I57" s="241"/>
      <c r="J57" s="241"/>
      <c r="K57" s="241"/>
      <c r="L57" s="241"/>
      <c r="Q57" s="133"/>
      <c r="R57" s="133"/>
      <c r="S57" s="133"/>
      <c r="T57" s="242"/>
      <c r="U57" s="237"/>
      <c r="V57" s="133"/>
      <c r="W57" s="133"/>
      <c r="X57" s="133"/>
      <c r="Y57" s="286"/>
      <c r="Z57" s="133"/>
      <c r="AA57" s="133"/>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1">
    <cfRule type="expression" priority="2" aboveAverage="0" equalAverage="0" bottom="0" percent="0" rank="0" text="" dxfId="8">
      <formula>$S23=0</formula>
    </cfRule>
    <cfRule type="expression" priority="3" aboveAverage="0" equalAverage="0" bottom="0" percent="0" rank="0" text="" dxfId="9">
      <formula>$P23+$Q23=0</formula>
    </cfRule>
  </conditionalFormatting>
  <conditionalFormatting sqref="D23:I50">
    <cfRule type="expression" priority="4" aboveAverage="0" equalAverage="0" bottom="0" percent="0" rank="0" text="" dxfId="10">
      <formula>$P23+$Q23=1</formula>
    </cfRule>
    <cfRule type="expression" priority="5" aboveAverage="0" equalAverage="0" bottom="0" percent="0" rank="0" text="" dxfId="11">
      <formula>$P23+$Q23=0</formula>
    </cfRule>
  </conditionalFormatting>
  <conditionalFormatting sqref="K23:K50 P23:P51">
    <cfRule type="expression" priority="6" aboveAverage="0" equalAverage="0" bottom="0" percent="0" rank="0" text="" dxfId="12">
      <formula>$P23=0</formula>
    </cfRule>
  </conditionalFormatting>
  <conditionalFormatting sqref="L23:L50 Q23:Q51">
    <cfRule type="expression" priority="7" aboveAverage="0" equalAverage="0" bottom="0" percent="0" rank="0" text="" dxfId="13">
      <formula>$Q23=0</formula>
    </cfRule>
  </conditionalFormatting>
  <conditionalFormatting sqref="D23:I50 K23:L50 P23:Q51">
    <cfRule type="expression" priority="8" aboveAverage="0" equalAverage="0" bottom="0" percent="0" rank="0" text="" dxfId="14">
      <formula>$S23=0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379861111111111" right="0.379861111111111"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61"/>
  <sheetViews>
    <sheetView showFormulas="false" showGridLines="false" showRowColHeaders="true" showZeros="true" rightToLeft="false" tabSelected="false" showOutlineSymbols="true" defaultGridColor="true" view="normal" topLeftCell="A13" colorId="64" zoomScale="85" zoomScaleNormal="85" zoomScalePageLayoutView="100" workbookViewId="0">
      <selection pane="topLeft" activeCell="A23" activeCellId="0" sqref="A23"/>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7" min="4" style="117" width="12.66"/>
    <col collapsed="false" customWidth="true" hidden="false" outlineLevel="0" max="8" min="8" style="145" width="12.66"/>
    <col collapsed="false" customWidth="true" hidden="false" outlineLevel="0" max="9" min="9" style="117" width="12.66"/>
    <col collapsed="false" customWidth="true" hidden="false" outlineLevel="0" max="10" min="10" style="117" width="2.84"/>
    <col collapsed="false" customWidth="true" hidden="false" outlineLevel="0" max="12" min="11" style="117"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2"/>
    <col collapsed="false" customWidth="false" hidden="false" outlineLevel="0" max="1024" min="24" style="117" width="11.5"/>
  </cols>
  <sheetData>
    <row r="1" s="117" customFormat="tru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I1" s="24"/>
      <c r="J1" s="121"/>
      <c r="K1" s="121" t="str">
        <f aca="false">Para1!F133</f>
        <v>year of birth (4-digit):</v>
      </c>
      <c r="L1" s="122" t="n">
        <f aca="false">'Jahresübersicht (Overview)'!K2</f>
        <v>1994</v>
      </c>
      <c r="P1" s="123"/>
      <c r="Q1" s="24"/>
    </row>
    <row r="2" customFormat="false" ht="6" hidden="false" customHeight="true" outlineLevel="0" collapsed="false">
      <c r="D2" s="124"/>
      <c r="E2" s="124"/>
      <c r="F2" s="124"/>
      <c r="G2" s="124"/>
      <c r="H2" s="117"/>
      <c r="I2" s="124"/>
      <c r="J2" s="124"/>
      <c r="K2" s="124"/>
      <c r="L2" s="124"/>
      <c r="Q2" s="24"/>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(Overview)'!E8</f>
        <v>100</v>
      </c>
      <c r="H3" s="117" t="s">
        <v>11</v>
      </c>
      <c r="I3" s="24"/>
      <c r="J3" s="119"/>
      <c r="K3" s="126" t="str">
        <f aca="false">Para1!F113</f>
        <v>starting date:</v>
      </c>
      <c r="L3" s="127" t="n">
        <f aca="false">'Jahresübersicht (Overview)'!$G$4</f>
        <v>42688</v>
      </c>
      <c r="M3" s="128"/>
      <c r="N3" s="128"/>
      <c r="Q3" s="24"/>
    </row>
    <row r="4" customFormat="false" ht="6" hidden="false" customHeight="true" outlineLevel="0" collapsed="false">
      <c r="A4" s="129"/>
      <c r="B4" s="130"/>
      <c r="C4" s="130"/>
      <c r="D4" s="131"/>
      <c r="E4" s="131"/>
      <c r="F4" s="131"/>
      <c r="G4" s="131"/>
      <c r="H4" s="131"/>
      <c r="I4" s="132"/>
      <c r="J4" s="132"/>
      <c r="K4" s="132"/>
      <c r="L4" s="132"/>
      <c r="M4" s="130"/>
      <c r="N4" s="130"/>
    </row>
    <row r="5" customFormat="false" ht="6" hidden="false" customHeight="true" outlineLevel="0" collapsed="false">
      <c r="D5" s="124"/>
      <c r="E5" s="124"/>
      <c r="F5" s="124"/>
      <c r="G5" s="124"/>
      <c r="H5" s="124"/>
      <c r="I5" s="134"/>
      <c r="J5" s="134"/>
      <c r="K5" s="134"/>
      <c r="L5" s="134"/>
    </row>
    <row r="6" customFormat="false" ht="15" hidden="false" customHeight="true" outlineLevel="0" collapsed="false">
      <c r="D6" s="124"/>
      <c r="E6" s="135"/>
      <c r="F6" s="124"/>
      <c r="G6" s="124"/>
      <c r="H6" s="124"/>
      <c r="I6" s="134"/>
      <c r="J6" s="134"/>
      <c r="K6" s="134"/>
      <c r="L6" s="134"/>
    </row>
    <row r="7" customFormat="false" ht="15" hidden="false" customHeight="true" outlineLevel="0" collapsed="false">
      <c r="C7" s="136"/>
      <c r="D7" s="126" t="str">
        <f aca="false">Para1!F117</f>
        <v>holiday</v>
      </c>
      <c r="E7" s="137" t="s">
        <v>12</v>
      </c>
      <c r="H7" s="117"/>
      <c r="I7" s="121" t="str">
        <f aca="false">Para1!F83</f>
        <v>absences</v>
      </c>
      <c r="J7" s="117" t="s">
        <v>12</v>
      </c>
      <c r="L7" s="138" t="str">
        <f aca="false">Para1!F84</f>
        <v>curr. mnth</v>
      </c>
      <c r="M7" s="138" t="str">
        <f aca="false">Para1!F195</f>
        <v>last mnth(s)</v>
      </c>
      <c r="N7" s="139" t="str">
        <f aca="false">Para1!F171</f>
        <v>balance</v>
      </c>
      <c r="P7" s="140"/>
    </row>
    <row r="8" customFormat="false" ht="15" hidden="false" customHeight="true" outlineLevel="0" collapsed="false">
      <c r="D8" s="138" t="str">
        <f aca="false">Para1!B171&amp;" "&amp;Para1!B88&amp;" "&amp;Para1!B154</f>
        <v>Saldo Anfang Monat</v>
      </c>
      <c r="E8" s="141" t="n">
        <f aca="false">Februar!E11</f>
        <v>7.04375</v>
      </c>
      <c r="H8" s="117"/>
      <c r="I8" s="135" t="str">
        <f aca="false">Para1!F141</f>
        <v>illness</v>
      </c>
      <c r="J8" s="142"/>
      <c r="L8" s="143" t="n">
        <f aca="false">D54</f>
        <v>0</v>
      </c>
      <c r="M8" s="143" t="n">
        <f aca="false">Februar!N8</f>
        <v>0</v>
      </c>
      <c r="N8" s="144" t="n">
        <f aca="false">SUM(L8:M8)</f>
        <v>0</v>
      </c>
    </row>
    <row r="9" customFormat="false" ht="15" hidden="false" customHeight="true" outlineLevel="0" collapsed="false">
      <c r="D9" s="138" t="str">
        <f aca="false">"./. "&amp;Para1!F118</f>
        <v>./. holiday taken</v>
      </c>
      <c r="E9" s="141" t="n">
        <f aca="false">COUNTIF($K$23:$L$53,"f")*$P$55-IF(ISNA(F9),0,((S54+T54)/100*G3)/48)-IF(ISNA(G9),0,((S54+T54)/100*G3)/48)</f>
        <v>0</v>
      </c>
      <c r="F9" s="145" t="e">
        <f aca="false">INDEX(U23:U53,MATCH("f",U23:U53,0))</f>
        <v>#N/A</v>
      </c>
      <c r="G9" s="145" t="e">
        <f aca="false">INDEX(V23:V53,MATCH("f",V23:V53,0))</f>
        <v>#N/A</v>
      </c>
      <c r="H9" s="117"/>
      <c r="I9" s="135" t="str">
        <f aca="false">Para1!F190</f>
        <v>accident</v>
      </c>
      <c r="J9" s="120" t="str">
        <f aca="false">Para1!F99</f>
        <v>work related</v>
      </c>
      <c r="K9" s="120"/>
      <c r="L9" s="143" t="n">
        <f aca="false">E54</f>
        <v>0</v>
      </c>
      <c r="M9" s="143" t="n">
        <f aca="false">Februar!N9</f>
        <v>0</v>
      </c>
      <c r="N9" s="144" t="n">
        <f aca="false">SUM(L9:M9)</f>
        <v>0</v>
      </c>
      <c r="Q9" s="145"/>
    </row>
    <row r="10" customFormat="false" ht="15" hidden="false" customHeight="true" outlineLevel="0" collapsed="false">
      <c r="D10" s="138" t="str">
        <f aca="false">"./ ."&amp;Para1!F119</f>
        <v>./ .reduction of holiday</v>
      </c>
      <c r="E10" s="147" t="n">
        <v>0</v>
      </c>
      <c r="H10" s="117"/>
      <c r="I10" s="135"/>
      <c r="J10" s="120" t="str">
        <f aca="false">Para1!F161&amp;" "&amp;Para1!F100</f>
        <v>not work. rel.</v>
      </c>
      <c r="K10" s="120"/>
      <c r="L10" s="143" t="n">
        <f aca="false">F54</f>
        <v>0</v>
      </c>
      <c r="M10" s="143" t="n">
        <f aca="false">Februar!N10</f>
        <v>0</v>
      </c>
      <c r="N10" s="144" t="n">
        <f aca="false">SUM(L10:M10)</f>
        <v>0</v>
      </c>
      <c r="Q10" s="145"/>
    </row>
    <row r="11" customFormat="false" ht="15" hidden="false" customHeight="true" outlineLevel="0" collapsed="false">
      <c r="B11" s="136"/>
      <c r="C11" s="136"/>
      <c r="D11" s="126" t="str">
        <f aca="false">Para1!F171&amp;" "&amp;Para1!F115&amp;" "&amp;Para1!F154</f>
        <v>balance end of the month</v>
      </c>
      <c r="E11" s="148" t="n">
        <f aca="false">$E$8-$E$9-$E$10</f>
        <v>7.04375</v>
      </c>
      <c r="H11" s="117"/>
      <c r="I11" s="149" t="str">
        <f aca="false">Para1!F142</f>
        <v>short vacation</v>
      </c>
      <c r="L11" s="143" t="n">
        <f aca="false">G54</f>
        <v>0</v>
      </c>
      <c r="M11" s="143" t="n">
        <f aca="false">Februar!N11</f>
        <v>0</v>
      </c>
      <c r="N11" s="144" t="n">
        <f aca="false">SUM(L11:M11)</f>
        <v>0</v>
      </c>
    </row>
    <row r="12" customFormat="false" ht="15" hidden="false" customHeight="true" outlineLevel="0" collapsed="false">
      <c r="B12" s="150" t="str">
        <f aca="false">IF((E11*24+(4.2*'Persönliche Daten (pers. data)'!O8/100))&lt;0,Para1!J224,IF(E11&gt;0,"",Para1!J223))</f>
        <v/>
      </c>
      <c r="H12" s="117"/>
      <c r="I12" s="151" t="str">
        <f aca="false">Para1!F198</f>
        <v>training / education</v>
      </c>
      <c r="L12" s="143" t="n">
        <f aca="false">H54</f>
        <v>0</v>
      </c>
      <c r="M12" s="143" t="n">
        <f aca="false">Februar!N12</f>
        <v>0</v>
      </c>
      <c r="N12" s="144" t="n">
        <f aca="false">SUM(L12:M12)</f>
        <v>0</v>
      </c>
    </row>
    <row r="13" customFormat="false" ht="15" hidden="false" customHeight="true" outlineLevel="0" collapsed="false">
      <c r="B13" s="152" t="str">
        <f aca="false">Para1!F105&amp;" "&amp;Para1!F122&amp;" "&amp;Para1!F83&amp;" in "&amp;Para1!F178&amp;":"</f>
        <v>letters for absences in days:</v>
      </c>
      <c r="C13" s="152"/>
      <c r="D13" s="152"/>
      <c r="E13" s="152"/>
      <c r="H13" s="117"/>
      <c r="I13" s="135" t="str">
        <f aca="false">Para1!F163</f>
        <v>public office</v>
      </c>
      <c r="L13" s="143" t="n">
        <f aca="false">I54</f>
        <v>0</v>
      </c>
      <c r="M13" s="143" t="n">
        <f aca="false">Februar!N13</f>
        <v>0</v>
      </c>
      <c r="N13" s="144" t="n">
        <f aca="false">SUM(L13:M13)</f>
        <v>0</v>
      </c>
    </row>
    <row r="14" customFormat="false" ht="15" hidden="false" customHeight="true" outlineLevel="0" collapsed="false">
      <c r="B14" s="153" t="s">
        <v>13</v>
      </c>
      <c r="C14" s="154" t="str">
        <f aca="false">Para1!F117</f>
        <v>holiday</v>
      </c>
      <c r="D14" s="154"/>
      <c r="E14" s="154"/>
      <c r="H14" s="117"/>
      <c r="I14" s="155" t="str">
        <f aca="false">Para1!F192</f>
        <v>leave</v>
      </c>
      <c r="J14" s="146" t="str">
        <f aca="false">Para1!F101</f>
        <v>paid</v>
      </c>
      <c r="K14" s="157"/>
      <c r="L14" s="146" t="n">
        <f aca="false">COUNTIF($K$23:$L$53,"b")*$P$55-IF(ISNA(O14),0,(($S$54+$T$54)/100*$G$3)/48)-IF(ISNA(P14),0,(($S$54+$T$54)/100*$G$3)/48)</f>
        <v>0</v>
      </c>
      <c r="M14" s="143" t="n">
        <f aca="false">Februar!N14</f>
        <v>0</v>
      </c>
      <c r="N14" s="144" t="n">
        <f aca="false">SUM(L14:M14)</f>
        <v>0</v>
      </c>
      <c r="O14" s="145" t="e">
        <f aca="false">INDEX(U23:U53,MATCH("b",U23:U53,0))</f>
        <v>#N/A</v>
      </c>
      <c r="P14" s="145" t="e">
        <f aca="false">INDEX(V23:V53,MATCH("b",V23:V53,0))</f>
        <v>#N/A</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COUNTIF($K$23:$L$53,"u")*$P$55-IF(ISNA(O15),0,(($S$54+$T$54)/100*$G$3)/48)-IF(ISNA(P15),0,(($S$54+$T$54)/100*$G$3)/48)</f>
        <v>0</v>
      </c>
      <c r="M15" s="143" t="n">
        <f aca="false">Februar!N15</f>
        <v>0</v>
      </c>
      <c r="N15" s="144" t="n">
        <f aca="false">SUM(L15:M15)</f>
        <v>0</v>
      </c>
      <c r="O15" s="145" t="e">
        <f aca="false">INDEX(U23:U53,MATCH("u",U23:U53,0))</f>
        <v>#N/A</v>
      </c>
      <c r="P15" s="145" t="e">
        <f aca="false">INDEX(V23:V53,MATCH("u",V23:V53,0))</f>
        <v>#N/A</v>
      </c>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J16" s="157"/>
      <c r="K16" s="157"/>
      <c r="L16" s="146" t="n">
        <f aca="false">COUNTIF($K$23:$L$53,"m")*$P$55-IF(ISNA(O16),0,(($S$54+$T$54)/100*$G$3)/48)-IF(ISNA(P16),0,(($S$54+$T$54)/100*$G$3)/48)</f>
        <v>0</v>
      </c>
      <c r="M16" s="143" t="n">
        <f aca="false">Februar!N16</f>
        <v>0</v>
      </c>
      <c r="N16" s="144" t="n">
        <f aca="false">SUM(L16:M16)</f>
        <v>0</v>
      </c>
      <c r="O16" s="145" t="e">
        <f aca="false">INDEX(U23:U53,MATCH("m",U23:U53,0))</f>
        <v>#N/A</v>
      </c>
      <c r="P16" s="145" t="e">
        <f aca="false">INDEX(V23:V53,MATCH("m",V23:V53,0))</f>
        <v>#N/A</v>
      </c>
    </row>
    <row r="17" customFormat="false" ht="15" hidden="false" customHeight="true" outlineLevel="0" collapsed="false">
      <c r="B17" s="159" t="s">
        <v>16</v>
      </c>
      <c r="C17" s="156" t="str">
        <f aca="false">Para1!F192&amp;" "&amp;Para1!F101</f>
        <v>leave paid</v>
      </c>
      <c r="D17" s="156"/>
      <c r="E17" s="156"/>
      <c r="G17" s="157"/>
      <c r="H17" s="157"/>
      <c r="I17" s="135" t="str">
        <f aca="false">Para1!F150</f>
        <v>military/civil def./civil serv.</v>
      </c>
      <c r="J17" s="24"/>
      <c r="K17" s="24"/>
      <c r="L17" s="146" t="n">
        <f aca="false">COUNTIF($K$23:$L$53,"z")*$P$55-IF(ISNA(O17),0,(($S$54+$T$54)/100*$G$3)/48)-IF(ISNA(P17),0,(($S$54+$T$54)/100*$G$3)/48)</f>
        <v>0</v>
      </c>
      <c r="M17" s="143" t="n">
        <f aca="false">Februar!N17</f>
        <v>0</v>
      </c>
      <c r="N17" s="144" t="n">
        <f aca="false">SUM(L17:M17)</f>
        <v>0</v>
      </c>
      <c r="O17" s="145" t="e">
        <f aca="false">INDEX(U23:U53,MATCH("z",U23:U53,0))</f>
        <v>#N/A</v>
      </c>
      <c r="P17" s="145" t="e">
        <f aca="false">INDEX(V23:V53,MATCH("z",V23:V53,0))</f>
        <v>#N/A</v>
      </c>
    </row>
    <row r="18" customFormat="false" ht="15" hidden="false" customHeight="true" outlineLevel="0" collapsed="false">
      <c r="B18" s="159" t="s">
        <v>17</v>
      </c>
      <c r="C18" s="154" t="str">
        <f aca="false">Para1!F192&amp;" "&amp;Para1!F189</f>
        <v>leave unpaid</v>
      </c>
      <c r="D18" s="154"/>
      <c r="E18" s="154"/>
      <c r="H18" s="117"/>
      <c r="I18" s="121" t="str">
        <f aca="false">Para1!F180</f>
        <v>total</v>
      </c>
      <c r="L18" s="160" t="n">
        <f aca="false">SUM(L8:L17)</f>
        <v>0</v>
      </c>
      <c r="M18" s="160" t="n">
        <f aca="false">SUM(M8:M17)</f>
        <v>0</v>
      </c>
      <c r="N18" s="160" t="n">
        <f aca="false">SUM(N8:N17)</f>
        <v>0</v>
      </c>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c r="O19" s="124"/>
      <c r="R19" s="124"/>
      <c r="S19" s="124"/>
      <c r="T19" s="124"/>
      <c r="W19" s="13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row>
    <row r="21" s="179" customFormat="true" ht="18.75" hidden="false" customHeight="true" outlineLevel="0" collapsed="false">
      <c r="A21" s="167" t="n">
        <f aca="true">TODAY()</f>
        <v>42894</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252"/>
      <c r="K21" s="253" t="str">
        <f aca="false">Para1!F194</f>
        <v>morning</v>
      </c>
      <c r="L21" s="175" t="str">
        <f aca="false">Para1!F158</f>
        <v>afternoon</v>
      </c>
      <c r="M21" s="176"/>
      <c r="N21" s="136"/>
      <c r="O21" s="136"/>
      <c r="P21" s="177" t="str">
        <f aca="false">Para1!F194</f>
        <v>morning</v>
      </c>
      <c r="Q21" s="178" t="str">
        <f aca="false">Para1!F158</f>
        <v>afternoon</v>
      </c>
    </row>
    <row r="22" s="179" customFormat="true" ht="15.75" hidden="false" customHeight="true" outlineLevel="0" collapsed="false">
      <c r="A22" s="180" t="str">
        <f aca="false">Para1!F106</f>
        <v>date</v>
      </c>
      <c r="B22" s="180"/>
      <c r="C22" s="181"/>
      <c r="D22" s="169"/>
      <c r="E22" s="170"/>
      <c r="F22" s="171"/>
      <c r="G22" s="170"/>
      <c r="H22" s="170"/>
      <c r="I22" s="172"/>
      <c r="J22" s="254"/>
      <c r="K22" s="253"/>
      <c r="L22" s="175"/>
      <c r="M22" s="183"/>
      <c r="N22" s="136"/>
      <c r="O22" s="136"/>
      <c r="P22" s="177"/>
      <c r="Q22" s="178"/>
    </row>
    <row r="23" customFormat="false" ht="17" hidden="false" customHeight="true" outlineLevel="0" collapsed="false">
      <c r="A23" s="200" t="s">
        <v>18</v>
      </c>
      <c r="B23" s="201" t="str">
        <f aca="false">IF(Februar!B50=Para1!$F$153,Para1!$F$109,IF(Februar!B50=Para1!$F$109,Para1!$F$148,IF(Februar!B50=Para1!$F$148,Para1!$F$111,IF(Februar!B50=Para1!$F$111,Para1!$F$120,IF(Februar!B50=Para1!$F$120,Para1!$F$170,IF(Februar!B50=Para1!$F$170,Para1!$F$173,Para1!$F$153))))))</f>
        <v>Mon</v>
      </c>
      <c r="C23" s="202"/>
      <c r="D23" s="203"/>
      <c r="E23" s="204"/>
      <c r="F23" s="205"/>
      <c r="G23" s="204"/>
      <c r="H23" s="204"/>
      <c r="I23" s="206"/>
      <c r="J23" s="255"/>
      <c r="K23" s="256"/>
      <c r="L23" s="209"/>
      <c r="M23" s="194"/>
      <c r="N23" s="195"/>
      <c r="O23" s="145"/>
      <c r="P23" s="257" t="n">
        <f aca="false">Februar!P45</f>
        <v>1</v>
      </c>
      <c r="Q23" s="257" t="n">
        <f aca="false">Februar!Q45</f>
        <v>1</v>
      </c>
      <c r="R23" s="145" t="e">
        <f aca="false">IF(VLOOKUP(A23,Para1!$B$67:$E$72,2,0)="3.",VLOOKUP(A23,Para1!$B$67:$E$72,3,0),"")</f>
        <v>#N/A</v>
      </c>
      <c r="S23" s="145" t="str">
        <f aca="false">IF((P23+Q23)=0,"",IF(ISNA(R23),"",IF(R23="","",VLOOKUP(R23,Para1!$D$67:$G$79,3,0)*(IF(P23+Q23=1,0.5,1)))))</f>
        <v/>
      </c>
      <c r="T23" s="145" t="str">
        <f aca="false">IF(P23+Q23=0,"",IF(ISNA(R24),"",IF(R24="","",VLOOKUP(R24,Para1!$D$67:$G$79,4,0)*(IF(P23+Q23=1,0.5,1)))))</f>
        <v/>
      </c>
      <c r="U23" s="145" t="str">
        <f aca="false">IF(SUM(S23:T23)&gt;0,K23,"")</f>
        <v/>
      </c>
      <c r="V23" s="145" t="str">
        <f aca="false">IF(SUM(S23:T23)&gt;0,L23,"")</f>
        <v/>
      </c>
      <c r="W23" s="145" t="n">
        <f aca="false">IF(S23=0,P23+Q23,0)</f>
        <v>0</v>
      </c>
    </row>
    <row r="24" customFormat="false" ht="17" hidden="false" customHeight="true" outlineLevel="0" collapsed="false">
      <c r="A24" s="200" t="s">
        <v>20</v>
      </c>
      <c r="B24" s="201" t="str">
        <f aca="false">IF(B23=Para1!$F$153,Para1!$F$109,IF(B23=Para1!$F$109,Para1!$F$148,IF(B23=Para1!$F$148,Para1!$F$111,IF(B23=Para1!$F$111,Para1!$F$120,IF(B23=Para1!$F$120,Para1!$F$170,IF(B23=Para1!$F$170,Para1!$F$173,Para1!$F$153))))))</f>
        <v>Tue</v>
      </c>
      <c r="C24" s="202"/>
      <c r="D24" s="203"/>
      <c r="E24" s="204"/>
      <c r="F24" s="205"/>
      <c r="G24" s="204"/>
      <c r="H24" s="204"/>
      <c r="I24" s="206"/>
      <c r="J24" s="255"/>
      <c r="K24" s="256"/>
      <c r="L24" s="209"/>
      <c r="M24" s="194"/>
      <c r="N24" s="195"/>
      <c r="O24" s="145"/>
      <c r="P24" s="257" t="n">
        <f aca="false">Februar!P46</f>
        <v>1</v>
      </c>
      <c r="Q24" s="257" t="n">
        <f aca="false">Februar!Q46</f>
        <v>1</v>
      </c>
      <c r="R24" s="145" t="str">
        <f aca="false">IF(VLOOKUP(A24,Para1!$B$67:$E$72,2,0)="3.",VLOOKUP(A24,Para1!$B$67:$E$72,3,0),"")</f>
        <v/>
      </c>
      <c r="S24" s="145" t="str">
        <f aca="false">IF((P24+Q24)=0,"",IF(ISNA(R24),"",IF(R24="","",VLOOKUP(R24,Para1!$D$67:$G$79,3,0)*(IF(P24+Q24=1,0.5,1)))))</f>
        <v/>
      </c>
      <c r="T24" s="145" t="str">
        <f aca="false">IF(P24+Q24=0,"",IF(ISNA(R25),"",IF(R25="","",VLOOKUP(R25,Para1!$D$67:$G$79,4,0)*(IF(P24+Q24=1,0.5,1)))))</f>
        <v/>
      </c>
      <c r="U24" s="145" t="str">
        <f aca="false">IF(SUM(S24:T24)&gt;0,K24,"")</f>
        <v/>
      </c>
      <c r="V24" s="145" t="str">
        <f aca="false">IF(SUM(S24:T24)&gt;0,L24,"")</f>
        <v/>
      </c>
      <c r="W24" s="145" t="n">
        <f aca="false">IF(S24=0,P24+Q24,0)</f>
        <v>0</v>
      </c>
    </row>
    <row r="25" customFormat="false" ht="17" hidden="false" customHeight="true" outlineLevel="0" collapsed="false">
      <c r="A25" s="200" t="s">
        <v>22</v>
      </c>
      <c r="B25" s="201" t="str">
        <f aca="false">IF(B24=Para1!$F$153,Para1!$F$109,IF(B24=Para1!$F$109,Para1!$F$148,IF(B24=Para1!$F$148,Para1!$F$111,IF(B24=Para1!$F$111,Para1!$F$120,IF(B24=Para1!$F$120,Para1!$F$170,IF(B24=Para1!$F$170,Para1!$F$173,Para1!$F$153))))))</f>
        <v>Wed</v>
      </c>
      <c r="C25" s="186"/>
      <c r="D25" s="203"/>
      <c r="E25" s="204"/>
      <c r="F25" s="205"/>
      <c r="G25" s="204"/>
      <c r="H25" s="204"/>
      <c r="I25" s="206"/>
      <c r="J25" s="255"/>
      <c r="K25" s="256"/>
      <c r="L25" s="209"/>
      <c r="M25" s="210"/>
      <c r="N25" s="195"/>
      <c r="O25" s="145"/>
      <c r="P25" s="257" t="n">
        <f aca="false">Februar!P47</f>
        <v>1</v>
      </c>
      <c r="Q25" s="257" t="n">
        <f aca="false">Februar!Q47</f>
        <v>1</v>
      </c>
      <c r="R25" s="145" t="e">
        <f aca="false">IF(VLOOKUP(A25,Para1!$B$67:$E$72,2,0)="3.",VLOOKUP(A25,Para1!$B$67:$E$72,3,0),"")</f>
        <v>#N/A</v>
      </c>
      <c r="S25" s="145" t="str">
        <f aca="false">IF((P25+Q25)=0,"",IF(ISNA(R25),"",IF(R25="","",VLOOKUP(R25,Para1!$D$67:$G$79,3,0)*(IF(P25+Q25=1,0.5,1)))))</f>
        <v/>
      </c>
      <c r="T25" s="145" t="str">
        <f aca="false">IF(P25+Q25=0,"",IF(ISNA(R26),"",IF(R26="","",VLOOKUP(R26,Para1!$D$67:$G$79,4,0)*(IF(P25+Q25=1,0.5,1)))))</f>
        <v/>
      </c>
      <c r="U25" s="145" t="str">
        <f aca="false">IF(SUM(S25:T25)&gt;0,K25,"")</f>
        <v/>
      </c>
      <c r="V25" s="145" t="str">
        <f aca="false">IF(SUM(S25:T25)&gt;0,L25,"")</f>
        <v/>
      </c>
      <c r="W25" s="145" t="n">
        <f aca="false">IF(S25=0,P25+Q25,0)</f>
        <v>0</v>
      </c>
    </row>
    <row r="26" customFormat="false" ht="17" hidden="false" customHeight="true" outlineLevel="0" collapsed="false">
      <c r="A26" s="216" t="s">
        <v>23</v>
      </c>
      <c r="B26" s="201" t="str">
        <f aca="false">IF(B25=Para1!$F$153,Para1!$F$109,IF(B25=Para1!$F$109,Para1!$F$148,IF(B25=Para1!$F$148,Para1!$F$111,IF(B25=Para1!$F$111,Para1!$F$120,IF(B25=Para1!$F$120,Para1!$F$170,IF(B25=Para1!$F$170,Para1!$F$173,Para1!$F$153))))))</f>
        <v>Thu</v>
      </c>
      <c r="C26" s="186"/>
      <c r="D26" s="203"/>
      <c r="E26" s="204"/>
      <c r="F26" s="205"/>
      <c r="G26" s="204"/>
      <c r="H26" s="204"/>
      <c r="I26" s="206"/>
      <c r="J26" s="255"/>
      <c r="K26" s="256"/>
      <c r="L26" s="209"/>
      <c r="M26" s="210"/>
      <c r="N26" s="195"/>
      <c r="O26" s="145"/>
      <c r="P26" s="257" t="n">
        <f aca="false">Februar!P48</f>
        <v>1</v>
      </c>
      <c r="Q26" s="257" t="n">
        <f aca="false">Februar!Q48</f>
        <v>1</v>
      </c>
      <c r="R26" s="145" t="str">
        <f aca="false">IF(VLOOKUP(A26,Para1!$B$67:$E$72,2,0)="3.",VLOOKUP(A26,Para1!$B$67:$E$72,3,0),"")</f>
        <v/>
      </c>
      <c r="S26" s="145" t="str">
        <f aca="false">IF((P26+Q26)=0,"",IF(ISNA(R26),"",IF(R26="","",VLOOKUP(R26,Para1!$D$67:$G$79,3,0)*(IF(P26+Q26=1,0.5,1)))))</f>
        <v/>
      </c>
      <c r="T26" s="145" t="str">
        <f aca="false">IF(P26+Q26=0,"",IF(ISNA(R27),"",IF(R27="","",VLOOKUP(R27,Para1!$D$67:$G$79,4,0)*(IF(P26+Q26=1,0.5,1)))))</f>
        <v/>
      </c>
      <c r="U26" s="145" t="str">
        <f aca="false">IF(SUM(S26:T26)&gt;0,K26,"")</f>
        <v/>
      </c>
      <c r="V26" s="145" t="str">
        <f aca="false">IF(SUM(S26:T26)&gt;0,L26,"")</f>
        <v/>
      </c>
      <c r="W26" s="145" t="n">
        <f aca="false">IF(S26=0,P26+Q26,0)</f>
        <v>0</v>
      </c>
    </row>
    <row r="27" customFormat="false" ht="17" hidden="false" customHeight="true" outlineLevel="0" collapsed="false">
      <c r="A27" s="200" t="s">
        <v>24</v>
      </c>
      <c r="B27" s="201" t="str">
        <f aca="false">IF(B26=Para1!$F$153,Para1!$F$109,IF(B26=Para1!$F$109,Para1!$F$148,IF(B26=Para1!$F$148,Para1!$F$111,IF(B26=Para1!$F$111,Para1!$F$120,IF(B26=Para1!$F$120,Para1!$F$170,IF(B26=Para1!$F$170,Para1!$F$173,Para1!$F$153))))))</f>
        <v>Fri</v>
      </c>
      <c r="C27" s="202"/>
      <c r="D27" s="203"/>
      <c r="E27" s="204"/>
      <c r="F27" s="205"/>
      <c r="G27" s="204"/>
      <c r="H27" s="204"/>
      <c r="I27" s="206"/>
      <c r="J27" s="255"/>
      <c r="K27" s="256"/>
      <c r="L27" s="209"/>
      <c r="M27" s="210"/>
      <c r="N27" s="195"/>
      <c r="O27" s="145"/>
      <c r="P27" s="257" t="n">
        <v>1</v>
      </c>
      <c r="Q27" s="257" t="n">
        <v>1</v>
      </c>
      <c r="R27" s="145" t="str">
        <f aca="false">IF(VLOOKUP(A27,Para1!$B$67:$E$72,2,0)="3.",VLOOKUP(A27,Para1!$B$67:$E$72,3,0),"")</f>
        <v/>
      </c>
      <c r="S27" s="145" t="str">
        <f aca="false">IF((P27+Q27)=0,"",IF(ISNA(R27),"",IF(R27="","",VLOOKUP(R27,Para1!$D$67:$G$79,3,0)*(IF(P27+Q27=1,0.5,1)))))</f>
        <v/>
      </c>
      <c r="T27" s="145" t="str">
        <f aca="false">IF(P27+Q27=0,"",IF(ISNA(R28),"",IF(R28="","",VLOOKUP(R28,Para1!$D$67:$G$79,4,0)*(IF(P27+Q27=1,0.5,1)))))</f>
        <v/>
      </c>
      <c r="U27" s="145" t="str">
        <f aca="false">IF(SUM(S27:T27)&gt;0,K27,"")</f>
        <v/>
      </c>
      <c r="V27" s="145" t="str">
        <f aca="false">IF(SUM(S27:T27)&gt;0,L27,"")</f>
        <v/>
      </c>
      <c r="W27" s="145" t="n">
        <f aca="false">IF(S27=0,P27+Q27,0)</f>
        <v>0</v>
      </c>
    </row>
    <row r="28" s="258" customFormat="true" ht="17" hidden="false" customHeight="true" outlineLevel="0" collapsed="false">
      <c r="A28" s="216" t="s">
        <v>25</v>
      </c>
      <c r="B28" s="201" t="str">
        <f aca="false">IF(B27=Para1!$F$153,Para1!$F$109,IF(B27=Para1!$F$109,Para1!$F$148,IF(B27=Para1!$F$148,Para1!$F$111,IF(B27=Para1!$F$111,Para1!$F$120,IF(B27=Para1!$F$120,Para1!$F$170,IF(B27=Para1!$F$170,Para1!$F$173,Para1!$F$153))))))</f>
        <v>Sat</v>
      </c>
      <c r="C28" s="202"/>
      <c r="D28" s="203"/>
      <c r="E28" s="204"/>
      <c r="F28" s="205"/>
      <c r="G28" s="204"/>
      <c r="H28" s="204"/>
      <c r="I28" s="206"/>
      <c r="J28" s="255"/>
      <c r="K28" s="256"/>
      <c r="L28" s="209"/>
      <c r="M28" s="210"/>
      <c r="N28" s="195"/>
      <c r="O28" s="145"/>
      <c r="P28" s="257" t="n">
        <v>0</v>
      </c>
      <c r="Q28" s="257" t="n">
        <f aca="false">Februar!Q50</f>
        <v>0</v>
      </c>
      <c r="R28" s="145" t="e">
        <f aca="false">IF(VLOOKUP(A28,Para1!$B$67:$E$72,2,0)="3.",VLOOKUP(A28,Para1!$B$67:$E$72,3,0),"")</f>
        <v>#N/A</v>
      </c>
      <c r="S28" s="145" t="str">
        <f aca="false">IF((P28+Q28)=0,"",IF(ISNA(R28),"",IF(R28="","",VLOOKUP(R28,Para1!$D$67:$G$79,3,0)*(IF(P28+Q28=1,0.5,1)))))</f>
        <v/>
      </c>
      <c r="T28" s="145" t="str">
        <f aca="false">IF(P28+Q28=0,"",IF(ISNA(R29),"",IF(R29="","",VLOOKUP(R29,Para1!$D$67:$G$79,4,0)*(IF(P28+Q28=1,0.5,1)))))</f>
        <v/>
      </c>
      <c r="U28" s="145" t="str">
        <f aca="false">IF(SUM(S28:T28)&gt;0,K28,"")</f>
        <v/>
      </c>
      <c r="V28" s="145" t="str">
        <f aca="false">IF(SUM(S28:T28)&gt;0,L28,"")</f>
        <v/>
      </c>
      <c r="W28" s="145" t="n">
        <f aca="false">IF(S28=0,P28+Q28,0)</f>
        <v>0</v>
      </c>
    </row>
    <row r="29" s="258" customFormat="true" ht="17" hidden="false" customHeight="true" outlineLevel="0" collapsed="false">
      <c r="A29" s="216" t="s">
        <v>26</v>
      </c>
      <c r="B29" s="201" t="str">
        <f aca="false">IF(B28=Para1!$F$153,Para1!$F$109,IF(B28=Para1!$F$109,Para1!$F$148,IF(B28=Para1!$F$148,Para1!$F$111,IF(B28=Para1!$F$111,Para1!$F$120,IF(B28=Para1!$F$120,Para1!$F$170,IF(B28=Para1!$F$170,Para1!$F$173,Para1!$F$153))))))</f>
        <v>Sun</v>
      </c>
      <c r="C29" s="202"/>
      <c r="D29" s="203"/>
      <c r="E29" s="204"/>
      <c r="F29" s="205"/>
      <c r="G29" s="204"/>
      <c r="H29" s="204"/>
      <c r="I29" s="206"/>
      <c r="J29" s="255"/>
      <c r="K29" s="256"/>
      <c r="L29" s="209"/>
      <c r="M29" s="210"/>
      <c r="N29" s="195"/>
      <c r="O29" s="145"/>
      <c r="P29" s="257" t="n">
        <f aca="false">Februar!P51</f>
        <v>0</v>
      </c>
      <c r="Q29" s="257" t="n">
        <f aca="false">Februar!Q51</f>
        <v>0</v>
      </c>
      <c r="R29" s="145" t="e">
        <f aca="false">IF(VLOOKUP(A29,Para1!$B$67:$E$72,2,0)="3.",VLOOKUP(A29,Para1!$B$67:$E$72,3,0),"")</f>
        <v>#N/A</v>
      </c>
      <c r="S29" s="145" t="str">
        <f aca="false">IF((P29+Q29)=0,"",IF(ISNA(R29),"",IF(R29="","",VLOOKUP(R29,Para1!$D$67:$G$79,3,0)*(IF(P29+Q29=1,0.5,1)))))</f>
        <v/>
      </c>
      <c r="T29" s="145" t="str">
        <f aca="false">IF(P29+Q29=0,"",IF(ISNA(R30),"",IF(R30="","",VLOOKUP(R30,Para1!$D$67:$G$79,4,0)*(IF(P29+Q29=1,0.5,1)))))</f>
        <v/>
      </c>
      <c r="U29" s="145" t="str">
        <f aca="false">IF(SUM(S29:T29)&gt;0,K29,"")</f>
        <v/>
      </c>
      <c r="V29" s="145" t="str">
        <f aca="false">IF(SUM(S29:T29)&gt;0,L29,"")</f>
        <v/>
      </c>
      <c r="W29" s="145" t="n">
        <f aca="false">IF(S29=0,P29+Q29,0)</f>
        <v>0</v>
      </c>
    </row>
    <row r="30" customFormat="false" ht="16.5" hidden="false" customHeight="true" outlineLevel="0" collapsed="false">
      <c r="A30" s="200" t="s">
        <v>27</v>
      </c>
      <c r="B30" s="201" t="str">
        <f aca="false">IF(B29=Para1!$F$153,Para1!$F$109,IF(B29=Para1!$F$109,Para1!$F$148,IF(B29=Para1!$F$148,Para1!$F$111,IF(B29=Para1!$F$111,Para1!$F$120,IF(B29=Para1!$F$120,Para1!$F$170,IF(B29=Para1!$F$170,Para1!$F$173,Para1!$F$153))))))</f>
        <v>Mon</v>
      </c>
      <c r="C30" s="202"/>
      <c r="D30" s="203"/>
      <c r="E30" s="204"/>
      <c r="F30" s="205"/>
      <c r="G30" s="204"/>
      <c r="H30" s="204"/>
      <c r="I30" s="206"/>
      <c r="J30" s="255"/>
      <c r="K30" s="256"/>
      <c r="L30" s="209"/>
      <c r="M30" s="210"/>
      <c r="N30" s="195"/>
      <c r="O30" s="145"/>
      <c r="P30" s="259" t="n">
        <f aca="false">P23</f>
        <v>1</v>
      </c>
      <c r="Q30" s="259" t="n">
        <f aca="false">Q23</f>
        <v>1</v>
      </c>
      <c r="R30" s="145" t="e">
        <f aca="false">IF(VLOOKUP(A30,Para1!$B$67:$E$72,2,0)="3.",VLOOKUP(A30,Para1!$B$67:$E$72,3,0),"")</f>
        <v>#N/A</v>
      </c>
      <c r="S30" s="145" t="str">
        <f aca="false">IF((P30+Q30)=0,"",IF(ISNA(R30),"",IF(R30="","",VLOOKUP(R30,Para1!$D$67:$G$79,3,0)*(IF(P30+Q30=1,0.5,1)))))</f>
        <v/>
      </c>
      <c r="T30" s="145" t="str">
        <f aca="false">IF(P30+Q30=0,"",IF(ISNA(R31),"",IF(R31="","",VLOOKUP(R31,Para1!$D$67:$G$79,4,0)*(IF(P30+Q30=1,0.5,1)))))</f>
        <v/>
      </c>
      <c r="U30" s="145" t="str">
        <f aca="false">IF(SUM(S30:T30)&gt;0,K30,"")</f>
        <v/>
      </c>
      <c r="V30" s="145" t="str">
        <f aca="false">IF(SUM(S30:T30)&gt;0,L30,"")</f>
        <v/>
      </c>
      <c r="W30" s="145" t="n">
        <f aca="false">IF(S30=0,P30+Q30,0)</f>
        <v>0</v>
      </c>
    </row>
    <row r="31" customFormat="false" ht="17" hidden="false" customHeight="true" outlineLevel="0" collapsed="false">
      <c r="A31" s="200" t="s">
        <v>28</v>
      </c>
      <c r="B31" s="201" t="str">
        <f aca="false">IF(B30=Para1!$F$153,Para1!$F$109,IF(B30=Para1!$F$109,Para1!$F$148,IF(B30=Para1!$F$148,Para1!$F$111,IF(B30=Para1!$F$111,Para1!$F$120,IF(B30=Para1!$F$120,Para1!$F$170,IF(B30=Para1!$F$170,Para1!$F$173,Para1!$F$153))))))</f>
        <v>Tue</v>
      </c>
      <c r="C31" s="202"/>
      <c r="D31" s="203"/>
      <c r="E31" s="204"/>
      <c r="F31" s="205"/>
      <c r="G31" s="204"/>
      <c r="H31" s="204"/>
      <c r="I31" s="206"/>
      <c r="J31" s="255"/>
      <c r="K31" s="256"/>
      <c r="L31" s="209"/>
      <c r="M31" s="210"/>
      <c r="N31" s="195"/>
      <c r="O31" s="145"/>
      <c r="P31" s="259" t="n">
        <f aca="false">P24</f>
        <v>1</v>
      </c>
      <c r="Q31" s="259" t="n">
        <f aca="false">Q24</f>
        <v>1</v>
      </c>
      <c r="R31" s="145" t="e">
        <f aca="false">IF(VLOOKUP(A31,Para1!$B$67:$E$72,2,0)="3.",VLOOKUP(A31,Para1!$B$67:$E$72,3,0),"")</f>
        <v>#N/A</v>
      </c>
      <c r="S31" s="145" t="str">
        <f aca="false">IF((P31+Q31)=0,"",IF(ISNA(R31),"",IF(R31="","",VLOOKUP(R31,Para1!$D$67:$G$79,3,0)*(IF(P31+Q31=1,0.5,1)))))</f>
        <v/>
      </c>
      <c r="T31" s="145" t="str">
        <f aca="false">IF(P31+Q31=0,"",IF(ISNA(R32),"",IF(R32="","",VLOOKUP(R32,Para1!$D$67:$G$79,4,0)*(IF(P31+Q31=1,0.5,1)))))</f>
        <v/>
      </c>
      <c r="U31" s="145" t="str">
        <f aca="false">IF(SUM(S31:T31)&gt;0,K31,"")</f>
        <v/>
      </c>
      <c r="V31" s="145" t="str">
        <f aca="false">IF(SUM(S31:T31)&gt;0,L31,"")</f>
        <v/>
      </c>
      <c r="W31" s="145" t="n">
        <f aca="false">IF(S31=0,P31+Q31,0)</f>
        <v>0</v>
      </c>
    </row>
    <row r="32" customFormat="false" ht="17" hidden="false" customHeight="true" outlineLevel="0" collapsed="false">
      <c r="A32" s="200" t="s">
        <v>29</v>
      </c>
      <c r="B32" s="201" t="str">
        <f aca="false">IF(B31=Para1!$F$153,Para1!$F$109,IF(B31=Para1!$F$109,Para1!$F$148,IF(B31=Para1!$F$148,Para1!$F$111,IF(B31=Para1!$F$111,Para1!$F$120,IF(B31=Para1!$F$120,Para1!$F$170,IF(B31=Para1!$F$170,Para1!$F$173,Para1!$F$153))))))</f>
        <v>Wed</v>
      </c>
      <c r="C32" s="186"/>
      <c r="D32" s="203"/>
      <c r="E32" s="204"/>
      <c r="F32" s="205"/>
      <c r="G32" s="204"/>
      <c r="H32" s="204"/>
      <c r="I32" s="206"/>
      <c r="J32" s="255"/>
      <c r="K32" s="256"/>
      <c r="L32" s="209"/>
      <c r="M32" s="210"/>
      <c r="N32" s="195"/>
      <c r="O32" s="145"/>
      <c r="P32" s="259" t="n">
        <f aca="false">P25</f>
        <v>1</v>
      </c>
      <c r="Q32" s="259" t="n">
        <f aca="false">Q25</f>
        <v>1</v>
      </c>
      <c r="R32" s="145" t="e">
        <f aca="false">IF(VLOOKUP(A32,Para1!$B$67:$E$72,2,0)="3.",VLOOKUP(A32,Para1!$B$67:$E$72,3,0),"")</f>
        <v>#N/A</v>
      </c>
      <c r="S32" s="145" t="str">
        <f aca="false">IF((P32+Q32)=0,"",IF(ISNA(R32),"",IF(R32="","",VLOOKUP(R32,Para1!$D$67:$G$79,3,0)*(IF(P32+Q32=1,0.5,1)))))</f>
        <v/>
      </c>
      <c r="T32" s="145" t="str">
        <f aca="false">IF(P32+Q32=0,"",IF(ISNA(R33),"",IF(R33="","",VLOOKUP(R33,Para1!$D$67:$G$79,4,0)*(IF(P32+Q32=1,0.5,1)))))</f>
        <v/>
      </c>
      <c r="U32" s="145" t="str">
        <f aca="false">IF(SUM(S32:T32)&gt;0,K32,"")</f>
        <v/>
      </c>
      <c r="V32" s="145" t="str">
        <f aca="false">IF(SUM(S32:T32)&gt;0,L32,"")</f>
        <v/>
      </c>
      <c r="W32" s="145" t="n">
        <f aca="false">IF(S32=0,P32+Q32,0)</f>
        <v>0</v>
      </c>
    </row>
    <row r="33" customFormat="false" ht="17" hidden="false" customHeight="true" outlineLevel="0" collapsed="false">
      <c r="A33" s="216" t="s">
        <v>30</v>
      </c>
      <c r="B33" s="201" t="str">
        <f aca="false">IF(B32=Para1!$F$153,Para1!$F$109,IF(B32=Para1!$F$109,Para1!$F$148,IF(B32=Para1!$F$148,Para1!$F$111,IF(B32=Para1!$F$111,Para1!$F$120,IF(B32=Para1!$F$120,Para1!$F$170,IF(B32=Para1!$F$170,Para1!$F$173,Para1!$F$153))))))</f>
        <v>Thu</v>
      </c>
      <c r="C33" s="186"/>
      <c r="D33" s="203"/>
      <c r="E33" s="204"/>
      <c r="F33" s="205"/>
      <c r="G33" s="204"/>
      <c r="H33" s="204"/>
      <c r="I33" s="206"/>
      <c r="J33" s="255"/>
      <c r="K33" s="256"/>
      <c r="L33" s="209"/>
      <c r="M33" s="210"/>
      <c r="N33" s="195"/>
      <c r="O33" s="145"/>
      <c r="P33" s="259" t="n">
        <f aca="false">P26</f>
        <v>1</v>
      </c>
      <c r="Q33" s="259" t="n">
        <f aca="false">Q26</f>
        <v>1</v>
      </c>
      <c r="R33" s="145" t="e">
        <f aca="false">IF(VLOOKUP(A33,Para1!$B$67:$E$72,2,0)="3.",VLOOKUP(A33,Para1!$B$67:$E$72,3,0),"")</f>
        <v>#N/A</v>
      </c>
      <c r="S33" s="145" t="str">
        <f aca="false">IF((P33+Q33)=0,"",IF(ISNA(R33),"",IF(R33="","",VLOOKUP(R33,Para1!$D$67:$G$79,3,0)*(IF(P33+Q33=1,0.5,1)))))</f>
        <v/>
      </c>
      <c r="T33" s="145" t="str">
        <f aca="false">IF(P33+Q33=0,"",IF(ISNA(R34),"",IF(R34="","",VLOOKUP(R34,Para1!$D$67:$G$79,4,0)*(IF(P33+Q33=1,0.5,1)))))</f>
        <v/>
      </c>
      <c r="U33" s="145" t="str">
        <f aca="false">IF(SUM(S33:T33)&gt;0,K33,"")</f>
        <v/>
      </c>
      <c r="V33" s="145" t="str">
        <f aca="false">IF(SUM(S33:T33)&gt;0,L33,"")</f>
        <v/>
      </c>
      <c r="W33" s="145" t="n">
        <f aca="false">IF(S33=0,P33+Q33,0)</f>
        <v>0</v>
      </c>
    </row>
    <row r="34" customFormat="false" ht="17" hidden="false" customHeight="true" outlineLevel="0" collapsed="false">
      <c r="A34" s="200" t="s">
        <v>31</v>
      </c>
      <c r="B34" s="201" t="str">
        <f aca="false">IF(B33=Para1!$F$153,Para1!$F$109,IF(B33=Para1!$F$109,Para1!$F$148,IF(B33=Para1!$F$148,Para1!$F$111,IF(B33=Para1!$F$111,Para1!$F$120,IF(B33=Para1!$F$120,Para1!$F$170,IF(B33=Para1!$F$170,Para1!$F$173,Para1!$F$153))))))</f>
        <v>Fri</v>
      </c>
      <c r="C34" s="202"/>
      <c r="D34" s="203"/>
      <c r="E34" s="204"/>
      <c r="F34" s="205"/>
      <c r="G34" s="204"/>
      <c r="H34" s="204"/>
      <c r="I34" s="206"/>
      <c r="J34" s="255"/>
      <c r="K34" s="256"/>
      <c r="L34" s="209"/>
      <c r="M34" s="210"/>
      <c r="N34" s="195"/>
      <c r="O34" s="145"/>
      <c r="P34" s="259" t="n">
        <f aca="false">P27</f>
        <v>1</v>
      </c>
      <c r="Q34" s="259" t="n">
        <f aca="false">Q27</f>
        <v>1</v>
      </c>
      <c r="R34" s="145" t="e">
        <f aca="false">IF(VLOOKUP(A34,Para1!$B$67:$E$72,2,0)="3.",VLOOKUP(A34,Para1!$B$67:$E$72,3,0),"")</f>
        <v>#N/A</v>
      </c>
      <c r="S34" s="145" t="str">
        <f aca="false">IF((P34+Q34)=0,"",IF(ISNA(R34),"",IF(R34="","",VLOOKUP(R34,Para1!$D$67:$G$79,3,0)*(IF(P34+Q34=1,0.5,1)))))</f>
        <v/>
      </c>
      <c r="T34" s="145" t="str">
        <f aca="false">IF(P34+Q34=0,"",IF(ISNA(R35),"",IF(R35="","",VLOOKUP(R35,Para1!$D$67:$G$79,4,0)*(IF(P34+Q34=1,0.5,1)))))</f>
        <v/>
      </c>
      <c r="U34" s="145" t="str">
        <f aca="false">IF(SUM(S34:T34)&gt;0,K34,"")</f>
        <v/>
      </c>
      <c r="V34" s="145" t="str">
        <f aca="false">IF(SUM(S34:T34)&gt;0,L34,"")</f>
        <v/>
      </c>
      <c r="W34" s="145" t="n">
        <f aca="false">IF(S34=0,P34+Q34,0)</f>
        <v>0</v>
      </c>
    </row>
    <row r="35" s="258" customFormat="true" ht="17" hidden="false" customHeight="true" outlineLevel="0" collapsed="false">
      <c r="A35" s="200" t="s">
        <v>32</v>
      </c>
      <c r="B35" s="201" t="str">
        <f aca="false">IF(B34=Para1!$F$153,Para1!$F$109,IF(B34=Para1!$F$109,Para1!$F$148,IF(B34=Para1!$F$148,Para1!$F$111,IF(B34=Para1!$F$111,Para1!$F$120,IF(B34=Para1!$F$120,Para1!$F$170,IF(B34=Para1!$F$170,Para1!$F$173,Para1!$F$153))))))</f>
        <v>Sat</v>
      </c>
      <c r="C35" s="202"/>
      <c r="D35" s="203"/>
      <c r="E35" s="204"/>
      <c r="F35" s="205"/>
      <c r="G35" s="204"/>
      <c r="H35" s="204"/>
      <c r="I35" s="206"/>
      <c r="J35" s="255"/>
      <c r="K35" s="256"/>
      <c r="L35" s="209"/>
      <c r="M35" s="210"/>
      <c r="N35" s="195"/>
      <c r="O35" s="145"/>
      <c r="P35" s="259" t="n">
        <f aca="false">P28</f>
        <v>0</v>
      </c>
      <c r="Q35" s="259" t="n">
        <f aca="false">Q28</f>
        <v>0</v>
      </c>
      <c r="R35" s="145" t="str">
        <f aca="false">IF(VLOOKUP(A35,Para1!$B$67:$E$72,2,0)="3.",VLOOKUP(A35,Para1!$B$67:$E$72,3,0),"")</f>
        <v/>
      </c>
      <c r="S35" s="145" t="str">
        <f aca="false">IF((P35+Q35)=0,"",IF(ISNA(R35),"",IF(R35="","",VLOOKUP(R35,Para1!$D$67:$G$79,3,0)*(IF(P35+Q35=1,0.5,1)))))</f>
        <v/>
      </c>
      <c r="T35" s="145" t="str">
        <f aca="false">IF(P35+Q35=0,"",IF(ISNA(R36),"",IF(R36="","",VLOOKUP(R36,Para1!$D$67:$G$79,4,0)*(IF(P35+Q35=1,0.5,1)))))</f>
        <v/>
      </c>
      <c r="U35" s="145" t="str">
        <f aca="false">IF(SUM(S35:T35)&gt;0,K35,"")</f>
        <v/>
      </c>
      <c r="V35" s="145" t="str">
        <f aca="false">IF(SUM(S35:T35)&gt;0,L35,"")</f>
        <v/>
      </c>
      <c r="W35" s="145" t="n">
        <f aca="false">IF(S35=0,P35+Q35,0)</f>
        <v>0</v>
      </c>
    </row>
    <row r="36" s="258" customFormat="true" ht="17" hidden="false" customHeight="true" outlineLevel="0" collapsed="false">
      <c r="A36" s="200" t="s">
        <v>33</v>
      </c>
      <c r="B36" s="201" t="str">
        <f aca="false">IF(B35=Para1!$F$153,Para1!$F$109,IF(B35=Para1!$F$109,Para1!$F$148,IF(B35=Para1!$F$148,Para1!$F$111,IF(B35=Para1!$F$111,Para1!$F$120,IF(B35=Para1!$F$120,Para1!$F$170,IF(B35=Para1!$F$170,Para1!$F$173,Para1!$F$153))))))</f>
        <v>Sun</v>
      </c>
      <c r="C36" s="202"/>
      <c r="D36" s="203"/>
      <c r="E36" s="204"/>
      <c r="F36" s="205"/>
      <c r="G36" s="204"/>
      <c r="H36" s="204"/>
      <c r="I36" s="206"/>
      <c r="J36" s="255"/>
      <c r="K36" s="256"/>
      <c r="L36" s="209"/>
      <c r="M36" s="210"/>
      <c r="N36" s="195"/>
      <c r="O36" s="145"/>
      <c r="P36" s="259" t="n">
        <f aca="false">P29</f>
        <v>0</v>
      </c>
      <c r="Q36" s="259" t="n">
        <f aca="false">Q29</f>
        <v>0</v>
      </c>
      <c r="R36" s="145" t="e">
        <f aca="false">IF(VLOOKUP(A36,Para1!$B$67:$E$72,2,0)="3.",VLOOKUP(A36,Para1!$B$67:$E$72,3,0),"")</f>
        <v>#N/A</v>
      </c>
      <c r="S36" s="145" t="str">
        <f aca="false">IF((P36+Q36)=0,"",IF(ISNA(R36),"",IF(R36="","",VLOOKUP(R36,Para1!$D$67:$G$79,3,0)*(IF(P36+Q36=1,0.5,1)))))</f>
        <v/>
      </c>
      <c r="T36" s="145" t="str">
        <f aca="false">IF(P36+Q36=0,"",IF(ISNA(R37),"",IF(R37="","",VLOOKUP(R37,Para1!$D$67:$G$79,4,0)*(IF(P36+Q36=1,0.5,1)))))</f>
        <v/>
      </c>
      <c r="U36" s="145" t="str">
        <f aca="false">IF(SUM(S36:T36)&gt;0,K36,"")</f>
        <v/>
      </c>
      <c r="V36" s="145" t="str">
        <f aca="false">IF(SUM(S36:T36)&gt;0,L36,"")</f>
        <v/>
      </c>
      <c r="W36" s="145" t="n">
        <f aca="false">IF(S36=0,P36+Q36,0)</f>
        <v>0</v>
      </c>
    </row>
    <row r="37" customFormat="false" ht="17" hidden="false" customHeight="true" outlineLevel="0" collapsed="false">
      <c r="A37" s="200" t="s">
        <v>34</v>
      </c>
      <c r="B37" s="201" t="str">
        <f aca="false">IF(B36=Para1!$F$153,Para1!$F$109,IF(B36=Para1!$F$109,Para1!$F$148,IF(B36=Para1!$F$148,Para1!$F$111,IF(B36=Para1!$F$111,Para1!$F$120,IF(B36=Para1!$F$120,Para1!$F$170,IF(B36=Para1!$F$170,Para1!$F$173,Para1!$F$153))))))</f>
        <v>Mon</v>
      </c>
      <c r="C37" s="202"/>
      <c r="D37" s="203"/>
      <c r="E37" s="204"/>
      <c r="F37" s="205"/>
      <c r="G37" s="204"/>
      <c r="H37" s="204"/>
      <c r="I37" s="206"/>
      <c r="J37" s="255"/>
      <c r="K37" s="256"/>
      <c r="L37" s="209"/>
      <c r="M37" s="210"/>
      <c r="N37" s="195"/>
      <c r="O37" s="145"/>
      <c r="P37" s="259" t="n">
        <f aca="false">P30</f>
        <v>1</v>
      </c>
      <c r="Q37" s="259" t="n">
        <f aca="false">Q30</f>
        <v>1</v>
      </c>
      <c r="R37" s="145" t="e">
        <f aca="false">IF(VLOOKUP(A37,Para1!$B$67:$E$72,2,0)="3.",VLOOKUP(A37,Para1!$B$67:$E$72,3,0),"")</f>
        <v>#N/A</v>
      </c>
      <c r="S37" s="145" t="str">
        <f aca="false">IF((P37+Q37)=0,"",IF(ISNA(R37),"",IF(R37="","",VLOOKUP(R37,Para1!$D$67:$G$79,3,0)*(IF(P37+Q37=1,0.5,1)))))</f>
        <v/>
      </c>
      <c r="T37" s="145" t="str">
        <f aca="false">IF(P37+Q37=0,"",IF(ISNA(R38),"",IF(R38="","",VLOOKUP(R38,Para1!$D$67:$G$79,4,0)*(IF(P37+Q37=1,0.5,1)))))</f>
        <v/>
      </c>
      <c r="U37" s="145" t="str">
        <f aca="false">IF(SUM(S37:T37)&gt;0,K37,"")</f>
        <v/>
      </c>
      <c r="V37" s="145" t="str">
        <f aca="false">IF(SUM(S37:T37)&gt;0,L37,"")</f>
        <v/>
      </c>
      <c r="W37" s="145" t="n">
        <f aca="false">IF(S37=0,P37+Q37,0)</f>
        <v>0</v>
      </c>
    </row>
    <row r="38" customFormat="false" ht="17" hidden="false" customHeight="true" outlineLevel="0" collapsed="false">
      <c r="A38" s="200" t="s">
        <v>35</v>
      </c>
      <c r="B38" s="201" t="str">
        <f aca="false">IF(B37=Para1!$F$153,Para1!$F$109,IF(B37=Para1!$F$109,Para1!$F$148,IF(B37=Para1!$F$148,Para1!$F$111,IF(B37=Para1!$F$111,Para1!$F$120,IF(B37=Para1!$F$120,Para1!$F$170,IF(B37=Para1!$F$170,Para1!$F$173,Para1!$F$153))))))</f>
        <v>Tue</v>
      </c>
      <c r="C38" s="202"/>
      <c r="D38" s="203"/>
      <c r="E38" s="204"/>
      <c r="F38" s="205"/>
      <c r="G38" s="204"/>
      <c r="H38" s="204"/>
      <c r="I38" s="206"/>
      <c r="J38" s="255"/>
      <c r="K38" s="256"/>
      <c r="L38" s="209"/>
      <c r="M38" s="210"/>
      <c r="N38" s="195"/>
      <c r="O38" s="145"/>
      <c r="P38" s="259" t="n">
        <f aca="false">P31</f>
        <v>1</v>
      </c>
      <c r="Q38" s="259" t="n">
        <f aca="false">Q31</f>
        <v>1</v>
      </c>
      <c r="R38" s="145" t="e">
        <f aca="false">IF(VLOOKUP(A38,Para1!$B$67:$E$72,2,0)="3.",VLOOKUP(A38,Para1!$B$67:$E$72,3,0),"")</f>
        <v>#N/A</v>
      </c>
      <c r="S38" s="145" t="str">
        <f aca="false">IF((P38+Q38)=0,"",IF(ISNA(R38),"",IF(R38="","",VLOOKUP(R38,Para1!$D$67:$G$79,3,0)*(IF(P38+Q38=1,0.5,1)))))</f>
        <v/>
      </c>
      <c r="T38" s="145" t="str">
        <f aca="false">IF(P38+Q38=0,"",IF(ISNA(R39),"",IF(R39="","",VLOOKUP(R39,Para1!$D$67:$G$79,4,0)*(IF(P38+Q38=1,0.5,1)))))</f>
        <v/>
      </c>
      <c r="U38" s="145" t="str">
        <f aca="false">IF(SUM(S38:T38)&gt;0,K38,"")</f>
        <v/>
      </c>
      <c r="V38" s="145" t="str">
        <f aca="false">IF(SUM(S38:T38)&gt;0,L38,"")</f>
        <v/>
      </c>
      <c r="W38" s="145" t="n">
        <f aca="false">IF(S38=0,P38+Q38,0)</f>
        <v>0</v>
      </c>
    </row>
    <row r="39" customFormat="false" ht="17" hidden="false" customHeight="true" outlineLevel="0" collapsed="false">
      <c r="A39" s="200" t="s">
        <v>36</v>
      </c>
      <c r="B39" s="201" t="str">
        <f aca="false">IF(B38=Para1!$F$153,Para1!$F$109,IF(B38=Para1!$F$109,Para1!$F$148,IF(B38=Para1!$F$148,Para1!$F$111,IF(B38=Para1!$F$111,Para1!$F$120,IF(B38=Para1!$F$120,Para1!$F$170,IF(B38=Para1!$F$170,Para1!$F$173,Para1!$F$153))))))</f>
        <v>Wed</v>
      </c>
      <c r="C39" s="186"/>
      <c r="D39" s="203"/>
      <c r="E39" s="204"/>
      <c r="F39" s="205"/>
      <c r="G39" s="204"/>
      <c r="H39" s="204"/>
      <c r="I39" s="206"/>
      <c r="J39" s="255"/>
      <c r="K39" s="256"/>
      <c r="L39" s="209"/>
      <c r="M39" s="210"/>
      <c r="N39" s="195"/>
      <c r="O39" s="145"/>
      <c r="P39" s="259" t="n">
        <f aca="false">P32</f>
        <v>1</v>
      </c>
      <c r="Q39" s="259" t="n">
        <f aca="false">Q32</f>
        <v>1</v>
      </c>
      <c r="R39" s="145" t="e">
        <f aca="false">IF(VLOOKUP(A39,Para1!$B$67:$E$72,2,0)="3.",VLOOKUP(A39,Para1!$B$67:$E$72,3,0),"")</f>
        <v>#N/A</v>
      </c>
      <c r="S39" s="145" t="str">
        <f aca="false">IF((P39+Q39)=0,"",IF(ISNA(R39),"",IF(R39="","",VLOOKUP(R39,Para1!$D$67:$G$79,3,0)*(IF(P39+Q39=1,0.5,1)))))</f>
        <v/>
      </c>
      <c r="T39" s="145" t="str">
        <f aca="false">IF(P39+Q39=0,"",IF(ISNA(R40),"",IF(R40="","",VLOOKUP(R40,Para1!$D$67:$G$79,4,0)*(IF(P39+Q39=1,0.5,1)))))</f>
        <v/>
      </c>
      <c r="U39" s="145" t="str">
        <f aca="false">IF(SUM(S39:T39)&gt;0,K39,"")</f>
        <v/>
      </c>
      <c r="V39" s="145" t="str">
        <f aca="false">IF(SUM(S39:T39)&gt;0,L39,"")</f>
        <v/>
      </c>
      <c r="W39" s="145" t="n">
        <f aca="false">IF(S39=0,P39+Q39,0)</f>
        <v>0</v>
      </c>
    </row>
    <row r="40" customFormat="false" ht="17" hidden="false" customHeight="true" outlineLevel="0" collapsed="false">
      <c r="A40" s="216" t="s">
        <v>37</v>
      </c>
      <c r="B40" s="201" t="str">
        <f aca="false">IF(B39=Para1!$F$153,Para1!$F$109,IF(B39=Para1!$F$109,Para1!$F$148,IF(B39=Para1!$F$148,Para1!$F$111,IF(B39=Para1!$F$111,Para1!$F$120,IF(B39=Para1!$F$120,Para1!$F$170,IF(B39=Para1!$F$170,Para1!$F$173,Para1!$F$153))))))</f>
        <v>Thu</v>
      </c>
      <c r="C40" s="186"/>
      <c r="D40" s="203"/>
      <c r="E40" s="204"/>
      <c r="F40" s="205"/>
      <c r="G40" s="204"/>
      <c r="H40" s="204"/>
      <c r="I40" s="206"/>
      <c r="J40" s="255"/>
      <c r="K40" s="256"/>
      <c r="L40" s="209"/>
      <c r="M40" s="210"/>
      <c r="N40" s="195"/>
      <c r="O40" s="145"/>
      <c r="P40" s="259" t="n">
        <f aca="false">P33</f>
        <v>1</v>
      </c>
      <c r="Q40" s="259" t="n">
        <f aca="false">Q33</f>
        <v>1</v>
      </c>
      <c r="R40" s="145" t="e">
        <f aca="false">IF(VLOOKUP(A40,Para1!$B$67:$E$72,2,0)="3.",VLOOKUP(A40,Para1!$B$67:$E$72,3,0),"")</f>
        <v>#N/A</v>
      </c>
      <c r="S40" s="145" t="str">
        <f aca="false">IF((P40+Q40)=0,"",IF(ISNA(R40),"",IF(R40="","",VLOOKUP(R40,Para1!$D$67:$G$79,3,0)*(IF(P40+Q40=1,0.5,1)))))</f>
        <v/>
      </c>
      <c r="T40" s="145" t="str">
        <f aca="false">IF(P40+Q40=0,"",IF(ISNA(R41),"",IF(R41="","",VLOOKUP(R41,Para1!$D$67:$G$79,4,0)*(IF(P40+Q40=1,0.5,1)))))</f>
        <v/>
      </c>
      <c r="U40" s="145" t="str">
        <f aca="false">IF(SUM(S40:T40)&gt;0,K40,"")</f>
        <v/>
      </c>
      <c r="V40" s="145" t="str">
        <f aca="false">IF(SUM(S40:T40)&gt;0,L40,"")</f>
        <v/>
      </c>
      <c r="W40" s="145" t="n">
        <f aca="false">IF(S40=0,P40+Q40,0)</f>
        <v>0</v>
      </c>
    </row>
    <row r="41" customFormat="false" ht="17" hidden="false" customHeight="true" outlineLevel="0" collapsed="false">
      <c r="A41" s="200" t="s">
        <v>38</v>
      </c>
      <c r="B41" s="201" t="str">
        <f aca="false">IF(B40=Para1!$F$153,Para1!$F$109,IF(B40=Para1!$F$109,Para1!$F$148,IF(B40=Para1!$F$148,Para1!$F$111,IF(B40=Para1!$F$111,Para1!$F$120,IF(B40=Para1!$F$120,Para1!$F$170,IF(B40=Para1!$F$170,Para1!$F$173,Para1!$F$153))))))</f>
        <v>Fri</v>
      </c>
      <c r="C41" s="202"/>
      <c r="D41" s="203"/>
      <c r="E41" s="204"/>
      <c r="F41" s="205"/>
      <c r="G41" s="204"/>
      <c r="H41" s="204"/>
      <c r="I41" s="206"/>
      <c r="J41" s="255"/>
      <c r="K41" s="256"/>
      <c r="L41" s="209"/>
      <c r="M41" s="210"/>
      <c r="N41" s="195"/>
      <c r="O41" s="145"/>
      <c r="P41" s="259" t="n">
        <f aca="false">P34</f>
        <v>1</v>
      </c>
      <c r="Q41" s="259" t="n">
        <f aca="false">Q34</f>
        <v>1</v>
      </c>
      <c r="R41" s="145" t="e">
        <f aca="false">IF(VLOOKUP(A41,Para1!$B$67:$E$72,2,0)="3.",VLOOKUP(A41,Para1!$B$67:$E$72,3,0),"")</f>
        <v>#N/A</v>
      </c>
      <c r="S41" s="145" t="str">
        <f aca="false">IF((P41+Q41)=0,"",IF(ISNA(R41),"",IF(R41="","",VLOOKUP(R41,Para1!$D$67:$G$79,3,0)*(IF(P41+Q41=1,0.5,1)))))</f>
        <v/>
      </c>
      <c r="T41" s="145" t="str">
        <f aca="false">IF(P41+Q41=0,"",IF(ISNA(R42),"",IF(R42="","",VLOOKUP(R42,Para1!$D$67:$G$79,4,0)*(IF(P41+Q41=1,0.5,1)))))</f>
        <v/>
      </c>
      <c r="U41" s="145" t="str">
        <f aca="false">IF(SUM(S41:T41)&gt;0,K41,"")</f>
        <v/>
      </c>
      <c r="V41" s="145" t="str">
        <f aca="false">IF(SUM(S41:T41)&gt;0,L41,"")</f>
        <v/>
      </c>
      <c r="W41" s="145" t="n">
        <f aca="false">IF(S41=0,P41+Q41,0)</f>
        <v>0</v>
      </c>
    </row>
    <row r="42" s="258" customFormat="true" ht="17" hidden="false" customHeight="true" outlineLevel="0" collapsed="false">
      <c r="A42" s="216" t="s">
        <v>39</v>
      </c>
      <c r="B42" s="201" t="str">
        <f aca="false">IF(B41=Para1!$F$153,Para1!$F$109,IF(B41=Para1!$F$109,Para1!$F$148,IF(B41=Para1!$F$148,Para1!$F$111,IF(B41=Para1!$F$111,Para1!$F$120,IF(B41=Para1!$F$120,Para1!$F$170,IF(B41=Para1!$F$170,Para1!$F$173,Para1!$F$153))))))</f>
        <v>Sat</v>
      </c>
      <c r="C42" s="202"/>
      <c r="D42" s="203"/>
      <c r="E42" s="204"/>
      <c r="F42" s="205"/>
      <c r="G42" s="204"/>
      <c r="H42" s="204"/>
      <c r="I42" s="206"/>
      <c r="J42" s="255"/>
      <c r="K42" s="256"/>
      <c r="L42" s="209"/>
      <c r="M42" s="210"/>
      <c r="N42" s="195"/>
      <c r="O42" s="145"/>
      <c r="P42" s="259" t="n">
        <f aca="false">P35</f>
        <v>0</v>
      </c>
      <c r="Q42" s="259" t="n">
        <f aca="false">Q35</f>
        <v>0</v>
      </c>
      <c r="R42" s="145" t="e">
        <f aca="false">IF(VLOOKUP(A42,Para1!$B$67:$E$72,2,0)="3.",VLOOKUP(A42,Para1!$B$67:$E$72,3,0),"")</f>
        <v>#N/A</v>
      </c>
      <c r="S42" s="145" t="str">
        <f aca="false">IF((P42+Q42)=0,"",IF(ISNA(R42),"",IF(R42="","",VLOOKUP(R42,Para1!$D$67:$G$79,3,0)*(IF(P42+Q42=1,0.5,1)))))</f>
        <v/>
      </c>
      <c r="T42" s="145" t="str">
        <f aca="false">IF(P42+Q42=0,"",IF(ISNA(R43),"",IF(R43="","",VLOOKUP(R43,Para1!$D$67:$G$79,4,0)*(IF(P42+Q42=1,0.5,1)))))</f>
        <v/>
      </c>
      <c r="U42" s="145" t="str">
        <f aca="false">IF(SUM(S42:T42)&gt;0,K42,"")</f>
        <v/>
      </c>
      <c r="V42" s="145" t="str">
        <f aca="false">IF(SUM(S42:T42)&gt;0,L42,"")</f>
        <v/>
      </c>
      <c r="W42" s="145" t="n">
        <f aca="false">IF(S42=0,P42+Q42,0)</f>
        <v>0</v>
      </c>
    </row>
    <row r="43" s="258" customFormat="true" ht="17" hidden="false" customHeight="true" outlineLevel="0" collapsed="false">
      <c r="A43" s="216" t="s">
        <v>40</v>
      </c>
      <c r="B43" s="201" t="str">
        <f aca="false">IF(B42=Para1!$F$153,Para1!$F$109,IF(B42=Para1!$F$109,Para1!$F$148,IF(B42=Para1!$F$148,Para1!$F$111,IF(B42=Para1!$F$111,Para1!$F$120,IF(B42=Para1!$F$120,Para1!$F$170,IF(B42=Para1!$F$170,Para1!$F$173,Para1!$F$153))))))</f>
        <v>Sun</v>
      </c>
      <c r="C43" s="202"/>
      <c r="D43" s="203"/>
      <c r="E43" s="204"/>
      <c r="F43" s="205"/>
      <c r="G43" s="204"/>
      <c r="H43" s="204"/>
      <c r="I43" s="206"/>
      <c r="J43" s="255"/>
      <c r="K43" s="256"/>
      <c r="L43" s="209"/>
      <c r="M43" s="210"/>
      <c r="N43" s="195"/>
      <c r="O43" s="145"/>
      <c r="P43" s="259" t="n">
        <f aca="false">P36</f>
        <v>0</v>
      </c>
      <c r="Q43" s="259" t="n">
        <f aca="false">Q36</f>
        <v>0</v>
      </c>
      <c r="R43" s="145" t="e">
        <f aca="false">IF(VLOOKUP(A43,Para1!$B$67:$E$72,2,0)="3.",VLOOKUP(A43,Para1!$B$67:$E$72,3,0),"")</f>
        <v>#N/A</v>
      </c>
      <c r="S43" s="145" t="str">
        <f aca="false">IF((P43+Q43)=0,"",IF(ISNA(R43),"",IF(R43="","",VLOOKUP(R43,Para1!$D$67:$G$79,3,0)*(IF(P43+Q43=1,0.5,1)))))</f>
        <v/>
      </c>
      <c r="T43" s="145" t="str">
        <f aca="false">IF(P43+Q43=0,"",IF(ISNA(R44),"",IF(R44="","",VLOOKUP(R44,Para1!$D$67:$G$79,4,0)*(IF(P43+Q43=1,0.5,1)))))</f>
        <v/>
      </c>
      <c r="U43" s="145" t="str">
        <f aca="false">IF(SUM(S43:T43)&gt;0,K43,"")</f>
        <v/>
      </c>
      <c r="V43" s="145" t="str">
        <f aca="false">IF(SUM(S43:T43)&gt;0,L43,"")</f>
        <v/>
      </c>
      <c r="W43" s="145" t="n">
        <f aca="false">IF(S43=0,P43+Q43,0)</f>
        <v>0</v>
      </c>
    </row>
    <row r="44" customFormat="false" ht="17" hidden="false" customHeight="true" outlineLevel="0" collapsed="false">
      <c r="A44" s="200" t="s">
        <v>41</v>
      </c>
      <c r="B44" s="201" t="str">
        <f aca="false">IF(B43=Para1!$F$153,Para1!$F$109,IF(B43=Para1!$F$109,Para1!$F$148,IF(B43=Para1!$F$148,Para1!$F$111,IF(B43=Para1!$F$111,Para1!$F$120,IF(B43=Para1!$F$120,Para1!$F$170,IF(B43=Para1!$F$170,Para1!$F$173,Para1!$F$153))))))</f>
        <v>Mon</v>
      </c>
      <c r="C44" s="202"/>
      <c r="D44" s="203"/>
      <c r="E44" s="204"/>
      <c r="F44" s="205"/>
      <c r="G44" s="204"/>
      <c r="H44" s="204"/>
      <c r="I44" s="206"/>
      <c r="J44" s="255"/>
      <c r="K44" s="256"/>
      <c r="L44" s="209"/>
      <c r="M44" s="210"/>
      <c r="N44" s="195"/>
      <c r="O44" s="145"/>
      <c r="P44" s="259" t="n">
        <f aca="false">P37</f>
        <v>1</v>
      </c>
      <c r="Q44" s="259" t="n">
        <f aca="false">Q37</f>
        <v>1</v>
      </c>
      <c r="R44" s="145" t="e">
        <f aca="false">IF(VLOOKUP(A44,Para1!$B$67:$E$72,2,0)="3.",VLOOKUP(A44,Para1!$B$67:$E$72,3,0),"")</f>
        <v>#N/A</v>
      </c>
      <c r="S44" s="145" t="str">
        <f aca="false">IF((P44+Q44)=0,"",IF(ISNA(R44),"",IF(R44="","",VLOOKUP(R44,Para1!$D$67:$G$79,3,0)*(IF(P44+Q44=1,0.5,1)))))</f>
        <v/>
      </c>
      <c r="T44" s="145" t="str">
        <f aca="false">IF(P44+Q44=0,"",IF(ISNA(R45),"",IF(R45="","",VLOOKUP(R45,Para1!$D$67:$G$79,4,0)*(IF(P44+Q44=1,0.5,1)))))</f>
        <v/>
      </c>
      <c r="U44" s="145" t="str">
        <f aca="false">IF(SUM(S44:T44)&gt;0,K44,"")</f>
        <v/>
      </c>
      <c r="V44" s="145" t="str">
        <f aca="false">IF(SUM(S44:T44)&gt;0,L44,"")</f>
        <v/>
      </c>
      <c r="W44" s="145" t="n">
        <f aca="false">IF(S44=0,P44+Q44,0)</f>
        <v>0</v>
      </c>
    </row>
    <row r="45" customFormat="false" ht="17" hidden="false" customHeight="true" outlineLevel="0" collapsed="false">
      <c r="A45" s="200" t="s">
        <v>42</v>
      </c>
      <c r="B45" s="201" t="str">
        <f aca="false">IF(B44=Para1!$F$153,Para1!$F$109,IF(B44=Para1!$F$109,Para1!$F$148,IF(B44=Para1!$F$148,Para1!$F$111,IF(B44=Para1!$F$111,Para1!$F$120,IF(B44=Para1!$F$120,Para1!$F$170,IF(B44=Para1!$F$170,Para1!$F$173,Para1!$F$153))))))</f>
        <v>Tue</v>
      </c>
      <c r="C45" s="202"/>
      <c r="D45" s="203"/>
      <c r="E45" s="204"/>
      <c r="F45" s="205"/>
      <c r="G45" s="204"/>
      <c r="H45" s="204"/>
      <c r="I45" s="206"/>
      <c r="J45" s="255"/>
      <c r="K45" s="256"/>
      <c r="L45" s="209"/>
      <c r="M45" s="210"/>
      <c r="N45" s="195"/>
      <c r="O45" s="145"/>
      <c r="P45" s="259" t="n">
        <f aca="false">P38</f>
        <v>1</v>
      </c>
      <c r="Q45" s="259" t="n">
        <f aca="false">Q38</f>
        <v>1</v>
      </c>
      <c r="R45" s="145" t="str">
        <f aca="false">IF(VLOOKUP(A45,Para1!$B$67:$E$72,2,0)="3.",VLOOKUP(A45,Para1!$B$67:$E$72,3,0),"")</f>
        <v/>
      </c>
      <c r="S45" s="145" t="str">
        <f aca="false">IF((P45+Q45)=0,"",IF(ISNA(R45),"",IF(R45="","",VLOOKUP(R45,Para1!$D$67:$G$79,3,0)*(IF(P45+Q45=1,0.5,1)))))</f>
        <v/>
      </c>
      <c r="T45" s="145" t="str">
        <f aca="false">IF(P45+Q45=0,"",IF(ISNA(R46),"",IF(R46="","",VLOOKUP(R46,Para1!$D$67:$G$79,4,0)*(IF(P45+Q45=1,0.5,1)))))</f>
        <v/>
      </c>
      <c r="U45" s="145" t="str">
        <f aca="false">IF(SUM(S45:T45)&gt;0,K45,"")</f>
        <v/>
      </c>
      <c r="V45" s="145" t="str">
        <f aca="false">IF(SUM(S45:T45)&gt;0,L45,"")</f>
        <v/>
      </c>
      <c r="W45" s="145" t="n">
        <f aca="false">IF(S45=0,P45+Q45,0)</f>
        <v>0</v>
      </c>
    </row>
    <row r="46" customFormat="false" ht="17" hidden="false" customHeight="true" outlineLevel="0" collapsed="false">
      <c r="A46" s="200" t="s">
        <v>43</v>
      </c>
      <c r="B46" s="201" t="str">
        <f aca="false">IF(B45=Para1!$F$153,Para1!$F$109,IF(B45=Para1!$F$109,Para1!$F$148,IF(B45=Para1!$F$148,Para1!$F$111,IF(B45=Para1!$F$111,Para1!$F$120,IF(B45=Para1!$F$120,Para1!$F$170,IF(B45=Para1!$F$170,Para1!$F$173,Para1!$F$153))))))</f>
        <v>Wed</v>
      </c>
      <c r="C46" s="186"/>
      <c r="D46" s="203"/>
      <c r="E46" s="204"/>
      <c r="F46" s="205"/>
      <c r="G46" s="204"/>
      <c r="H46" s="204"/>
      <c r="I46" s="206"/>
      <c r="J46" s="255"/>
      <c r="K46" s="256"/>
      <c r="L46" s="209"/>
      <c r="M46" s="210"/>
      <c r="N46" s="195"/>
      <c r="O46" s="145"/>
      <c r="P46" s="259" t="n">
        <f aca="false">P39</f>
        <v>1</v>
      </c>
      <c r="Q46" s="259" t="n">
        <f aca="false">Q39</f>
        <v>1</v>
      </c>
      <c r="R46" s="145" t="str">
        <f aca="false">IF(VLOOKUP(A46,Para1!$B$67:$E$72,2,0)="3.",VLOOKUP(A46,Para1!$B$67:$E$72,3,0),"")</f>
        <v/>
      </c>
      <c r="S46" s="145" t="str">
        <f aca="false">IF((P46+Q46)=0,"",IF(ISNA(R46),"",IF(R46="","",VLOOKUP(R46,Para1!$D$67:$G$79,3,0)*(IF(P46+Q46=1,0.5,1)))))</f>
        <v/>
      </c>
      <c r="T46" s="145" t="str">
        <f aca="false">IF(P46+Q46=0,"",IF(ISNA(R47),"",IF(R47="","",VLOOKUP(R47,Para1!$D$67:$G$79,4,0)*(IF(P46+Q46=1,0.5,1)))))</f>
        <v/>
      </c>
      <c r="U46" s="145" t="str">
        <f aca="false">IF(SUM(S46:T46)&gt;0,K46,"")</f>
        <v/>
      </c>
      <c r="V46" s="145" t="str">
        <f aca="false">IF(SUM(S46:T46)&gt;0,L46,"")</f>
        <v/>
      </c>
      <c r="W46" s="145" t="n">
        <f aca="false">IF(S46=0,P46+Q46,0)</f>
        <v>0</v>
      </c>
    </row>
    <row r="47" customFormat="false" ht="17" hidden="false" customHeight="true" outlineLevel="0" collapsed="false">
      <c r="A47" s="216" t="s">
        <v>44</v>
      </c>
      <c r="B47" s="201" t="str">
        <f aca="false">IF(B46=Para1!$F$153,Para1!$F$109,IF(B46=Para1!$F$109,Para1!$F$148,IF(B46=Para1!$F$148,Para1!$F$111,IF(B46=Para1!$F$111,Para1!$F$120,IF(B46=Para1!$F$120,Para1!$F$170,IF(B46=Para1!$F$170,Para1!$F$173,Para1!$F$153))))))</f>
        <v>Thu</v>
      </c>
      <c r="C47" s="186"/>
      <c r="D47" s="203"/>
      <c r="E47" s="204"/>
      <c r="F47" s="205"/>
      <c r="G47" s="204"/>
      <c r="H47" s="204"/>
      <c r="I47" s="206"/>
      <c r="J47" s="255"/>
      <c r="K47" s="256"/>
      <c r="L47" s="209"/>
      <c r="M47" s="210"/>
      <c r="N47" s="195"/>
      <c r="O47" s="145"/>
      <c r="P47" s="259" t="n">
        <f aca="false">P40</f>
        <v>1</v>
      </c>
      <c r="Q47" s="259" t="n">
        <f aca="false">Q40</f>
        <v>1</v>
      </c>
      <c r="R47" s="145" t="e">
        <f aca="false">IF(VLOOKUP(A47,Para1!$B$67:$E$72,2,0)="3.",VLOOKUP(A47,Para1!$B$67:$E$72,3,0),"")</f>
        <v>#N/A</v>
      </c>
      <c r="S47" s="145" t="str">
        <f aca="false">IF((P47+Q47)=0,"",IF(ISNA(R47),"",IF(R47="","",VLOOKUP(R47,Para1!$D$67:$G$79,3,0)*(IF(P47+Q47=1,0.5,1)))))</f>
        <v/>
      </c>
      <c r="T47" s="145" t="str">
        <f aca="false">IF(P47+Q47=0,"",IF(ISNA(R48),"",IF(R48="","",VLOOKUP(R48,Para1!$D$67:$G$79,4,0)*(IF(P47+Q47=1,0.5,1)))))</f>
        <v/>
      </c>
      <c r="U47" s="145" t="str">
        <f aca="false">IF(SUM(S47:T47)&gt;0,K47,"")</f>
        <v/>
      </c>
      <c r="V47" s="145" t="str">
        <f aca="false">IF(SUM(S47:T47)&gt;0,L47,"")</f>
        <v/>
      </c>
      <c r="W47" s="145" t="n">
        <f aca="false">IF(S47=0,P47+Q47,0)</f>
        <v>0</v>
      </c>
    </row>
    <row r="48" customFormat="false" ht="17" hidden="false" customHeight="true" outlineLevel="0" collapsed="false">
      <c r="A48" s="200" t="s">
        <v>45</v>
      </c>
      <c r="B48" s="201" t="str">
        <f aca="false">IF(B47=Para1!$F$153,Para1!$F$109,IF(B47=Para1!$F$109,Para1!$F$148,IF(B47=Para1!$F$148,Para1!$F$111,IF(B47=Para1!$F$111,Para1!$F$120,IF(B47=Para1!$F$120,Para1!$F$170,IF(B47=Para1!$F$170,Para1!$F$173,Para1!$F$153))))))</f>
        <v>Fri</v>
      </c>
      <c r="C48" s="202"/>
      <c r="D48" s="203"/>
      <c r="E48" s="204"/>
      <c r="F48" s="205"/>
      <c r="G48" s="204"/>
      <c r="H48" s="204"/>
      <c r="I48" s="206"/>
      <c r="J48" s="255"/>
      <c r="K48" s="256"/>
      <c r="L48" s="209"/>
      <c r="M48" s="210"/>
      <c r="N48" s="195"/>
      <c r="O48" s="145"/>
      <c r="P48" s="259" t="n">
        <f aca="false">P41</f>
        <v>1</v>
      </c>
      <c r="Q48" s="259" t="n">
        <f aca="false">Q41</f>
        <v>1</v>
      </c>
      <c r="R48" s="145" t="e">
        <f aca="false">IF(VLOOKUP(A48,Para1!$B$67:$E$72,2,0)="3.",VLOOKUP(A48,Para1!$B$67:$E$72,3,0),"")</f>
        <v>#N/A</v>
      </c>
      <c r="S48" s="145" t="str">
        <f aca="false">IF((P48+Q48)=0,"",IF(ISNA(R48),"",IF(R48="","",VLOOKUP(R48,Para1!$D$67:$G$79,3,0)*(IF(P48+Q48=1,0.5,1)))))</f>
        <v/>
      </c>
      <c r="T48" s="145" t="str">
        <f aca="false">IF(P48+Q48=0,"",IF(ISNA(R49),"",IF(R49="","",VLOOKUP(R49,Para1!$D$67:$G$79,4,0)*(IF(P48+Q48=1,0.5,1)))))</f>
        <v/>
      </c>
      <c r="U48" s="145" t="str">
        <f aca="false">IF(SUM(S48:T48)&gt;0,K48,"")</f>
        <v/>
      </c>
      <c r="V48" s="145" t="str">
        <f aca="false">IF(SUM(S48:T48)&gt;0,L48,"")</f>
        <v/>
      </c>
      <c r="W48" s="145" t="n">
        <f aca="false">IF(S48=0,P48+Q48,0)</f>
        <v>0</v>
      </c>
    </row>
    <row r="49" s="258" customFormat="true" ht="16.5" hidden="false" customHeight="true" outlineLevel="0" collapsed="false">
      <c r="A49" s="216" t="s">
        <v>46</v>
      </c>
      <c r="B49" s="201" t="str">
        <f aca="false">IF(B48=Para1!$F$153,Para1!$F$109,IF(B48=Para1!$F$109,Para1!$F$148,IF(B48=Para1!$F$148,Para1!$F$111,IF(B48=Para1!$F$111,Para1!$F$120,IF(B48=Para1!$F$120,Para1!$F$170,IF(B48=Para1!$F$170,Para1!$F$173,Para1!$F$153))))))</f>
        <v>Sat</v>
      </c>
      <c r="C49" s="202"/>
      <c r="D49" s="203"/>
      <c r="E49" s="204"/>
      <c r="F49" s="205"/>
      <c r="G49" s="204"/>
      <c r="H49" s="204"/>
      <c r="I49" s="206"/>
      <c r="J49" s="255"/>
      <c r="K49" s="256"/>
      <c r="L49" s="209"/>
      <c r="M49" s="210"/>
      <c r="N49" s="195"/>
      <c r="O49" s="145"/>
      <c r="P49" s="259" t="n">
        <f aca="false">P42</f>
        <v>0</v>
      </c>
      <c r="Q49" s="259" t="n">
        <f aca="false">Q42</f>
        <v>0</v>
      </c>
      <c r="R49" s="145" t="e">
        <f aca="false">IF(VLOOKUP(A49,Para1!$B$67:$E$72,2,0)="3.",VLOOKUP(A49,Para1!$B$67:$E$72,3,0),"")</f>
        <v>#N/A</v>
      </c>
      <c r="S49" s="145" t="str">
        <f aca="false">IF((P49+Q49)=0,"",IF(ISNA(R49),"",IF(R49="","",VLOOKUP(R49,Para1!$D$67:$G$79,3,0)*(IF(P49+Q49=1,0.5,1)))))</f>
        <v/>
      </c>
      <c r="T49" s="145" t="str">
        <f aca="false">IF(P49+Q49=0,"",IF(ISNA(R50),"",IF(R50="","",VLOOKUP(R50,Para1!$D$67:$G$79,4,0)*(IF(P49+Q49=1,0.5,1)))))</f>
        <v/>
      </c>
      <c r="U49" s="145" t="str">
        <f aca="false">IF(SUM(S49:T49)&gt;0,K49,"")</f>
        <v/>
      </c>
      <c r="V49" s="145" t="str">
        <f aca="false">IF(SUM(S49:T49)&gt;0,L49,"")</f>
        <v/>
      </c>
      <c r="W49" s="145" t="n">
        <f aca="false">IF(S49=0,P49+Q49,0)</f>
        <v>0</v>
      </c>
    </row>
    <row r="50" s="258" customFormat="true" ht="17" hidden="false" customHeight="true" outlineLevel="0" collapsed="false">
      <c r="A50" s="216" t="s">
        <v>47</v>
      </c>
      <c r="B50" s="201" t="str">
        <f aca="false">IF(B49=Para1!$F$153,Para1!$F$109,IF(B49=Para1!$F$109,Para1!$F$148,IF(B49=Para1!$F$148,Para1!$F$111,IF(B49=Para1!$F$111,Para1!$F$120,IF(B49=Para1!$F$120,Para1!$F$170,IF(B49=Para1!$F$170,Para1!$F$173,Para1!$F$153))))))</f>
        <v>Sun</v>
      </c>
      <c r="C50" s="202"/>
      <c r="D50" s="203"/>
      <c r="E50" s="204"/>
      <c r="F50" s="205"/>
      <c r="G50" s="204"/>
      <c r="H50" s="204"/>
      <c r="I50" s="206"/>
      <c r="J50" s="255"/>
      <c r="K50" s="256"/>
      <c r="L50" s="209"/>
      <c r="M50" s="210"/>
      <c r="N50" s="195"/>
      <c r="O50" s="145"/>
      <c r="P50" s="262" t="n">
        <f aca="false">P43</f>
        <v>0</v>
      </c>
      <c r="Q50" s="262" t="n">
        <f aca="false">Q43</f>
        <v>0</v>
      </c>
      <c r="R50" s="145" t="e">
        <f aca="false">IF(VLOOKUP(A50,Para1!$B$67:$E$72,2,0)="3.",VLOOKUP(A50,Para1!$B$67:$E$72,3,0),"")</f>
        <v>#N/A</v>
      </c>
      <c r="S50" s="145" t="str">
        <f aca="false">IF((P50+Q50)=0,"",IF(ISNA(R50),"",IF(R50="","",VLOOKUP(R50,Para1!$D$67:$G$79,3,0)*(IF(P50+Q50=1,0.5,1)))))</f>
        <v/>
      </c>
      <c r="T50" s="145" t="str">
        <f aca="false">IF(P50+Q50=0,"",IF(ISNA(R51),"",IF(R51="","",VLOOKUP(R51,Para1!$D$67:$G$79,4,0)*(IF(P50+Q50=1,0.5,1)))))</f>
        <v/>
      </c>
      <c r="U50" s="145" t="str">
        <f aca="false">IF(SUM(S50:T50)&gt;0,K50,"")</f>
        <v/>
      </c>
      <c r="V50" s="145" t="str">
        <f aca="false">IF(SUM(S50:T50)&gt;0,L50,"")</f>
        <v/>
      </c>
      <c r="W50" s="145" t="n">
        <f aca="false">IF(S50=0,P50+Q50,0)</f>
        <v>0</v>
      </c>
    </row>
    <row r="51" customFormat="false" ht="17" hidden="false" customHeight="true" outlineLevel="0" collapsed="false">
      <c r="A51" s="200" t="s">
        <v>48</v>
      </c>
      <c r="B51" s="201" t="str">
        <f aca="false">IF(B50=Para1!$F$153,Para1!$F$109,IF(B50=Para1!$F$109,Para1!$F$148,IF(B50=Para1!$F$148,Para1!$F$111,IF(B50=Para1!$F$111,Para1!$F$120,IF(B50=Para1!$F$120,Para1!$F$170,IF(B50=Para1!$F$170,Para1!$F$173,Para1!$F$153))))))</f>
        <v>Mon</v>
      </c>
      <c r="C51" s="287"/>
      <c r="D51" s="203"/>
      <c r="E51" s="204"/>
      <c r="F51" s="205"/>
      <c r="G51" s="204"/>
      <c r="H51" s="204"/>
      <c r="I51" s="206"/>
      <c r="J51" s="255"/>
      <c r="K51" s="256"/>
      <c r="L51" s="209"/>
      <c r="M51" s="210"/>
      <c r="N51" s="195"/>
      <c r="O51" s="145"/>
      <c r="P51" s="217" t="n">
        <f aca="false">P44</f>
        <v>1</v>
      </c>
      <c r="Q51" s="259" t="n">
        <f aca="false">Q44</f>
        <v>1</v>
      </c>
      <c r="R51" s="145" t="e">
        <f aca="false">IF(VLOOKUP(A51,Para1!$B$67:$E$72,2,0)="3.",VLOOKUP(A51,Para1!$B$67:$E$72,3,0),"")</f>
        <v>#N/A</v>
      </c>
      <c r="S51" s="145" t="str">
        <f aca="false">IF((P51+Q51)=0,"",IF(ISNA(R51),"",IF(R51="","",VLOOKUP(R51,Para1!$D$67:$G$79,3,0)*(IF(P51+Q51=1,0.5,1)))))</f>
        <v/>
      </c>
      <c r="T51" s="145" t="str">
        <f aca="false">IF(P51+Q51=0,"",IF(ISNA(R52),"",IF(R52="","",VLOOKUP(R52,Para1!$D$67:$G$79,4,0)*(IF(P51+Q51=1,0.5,1)))))</f>
        <v/>
      </c>
      <c r="U51" s="145" t="str">
        <f aca="false">IF(SUM(S51:T51)&gt;0,K51,"")</f>
        <v/>
      </c>
      <c r="V51" s="145" t="str">
        <f aca="false">IF(SUM(S51:T51)&gt;0,L51,"")</f>
        <v/>
      </c>
      <c r="W51" s="145" t="n">
        <f aca="false">IF(S51=0,P51+Q51,0)</f>
        <v>0</v>
      </c>
    </row>
    <row r="52" customFormat="false" ht="16.5" hidden="false" customHeight="true" outlineLevel="0" collapsed="false">
      <c r="A52" s="200" t="s">
        <v>49</v>
      </c>
      <c r="B52" s="201" t="str">
        <f aca="false">IF(B51=Para1!$F$153,Para1!$F$109,IF(B51=Para1!$F$109,Para1!$F$148,IF(B51=Para1!$F$148,Para1!$F$111,IF(B51=Para1!$F$111,Para1!$F$120,IF(B51=Para1!$F$120,Para1!$F$170,IF(B51=Para1!$F$170,Para1!$F$173,Para1!$F$153))))))</f>
        <v>Tue</v>
      </c>
      <c r="C52" s="287"/>
      <c r="D52" s="203"/>
      <c r="E52" s="204"/>
      <c r="F52" s="205"/>
      <c r="G52" s="204"/>
      <c r="H52" s="204"/>
      <c r="I52" s="206"/>
      <c r="J52" s="255"/>
      <c r="K52" s="256"/>
      <c r="L52" s="209"/>
      <c r="M52" s="210"/>
      <c r="N52" s="195"/>
      <c r="O52" s="145"/>
      <c r="P52" s="217" t="n">
        <f aca="false">P45</f>
        <v>1</v>
      </c>
      <c r="Q52" s="259" t="n">
        <f aca="false">Q45</f>
        <v>1</v>
      </c>
      <c r="R52" s="145" t="e">
        <f aca="false">IF(VLOOKUP(A52,Para1!$B$67:$E$72,2,0)="3.",VLOOKUP(A52,Para1!$B$67:$E$72,3,0),"")</f>
        <v>#N/A</v>
      </c>
      <c r="S52" s="145" t="str">
        <f aca="false">IF((P52+Q52)=0,"",IF(ISNA(R52),"",IF(R52="","",VLOOKUP(R52,Para1!$D$67:$G$79,3,0)*(IF(P52+Q52=1,0.5,1)))))</f>
        <v/>
      </c>
      <c r="T52" s="145" t="str">
        <f aca="false">IF(P52+Q52=0,"",IF(ISNA(R53),"",IF(R53="","",VLOOKUP(R53,Para1!$D$67:$G$79,4,0)*(IF(P52+Q52=1,0.5,1)))))</f>
        <v/>
      </c>
      <c r="U52" s="145" t="str">
        <f aca="false">IF(SUM(S52:T52)&gt;0,K52,"")</f>
        <v/>
      </c>
      <c r="V52" s="145" t="str">
        <f aca="false">IF(SUM(S52:T52)&gt;0,L52,"")</f>
        <v/>
      </c>
      <c r="W52" s="145" t="n">
        <f aca="false">IF(S52=0,P52+Q52,0)</f>
        <v>0</v>
      </c>
    </row>
    <row r="53" customFormat="false" ht="17" hidden="false" customHeight="true" outlineLevel="0" collapsed="false">
      <c r="A53" s="216" t="s">
        <v>50</v>
      </c>
      <c r="B53" s="201" t="str">
        <f aca="false">IF(B52=Para1!$F$153,Para1!$F$109,IF(B52=Para1!$F$109,Para1!$F$148,IF(B52=Para1!$F$148,Para1!$F$111,IF(B52=Para1!$F$111,Para1!$F$120,IF(B52=Para1!$F$120,Para1!$F$170,IF(B52=Para1!$F$170,Para1!$F$173,Para1!$F$153))))))</f>
        <v>Wed</v>
      </c>
      <c r="C53" s="186"/>
      <c r="D53" s="203"/>
      <c r="E53" s="204"/>
      <c r="F53" s="205"/>
      <c r="G53" s="204"/>
      <c r="H53" s="204"/>
      <c r="I53" s="206"/>
      <c r="J53" s="255"/>
      <c r="K53" s="288"/>
      <c r="L53" s="220"/>
      <c r="M53" s="210"/>
      <c r="N53" s="195"/>
      <c r="O53" s="145"/>
      <c r="P53" s="221" t="n">
        <f aca="false">P46</f>
        <v>1</v>
      </c>
      <c r="Q53" s="289" t="n">
        <f aca="false">Q46</f>
        <v>1</v>
      </c>
      <c r="R53" s="145" t="e">
        <f aca="false">IF(VLOOKUP(A53,Para1!$B$67:$E$72,2,0)="3.",VLOOKUP(A53,Para1!$B$67:$E$72,3,0),"")</f>
        <v>#N/A</v>
      </c>
      <c r="S53" s="145" t="str">
        <f aca="false">IF((P53+Q53)=0,"",IF(ISNA(R53),"",IF(R53="","",VLOOKUP(R53,Para1!$D$67:$G$79,3,0)*(IF(P53+Q53=1,0.5,1)))))</f>
        <v/>
      </c>
      <c r="T53" s="145" t="str">
        <f aca="false">IF(P53+Q53=0,"",IF(ISNA(April!R23),"",IF(April!R23="","",VLOOKUP(April!R23,Para1!$D$67:$G$79,4,0)*(IF(P53+Q53=1,0.5,1)))))</f>
        <v/>
      </c>
      <c r="U53" s="145" t="str">
        <f aca="false">IF(SUM(S53:T53)&gt;0,K53,"")</f>
        <v/>
      </c>
      <c r="V53" s="145" t="str">
        <f aca="false">IF(SUM(S53:T53)&gt;0,L53,"")</f>
        <v/>
      </c>
      <c r="W53" s="145" t="n">
        <f aca="false">IF(S53=0,P53+Q53,0)</f>
        <v>0</v>
      </c>
    </row>
    <row r="54" customFormat="false" ht="15" hidden="false" customHeight="false" outlineLevel="0" collapsed="false">
      <c r="A54" s="223"/>
      <c r="B54" s="197"/>
      <c r="C54" s="133"/>
      <c r="D54" s="224" t="n">
        <f aca="false">SUM(D23:D53)</f>
        <v>0</v>
      </c>
      <c r="E54" s="225" t="n">
        <f aca="false">SUM(E23:E53)</f>
        <v>0</v>
      </c>
      <c r="F54" s="290" t="n">
        <f aca="false">SUM(F23:F53)</f>
        <v>0</v>
      </c>
      <c r="G54" s="225" t="n">
        <f aca="false">SUM(G23:G53)</f>
        <v>0</v>
      </c>
      <c r="H54" s="225" t="n">
        <f aca="false">SUM(H23:H53)</f>
        <v>0</v>
      </c>
      <c r="I54" s="226" t="n">
        <f aca="false">SUM(I23:I53)</f>
        <v>0</v>
      </c>
      <c r="J54" s="282"/>
      <c r="K54" s="228"/>
      <c r="L54" s="228"/>
      <c r="M54" s="133"/>
      <c r="P54" s="229" t="str">
        <f aca="false">Para1!F174&amp;" "&amp;Para1!F168</f>
        <v>balance due / half-day</v>
      </c>
      <c r="Q54" s="229"/>
      <c r="R54" s="145" t="n">
        <f aca="false">SUM(W23:W53)</f>
        <v>0</v>
      </c>
      <c r="S54" s="145" t="n">
        <f aca="false">SUM(S23:S53)</f>
        <v>0</v>
      </c>
      <c r="T54" s="145" t="n">
        <f aca="false">SUM(T23:T53)</f>
        <v>0</v>
      </c>
    </row>
    <row r="55" customFormat="false" ht="15" hidden="false" customHeight="false" outlineLevel="0" collapsed="false">
      <c r="A55" s="283"/>
      <c r="B55" s="284"/>
      <c r="C55" s="284"/>
      <c r="D55" s="230" t="n">
        <f aca="false">D54*24</f>
        <v>0</v>
      </c>
      <c r="E55" s="291" t="n">
        <f aca="false">E54*24</f>
        <v>0</v>
      </c>
      <c r="F55" s="292" t="n">
        <f aca="false">F54*24</f>
        <v>0</v>
      </c>
      <c r="G55" s="231" t="n">
        <f aca="false">G54*24</f>
        <v>0</v>
      </c>
      <c r="H55" s="231" t="n">
        <f aca="false">H54*24</f>
        <v>0</v>
      </c>
      <c r="I55" s="232" t="n">
        <f aca="false">I54*24</f>
        <v>0</v>
      </c>
      <c r="J55" s="285"/>
      <c r="K55" s="234"/>
      <c r="L55" s="234"/>
      <c r="M55" s="235" t="str">
        <f aca="false">Para1!G2</f>
        <v>AE v1_01 02.12.2021</v>
      </c>
      <c r="P55" s="236" t="n">
        <f aca="false">(Para1!G59/100*$G$3+((S54+T54)/100*$G$3))/(SUM(P23:Q53)-R54)/24</f>
        <v>0.175</v>
      </c>
      <c r="Q55" s="236"/>
    </row>
    <row r="56" customFormat="false" ht="15" hidden="false" customHeight="false" outlineLevel="0" collapsed="false">
      <c r="Q56" s="133"/>
    </row>
    <row r="57" customFormat="false" ht="22.5" hidden="false" customHeight="true" outlineLevel="0" collapsed="false">
      <c r="A57" s="237" t="str">
        <f aca="false">Para1!F106</f>
        <v>date</v>
      </c>
      <c r="B57" s="238"/>
      <c r="C57" s="238"/>
      <c r="D57" s="239"/>
      <c r="E57" s="238"/>
      <c r="F57" s="240" t="str">
        <f aca="false">Para1!F191&amp;" "&amp;Para1!F152</f>
        <v>signature employee</v>
      </c>
      <c r="G57" s="238"/>
      <c r="H57" s="241"/>
      <c r="I57" s="241"/>
      <c r="J57" s="241"/>
      <c r="K57" s="241"/>
      <c r="L57" s="241"/>
      <c r="Q57" s="133"/>
      <c r="T57" s="250"/>
      <c r="U57" s="238"/>
      <c r="Y57" s="243"/>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row r="61" customFormat="false" ht="22.5" hidden="false" customHeight="true" outlineLevel="0" collapsed="false">
      <c r="A61" s="293"/>
      <c r="B61" s="238"/>
      <c r="C61" s="238"/>
      <c r="D61" s="248"/>
      <c r="E61" s="294"/>
      <c r="F61" s="248"/>
      <c r="G61" s="242"/>
      <c r="I61" s="134"/>
      <c r="J61" s="250"/>
      <c r="L61" s="250"/>
      <c r="M61" s="238"/>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3">
    <cfRule type="expression" priority="2" aboveAverage="0" equalAverage="0" bottom="0" percent="0" rank="0" text="" dxfId="15">
      <formula>$S23=0</formula>
    </cfRule>
    <cfRule type="expression" priority="3" aboveAverage="0" equalAverage="0" bottom="0" percent="0" rank="0" text="" dxfId="16">
      <formula>$P23+$Q23=0</formula>
    </cfRule>
  </conditionalFormatting>
  <conditionalFormatting sqref="D23:I53">
    <cfRule type="expression" priority="4" aboveAverage="0" equalAverage="0" bottom="0" percent="0" rank="0" text="" dxfId="17">
      <formula>$P23+$Q23=1</formula>
    </cfRule>
    <cfRule type="expression" priority="5" aboveAverage="0" equalAverage="0" bottom="0" percent="0" rank="0" text="" dxfId="18">
      <formula>$P23+$Q23=0</formula>
    </cfRule>
  </conditionalFormatting>
  <conditionalFormatting sqref="D23:I53 K23:L53 P23:Q53">
    <cfRule type="expression" priority="6" aboveAverage="0" equalAverage="0" bottom="0" percent="0" rank="0" text="" dxfId="19">
      <formula>$S23=0</formula>
    </cfRule>
  </conditionalFormatting>
  <conditionalFormatting sqref="K23:K53 P23:P53">
    <cfRule type="expression" priority="7" aboveAverage="0" equalAverage="0" bottom="0" percent="0" rank="0" text="" dxfId="20">
      <formula>$P23=0</formula>
    </cfRule>
  </conditionalFormatting>
  <conditionalFormatting sqref="L23:L53 Q23:Q53">
    <cfRule type="expression" priority="8" aboveAverage="0" equalAverage="0" bottom="0" percent="0" rank="0" text="" dxfId="21">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 right="0.379861111111111" top="0.790277777777778" bottom="0.39375" header="0.290277777777778" footer="0.157638888888889"/>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61"/>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B42" activeCellId="0" sqref="B42"/>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7" min="4" style="117" width="12.66"/>
    <col collapsed="false" customWidth="true" hidden="false" outlineLevel="0" max="8" min="8" style="145" width="12.66"/>
    <col collapsed="false" customWidth="true" hidden="false" outlineLevel="0" max="9" min="9" style="117" width="12.66"/>
    <col collapsed="false" customWidth="true" hidden="false" outlineLevel="0" max="10" min="10" style="117" width="2.84"/>
    <col collapsed="false" customWidth="true" hidden="false" outlineLevel="0" max="12" min="11" style="117"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2"/>
    <col collapsed="false" customWidth="false" hidden="false" outlineLevel="0" max="1024" min="24" style="117" width="11.5"/>
  </cols>
  <sheetData>
    <row r="1" s="117" customFormat="tru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I1" s="24"/>
      <c r="J1" s="121"/>
      <c r="K1" s="121" t="str">
        <f aca="false">Para1!F133</f>
        <v>year of birth (4-digit):</v>
      </c>
      <c r="L1" s="122" t="n">
        <f aca="false">'Jahresübersicht (Overview)'!K2</f>
        <v>1994</v>
      </c>
      <c r="P1" s="123"/>
      <c r="Q1" s="24"/>
      <c r="S1" s="124"/>
      <c r="T1" s="124"/>
    </row>
    <row r="2" customFormat="false" ht="6" hidden="false" customHeight="true" outlineLevel="0" collapsed="false">
      <c r="D2" s="124"/>
      <c r="E2" s="124"/>
      <c r="F2" s="124"/>
      <c r="G2" s="124"/>
      <c r="H2" s="117"/>
      <c r="I2" s="124"/>
      <c r="J2" s="124"/>
      <c r="K2" s="124"/>
      <c r="L2" s="124"/>
      <c r="Q2" s="24"/>
      <c r="R2" s="133"/>
      <c r="S2" s="295"/>
      <c r="T2" s="295"/>
      <c r="U2" s="133"/>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(Overview)'!F8</f>
        <v>100</v>
      </c>
      <c r="H3" s="117" t="s">
        <v>11</v>
      </c>
      <c r="I3" s="24"/>
      <c r="J3" s="119"/>
      <c r="K3" s="126" t="str">
        <f aca="false">Para1!F113</f>
        <v>starting date:</v>
      </c>
      <c r="L3" s="127" t="n">
        <f aca="false">'Jahresübersicht (Overview)'!$G$4</f>
        <v>42688</v>
      </c>
      <c r="M3" s="128"/>
      <c r="N3" s="128"/>
      <c r="Q3" s="24"/>
      <c r="R3" s="133"/>
      <c r="S3" s="295"/>
      <c r="T3" s="295"/>
      <c r="U3" s="133"/>
    </row>
    <row r="4" customFormat="false" ht="6" hidden="false" customHeight="true" outlineLevel="0" collapsed="false">
      <c r="A4" s="129"/>
      <c r="B4" s="130"/>
      <c r="C4" s="130"/>
      <c r="D4" s="131"/>
      <c r="E4" s="131"/>
      <c r="F4" s="131"/>
      <c r="G4" s="131"/>
      <c r="H4" s="131"/>
      <c r="I4" s="132"/>
      <c r="J4" s="132"/>
      <c r="K4" s="132"/>
      <c r="L4" s="132"/>
      <c r="M4" s="130"/>
      <c r="N4" s="130"/>
      <c r="R4" s="133"/>
      <c r="S4" s="295"/>
      <c r="T4" s="295"/>
      <c r="U4" s="133"/>
    </row>
    <row r="5" customFormat="false" ht="6" hidden="false" customHeight="true" outlineLevel="0" collapsed="false">
      <c r="D5" s="124"/>
      <c r="E5" s="124"/>
      <c r="F5" s="124"/>
      <c r="G5" s="124"/>
      <c r="H5" s="124"/>
      <c r="I5" s="134"/>
      <c r="J5" s="134"/>
      <c r="K5" s="134"/>
      <c r="L5" s="134"/>
      <c r="R5" s="295"/>
      <c r="S5" s="295"/>
      <c r="T5" s="295"/>
      <c r="U5" s="295"/>
      <c r="X5" s="134"/>
    </row>
    <row r="6" customFormat="false" ht="15" hidden="false" customHeight="true" outlineLevel="0" collapsed="false">
      <c r="D6" s="124"/>
      <c r="E6" s="135"/>
      <c r="F6" s="124"/>
      <c r="G6" s="124"/>
      <c r="H6" s="124"/>
      <c r="I6" s="134"/>
      <c r="J6" s="134"/>
      <c r="K6" s="134"/>
      <c r="L6" s="134"/>
      <c r="R6" s="124"/>
      <c r="S6" s="124"/>
      <c r="T6" s="124"/>
      <c r="U6" s="124"/>
      <c r="X6" s="134"/>
    </row>
    <row r="7" customFormat="false" ht="15" hidden="false" customHeight="true" outlineLevel="0" collapsed="false">
      <c r="C7" s="136"/>
      <c r="D7" s="126" t="str">
        <f aca="false">Para1!F117</f>
        <v>holiday</v>
      </c>
      <c r="E7" s="137" t="s">
        <v>12</v>
      </c>
      <c r="H7" s="117"/>
      <c r="I7" s="121" t="str">
        <f aca="false">Para1!F83</f>
        <v>absences</v>
      </c>
      <c r="J7" s="117" t="s">
        <v>12</v>
      </c>
      <c r="L7" s="138" t="str">
        <f aca="false">Para1!F84</f>
        <v>curr. mnth</v>
      </c>
      <c r="M7" s="138" t="str">
        <f aca="false">Para1!F195</f>
        <v>last mnth(s)</v>
      </c>
      <c r="N7" s="139" t="str">
        <f aca="false">Para1!F171</f>
        <v>balance</v>
      </c>
      <c r="P7" s="140"/>
    </row>
    <row r="8" customFormat="false" ht="15" hidden="false" customHeight="true" outlineLevel="0" collapsed="false">
      <c r="D8" s="138" t="str">
        <f aca="false">Para1!B171&amp;" "&amp;Para1!B88&amp;" "&amp;Para1!B154</f>
        <v>Saldo Anfang Monat</v>
      </c>
      <c r="E8" s="141" t="n">
        <f aca="false">Maerz!E11</f>
        <v>7.04375</v>
      </c>
      <c r="H8" s="117"/>
      <c r="I8" s="135" t="str">
        <f aca="false">Para1!F141</f>
        <v>illness</v>
      </c>
      <c r="J8" s="142"/>
      <c r="L8" s="143" t="n">
        <f aca="false">D54</f>
        <v>0</v>
      </c>
      <c r="M8" s="143" t="n">
        <f aca="false">Maerz!N8</f>
        <v>0</v>
      </c>
      <c r="N8" s="144" t="n">
        <f aca="false">SUM(L8:M8)</f>
        <v>0</v>
      </c>
    </row>
    <row r="9" customFormat="false" ht="15" hidden="false" customHeight="true" outlineLevel="0" collapsed="false">
      <c r="D9" s="138" t="str">
        <f aca="false">"./. "&amp;Para1!F118</f>
        <v>./. holiday taken</v>
      </c>
      <c r="E9" s="141" t="n">
        <f aca="false">COUNTIF($K$23:$L$53,"f")*$P$55-IF(ISNA(F9),0,((S54+T54)/100*G3)/48)-IF(ISNA(G9),0,((S54+T54)/100*G3)/48)</f>
        <v>0</v>
      </c>
      <c r="F9" s="145" t="e">
        <f aca="false">INDEX(U23:U53,MATCH("f",U23:U53,0))</f>
        <v>#N/A</v>
      </c>
      <c r="G9" s="145" t="e">
        <f aca="false">INDEX(V23:V53,MATCH("f",V23:V53,0))</f>
        <v>#N/A</v>
      </c>
      <c r="H9" s="117"/>
      <c r="I9" s="135" t="str">
        <f aca="false">Para1!F190</f>
        <v>accident</v>
      </c>
      <c r="J9" s="120" t="str">
        <f aca="false">Para1!F99</f>
        <v>work related</v>
      </c>
      <c r="K9" s="120"/>
      <c r="L9" s="143" t="n">
        <f aca="false">E54</f>
        <v>0</v>
      </c>
      <c r="M9" s="143" t="n">
        <f aca="false">Maerz!N9</f>
        <v>0</v>
      </c>
      <c r="N9" s="144" t="n">
        <f aca="false">SUM(L9:M9)</f>
        <v>0</v>
      </c>
      <c r="Q9" s="145"/>
    </row>
    <row r="10" customFormat="false" ht="15" hidden="false" customHeight="true" outlineLevel="0" collapsed="false">
      <c r="D10" s="138" t="str">
        <f aca="false">"./ ."&amp;Para1!F119</f>
        <v>./ .reduction of holiday</v>
      </c>
      <c r="E10" s="147" t="n">
        <v>0</v>
      </c>
      <c r="H10" s="117"/>
      <c r="I10" s="135"/>
      <c r="J10" s="120" t="str">
        <f aca="false">Para1!F161&amp;" "&amp;Para1!F100</f>
        <v>not work. rel.</v>
      </c>
      <c r="K10" s="120"/>
      <c r="L10" s="143" t="n">
        <f aca="false">F54</f>
        <v>0</v>
      </c>
      <c r="M10" s="143" t="n">
        <f aca="false">Maerz!N10</f>
        <v>0</v>
      </c>
      <c r="N10" s="144" t="n">
        <f aca="false">SUM(L10:M10)</f>
        <v>0</v>
      </c>
      <c r="Q10" s="145"/>
    </row>
    <row r="11" customFormat="false" ht="15" hidden="false" customHeight="true" outlineLevel="0" collapsed="false">
      <c r="B11" s="136"/>
      <c r="C11" s="136"/>
      <c r="D11" s="126" t="str">
        <f aca="false">Para1!F171&amp;" "&amp;Para1!F115&amp;" "&amp;Para1!F154</f>
        <v>balance end of the month</v>
      </c>
      <c r="E11" s="148" t="n">
        <f aca="false">$E$8-$E$9-$E$10</f>
        <v>7.04375</v>
      </c>
      <c r="H11" s="117"/>
      <c r="I11" s="149" t="str">
        <f aca="false">Para1!F142</f>
        <v>short vacation</v>
      </c>
      <c r="L11" s="143" t="n">
        <f aca="false">G54</f>
        <v>0</v>
      </c>
      <c r="M11" s="143" t="n">
        <f aca="false">Maerz!N11</f>
        <v>0</v>
      </c>
      <c r="N11" s="144" t="n">
        <f aca="false">SUM(L11:M11)</f>
        <v>0</v>
      </c>
    </row>
    <row r="12" customFormat="false" ht="15" hidden="false" customHeight="true" outlineLevel="0" collapsed="false">
      <c r="B12" s="150" t="str">
        <f aca="false">IF((E11*24+(4.2*'Persönliche Daten (pers. data)'!O8/100))&lt;0,Para1!J224,IF(E11&gt;0,"",Para1!J223))</f>
        <v/>
      </c>
      <c r="H12" s="117"/>
      <c r="I12" s="151" t="str">
        <f aca="false">Para1!F198</f>
        <v>training / education</v>
      </c>
      <c r="L12" s="143" t="n">
        <f aca="false">H54</f>
        <v>0</v>
      </c>
      <c r="M12" s="143" t="n">
        <f aca="false">Maerz!N12</f>
        <v>0</v>
      </c>
      <c r="N12" s="144" t="n">
        <f aca="false">SUM(L12:M12)</f>
        <v>0</v>
      </c>
    </row>
    <row r="13" customFormat="false" ht="15" hidden="false" customHeight="true" outlineLevel="0" collapsed="false">
      <c r="B13" s="152" t="str">
        <f aca="false">Para1!F105&amp;" "&amp;Para1!F122&amp;" "&amp;Para1!F83&amp;" in "&amp;Para1!F178&amp;":"</f>
        <v>letters for absences in days:</v>
      </c>
      <c r="C13" s="152"/>
      <c r="D13" s="152"/>
      <c r="E13" s="152"/>
      <c r="H13" s="117"/>
      <c r="I13" s="135" t="str">
        <f aca="false">Para1!F163</f>
        <v>public office</v>
      </c>
      <c r="L13" s="143" t="n">
        <f aca="false">I54</f>
        <v>0</v>
      </c>
      <c r="M13" s="143" t="n">
        <f aca="false">Maerz!N13</f>
        <v>0</v>
      </c>
      <c r="N13" s="144" t="n">
        <f aca="false">SUM(L13:M13)</f>
        <v>0</v>
      </c>
    </row>
    <row r="14" customFormat="false" ht="15" hidden="false" customHeight="true" outlineLevel="0" collapsed="false">
      <c r="B14" s="153" t="s">
        <v>13</v>
      </c>
      <c r="C14" s="154" t="str">
        <f aca="false">Para1!F117</f>
        <v>holiday</v>
      </c>
      <c r="D14" s="154"/>
      <c r="E14" s="154"/>
      <c r="H14" s="117"/>
      <c r="I14" s="155" t="str">
        <f aca="false">Para1!F192</f>
        <v>leave</v>
      </c>
      <c r="J14" s="146" t="str">
        <f aca="false">Para1!F101</f>
        <v>paid</v>
      </c>
      <c r="K14" s="157"/>
      <c r="L14" s="146" t="n">
        <f aca="false">COUNTIF($K$23:$L$53,"b")*$P$55-IF(ISNA(O14),0,(($S$54+$T$54)/100*$G$3)/48)-IF(ISNA(P14),0,(($S$54+$T$54)/100*$G$3)/48)</f>
        <v>0</v>
      </c>
      <c r="M14" s="143" t="n">
        <f aca="false">Maerz!N14</f>
        <v>0</v>
      </c>
      <c r="N14" s="144" t="n">
        <f aca="false">SUM(L14:M14)</f>
        <v>0</v>
      </c>
      <c r="O14" s="145" t="e">
        <f aca="false">INDEX(U23:U53,MATCH("b",U23:U53,0))</f>
        <v>#N/A</v>
      </c>
      <c r="P14" s="145" t="e">
        <f aca="false">INDEX(V23:V53,MATCH("b",V23:V53,0))</f>
        <v>#N/A</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COUNTIF($K$23:$L$53,"u")*$P$55-IF(ISNA(O15),0,(($S$54+$T$54)/100*$G$3)/48)-IF(ISNA(P15),0,(($S$54+$T$54)/100*$G$3)/48)</f>
        <v>0</v>
      </c>
      <c r="M15" s="143" t="n">
        <f aca="false">Maerz!N15</f>
        <v>0</v>
      </c>
      <c r="N15" s="144" t="n">
        <f aca="false">SUM(L15:M15)</f>
        <v>0</v>
      </c>
      <c r="O15" s="145" t="e">
        <f aca="false">INDEX(U23:U53,MATCH("u",U23:U53,0))</f>
        <v>#N/A</v>
      </c>
      <c r="P15" s="145" t="e">
        <f aca="false">INDEX(V23:V53,MATCH("u",V23:V53,0))</f>
        <v>#N/A</v>
      </c>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J16" s="157"/>
      <c r="K16" s="157"/>
      <c r="L16" s="146" t="n">
        <f aca="false">COUNTIF($K$23:$L$53,"m")*$P$55-IF(ISNA(O16),0,(($S$54+$T$54)/100*$G$3)/48)-IF(ISNA(P16),0,(($S$54+$T$54)/100*$G$3)/48)</f>
        <v>0</v>
      </c>
      <c r="M16" s="143" t="n">
        <f aca="false">Maerz!N16</f>
        <v>0</v>
      </c>
      <c r="N16" s="144" t="n">
        <f aca="false">SUM(L16:M16)</f>
        <v>0</v>
      </c>
      <c r="O16" s="145" t="e">
        <f aca="false">INDEX(U23:U53,MATCH("m",U23:U53,0))</f>
        <v>#N/A</v>
      </c>
      <c r="P16" s="145" t="e">
        <f aca="false">INDEX(V23:V53,MATCH("m",V23:V53,0))</f>
        <v>#N/A</v>
      </c>
    </row>
    <row r="17" customFormat="false" ht="15" hidden="false" customHeight="true" outlineLevel="0" collapsed="false">
      <c r="B17" s="159" t="s">
        <v>16</v>
      </c>
      <c r="C17" s="156" t="str">
        <f aca="false">Para1!F192&amp;" "&amp;Para1!F101</f>
        <v>leave paid</v>
      </c>
      <c r="D17" s="156"/>
      <c r="E17" s="156"/>
      <c r="G17" s="157"/>
      <c r="H17" s="157"/>
      <c r="I17" s="135" t="str">
        <f aca="false">Para1!F150</f>
        <v>military/civil def./civil serv.</v>
      </c>
      <c r="J17" s="24"/>
      <c r="K17" s="24"/>
      <c r="L17" s="146" t="n">
        <f aca="false">COUNTIF($K$23:$L$53,"z")*$P$55-IF(ISNA(O17),0,(($S$54+$T$54)/100*$G$3)/48)-IF(ISNA(P17),0,(($S$54+$T$54)/100*$G$3)/48)</f>
        <v>0</v>
      </c>
      <c r="M17" s="143" t="n">
        <f aca="false">Maerz!N17</f>
        <v>0</v>
      </c>
      <c r="N17" s="144" t="n">
        <f aca="false">SUM(L17:M17)</f>
        <v>0</v>
      </c>
      <c r="O17" s="145" t="e">
        <f aca="false">INDEX(U23:U53,MATCH("z",U23:U53,0))</f>
        <v>#N/A</v>
      </c>
      <c r="P17" s="145" t="e">
        <f aca="false">INDEX(V23:V53,MATCH("z",V23:V53,0))</f>
        <v>#N/A</v>
      </c>
    </row>
    <row r="18" customFormat="false" ht="15" hidden="false" customHeight="true" outlineLevel="0" collapsed="false">
      <c r="B18" s="159" t="s">
        <v>17</v>
      </c>
      <c r="C18" s="154" t="str">
        <f aca="false">Para1!F192&amp;" "&amp;Para1!F189</f>
        <v>leave unpaid</v>
      </c>
      <c r="D18" s="154"/>
      <c r="E18" s="154"/>
      <c r="H18" s="117"/>
      <c r="I18" s="121" t="str">
        <f aca="false">Para1!F180</f>
        <v>total</v>
      </c>
      <c r="L18" s="160" t="n">
        <f aca="false">SUM(L8:L17)</f>
        <v>0</v>
      </c>
      <c r="M18" s="160" t="n">
        <f aca="false">SUM(M8:M17)</f>
        <v>0</v>
      </c>
      <c r="N18" s="160" t="n">
        <f aca="false">SUM(N8:N17)</f>
        <v>0</v>
      </c>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c r="O19" s="12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row>
    <row r="21" s="179" customFormat="true" ht="18.75" hidden="false" customHeight="true" outlineLevel="0" collapsed="false">
      <c r="A21" s="167" t="n">
        <f aca="true">TODAY()</f>
        <v>42894</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252"/>
      <c r="K21" s="253" t="str">
        <f aca="false">Para1!F194</f>
        <v>morning</v>
      </c>
      <c r="L21" s="175" t="str">
        <f aca="false">Para1!F158</f>
        <v>afternoon</v>
      </c>
      <c r="M21" s="176"/>
      <c r="N21" s="136"/>
      <c r="O21" s="136"/>
      <c r="P21" s="177" t="str">
        <f aca="false">Para1!F194</f>
        <v>morning</v>
      </c>
      <c r="Q21" s="178" t="str">
        <f aca="false">Para1!F158</f>
        <v>afternoon</v>
      </c>
    </row>
    <row r="22" s="179" customFormat="true" ht="15.75" hidden="false" customHeight="true" outlineLevel="0" collapsed="false">
      <c r="A22" s="180" t="str">
        <f aca="false">Para1!F106</f>
        <v>date</v>
      </c>
      <c r="B22" s="180"/>
      <c r="C22" s="181"/>
      <c r="D22" s="169"/>
      <c r="E22" s="170"/>
      <c r="F22" s="171"/>
      <c r="G22" s="170"/>
      <c r="H22" s="170"/>
      <c r="I22" s="172"/>
      <c r="J22" s="254"/>
      <c r="K22" s="253"/>
      <c r="L22" s="175"/>
      <c r="M22" s="183"/>
      <c r="N22" s="136"/>
      <c r="O22" s="176"/>
      <c r="P22" s="177"/>
      <c r="Q22" s="178"/>
      <c r="R22" s="296"/>
      <c r="S22" s="296"/>
      <c r="T22" s="296"/>
      <c r="U22" s="296"/>
      <c r="V22" s="296"/>
      <c r="W22" s="296"/>
      <c r="X22" s="296"/>
      <c r="Y22" s="296"/>
      <c r="Z22" s="296"/>
      <c r="AA22" s="296"/>
    </row>
    <row r="23" customFormat="false" ht="17" hidden="false" customHeight="true" outlineLevel="0" collapsed="false">
      <c r="A23" s="216" t="s">
        <v>18</v>
      </c>
      <c r="B23" s="297" t="str">
        <f aca="false">IF(Maerz!B53=Para1!$F$153,Para1!$F$109,IF(Maerz!B53=Para1!$F$109,Para1!$F$148,IF(Maerz!B53=Para1!$F$148,Para1!$F$111,IF(Maerz!B53=Para1!$F$111,Para1!$F$120,IF(Maerz!B53=Para1!$F$120,Para1!$F$170,IF(Maerz!B53=Para1!$F$170,Para1!$F$173,Para1!$F$153))))))</f>
        <v>Thu</v>
      </c>
      <c r="C23" s="186"/>
      <c r="D23" s="203"/>
      <c r="E23" s="204"/>
      <c r="F23" s="205"/>
      <c r="G23" s="204"/>
      <c r="H23" s="204"/>
      <c r="I23" s="298"/>
      <c r="J23" s="255"/>
      <c r="K23" s="256"/>
      <c r="L23" s="209"/>
      <c r="M23" s="194"/>
      <c r="N23" s="195"/>
      <c r="O23" s="265"/>
      <c r="P23" s="257" t="n">
        <f aca="false">Maerz!P47</f>
        <v>1</v>
      </c>
      <c r="Q23" s="257" t="n">
        <f aca="false">Maerz!Q47</f>
        <v>1</v>
      </c>
      <c r="R23" s="265" t="e">
        <f aca="false">IF(VLOOKUP(A23,Para1!$B$67:$E$72,2,0)="4.",VLOOKUP(A23,Para1!$B$67:$E$72,3,0),"")</f>
        <v>#N/A</v>
      </c>
      <c r="S23" s="265" t="str">
        <f aca="false">IF((P23+Q23)=0,"",IF(ISNA(R23),"",IF(R23="","",VLOOKUP(R23,Para1!$D$67:$G$79,3,0)*(IF(P23+Q23=1,0.5,1)))))</f>
        <v/>
      </c>
      <c r="T23" s="265" t="n">
        <f aca="false">IF(P23+Q23=0,"",IF(ISNA(R24),"",IF(R24="","",VLOOKUP(R24,Para1!$D$67:$G$79,4,0)*(IF(P23+Q23=1,0.5,1)))))</f>
        <v>1</v>
      </c>
      <c r="U23" s="145" t="n">
        <f aca="false">IF(SUM(S23:T23)&gt;0,K23,"")</f>
        <v>0</v>
      </c>
      <c r="V23" s="145" t="n">
        <f aca="false">IF(SUM(S23:T23)&gt;0,L23,"")</f>
        <v>0</v>
      </c>
      <c r="W23" s="265" t="n">
        <f aca="false">IF(S23=0,P23+Q23,0)</f>
        <v>0</v>
      </c>
      <c r="X23" s="133"/>
      <c r="Y23" s="133"/>
      <c r="Z23" s="133"/>
      <c r="AA23" s="133"/>
    </row>
    <row r="24" customFormat="false" ht="17" hidden="false" customHeight="true" outlineLevel="0" collapsed="false">
      <c r="A24" s="216" t="s">
        <v>20</v>
      </c>
      <c r="B24" s="297" t="str">
        <f aca="false">IF(B23=Para1!$F$153,Para1!$F$109,IF(B23=Para1!$F$109,Para1!$F$148,IF(B23=Para1!$F$148,Para1!$F$111,IF(B23=Para1!$F$111,Para1!$F$120,IF(B23=Para1!$F$120,Para1!$F$170,IF(B23=Para1!$F$170,Para1!$F$173,Para1!$F$153))))))</f>
        <v>Fri</v>
      </c>
      <c r="C24" s="202"/>
      <c r="D24" s="203"/>
      <c r="E24" s="204"/>
      <c r="F24" s="205"/>
      <c r="G24" s="204"/>
      <c r="H24" s="204"/>
      <c r="I24" s="298"/>
      <c r="J24" s="255"/>
      <c r="K24" s="256"/>
      <c r="L24" s="209"/>
      <c r="M24" s="194"/>
      <c r="N24" s="195"/>
      <c r="O24" s="265"/>
      <c r="P24" s="257" t="n">
        <v>0</v>
      </c>
      <c r="Q24" s="257" t="n">
        <v>0</v>
      </c>
      <c r="R24" s="265" t="str">
        <f aca="false">IF(VLOOKUP(A24,Para1!$B$67:$E$72,2,0)="4.",VLOOKUP(A24,Para1!$B$67:$E$72,3,0),"")</f>
        <v>Karfreitag</v>
      </c>
      <c r="S24" s="265" t="str">
        <f aca="false">IF((P24+Q24)=0,"",IF(ISNA(R24),"",IF(R24="","",VLOOKUP(R24,Para1!$D$67:$G$79,3,0)*(IF(P24+Q24=1,0.5,1)))))</f>
        <v/>
      </c>
      <c r="T24" s="265" t="str">
        <f aca="false">IF(P24+Q24=0,"",IF(ISNA(R25),"",IF(R25="","",VLOOKUP(R25,Para1!$D$67:$G$79,4,0)*(IF(P24+Q24=1,0.5,1)))))</f>
        <v/>
      </c>
      <c r="U24" s="145" t="str">
        <f aca="false">IF(SUM(S24:T24)&gt;0,K24,"")</f>
        <v/>
      </c>
      <c r="V24" s="145" t="str">
        <f aca="false">IF(SUM(S24:T24)&gt;0,L24,"")</f>
        <v/>
      </c>
      <c r="W24" s="265" t="n">
        <f aca="false">IF(S24=0,P24+Q24,0)</f>
        <v>0</v>
      </c>
      <c r="X24" s="133"/>
      <c r="Y24" s="133"/>
      <c r="Z24" s="133"/>
      <c r="AA24" s="133"/>
    </row>
    <row r="25" s="258" customFormat="true" ht="17" hidden="false" customHeight="true" outlineLevel="0" collapsed="false">
      <c r="A25" s="216" t="s">
        <v>22</v>
      </c>
      <c r="B25" s="297" t="str">
        <f aca="false">IF(B24=Para1!$F$153,Para1!$F$109,IF(B24=Para1!$F$109,Para1!$F$148,IF(B24=Para1!$F$148,Para1!$F$111,IF(B24=Para1!$F$111,Para1!$F$120,IF(B24=Para1!$F$120,Para1!$F$170,IF(B24=Para1!$F$170,Para1!$F$173,Para1!$F$153))))))</f>
        <v>Sat</v>
      </c>
      <c r="C25" s="202"/>
      <c r="D25" s="203"/>
      <c r="E25" s="204"/>
      <c r="F25" s="205"/>
      <c r="G25" s="204"/>
      <c r="H25" s="204"/>
      <c r="I25" s="298"/>
      <c r="J25" s="255"/>
      <c r="K25" s="256"/>
      <c r="L25" s="209"/>
      <c r="M25" s="210"/>
      <c r="N25" s="195"/>
      <c r="O25" s="265"/>
      <c r="P25" s="257" t="n">
        <f aca="false">Maerz!P49</f>
        <v>0</v>
      </c>
      <c r="Q25" s="257" t="n">
        <f aca="false">Maerz!Q49</f>
        <v>0</v>
      </c>
      <c r="R25" s="265" t="e">
        <f aca="false">IF(VLOOKUP(A25,Para1!$B$67:$E$72,2,0)="4.",VLOOKUP(A25,Para1!$B$67:$E$72,3,0),"")</f>
        <v>#N/A</v>
      </c>
      <c r="S25" s="265" t="str">
        <f aca="false">IF((P25+Q25)=0,"",IF(ISNA(R25),"",IF(R25="","",VLOOKUP(R25,Para1!$D$67:$G$79,3,0)*(IF(P25+Q25=1,0.5,1)))))</f>
        <v/>
      </c>
      <c r="T25" s="265" t="str">
        <f aca="false">IF(P25+Q25=0,"",IF(ISNA(R26),"",IF(R26="","",VLOOKUP(R26,Para1!$D$67:$G$79,4,0)*(IF(P25+Q25=1,0.5,1)))))</f>
        <v/>
      </c>
      <c r="U25" s="145" t="str">
        <f aca="false">IF(SUM(S25:T25)&gt;0,K25,"")</f>
        <v/>
      </c>
      <c r="V25" s="145" t="str">
        <f aca="false">IF(SUM(S25:T25)&gt;0,L25,"")</f>
        <v/>
      </c>
      <c r="W25" s="265" t="n">
        <f aca="false">IF(S25=0,P25+Q25,0)</f>
        <v>0</v>
      </c>
      <c r="X25" s="260"/>
      <c r="Y25" s="260"/>
      <c r="Z25" s="260"/>
      <c r="AA25" s="260"/>
    </row>
    <row r="26" s="258" customFormat="true" ht="17" hidden="false" customHeight="true" outlineLevel="0" collapsed="false">
      <c r="A26" s="216" t="s">
        <v>23</v>
      </c>
      <c r="B26" s="297" t="str">
        <f aca="false">IF(B25=Para1!$F$153,Para1!$F$109,IF(B25=Para1!$F$109,Para1!$F$148,IF(B25=Para1!$F$148,Para1!$F$111,IF(B25=Para1!$F$111,Para1!$F$120,IF(B25=Para1!$F$120,Para1!$F$170,IF(B25=Para1!$F$170,Para1!$F$173,Para1!$F$153))))))</f>
        <v>Sun</v>
      </c>
      <c r="C26" s="202"/>
      <c r="D26" s="203"/>
      <c r="E26" s="204"/>
      <c r="F26" s="205"/>
      <c r="G26" s="204"/>
      <c r="H26" s="204"/>
      <c r="I26" s="298"/>
      <c r="J26" s="255"/>
      <c r="K26" s="256"/>
      <c r="L26" s="209"/>
      <c r="M26" s="210"/>
      <c r="N26" s="195"/>
      <c r="O26" s="265"/>
      <c r="P26" s="257" t="n">
        <f aca="false">Maerz!P50</f>
        <v>0</v>
      </c>
      <c r="Q26" s="257" t="n">
        <f aca="false">Maerz!Q50</f>
        <v>0</v>
      </c>
      <c r="R26" s="265" t="str">
        <f aca="false">IF(VLOOKUP(A26,Para1!$B$67:$E$72,2,0)="4.",VLOOKUP(A26,Para1!$B$67:$E$72,3,0),"")</f>
        <v>Ostern</v>
      </c>
      <c r="S26" s="265" t="str">
        <f aca="false">IF((P26+Q26)=0,"",IF(ISNA(R26),"",IF(R26="","",VLOOKUP(R26,Para1!$D$67:$G$79,3,0)*(IF(P26+Q26=1,0.5,1)))))</f>
        <v/>
      </c>
      <c r="T26" s="265" t="str">
        <f aca="false">IF(P26+Q26=0,"",IF(ISNA(R27),"",IF(R27="","",VLOOKUP(R27,Para1!$D$67:$G$79,4,0)*(IF(P26+Q26=1,0.5,1)))))</f>
        <v/>
      </c>
      <c r="U26" s="145" t="str">
        <f aca="false">IF(SUM(S26:T26)&gt;0,K26,"")</f>
        <v/>
      </c>
      <c r="V26" s="145" t="str">
        <f aca="false">IF(SUM(S26:T26)&gt;0,L26,"")</f>
        <v/>
      </c>
      <c r="W26" s="265" t="n">
        <f aca="false">IF(S26=0,P26+Q26,0)</f>
        <v>0</v>
      </c>
    </row>
    <row r="27" customFormat="false" ht="17" hidden="false" customHeight="true" outlineLevel="0" collapsed="false">
      <c r="A27" s="216" t="s">
        <v>24</v>
      </c>
      <c r="B27" s="297" t="str">
        <f aca="false">IF(B26=Para1!$F$153,Para1!$F$109,IF(B26=Para1!$F$109,Para1!$F$148,IF(B26=Para1!$F$148,Para1!$F$111,IF(B26=Para1!$F$111,Para1!$F$120,IF(B26=Para1!$F$120,Para1!$F$170,IF(B26=Para1!$F$170,Para1!$F$173,Para1!$F$153))))))</f>
        <v>Mon</v>
      </c>
      <c r="C27" s="202"/>
      <c r="D27" s="203"/>
      <c r="E27" s="204"/>
      <c r="F27" s="205"/>
      <c r="G27" s="204"/>
      <c r="H27" s="204"/>
      <c r="I27" s="298"/>
      <c r="J27" s="255"/>
      <c r="K27" s="256"/>
      <c r="L27" s="209"/>
      <c r="M27" s="210"/>
      <c r="N27" s="195"/>
      <c r="O27" s="265"/>
      <c r="P27" s="257" t="n">
        <f aca="false">Maerz!P51</f>
        <v>1</v>
      </c>
      <c r="Q27" s="257" t="n">
        <f aca="false">Maerz!Q51</f>
        <v>1</v>
      </c>
      <c r="R27" s="265" t="str">
        <f aca="false">IF(VLOOKUP(A27,Para1!$B$67:$E$72,2,0)="4.",VLOOKUP(A27,Para1!$B$67:$E$72,3,0),"")</f>
        <v>Ostermontag</v>
      </c>
      <c r="S27" s="265" t="n">
        <f aca="false">IF((P27+Q27)=0,"",IF(ISNA(R27),"",IF(R27="","",VLOOKUP(R27,Para1!$D$67:$G$79,3,0)*(IF(P27+Q27=1,0.5,1)))))</f>
        <v>0</v>
      </c>
      <c r="T27" s="265" t="str">
        <f aca="false">IF(P27+Q27=0,"",IF(ISNA(R28),"",IF(R28="","",VLOOKUP(R28,Para1!$D$67:$G$79,4,0)*(IF(P27+Q27=1,0.5,1)))))</f>
        <v/>
      </c>
      <c r="U27" s="145" t="str">
        <f aca="false">IF(SUM(S27:T27)&gt;0,K27,"")</f>
        <v/>
      </c>
      <c r="V27" s="145" t="str">
        <f aca="false">IF(SUM(S27:T27)&gt;0,L27,"")</f>
        <v/>
      </c>
      <c r="W27" s="265" t="n">
        <f aca="false">IF(S27=0,P27+Q27,0)</f>
        <v>2</v>
      </c>
    </row>
    <row r="28" customFormat="false" ht="17" hidden="false" customHeight="true" outlineLevel="0" collapsed="false">
      <c r="A28" s="216" t="s">
        <v>25</v>
      </c>
      <c r="B28" s="297" t="str">
        <f aca="false">IF(B27=Para1!$F$153,Para1!$F$109,IF(B27=Para1!$F$109,Para1!$F$148,IF(B27=Para1!$F$148,Para1!$F$111,IF(B27=Para1!$F$111,Para1!$F$120,IF(B27=Para1!$F$120,Para1!$F$170,IF(B27=Para1!$F$170,Para1!$F$173,Para1!$F$153))))))</f>
        <v>Tue</v>
      </c>
      <c r="C28" s="186"/>
      <c r="D28" s="203"/>
      <c r="E28" s="204"/>
      <c r="F28" s="205"/>
      <c r="G28" s="204"/>
      <c r="H28" s="204"/>
      <c r="I28" s="298"/>
      <c r="J28" s="255"/>
      <c r="K28" s="256"/>
      <c r="L28" s="209"/>
      <c r="M28" s="210"/>
      <c r="N28" s="195"/>
      <c r="O28" s="265"/>
      <c r="P28" s="257" t="n">
        <f aca="false">Maerz!P52</f>
        <v>1</v>
      </c>
      <c r="Q28" s="257" t="n">
        <f aca="false">Maerz!Q52</f>
        <v>1</v>
      </c>
      <c r="R28" s="265" t="e">
        <f aca="false">IF(VLOOKUP(A28,Para1!$B$67:$E$72,2,0)="4.",VLOOKUP(A28,Para1!$B$67:$E$72,3,0),"")</f>
        <v>#N/A</v>
      </c>
      <c r="S28" s="265" t="str">
        <f aca="false">IF((P28+Q28)=0,"",IF(ISNA(R28),"",IF(R28="","",VLOOKUP(R28,Para1!$D$67:$G$79,3,0)*(IF(P28+Q28=1,0.5,1)))))</f>
        <v/>
      </c>
      <c r="T28" s="265" t="str">
        <f aca="false">IF(P28+Q28=0,"",IF(ISNA(R29),"",IF(R29="","",VLOOKUP(R29,Para1!$D$67:$G$79,4,0)*(IF(P28+Q28=1,0.5,1)))))</f>
        <v/>
      </c>
      <c r="U28" s="145" t="str">
        <f aca="false">IF(SUM(S28:T28)&gt;0,K28,"")</f>
        <v/>
      </c>
      <c r="V28" s="145" t="str">
        <f aca="false">IF(SUM(S28:T28)&gt;0,L28,"")</f>
        <v/>
      </c>
      <c r="W28" s="265" t="n">
        <f aca="false">IF(S28=0,P28+Q28,0)</f>
        <v>0</v>
      </c>
    </row>
    <row r="29" customFormat="false" ht="17" hidden="false" customHeight="true" outlineLevel="0" collapsed="false">
      <c r="A29" s="216" t="s">
        <v>26</v>
      </c>
      <c r="B29" s="297" t="str">
        <f aca="false">IF(B28=Para1!$F$153,Para1!$F$109,IF(B28=Para1!$F$109,Para1!$F$148,IF(B28=Para1!$F$148,Para1!$F$111,IF(B28=Para1!$F$111,Para1!$F$120,IF(B28=Para1!$F$120,Para1!$F$170,IF(B28=Para1!$F$170,Para1!$F$173,Para1!$F$153))))))</f>
        <v>Wed</v>
      </c>
      <c r="C29" s="186"/>
      <c r="D29" s="203"/>
      <c r="E29" s="204"/>
      <c r="F29" s="205"/>
      <c r="G29" s="204"/>
      <c r="H29" s="204"/>
      <c r="I29" s="298"/>
      <c r="J29" s="255"/>
      <c r="K29" s="256"/>
      <c r="L29" s="209"/>
      <c r="M29" s="210"/>
      <c r="N29" s="195"/>
      <c r="O29" s="265"/>
      <c r="P29" s="257" t="n">
        <f aca="false">Maerz!P53</f>
        <v>1</v>
      </c>
      <c r="Q29" s="257" t="n">
        <f aca="false">Maerz!Q53</f>
        <v>1</v>
      </c>
      <c r="R29" s="265" t="e">
        <f aca="false">IF(VLOOKUP(A29,Para1!$B$67:$E$72,2,0)="4.",VLOOKUP(A29,Para1!$B$67:$E$72,3,0),"")</f>
        <v>#N/A</v>
      </c>
      <c r="S29" s="265" t="str">
        <f aca="false">IF((P29+Q29)=0,"",IF(ISNA(R29),"",IF(R29="","",VLOOKUP(R29,Para1!$D$67:$G$79,3,0)*(IF(P29+Q29=1,0.5,1)))))</f>
        <v/>
      </c>
      <c r="T29" s="265" t="str">
        <f aca="false">IF(P29+Q29=0,"",IF(ISNA(R30),"",IF(R30="","",VLOOKUP(R30,Para1!$D$67:$G$79,4,0)*(IF(P29+Q29=1,0.5,1)))))</f>
        <v/>
      </c>
      <c r="U29" s="145" t="str">
        <f aca="false">IF(SUM(S29:T29)&gt;0,K29,"")</f>
        <v/>
      </c>
      <c r="V29" s="145" t="str">
        <f aca="false">IF(SUM(S29:T29)&gt;0,L29,"")</f>
        <v/>
      </c>
      <c r="W29" s="265" t="n">
        <f aca="false">IF(S29=0,P29+Q29,0)</f>
        <v>0</v>
      </c>
    </row>
    <row r="30" customFormat="false" ht="17" hidden="false" customHeight="true" outlineLevel="0" collapsed="false">
      <c r="A30" s="216" t="s">
        <v>27</v>
      </c>
      <c r="B30" s="297" t="str">
        <f aca="false">IF(B29=Para1!$F$153,Para1!$F$109,IF(B29=Para1!$F$109,Para1!$F$148,IF(B29=Para1!$F$148,Para1!$F$111,IF(B29=Para1!$F$111,Para1!$F$120,IF(B29=Para1!$F$120,Para1!$F$170,IF(B29=Para1!$F$170,Para1!$F$173,Para1!$F$153))))))</f>
        <v>Thu</v>
      </c>
      <c r="C30" s="186"/>
      <c r="D30" s="203"/>
      <c r="E30" s="204"/>
      <c r="F30" s="205"/>
      <c r="G30" s="204"/>
      <c r="H30" s="204"/>
      <c r="I30" s="298"/>
      <c r="J30" s="255"/>
      <c r="K30" s="256"/>
      <c r="L30" s="209"/>
      <c r="M30" s="210"/>
      <c r="N30" s="195"/>
      <c r="O30" s="265"/>
      <c r="P30" s="259" t="n">
        <f aca="false">P23</f>
        <v>1</v>
      </c>
      <c r="Q30" s="259" t="n">
        <f aca="false">Q23</f>
        <v>1</v>
      </c>
      <c r="R30" s="265" t="e">
        <f aca="false">IF(VLOOKUP(A30,Para1!$B$67:$E$72,2,0)="4.",VLOOKUP(A30,Para1!$B$67:$E$72,3,0),"")</f>
        <v>#N/A</v>
      </c>
      <c r="S30" s="265" t="str">
        <f aca="false">IF((P30+Q30)=0,"",IF(ISNA(R30),"",IF(R30="","",VLOOKUP(R30,Para1!$D$67:$G$79,3,0)*(IF(P30+Q30=1,0.5,1)))))</f>
        <v/>
      </c>
      <c r="T30" s="265" t="str">
        <f aca="false">IF(P30+Q30=0,"",IF(ISNA(R31),"",IF(R31="","",VLOOKUP(R31,Para1!$D$67:$G$79,4,0)*(IF(P30+Q30=1,0.5,1)))))</f>
        <v/>
      </c>
      <c r="U30" s="145" t="str">
        <f aca="false">IF(SUM(S30:T30)&gt;0,K30,"")</f>
        <v/>
      </c>
      <c r="V30" s="145" t="str">
        <f aca="false">IF(SUM(S30:T30)&gt;0,L30,"")</f>
        <v/>
      </c>
      <c r="W30" s="265" t="n">
        <f aca="false">IF(S30=0,P30+Q30,0)</f>
        <v>0</v>
      </c>
    </row>
    <row r="31" s="258" customFormat="true" ht="17" hidden="false" customHeight="true" outlineLevel="0" collapsed="false">
      <c r="A31" s="216" t="s">
        <v>28</v>
      </c>
      <c r="B31" s="297" t="str">
        <f aca="false">IF(B30=Para1!$F$153,Para1!$F$109,IF(B30=Para1!$F$109,Para1!$F$148,IF(B30=Para1!$F$148,Para1!$F$111,IF(B30=Para1!$F$111,Para1!$F$120,IF(B30=Para1!$F$120,Para1!$F$170,IF(B30=Para1!$F$170,Para1!$F$173,Para1!$F$153))))))</f>
        <v>Fri</v>
      </c>
      <c r="C31" s="186"/>
      <c r="D31" s="203"/>
      <c r="E31" s="204"/>
      <c r="F31" s="205"/>
      <c r="G31" s="204"/>
      <c r="H31" s="204"/>
      <c r="I31" s="298"/>
      <c r="J31" s="255"/>
      <c r="K31" s="256"/>
      <c r="L31" s="209"/>
      <c r="M31" s="210"/>
      <c r="N31" s="195"/>
      <c r="O31" s="265"/>
      <c r="P31" s="259" t="n">
        <v>1</v>
      </c>
      <c r="Q31" s="259" t="n">
        <v>1</v>
      </c>
      <c r="R31" s="265" t="e">
        <f aca="false">IF(VLOOKUP(A31,Para1!$B$67:$E$72,2,0)="4.",VLOOKUP(A31,Para1!$B$67:$E$72,3,0),"")</f>
        <v>#N/A</v>
      </c>
      <c r="S31" s="265" t="str">
        <f aca="false">IF((P31+Q31)=0,"",IF(ISNA(R31),"",IF(R31="","",VLOOKUP(R31,Para1!$D$67:$G$79,3,0)*(IF(P31+Q31=1,0.5,1)))))</f>
        <v/>
      </c>
      <c r="T31" s="265" t="str">
        <f aca="false">IF(P31+Q31=0,"",IF(ISNA(R32),"",IF(R32="","",VLOOKUP(R32,Para1!$D$67:$G$79,4,0)*(IF(P31+Q31=1,0.5,1)))))</f>
        <v/>
      </c>
      <c r="U31" s="145" t="str">
        <f aca="false">IF(SUM(S31:T31)&gt;0,K31,"")</f>
        <v/>
      </c>
      <c r="V31" s="145" t="str">
        <f aca="false">IF(SUM(S31:T31)&gt;0,L31,"")</f>
        <v/>
      </c>
      <c r="W31" s="265" t="n">
        <f aca="false">IF(S31=0,P31+Q31,0)</f>
        <v>0</v>
      </c>
    </row>
    <row r="32" s="258" customFormat="true" ht="16.5" hidden="false" customHeight="true" outlineLevel="0" collapsed="false">
      <c r="A32" s="216" t="s">
        <v>29</v>
      </c>
      <c r="B32" s="297" t="str">
        <f aca="false">IF(B31=Para1!$F$153,Para1!$F$109,IF(B31=Para1!$F$109,Para1!$F$148,IF(B31=Para1!$F$148,Para1!$F$111,IF(B31=Para1!$F$111,Para1!$F$120,IF(B31=Para1!$F$120,Para1!$F$170,IF(B31=Para1!$F$170,Para1!$F$173,Para1!$F$153))))))</f>
        <v>Sat</v>
      </c>
      <c r="C32" s="202"/>
      <c r="D32" s="203"/>
      <c r="E32" s="204"/>
      <c r="F32" s="205"/>
      <c r="G32" s="204"/>
      <c r="H32" s="204"/>
      <c r="I32" s="298"/>
      <c r="J32" s="255"/>
      <c r="K32" s="256"/>
      <c r="L32" s="209"/>
      <c r="M32" s="210"/>
      <c r="N32" s="195"/>
      <c r="O32" s="265"/>
      <c r="P32" s="259" t="n">
        <v>0</v>
      </c>
      <c r="Q32" s="259" t="n">
        <v>0</v>
      </c>
      <c r="R32" s="265" t="e">
        <f aca="false">IF(VLOOKUP(A32,Para1!$B$67:$E$72,2,0)="4.",VLOOKUP(A32,Para1!$B$67:$E$72,3,0),"")</f>
        <v>#N/A</v>
      </c>
      <c r="S32" s="265" t="str">
        <f aca="false">IF((P32+Q32)=0,"",IF(ISNA(R32),"",IF(R32="","",VLOOKUP(R32,Para1!$D$67:$G$79,3,0)*(IF(P32+Q32=1,0.5,1)))))</f>
        <v/>
      </c>
      <c r="T32" s="265" t="str">
        <f aca="false">IF(P32+Q32=0,"",IF(ISNA(R33),"",IF(R33="","",VLOOKUP(R33,Para1!$D$67:$G$79,4,0)*(IF(P32+Q32=1,0.5,1)))))</f>
        <v/>
      </c>
      <c r="U32" s="145" t="str">
        <f aca="false">IF(SUM(S32:T32)&gt;0,K32,"")</f>
        <v/>
      </c>
      <c r="V32" s="145" t="str">
        <f aca="false">IF(SUM(S32:T32)&gt;0,L32,"")</f>
        <v/>
      </c>
      <c r="W32" s="265" t="n">
        <f aca="false">IF(S32=0,P32+Q32,0)</f>
        <v>0</v>
      </c>
    </row>
    <row r="33" s="258" customFormat="true" ht="17" hidden="false" customHeight="true" outlineLevel="0" collapsed="false">
      <c r="A33" s="216" t="s">
        <v>30</v>
      </c>
      <c r="B33" s="297" t="str">
        <f aca="false">IF(B32=Para1!$F$153,Para1!$F$109,IF(B32=Para1!$F$109,Para1!$F$148,IF(B32=Para1!$F$148,Para1!$F$111,IF(B32=Para1!$F$111,Para1!$F$120,IF(B32=Para1!$F$120,Para1!$F$170,IF(B32=Para1!$F$170,Para1!$F$173,Para1!$F$153))))))</f>
        <v>Sun</v>
      </c>
      <c r="C33" s="202"/>
      <c r="D33" s="203"/>
      <c r="E33" s="204"/>
      <c r="F33" s="205"/>
      <c r="G33" s="204"/>
      <c r="H33" s="204"/>
      <c r="I33" s="298"/>
      <c r="J33" s="255"/>
      <c r="K33" s="256"/>
      <c r="L33" s="209"/>
      <c r="M33" s="210"/>
      <c r="N33" s="195"/>
      <c r="O33" s="265"/>
      <c r="P33" s="259" t="n">
        <f aca="false">P26</f>
        <v>0</v>
      </c>
      <c r="Q33" s="259" t="n">
        <f aca="false">Q26</f>
        <v>0</v>
      </c>
      <c r="R33" s="265" t="e">
        <f aca="false">IF(VLOOKUP(A33,Para1!$B$67:$E$72,2,0)="4.",VLOOKUP(A33,Para1!$B$67:$E$72,3,0),"")</f>
        <v>#N/A</v>
      </c>
      <c r="S33" s="265" t="str">
        <f aca="false">IF((P33+Q33)=0,"",IF(ISNA(R33),"",IF(R33="","",VLOOKUP(R33,Para1!$D$67:$G$79,3,0)*(IF(P33+Q33=1,0.5,1)))))</f>
        <v/>
      </c>
      <c r="T33" s="265" t="str">
        <f aca="false">IF(P33+Q33=0,"",IF(ISNA(R34),"",IF(R34="","",VLOOKUP(R34,Para1!$D$67:$G$79,4,0)*(IF(P33+Q33=1,0.5,1)))))</f>
        <v/>
      </c>
      <c r="U33" s="145" t="str">
        <f aca="false">IF(SUM(S33:T33)&gt;0,K33,"")</f>
        <v/>
      </c>
      <c r="V33" s="145" t="str">
        <f aca="false">IF(SUM(S33:T33)&gt;0,L33,"")</f>
        <v/>
      </c>
      <c r="W33" s="265" t="n">
        <f aca="false">IF(S33=0,P33+Q33,0)</f>
        <v>0</v>
      </c>
    </row>
    <row r="34" s="258" customFormat="true" ht="16.5" hidden="false" customHeight="true" outlineLevel="0" collapsed="false">
      <c r="A34" s="216" t="s">
        <v>31</v>
      </c>
      <c r="B34" s="297" t="str">
        <f aca="false">IF(B33=Para1!$F$153,Para1!$F$109,IF(B33=Para1!$F$109,Para1!$F$148,IF(B33=Para1!$F$148,Para1!$F$111,IF(B33=Para1!$F$111,Para1!$F$120,IF(B33=Para1!$F$120,Para1!$F$170,IF(B33=Para1!$F$170,Para1!$F$173,Para1!$F$153))))))</f>
        <v>Mon</v>
      </c>
      <c r="C34" s="202"/>
      <c r="D34" s="203"/>
      <c r="E34" s="204"/>
      <c r="F34" s="205"/>
      <c r="G34" s="204"/>
      <c r="H34" s="204"/>
      <c r="I34" s="298"/>
      <c r="J34" s="255"/>
      <c r="K34" s="256"/>
      <c r="L34" s="209"/>
      <c r="M34" s="210"/>
      <c r="N34" s="195"/>
      <c r="O34" s="265"/>
      <c r="P34" s="259" t="n">
        <f aca="false">P27</f>
        <v>1</v>
      </c>
      <c r="Q34" s="259" t="n">
        <f aca="false">Q27</f>
        <v>1</v>
      </c>
      <c r="R34" s="265" t="e">
        <f aca="false">IF(VLOOKUP(A34,Para1!$B$67:$E$72,2,0)="4.",VLOOKUP(A34,Para1!$B$67:$E$72,3,0),"")</f>
        <v>#N/A</v>
      </c>
      <c r="S34" s="265" t="str">
        <f aca="false">IF((P34+Q34)=0,"",IF(ISNA(R34),"",IF(R34="","",VLOOKUP(R34,Para1!$D$67:$G$79,3,0)*(IF(P34+Q34=1,0.5,1)))))</f>
        <v/>
      </c>
      <c r="T34" s="265" t="str">
        <f aca="false">IF(P34+Q34=0,"",IF(ISNA(R35),"",IF(R35="","",VLOOKUP(R35,Para1!$D$67:$G$79,4,0)*(IF(P34+Q34=1,0.5,1)))))</f>
        <v/>
      </c>
      <c r="U34" s="145" t="str">
        <f aca="false">IF(SUM(S34:T34)&gt;0,K34,"")</f>
        <v/>
      </c>
      <c r="V34" s="145" t="str">
        <f aca="false">IF(SUM(S34:T34)&gt;0,L34,"")</f>
        <v/>
      </c>
      <c r="W34" s="265" t="n">
        <f aca="false">IF(S34=0,P34+Q34,0)</f>
        <v>0</v>
      </c>
    </row>
    <row r="35" customFormat="false" ht="17" hidden="false" customHeight="true" outlineLevel="0" collapsed="false">
      <c r="A35" s="216" t="s">
        <v>32</v>
      </c>
      <c r="B35" s="297" t="str">
        <f aca="false">IF(B34=Para1!$F$153,Para1!$F$109,IF(B34=Para1!$F$109,Para1!$F$148,IF(B34=Para1!$F$148,Para1!$F$111,IF(B34=Para1!$F$111,Para1!$F$120,IF(B34=Para1!$F$120,Para1!$F$170,IF(B34=Para1!$F$170,Para1!$F$173,Para1!$F$153))))))</f>
        <v>Tue</v>
      </c>
      <c r="C35" s="202"/>
      <c r="D35" s="203"/>
      <c r="E35" s="204"/>
      <c r="F35" s="205"/>
      <c r="G35" s="204"/>
      <c r="H35" s="204"/>
      <c r="I35" s="298"/>
      <c r="J35" s="255"/>
      <c r="K35" s="256"/>
      <c r="L35" s="209"/>
      <c r="M35" s="210"/>
      <c r="N35" s="195"/>
      <c r="O35" s="265"/>
      <c r="P35" s="259" t="n">
        <v>1</v>
      </c>
      <c r="Q35" s="259" t="n">
        <v>1</v>
      </c>
      <c r="R35" s="265" t="str">
        <f aca="false">IF(VLOOKUP(A35,Para1!$B$67:$E$72,2,0)="4.",VLOOKUP(A35,Para1!$B$67:$E$72,3,0),"")</f>
        <v/>
      </c>
      <c r="S35" s="265" t="str">
        <f aca="false">IF((P35+Q35)=0,"",IF(ISNA(R35),"",IF(R35="","",VLOOKUP(R35,Para1!$D$67:$G$79,3,0)*(IF(P35+Q35=1,0.5,1)))))</f>
        <v/>
      </c>
      <c r="T35" s="265" t="str">
        <f aca="false">IF(P35+Q35=0,"",IF(ISNA(R36),"",IF(R36="","",VLOOKUP(R36,Para1!$D$67:$G$79,4,0)*(IF(P35+Q35=1,0.5,1)))))</f>
        <v/>
      </c>
      <c r="U35" s="145" t="str">
        <f aca="false">IF(SUM(S35:T35)&gt;0,K35,"")</f>
        <v/>
      </c>
      <c r="V35" s="145" t="str">
        <f aca="false">IF(SUM(S35:T35)&gt;0,L35,"")</f>
        <v/>
      </c>
      <c r="W35" s="265" t="n">
        <f aca="false">IF(S35=0,P35+Q35,0)</f>
        <v>0</v>
      </c>
    </row>
    <row r="36" customFormat="false" ht="17" hidden="false" customHeight="true" outlineLevel="0" collapsed="false">
      <c r="A36" s="216" t="s">
        <v>33</v>
      </c>
      <c r="B36" s="297" t="str">
        <f aca="false">IF(B35=Para1!$F$153,Para1!$F$109,IF(B35=Para1!$F$109,Para1!$F$148,IF(B35=Para1!$F$148,Para1!$F$111,IF(B35=Para1!$F$111,Para1!$F$120,IF(B35=Para1!$F$120,Para1!$F$170,IF(B35=Para1!$F$170,Para1!$F$173,Para1!$F$153))))))</f>
        <v>Wed</v>
      </c>
      <c r="C36" s="186"/>
      <c r="D36" s="203"/>
      <c r="E36" s="204"/>
      <c r="F36" s="205"/>
      <c r="G36" s="204"/>
      <c r="H36" s="204"/>
      <c r="I36" s="298"/>
      <c r="J36" s="255"/>
      <c r="K36" s="256"/>
      <c r="L36" s="209"/>
      <c r="M36" s="210"/>
      <c r="N36" s="195"/>
      <c r="O36" s="265"/>
      <c r="P36" s="259" t="n">
        <f aca="false">P29</f>
        <v>1</v>
      </c>
      <c r="Q36" s="259" t="n">
        <f aca="false">Q29</f>
        <v>1</v>
      </c>
      <c r="R36" s="265" t="e">
        <f aca="false">IF(VLOOKUP(A36,Para1!$B$67:$E$72,2,0)="4.",VLOOKUP(A36,Para1!$B$67:$E$72,3,0),"")</f>
        <v>#N/A</v>
      </c>
      <c r="S36" s="265" t="str">
        <f aca="false">IF((P36+Q36)=0,"",IF(ISNA(R36),"",IF(R36="","",VLOOKUP(R36,Para1!$D$67:$G$79,3,0)*(IF(P36+Q36=1,0.5,1)))))</f>
        <v/>
      </c>
      <c r="T36" s="265" t="str">
        <f aca="false">IF(P36+Q36=0,"",IF(ISNA(R37),"",IF(R37="","",VLOOKUP(R37,Para1!$D$67:$G$79,4,0)*(IF(P36+Q36=1,0.5,1)))))</f>
        <v/>
      </c>
      <c r="U36" s="145" t="str">
        <f aca="false">IF(SUM(S36:T36)&gt;0,K36,"")</f>
        <v/>
      </c>
      <c r="V36" s="145" t="str">
        <f aca="false">IF(SUM(S36:T36)&gt;0,L36,"")</f>
        <v/>
      </c>
      <c r="W36" s="265" t="n">
        <f aca="false">IF(S36=0,P36+Q36,0)</f>
        <v>0</v>
      </c>
    </row>
    <row r="37" customFormat="false" ht="17" hidden="false" customHeight="true" outlineLevel="0" collapsed="false">
      <c r="A37" s="216" t="s">
        <v>34</v>
      </c>
      <c r="B37" s="297" t="str">
        <f aca="false">IF(B36=Para1!$F$153,Para1!$F$109,IF(B36=Para1!$F$109,Para1!$F$148,IF(B36=Para1!$F$148,Para1!$F$111,IF(B36=Para1!$F$111,Para1!$F$120,IF(B36=Para1!$F$120,Para1!$F$170,IF(B36=Para1!$F$170,Para1!$F$173,Para1!$F$153))))))</f>
        <v>Thu</v>
      </c>
      <c r="C37" s="186"/>
      <c r="D37" s="203"/>
      <c r="E37" s="204"/>
      <c r="F37" s="205"/>
      <c r="G37" s="204"/>
      <c r="H37" s="204"/>
      <c r="I37" s="298"/>
      <c r="J37" s="255"/>
      <c r="K37" s="256"/>
      <c r="L37" s="209"/>
      <c r="M37" s="210"/>
      <c r="N37" s="195"/>
      <c r="O37" s="265"/>
      <c r="P37" s="259" t="n">
        <f aca="false">P30</f>
        <v>1</v>
      </c>
      <c r="Q37" s="259" t="n">
        <f aca="false">Q30</f>
        <v>1</v>
      </c>
      <c r="R37" s="265" t="e">
        <f aca="false">IF(VLOOKUP(A37,Para1!$B$67:$E$72,2,0)="4.",VLOOKUP(A37,Para1!$B$67:$E$72,3,0),"")</f>
        <v>#N/A</v>
      </c>
      <c r="S37" s="265" t="str">
        <f aca="false">IF((P37+Q37)=0,"",IF(ISNA(R37),"",IF(R37="","",VLOOKUP(R37,Para1!$D$67:$G$79,3,0)*(IF(P37+Q37=1,0.5,1)))))</f>
        <v/>
      </c>
      <c r="T37" s="265" t="str">
        <f aca="false">IF(P37+Q37=0,"",IF(ISNA(R38),"",IF(R38="","",VLOOKUP(R38,Para1!$D$67:$G$79,4,0)*(IF(P37+Q37=1,0.5,1)))))</f>
        <v/>
      </c>
      <c r="U37" s="145" t="str">
        <f aca="false">IF(SUM(S37:T37)&gt;0,K37,"")</f>
        <v/>
      </c>
      <c r="V37" s="145" t="str">
        <f aca="false">IF(SUM(S37:T37)&gt;0,L37,"")</f>
        <v/>
      </c>
      <c r="W37" s="265" t="n">
        <f aca="false">IF(S37=0,P37+Q37,0)</f>
        <v>0</v>
      </c>
    </row>
    <row r="38" s="299" customFormat="true" ht="17" hidden="false" customHeight="true" outlineLevel="0" collapsed="false">
      <c r="A38" s="216" t="s">
        <v>35</v>
      </c>
      <c r="B38" s="297" t="str">
        <f aca="false">IF(B37=Para1!$F$153,Para1!$F$109,IF(B37=Para1!$F$109,Para1!$F$148,IF(B37=Para1!$F$148,Para1!$F$111,IF(B37=Para1!$F$111,Para1!$F$120,IF(B37=Para1!$F$120,Para1!$F$170,IF(B37=Para1!$F$170,Para1!$F$173,Para1!$F$153))))))</f>
        <v>Fri</v>
      </c>
      <c r="C38" s="202"/>
      <c r="D38" s="203"/>
      <c r="E38" s="204"/>
      <c r="F38" s="205"/>
      <c r="G38" s="204"/>
      <c r="H38" s="204"/>
      <c r="I38" s="298"/>
      <c r="J38" s="255"/>
      <c r="K38" s="256"/>
      <c r="L38" s="209"/>
      <c r="M38" s="210"/>
      <c r="N38" s="195"/>
      <c r="O38" s="265"/>
      <c r="P38" s="259" t="n">
        <f aca="false">P31</f>
        <v>1</v>
      </c>
      <c r="Q38" s="259" t="n">
        <f aca="false">Q31</f>
        <v>1</v>
      </c>
      <c r="R38" s="265" t="e">
        <f aca="false">IF(VLOOKUP(A38,Para1!$B$67:$E$72,2,0)="4.",VLOOKUP(A38,Para1!$B$67:$E$72,3,0),"")</f>
        <v>#N/A</v>
      </c>
      <c r="S38" s="265" t="str">
        <f aca="false">IF((P38+Q38)=0,"",IF(ISNA(R38),"",IF(R38="","",VLOOKUP(R38,Para1!$D$67:$G$79,3,0)*(IF(P38+Q38=1,0.5,1)))))</f>
        <v/>
      </c>
      <c r="T38" s="265" t="str">
        <f aca="false">IF(P38+Q38=0,"",IF(ISNA(R39),"",IF(R39="","",VLOOKUP(R39,Para1!$D$67:$G$79,4,0)*(IF(P38+Q38=1,0.5,1)))))</f>
        <v/>
      </c>
      <c r="U38" s="145" t="str">
        <f aca="false">IF(SUM(S38:T38)&gt;0,K38,"")</f>
        <v/>
      </c>
      <c r="V38" s="145" t="str">
        <f aca="false">IF(SUM(S38:T38)&gt;0,L38,"")</f>
        <v/>
      </c>
      <c r="W38" s="265" t="n">
        <f aca="false">IF(S38=0,P38+Q38,0)</f>
        <v>0</v>
      </c>
    </row>
    <row r="39" s="258" customFormat="true" ht="17" hidden="false" customHeight="true" outlineLevel="0" collapsed="false">
      <c r="A39" s="216" t="s">
        <v>36</v>
      </c>
      <c r="B39" s="297" t="str">
        <f aca="false">IF(B38=Para1!$F$153,Para1!$F$109,IF(B38=Para1!$F$109,Para1!$F$148,IF(B38=Para1!$F$148,Para1!$F$111,IF(B38=Para1!$F$111,Para1!$F$120,IF(B38=Para1!$F$120,Para1!$F$170,IF(B38=Para1!$F$170,Para1!$F$173,Para1!$F$153))))))</f>
        <v>Sat</v>
      </c>
      <c r="C39" s="202"/>
      <c r="D39" s="203"/>
      <c r="E39" s="204"/>
      <c r="F39" s="205"/>
      <c r="G39" s="204"/>
      <c r="H39" s="204"/>
      <c r="I39" s="298"/>
      <c r="J39" s="255"/>
      <c r="K39" s="256"/>
      <c r="L39" s="209"/>
      <c r="M39" s="210"/>
      <c r="N39" s="195"/>
      <c r="O39" s="265"/>
      <c r="P39" s="259" t="n">
        <f aca="false">P25</f>
        <v>0</v>
      </c>
      <c r="Q39" s="259" t="n">
        <f aca="false">Q25</f>
        <v>0</v>
      </c>
      <c r="R39" s="265" t="e">
        <f aca="false">IF(VLOOKUP(A39,Para1!$B$67:$E$72,2,0)="4.",VLOOKUP(A39,Para1!$B$67:$E$72,3,0),"")</f>
        <v>#N/A</v>
      </c>
      <c r="S39" s="265" t="str">
        <f aca="false">IF((P39+Q39)=0,"",IF(ISNA(R39),"",IF(R39="","",VLOOKUP(R39,Para1!$D$67:$G$79,3,0)*(IF(P39+Q39=1,0.5,1)))))</f>
        <v/>
      </c>
      <c r="T39" s="265" t="str">
        <f aca="false">IF(P39+Q39=0,"",IF(ISNA(R40),"",IF(R40="","",VLOOKUP(R40,Para1!$D$67:$G$79,4,0)*(IF(P39+Q39=1,0.5,1)))))</f>
        <v/>
      </c>
      <c r="U39" s="145" t="str">
        <f aca="false">IF(SUM(S39:T39)&gt;0,K39,"")</f>
        <v/>
      </c>
      <c r="V39" s="145" t="str">
        <f aca="false">IF(SUM(S39:T39)&gt;0,L39,"")</f>
        <v/>
      </c>
      <c r="W39" s="265" t="n">
        <f aca="false">IF(S39=0,P39+Q39,0)</f>
        <v>0</v>
      </c>
    </row>
    <row r="40" s="258" customFormat="true" ht="17" hidden="false" customHeight="true" outlineLevel="0" collapsed="false">
      <c r="A40" s="216" t="s">
        <v>37</v>
      </c>
      <c r="B40" s="297" t="str">
        <f aca="false">IF(B39=Para1!$F$153,Para1!$F$109,IF(B39=Para1!$F$109,Para1!$F$148,IF(B39=Para1!$F$148,Para1!$F$111,IF(B39=Para1!$F$111,Para1!$F$120,IF(B39=Para1!$F$120,Para1!$F$170,IF(B39=Para1!$F$170,Para1!$F$173,Para1!$F$153))))))</f>
        <v>Sun</v>
      </c>
      <c r="C40" s="202"/>
      <c r="D40" s="203"/>
      <c r="E40" s="204"/>
      <c r="F40" s="205"/>
      <c r="G40" s="204"/>
      <c r="H40" s="204"/>
      <c r="I40" s="298"/>
      <c r="J40" s="255"/>
      <c r="K40" s="256"/>
      <c r="L40" s="209"/>
      <c r="M40" s="210"/>
      <c r="N40" s="195"/>
      <c r="O40" s="265"/>
      <c r="P40" s="259" t="n">
        <f aca="false">P33</f>
        <v>0</v>
      </c>
      <c r="Q40" s="259" t="n">
        <f aca="false">Q33</f>
        <v>0</v>
      </c>
      <c r="R40" s="265" t="e">
        <f aca="false">IF(VLOOKUP(A40,Para1!$B$67:$E$72,2,0)="4.",VLOOKUP(A40,Para1!$B$67:$E$72,3,0),"")</f>
        <v>#N/A</v>
      </c>
      <c r="S40" s="265" t="str">
        <f aca="false">IF((P40+Q40)=0,"",IF(ISNA(R40),"",IF(R40="","",VLOOKUP(R40,Para1!$D$67:$G$79,3,0)*(IF(P40+Q40=1,0.5,1)))))</f>
        <v/>
      </c>
      <c r="T40" s="265" t="str">
        <f aca="false">IF(P40+Q40=0,"",IF(ISNA(R41),"",IF(R41="","",VLOOKUP(R41,Para1!$D$67:$G$79,4,0)*(IF(P40+Q40=1,0.5,1)))))</f>
        <v/>
      </c>
      <c r="U40" s="145" t="str">
        <f aca="false">IF(SUM(S40:T40)&gt;0,K40,"")</f>
        <v/>
      </c>
      <c r="V40" s="145" t="str">
        <f aca="false">IF(SUM(S40:T40)&gt;0,L40,"")</f>
        <v/>
      </c>
      <c r="W40" s="265" t="n">
        <f aca="false">IF(S40=0,P40+Q40,0)</f>
        <v>0</v>
      </c>
    </row>
    <row r="41" customFormat="false" ht="17" hidden="false" customHeight="true" outlineLevel="0" collapsed="false">
      <c r="A41" s="216" t="s">
        <v>38</v>
      </c>
      <c r="B41" s="297" t="str">
        <f aca="false">IF(B40=Para1!$F$153,Para1!$F$109,IF(B40=Para1!$F$109,Para1!$F$148,IF(B40=Para1!$F$148,Para1!$F$111,IF(B40=Para1!$F$111,Para1!$F$120,IF(B40=Para1!$F$120,Para1!$F$170,IF(B40=Para1!$F$170,Para1!$F$173,Para1!$F$153))))))</f>
        <v>Mon</v>
      </c>
      <c r="C41" s="202"/>
      <c r="D41" s="203"/>
      <c r="E41" s="204"/>
      <c r="F41" s="205"/>
      <c r="G41" s="204"/>
      <c r="H41" s="204"/>
      <c r="I41" s="298"/>
      <c r="J41" s="255"/>
      <c r="K41" s="256"/>
      <c r="L41" s="209"/>
      <c r="M41" s="210"/>
      <c r="N41" s="195"/>
      <c r="O41" s="265"/>
      <c r="P41" s="259" t="n">
        <f aca="false">P34</f>
        <v>1</v>
      </c>
      <c r="Q41" s="259" t="n">
        <f aca="false">Q34</f>
        <v>1</v>
      </c>
      <c r="R41" s="265" t="e">
        <f aca="false">IF(VLOOKUP(A41,Para1!$B$67:$E$72,2,0)="4.",VLOOKUP(A41,Para1!$B$67:$E$72,3,0),"")</f>
        <v>#N/A</v>
      </c>
      <c r="S41" s="265" t="str">
        <f aca="false">IF((P41+Q41)=0,"",IF(ISNA(R41),"",IF(R41="","",VLOOKUP(R41,Para1!$D$67:$G$79,3,0)*(IF(P41+Q41=1,0.5,1)))))</f>
        <v/>
      </c>
      <c r="T41" s="265" t="str">
        <f aca="false">IF(P41+Q41=0,"",IF(ISNA(R42),"",IF(R42="","",VLOOKUP(R42,Para1!$D$67:$G$79,4,0)*(IF(P41+Q41=1,0.5,1)))))</f>
        <v/>
      </c>
      <c r="U41" s="145" t="str">
        <f aca="false">IF(SUM(S41:T41)&gt;0,K41,"")</f>
        <v/>
      </c>
      <c r="V41" s="145" t="str">
        <f aca="false">IF(SUM(S41:T41)&gt;0,L41,"")</f>
        <v/>
      </c>
      <c r="W41" s="265" t="n">
        <f aca="false">IF(S41=0,P41+Q41,0)</f>
        <v>0</v>
      </c>
    </row>
    <row r="42" customFormat="false" ht="17" hidden="false" customHeight="true" outlineLevel="0" collapsed="false">
      <c r="A42" s="216" t="s">
        <v>39</v>
      </c>
      <c r="B42" s="297" t="str">
        <f aca="false">IF(B41=Para1!$F$153,Para1!$F$109,IF(B41=Para1!$F$109,Para1!$F$148,IF(B41=Para1!$F$148,Para1!$F$111,IF(B41=Para1!$F$111,Para1!$F$120,IF(B41=Para1!$F$120,Para1!$F$170,IF(B41=Para1!$F$170,Para1!$F$173,Para1!$F$153))))))</f>
        <v>Tue</v>
      </c>
      <c r="C42" s="202"/>
      <c r="D42" s="203"/>
      <c r="E42" s="204"/>
      <c r="F42" s="205"/>
      <c r="G42" s="204"/>
      <c r="H42" s="204"/>
      <c r="I42" s="298"/>
      <c r="J42" s="255"/>
      <c r="K42" s="256"/>
      <c r="L42" s="209"/>
      <c r="M42" s="210"/>
      <c r="N42" s="195"/>
      <c r="O42" s="265"/>
      <c r="P42" s="259" t="n">
        <f aca="false">P28</f>
        <v>1</v>
      </c>
      <c r="Q42" s="259" t="n">
        <f aca="false">Q28</f>
        <v>1</v>
      </c>
      <c r="R42" s="265" t="e">
        <f aca="false">IF(VLOOKUP(A42,Para1!$B$67:$E$72,2,0)="4.",VLOOKUP(A42,Para1!$B$67:$E$72,3,0),"")</f>
        <v>#N/A</v>
      </c>
      <c r="S42" s="265" t="str">
        <f aca="false">IF((P42+Q42)=0,"",IF(ISNA(R42),"",IF(R42="","",VLOOKUP(R42,Para1!$D$67:$G$79,3,0)*(IF(P42+Q42=1,0.5,1)))))</f>
        <v/>
      </c>
      <c r="T42" s="265" t="str">
        <f aca="false">IF(P42+Q42=0,"",IF(ISNA(R43),"",IF(R43="","",VLOOKUP(R43,Para1!$D$67:$G$79,4,0)*(IF(P42+Q42=1,0.5,1)))))</f>
        <v/>
      </c>
      <c r="U42" s="145" t="str">
        <f aca="false">IF(SUM(S42:T42)&gt;0,K42,"")</f>
        <v/>
      </c>
      <c r="V42" s="145" t="str">
        <f aca="false">IF(SUM(S42:T42)&gt;0,L42,"")</f>
        <v/>
      </c>
      <c r="W42" s="265" t="n">
        <f aca="false">IF(S42=0,P42+Q42,0)</f>
        <v>0</v>
      </c>
    </row>
    <row r="43" customFormat="false" ht="17" hidden="false" customHeight="true" outlineLevel="0" collapsed="false">
      <c r="A43" s="216" t="s">
        <v>40</v>
      </c>
      <c r="B43" s="297" t="str">
        <f aca="false">IF(B42=Para1!$F$153,Para1!$F$109,IF(B42=Para1!$F$109,Para1!$F$148,IF(B42=Para1!$F$148,Para1!$F$111,IF(B42=Para1!$F$111,Para1!$F$120,IF(B42=Para1!$F$120,Para1!$F$170,IF(B42=Para1!$F$170,Para1!$F$173,Para1!$F$153))))))</f>
        <v>Wed</v>
      </c>
      <c r="C43" s="186"/>
      <c r="D43" s="203"/>
      <c r="E43" s="204"/>
      <c r="F43" s="205"/>
      <c r="G43" s="204"/>
      <c r="H43" s="204"/>
      <c r="I43" s="298"/>
      <c r="J43" s="255"/>
      <c r="K43" s="256"/>
      <c r="L43" s="209"/>
      <c r="M43" s="210"/>
      <c r="N43" s="195"/>
      <c r="O43" s="265"/>
      <c r="P43" s="259" t="n">
        <f aca="false">P36</f>
        <v>1</v>
      </c>
      <c r="Q43" s="259" t="n">
        <f aca="false">Q36</f>
        <v>1</v>
      </c>
      <c r="R43" s="265" t="e">
        <f aca="false">IF(VLOOKUP(A43,Para1!$B$67:$E$72,2,0)="4.",VLOOKUP(A43,Para1!$B$67:$E$72,3,0),"")</f>
        <v>#N/A</v>
      </c>
      <c r="S43" s="265" t="str">
        <f aca="false">IF((P43+Q43)=0,"",IF(ISNA(R43),"",IF(R43="","",VLOOKUP(R43,Para1!$D$67:$G$79,3,0)*(IF(P43+Q43=1,0.5,1)))))</f>
        <v/>
      </c>
      <c r="T43" s="265" t="str">
        <f aca="false">IF(P43+Q43=0,"",IF(ISNA(R44),"",IF(R44="","",VLOOKUP(R44,Para1!$D$67:$G$79,4,0)*(IF(P43+Q43=1,0.5,1)))))</f>
        <v/>
      </c>
      <c r="U43" s="145" t="str">
        <f aca="false">IF(SUM(S43:T43)&gt;0,K43,"")</f>
        <v/>
      </c>
      <c r="V43" s="145" t="str">
        <f aca="false">IF(SUM(S43:T43)&gt;0,L43,"")</f>
        <v/>
      </c>
      <c r="W43" s="265" t="n">
        <f aca="false">IF(S43=0,P43+Q43,0)</f>
        <v>0</v>
      </c>
    </row>
    <row r="44" customFormat="false" ht="17" hidden="false" customHeight="true" outlineLevel="0" collapsed="false">
      <c r="A44" s="216" t="s">
        <v>41</v>
      </c>
      <c r="B44" s="297" t="str">
        <f aca="false">IF(B43=Para1!$F$153,Para1!$F$109,IF(B43=Para1!$F$109,Para1!$F$148,IF(B43=Para1!$F$148,Para1!$F$111,IF(B43=Para1!$F$111,Para1!$F$120,IF(B43=Para1!$F$120,Para1!$F$170,IF(B43=Para1!$F$170,Para1!$F$173,Para1!$F$153))))))</f>
        <v>Thu</v>
      </c>
      <c r="C44" s="186"/>
      <c r="D44" s="203"/>
      <c r="E44" s="204"/>
      <c r="F44" s="205"/>
      <c r="G44" s="204"/>
      <c r="H44" s="204"/>
      <c r="I44" s="298"/>
      <c r="J44" s="255"/>
      <c r="K44" s="256"/>
      <c r="L44" s="209"/>
      <c r="M44" s="210"/>
      <c r="N44" s="195"/>
      <c r="O44" s="265"/>
      <c r="P44" s="259" t="n">
        <f aca="false">P37</f>
        <v>1</v>
      </c>
      <c r="Q44" s="259" t="n">
        <f aca="false">Q37</f>
        <v>1</v>
      </c>
      <c r="R44" s="265" t="e">
        <f aca="false">IF(VLOOKUP(A44,Para1!$B$67:$E$72,2,0)="4.",VLOOKUP(A44,Para1!$B$67:$E$72,3,0),"")</f>
        <v>#N/A</v>
      </c>
      <c r="S44" s="265" t="str">
        <f aca="false">IF((P44+Q44)=0,"",IF(ISNA(R44),"",IF(R44="","",VLOOKUP(R44,Para1!$D$67:$G$79,3,0)*(IF(P44+Q44=1,0.5,1)))))</f>
        <v/>
      </c>
      <c r="T44" s="265" t="str">
        <f aca="false">IF(P44+Q44=0,"",IF(ISNA(R45),"",IF(R45="","",VLOOKUP(R45,Para1!$D$67:$G$79,4,0)*(IF(P44+Q44=1,0.5,1)))))</f>
        <v/>
      </c>
      <c r="U44" s="145" t="str">
        <f aca="false">IF(SUM(S44:T44)&gt;0,K44,"")</f>
        <v/>
      </c>
      <c r="V44" s="145" t="str">
        <f aca="false">IF(SUM(S44:T44)&gt;0,L44,"")</f>
        <v/>
      </c>
      <c r="W44" s="265" t="n">
        <f aca="false">IF(S44=0,P44+Q44,0)</f>
        <v>0</v>
      </c>
    </row>
    <row r="45" customFormat="false" ht="17" hidden="false" customHeight="true" outlineLevel="0" collapsed="false">
      <c r="A45" s="216" t="s">
        <v>42</v>
      </c>
      <c r="B45" s="297" t="str">
        <f aca="false">IF(B44=Para1!$F$153,Para1!$F$109,IF(B44=Para1!$F$109,Para1!$F$148,IF(B44=Para1!$F$148,Para1!$F$111,IF(B44=Para1!$F$111,Para1!$F$120,IF(B44=Para1!$F$120,Para1!$F$170,IF(B44=Para1!$F$170,Para1!$F$173,Para1!$F$153))))))</f>
        <v>Fri</v>
      </c>
      <c r="C45" s="202"/>
      <c r="D45" s="203"/>
      <c r="E45" s="204"/>
      <c r="F45" s="205"/>
      <c r="G45" s="204"/>
      <c r="H45" s="204"/>
      <c r="I45" s="298"/>
      <c r="J45" s="255"/>
      <c r="K45" s="256"/>
      <c r="L45" s="209"/>
      <c r="M45" s="210"/>
      <c r="N45" s="195"/>
      <c r="O45" s="265"/>
      <c r="P45" s="259" t="n">
        <f aca="false">P38</f>
        <v>1</v>
      </c>
      <c r="Q45" s="259" t="n">
        <f aca="false">Q38</f>
        <v>1</v>
      </c>
      <c r="R45" s="265" t="str">
        <f aca="false">IF(VLOOKUP(A45,Para1!$B$67:$E$72,2,0)="4.",VLOOKUP(A45,Para1!$B$67:$E$72,3,0),"")</f>
        <v/>
      </c>
      <c r="S45" s="265" t="str">
        <f aca="false">IF((P45+Q45)=0,"",IF(ISNA(R45),"",IF(R45="","",VLOOKUP(R45,Para1!$D$67:$G$79,3,0)*(IF(P45+Q45=1,0.5,1)))))</f>
        <v/>
      </c>
      <c r="T45" s="265" t="str">
        <f aca="false">IF(P45+Q45=0,"",IF(ISNA(R46),"",IF(R46="","",VLOOKUP(R46,Para1!$D$67:$G$79,4,0)*(IF(P45+Q45=1,0.5,1)))))</f>
        <v/>
      </c>
      <c r="U45" s="145" t="str">
        <f aca="false">IF(SUM(S45:T45)&gt;0,K45,"")</f>
        <v/>
      </c>
      <c r="V45" s="145" t="str">
        <f aca="false">IF(SUM(S45:T45)&gt;0,L45,"")</f>
        <v/>
      </c>
      <c r="W45" s="265" t="n">
        <f aca="false">IF(S45=0,P45+Q45,0)</f>
        <v>0</v>
      </c>
    </row>
    <row r="46" s="258" customFormat="true" ht="17" hidden="false" customHeight="true" outlineLevel="0" collapsed="false">
      <c r="A46" s="216" t="s">
        <v>43</v>
      </c>
      <c r="B46" s="297" t="str">
        <f aca="false">IF(B45=Para1!$F$153,Para1!$F$109,IF(B45=Para1!$F$109,Para1!$F$148,IF(B45=Para1!$F$148,Para1!$F$111,IF(B45=Para1!$F$111,Para1!$F$120,IF(B45=Para1!$F$120,Para1!$F$170,IF(B45=Para1!$F$170,Para1!$F$173,Para1!$F$153))))))</f>
        <v>Sat</v>
      </c>
      <c r="C46" s="202"/>
      <c r="D46" s="203"/>
      <c r="E46" s="204"/>
      <c r="F46" s="205"/>
      <c r="G46" s="204"/>
      <c r="H46" s="204"/>
      <c r="I46" s="298"/>
      <c r="J46" s="255"/>
      <c r="K46" s="256"/>
      <c r="L46" s="209"/>
      <c r="M46" s="210"/>
      <c r="N46" s="195"/>
      <c r="O46" s="265"/>
      <c r="P46" s="259" t="n">
        <f aca="false">P39</f>
        <v>0</v>
      </c>
      <c r="Q46" s="259" t="n">
        <f aca="false">Q39</f>
        <v>0</v>
      </c>
      <c r="R46" s="265" t="str">
        <f aca="false">IF(VLOOKUP(A46,Para1!$B$67:$E$72,2,0)="4.",VLOOKUP(A46,Para1!$B$67:$E$72,3,0),"")</f>
        <v/>
      </c>
      <c r="S46" s="265" t="str">
        <f aca="false">IF((P46+Q46)=0,"",IF(ISNA(R46),"",IF(R46="","",VLOOKUP(R46,Para1!$D$67:$G$79,3,0)*(IF(P46+Q46=1,0.5,1)))))</f>
        <v/>
      </c>
      <c r="T46" s="265" t="str">
        <f aca="false">IF(P46+Q46=0,"",IF(ISNA(R47),"",IF(R47="","",VLOOKUP(R47,Para1!$D$67:$G$79,4,0)*(IF(P46+Q46=1,0.5,1)))))</f>
        <v/>
      </c>
      <c r="U46" s="145" t="str">
        <f aca="false">IF(SUM(S46:T46)&gt;0,K46,"")</f>
        <v/>
      </c>
      <c r="V46" s="145" t="str">
        <f aca="false">IF(SUM(S46:T46)&gt;0,L46,"")</f>
        <v/>
      </c>
      <c r="W46" s="265" t="n">
        <f aca="false">IF(S46=0,P46+Q46,0)</f>
        <v>0</v>
      </c>
    </row>
    <row r="47" s="258" customFormat="true" ht="17" hidden="false" customHeight="true" outlineLevel="0" collapsed="false">
      <c r="A47" s="216" t="s">
        <v>44</v>
      </c>
      <c r="B47" s="297" t="str">
        <f aca="false">IF(B46=Para1!$F$153,Para1!$F$109,IF(B46=Para1!$F$109,Para1!$F$148,IF(B46=Para1!$F$148,Para1!$F$111,IF(B46=Para1!$F$111,Para1!$F$120,IF(B46=Para1!$F$120,Para1!$F$170,IF(B46=Para1!$F$170,Para1!$F$173,Para1!$F$153))))))</f>
        <v>Sun</v>
      </c>
      <c r="C47" s="202"/>
      <c r="D47" s="203"/>
      <c r="E47" s="204"/>
      <c r="F47" s="205"/>
      <c r="G47" s="204"/>
      <c r="H47" s="204"/>
      <c r="I47" s="298"/>
      <c r="J47" s="255"/>
      <c r="K47" s="256"/>
      <c r="L47" s="209"/>
      <c r="M47" s="210"/>
      <c r="N47" s="195"/>
      <c r="O47" s="265"/>
      <c r="P47" s="259" t="n">
        <f aca="false">P40</f>
        <v>0</v>
      </c>
      <c r="Q47" s="259" t="n">
        <f aca="false">Q40</f>
        <v>0</v>
      </c>
      <c r="R47" s="265" t="e">
        <f aca="false">IF(VLOOKUP(A47,Para1!$B$67:$E$72,2,0)="4.",VLOOKUP(A47,Para1!$B$67:$E$72,3,0),"")</f>
        <v>#N/A</v>
      </c>
      <c r="S47" s="265" t="str">
        <f aca="false">IF((P47+Q47)=0,"",IF(ISNA(R47),"",IF(R47="","",VLOOKUP(R47,Para1!$D$67:$G$79,3,0)*(IF(P47+Q47=1,0.5,1)))))</f>
        <v/>
      </c>
      <c r="T47" s="265" t="str">
        <f aca="false">IF(P47+Q47=0,"",IF(ISNA(R48),"",IF(R48="","",VLOOKUP(R48,Para1!$D$67:$G$79,4,0)*(IF(P47+Q47=1,0.5,1)))))</f>
        <v/>
      </c>
      <c r="U47" s="145" t="str">
        <f aca="false">IF(SUM(S47:T47)&gt;0,K47,"")</f>
        <v/>
      </c>
      <c r="V47" s="145" t="str">
        <f aca="false">IF(SUM(S47:T47)&gt;0,L47,"")</f>
        <v/>
      </c>
      <c r="W47" s="265" t="n">
        <f aca="false">IF(S47=0,P47+Q47,0)</f>
        <v>0</v>
      </c>
    </row>
    <row r="48" customFormat="false" ht="17" hidden="false" customHeight="true" outlineLevel="0" collapsed="false">
      <c r="A48" s="216" t="s">
        <v>45</v>
      </c>
      <c r="B48" s="297" t="str">
        <f aca="false">IF(B47=Para1!$F$153,Para1!$F$109,IF(B47=Para1!$F$109,Para1!$F$148,IF(B47=Para1!$F$148,Para1!$F$111,IF(B47=Para1!$F$111,Para1!$F$120,IF(B47=Para1!$F$120,Para1!$F$170,IF(B47=Para1!$F$170,Para1!$F$173,Para1!$F$153))))))</f>
        <v>Mon</v>
      </c>
      <c r="C48" s="202"/>
      <c r="D48" s="203"/>
      <c r="E48" s="204"/>
      <c r="F48" s="205"/>
      <c r="G48" s="204"/>
      <c r="H48" s="204"/>
      <c r="I48" s="298"/>
      <c r="J48" s="255"/>
      <c r="K48" s="256"/>
      <c r="L48" s="209"/>
      <c r="M48" s="210"/>
      <c r="N48" s="195"/>
      <c r="O48" s="265"/>
      <c r="P48" s="259" t="n">
        <f aca="false">P41</f>
        <v>1</v>
      </c>
      <c r="Q48" s="259" t="n">
        <f aca="false">Q41</f>
        <v>1</v>
      </c>
      <c r="R48" s="265" t="e">
        <f aca="false">IF(VLOOKUP(A48,Para1!$B$67:$E$72,2,0)="4.",VLOOKUP(A48,Para1!$B$67:$E$72,3,0),"")</f>
        <v>#N/A</v>
      </c>
      <c r="S48" s="265" t="str">
        <f aca="false">IF((P48+Q48)=0,"",IF(ISNA(R48),"",IF(R48="","",VLOOKUP(R48,Para1!$D$67:$G$79,3,0)*(IF(P48+Q48=1,0.5,1)))))</f>
        <v/>
      </c>
      <c r="T48" s="265" t="str">
        <f aca="false">IF(P48+Q48=0,"",IF(ISNA(R49),"",IF(R49="","",VLOOKUP(R49,Para1!$D$67:$G$79,4,0)*(IF(P48+Q48=1,0.5,1)))))</f>
        <v/>
      </c>
      <c r="U48" s="145" t="str">
        <f aca="false">IF(SUM(S48:T48)&gt;0,K48,"")</f>
        <v/>
      </c>
      <c r="V48" s="145" t="str">
        <f aca="false">IF(SUM(S48:T48)&gt;0,L48,"")</f>
        <v/>
      </c>
      <c r="W48" s="265" t="n">
        <f aca="false">IF(S48=0,P48+Q48,0)</f>
        <v>0</v>
      </c>
    </row>
    <row r="49" customFormat="false" ht="17" hidden="false" customHeight="true" outlineLevel="0" collapsed="false">
      <c r="A49" s="216" t="s">
        <v>46</v>
      </c>
      <c r="B49" s="297" t="str">
        <f aca="false">IF(B48=Para1!$F$153,Para1!$F$109,IF(B48=Para1!$F$109,Para1!$F$148,IF(B48=Para1!$F$148,Para1!$F$111,IF(B48=Para1!$F$111,Para1!$F$120,IF(B48=Para1!$F$120,Para1!$F$170,IF(B48=Para1!$F$170,Para1!$F$173,Para1!$F$153))))))</f>
        <v>Tue</v>
      </c>
      <c r="C49" s="202"/>
      <c r="D49" s="203"/>
      <c r="E49" s="204"/>
      <c r="F49" s="205"/>
      <c r="G49" s="204"/>
      <c r="H49" s="204"/>
      <c r="I49" s="298"/>
      <c r="J49" s="255"/>
      <c r="K49" s="256"/>
      <c r="L49" s="209"/>
      <c r="M49" s="210"/>
      <c r="N49" s="195"/>
      <c r="O49" s="265"/>
      <c r="P49" s="259" t="n">
        <f aca="false">P42</f>
        <v>1</v>
      </c>
      <c r="Q49" s="259" t="n">
        <f aca="false">Q42</f>
        <v>1</v>
      </c>
      <c r="R49" s="265" t="e">
        <f aca="false">IF(VLOOKUP(A49,Para1!$B$67:$E$72,2,0)="4.",VLOOKUP(A49,Para1!$B$67:$E$72,3,0),"")</f>
        <v>#N/A</v>
      </c>
      <c r="S49" s="265" t="str">
        <f aca="false">IF((P49+Q49)=0,"",IF(ISNA(R49),"",IF(R49="","",VLOOKUP(R49,Para1!$D$67:$G$79,3,0)*(IF(P49+Q49=1,0.5,1)))))</f>
        <v/>
      </c>
      <c r="T49" s="265" t="str">
        <f aca="false">IF(P49+Q49=0,"",IF(ISNA(R50),"",IF(R50="","",VLOOKUP(R50,Para1!$D$67:$G$79,4,0)*(IF(P49+Q49=1,0.5,1)))))</f>
        <v/>
      </c>
      <c r="U49" s="145" t="str">
        <f aca="false">IF(SUM(S49:T49)&gt;0,K49,"")</f>
        <v/>
      </c>
      <c r="V49" s="145" t="str">
        <f aca="false">IF(SUM(S49:T49)&gt;0,L49,"")</f>
        <v/>
      </c>
      <c r="W49" s="265" t="n">
        <f aca="false">IF(S49=0,P49+Q49,0)</f>
        <v>0</v>
      </c>
    </row>
    <row r="50" customFormat="false" ht="16.5" hidden="false" customHeight="true" outlineLevel="0" collapsed="false">
      <c r="A50" s="216" t="s">
        <v>47</v>
      </c>
      <c r="B50" s="297" t="str">
        <f aca="false">IF(B49=Para1!$F$153,Para1!$F$109,IF(B49=Para1!$F$109,Para1!$F$148,IF(B49=Para1!$F$148,Para1!$F$111,IF(B49=Para1!$F$111,Para1!$F$120,IF(B49=Para1!$F$120,Para1!$F$170,IF(B49=Para1!$F$170,Para1!$F$173,Para1!$F$153))))))</f>
        <v>Wed</v>
      </c>
      <c r="C50" s="186"/>
      <c r="D50" s="203"/>
      <c r="E50" s="204"/>
      <c r="F50" s="205"/>
      <c r="G50" s="204"/>
      <c r="H50" s="204"/>
      <c r="I50" s="298"/>
      <c r="J50" s="255"/>
      <c r="K50" s="256"/>
      <c r="L50" s="209"/>
      <c r="M50" s="210"/>
      <c r="N50" s="195"/>
      <c r="O50" s="265"/>
      <c r="P50" s="262" t="n">
        <f aca="false">P43</f>
        <v>1</v>
      </c>
      <c r="Q50" s="262" t="n">
        <f aca="false">Q43</f>
        <v>1</v>
      </c>
      <c r="R50" s="265" t="e">
        <f aca="false">IF(VLOOKUP(A50,Para1!$B$67:$E$72,2,0)="4.",VLOOKUP(A50,Para1!$B$67:$E$72,3,0),"")</f>
        <v>#N/A</v>
      </c>
      <c r="S50" s="265" t="str">
        <f aca="false">IF((P50+Q50)=0,"",IF(ISNA(R50),"",IF(R50="","",VLOOKUP(R50,Para1!$D$67:$G$79,3,0)*(IF(P50+Q50=1,0.5,1)))))</f>
        <v/>
      </c>
      <c r="T50" s="265" t="str">
        <f aca="false">IF(P50+Q50=0,"",IF(ISNA(R51),"",IF(R51="","",VLOOKUP(R51,Para1!$D$67:$G$79,4,0)*(IF(P50+Q50=1,0.5,1)))))</f>
        <v/>
      </c>
      <c r="U50" s="145" t="str">
        <f aca="false">IF(SUM(S50:T50)&gt;0,K50,"")</f>
        <v/>
      </c>
      <c r="V50" s="145" t="str">
        <f aca="false">IF(SUM(S50:T50)&gt;0,L50,"")</f>
        <v/>
      </c>
      <c r="W50" s="265" t="n">
        <f aca="false">IF(S50=0,P50+Q50,0)</f>
        <v>0</v>
      </c>
    </row>
    <row r="51" customFormat="false" ht="16.5" hidden="false" customHeight="true" outlineLevel="0" collapsed="false">
      <c r="A51" s="216" t="s">
        <v>48</v>
      </c>
      <c r="B51" s="297" t="str">
        <f aca="false">IF(B50=Para1!$F$153,Para1!$F$109,IF(B50=Para1!$F$109,Para1!$F$148,IF(B50=Para1!$F$148,Para1!$F$111,IF(B50=Para1!$F$111,Para1!$F$120,IF(B50=Para1!$F$120,Para1!$F$170,IF(B50=Para1!$F$170,Para1!$F$173,Para1!$F$153))))))</f>
        <v>Thu</v>
      </c>
      <c r="C51" s="186"/>
      <c r="D51" s="203"/>
      <c r="E51" s="204"/>
      <c r="F51" s="205"/>
      <c r="G51" s="204"/>
      <c r="H51" s="204"/>
      <c r="I51" s="298"/>
      <c r="J51" s="255"/>
      <c r="K51" s="256"/>
      <c r="L51" s="209"/>
      <c r="M51" s="210"/>
      <c r="N51" s="195"/>
      <c r="O51" s="265"/>
      <c r="P51" s="217" t="n">
        <f aca="false">P44</f>
        <v>1</v>
      </c>
      <c r="Q51" s="259" t="n">
        <f aca="false">Q44</f>
        <v>1</v>
      </c>
      <c r="R51" s="265" t="e">
        <f aca="false">IF(VLOOKUP(A51,Para1!$B$67:$E$72,2,0)="4.",VLOOKUP(A51,Para1!$B$67:$E$72,3,0),"")</f>
        <v>#N/A</v>
      </c>
      <c r="S51" s="265" t="str">
        <f aca="false">IF((P51+Q51)=0,"",IF(ISNA(R51),"",IF(R51="","",VLOOKUP(R51,Para1!$D$67:$G$79,3,0)*(IF(P51+Q51=1,0.5,1)))))</f>
        <v/>
      </c>
      <c r="T51" s="265" t="str">
        <f aca="false">IF(P51+Q51=0,"",IF(ISNA(R52),"",IF(R52="","",VLOOKUP(R52,Para1!$D$67:$G$79,4,0)*(IF(P51+Q51=1,0.5,1)))))</f>
        <v/>
      </c>
      <c r="U51" s="145" t="str">
        <f aca="false">IF(SUM(S51:T51)&gt;0,K51,"")</f>
        <v/>
      </c>
      <c r="V51" s="145" t="str">
        <f aca="false">IF(SUM(S51:T51)&gt;0,L51,"")</f>
        <v/>
      </c>
      <c r="W51" s="265" t="n">
        <f aca="false">IF(S51=0,P51+Q51,0)</f>
        <v>0</v>
      </c>
    </row>
    <row r="52" customFormat="false" ht="16.5" hidden="false" customHeight="true" outlineLevel="0" collapsed="false">
      <c r="A52" s="216" t="s">
        <v>49</v>
      </c>
      <c r="B52" s="297" t="str">
        <f aca="false">IF(B51=Para1!$F$153,Para1!$F$109,IF(B51=Para1!$F$109,Para1!$F$148,IF(B51=Para1!$F$148,Para1!$F$111,IF(B51=Para1!$F$111,Para1!$F$120,IF(B51=Para1!$F$120,Para1!$F$170,IF(B51=Para1!$F$170,Para1!$F$173,Para1!$F$153))))))</f>
        <v>Fri</v>
      </c>
      <c r="C52" s="202"/>
      <c r="D52" s="203"/>
      <c r="E52" s="204"/>
      <c r="F52" s="205"/>
      <c r="G52" s="204"/>
      <c r="H52" s="204"/>
      <c r="I52" s="298"/>
      <c r="J52" s="255"/>
      <c r="K52" s="256"/>
      <c r="L52" s="209"/>
      <c r="M52" s="210"/>
      <c r="N52" s="195"/>
      <c r="O52" s="265"/>
      <c r="P52" s="221" t="n">
        <f aca="false">P45</f>
        <v>1</v>
      </c>
      <c r="Q52" s="289" t="n">
        <f aca="false">Q45</f>
        <v>1</v>
      </c>
      <c r="R52" s="265" t="e">
        <f aca="false">IF(VLOOKUP(A52,Para1!$B$67:$E$72,2,0)="4.",VLOOKUP(A52,Para1!$B$67:$E$72,3,0),"")</f>
        <v>#N/A</v>
      </c>
      <c r="S52" s="265" t="str">
        <f aca="false">IF((P52+Q52)=0,"",IF(ISNA(R52),"",IF(R52="","",VLOOKUP(R52,Para1!$D$67:$G$79,3,0)*(IF(P52+Q52=1,0.5,1)))))</f>
        <v/>
      </c>
      <c r="T52" s="265" t="str">
        <f aca="false">IF(P52+Q52=0,"",IF(ISNA(Mai!R23),"",IF(Mai!R23="","",VLOOKUP(Mai!R23,Para1!$D$67:$G$79,4,0)*(IF(P52+Q52=1,0.5,1)))))</f>
        <v/>
      </c>
      <c r="U52" s="145" t="str">
        <f aca="false">IF(SUM(S52:T52)&gt;0,K52,"")</f>
        <v/>
      </c>
      <c r="V52" s="145" t="str">
        <f aca="false">IF(SUM(S52:T52)&gt;0,L52,"")</f>
        <v/>
      </c>
      <c r="W52" s="265" t="n">
        <f aca="false">IF(S52=0,P52+Q52,0)</f>
        <v>0</v>
      </c>
    </row>
    <row r="53" customFormat="false" ht="17" hidden="false" customHeight="true" outlineLevel="0" collapsed="false">
      <c r="A53" s="300"/>
      <c r="B53" s="301"/>
      <c r="C53" s="302"/>
      <c r="D53" s="303"/>
      <c r="E53" s="304"/>
      <c r="F53" s="305"/>
      <c r="G53" s="304"/>
      <c r="H53" s="304"/>
      <c r="I53" s="306"/>
      <c r="J53" s="255"/>
      <c r="K53" s="307"/>
      <c r="L53" s="308"/>
      <c r="M53" s="210"/>
      <c r="N53" s="195"/>
      <c r="O53" s="265"/>
      <c r="P53" s="281"/>
      <c r="Q53" s="281"/>
      <c r="R53" s="265" t="e">
        <f aca="false">IF(VLOOKUP(A53,Para1!$B$67:$E$72,2,0)="4.",VLOOKUP(A53,Para1!$B$67:$E$72,3,0),"")</f>
        <v>#N/A</v>
      </c>
      <c r="S53" s="265" t="str">
        <f aca="false">IF((P53+Q53)=0,"",IF(ISNA(R53),"",IF(R53="","",VLOOKUP(R53,Para1!$D$67:$G$79,3,0)*(IF(P53+Q53=1,0.5,1)))))</f>
        <v/>
      </c>
      <c r="T53" s="145"/>
      <c r="U53" s="145" t="str">
        <f aca="false">IF(SUM(S53:T53)&gt;0,K53,"")</f>
        <v/>
      </c>
      <c r="V53" s="145" t="str">
        <f aca="false">IF(SUM(S53:T53)&gt;0,L53,"")</f>
        <v/>
      </c>
      <c r="W53" s="265" t="n">
        <f aca="false">IF(S53=0,P53+Q53,0)</f>
        <v>0</v>
      </c>
    </row>
    <row r="54" customFormat="false" ht="15" hidden="false" customHeight="false" outlineLevel="0" collapsed="false">
      <c r="A54" s="223"/>
      <c r="B54" s="197"/>
      <c r="C54" s="133"/>
      <c r="D54" s="224" t="n">
        <f aca="false">SUM(D23:D53)</f>
        <v>0</v>
      </c>
      <c r="E54" s="225" t="n">
        <f aca="false">SUM(E23:E53)</f>
        <v>0</v>
      </c>
      <c r="F54" s="290" t="n">
        <f aca="false">SUM(F23:F53)</f>
        <v>0</v>
      </c>
      <c r="G54" s="225" t="n">
        <f aca="false">SUM(G23:G53)</f>
        <v>0</v>
      </c>
      <c r="H54" s="225" t="n">
        <f aca="false">SUM(H23:H53)</f>
        <v>0</v>
      </c>
      <c r="I54" s="309" t="n">
        <f aca="false">SUM(I23:I53)</f>
        <v>0</v>
      </c>
      <c r="J54" s="282"/>
      <c r="K54" s="133"/>
      <c r="P54" s="229" t="str">
        <f aca="false">Para1!F174&amp;" "&amp;Para1!F168</f>
        <v>balance due / half-day</v>
      </c>
      <c r="Q54" s="229"/>
      <c r="R54" s="145" t="n">
        <f aca="false">SUM(W23:W53)</f>
        <v>2</v>
      </c>
      <c r="S54" s="145" t="n">
        <f aca="false">SUM(S23:S53)</f>
        <v>0</v>
      </c>
      <c r="T54" s="145" t="n">
        <f aca="false">SUM(T23:T53)</f>
        <v>1</v>
      </c>
    </row>
    <row r="55" customFormat="false" ht="15" hidden="false" customHeight="false" outlineLevel="0" collapsed="false">
      <c r="A55" s="283"/>
      <c r="B55" s="284"/>
      <c r="C55" s="284"/>
      <c r="D55" s="230" t="n">
        <f aca="false">D54*24</f>
        <v>0</v>
      </c>
      <c r="E55" s="291" t="n">
        <f aca="false">E54*24</f>
        <v>0</v>
      </c>
      <c r="F55" s="292" t="n">
        <f aca="false">F54*24</f>
        <v>0</v>
      </c>
      <c r="G55" s="231" t="n">
        <f aca="false">G54*24</f>
        <v>0</v>
      </c>
      <c r="H55" s="231" t="n">
        <f aca="false">H54*24</f>
        <v>0</v>
      </c>
      <c r="I55" s="232" t="n">
        <f aca="false">I54*24</f>
        <v>0</v>
      </c>
      <c r="J55" s="285"/>
      <c r="K55" s="133"/>
      <c r="M55" s="235" t="str">
        <f aca="false">Para1!G2</f>
        <v>AE v1_01 02.12.2021</v>
      </c>
      <c r="P55" s="236" t="n">
        <f aca="false">(Para1!I59/100*$G$3+((S54+T54)/100*$G$3))/(SUM(P23:Q53)-R54)/24</f>
        <v>0.175</v>
      </c>
      <c r="Q55" s="236"/>
    </row>
    <row r="56" customFormat="false" ht="15" hidden="false" customHeight="false" outlineLevel="0" collapsed="false">
      <c r="Q56" s="133"/>
    </row>
    <row r="57" customFormat="false" ht="22.5" hidden="false" customHeight="true" outlineLevel="0" collapsed="false">
      <c r="A57" s="237" t="str">
        <f aca="false">Para1!F106</f>
        <v>date</v>
      </c>
      <c r="B57" s="238"/>
      <c r="C57" s="238"/>
      <c r="D57" s="239"/>
      <c r="E57" s="238"/>
      <c r="F57" s="240" t="str">
        <f aca="false">Para1!F191&amp;" "&amp;Para1!F152</f>
        <v>signature employee</v>
      </c>
      <c r="G57" s="238"/>
      <c r="H57" s="241"/>
      <c r="I57" s="241"/>
      <c r="J57" s="241"/>
      <c r="K57" s="241"/>
      <c r="L57" s="241"/>
      <c r="Q57" s="133"/>
      <c r="T57" s="250"/>
      <c r="U57" s="238"/>
      <c r="Y57" s="243"/>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row r="61" customFormat="false" ht="22.5" hidden="false" customHeight="true" outlineLevel="0" collapsed="false">
      <c r="A61" s="247"/>
      <c r="B61" s="238"/>
      <c r="C61" s="238"/>
      <c r="D61" s="248"/>
      <c r="E61" s="249"/>
      <c r="F61" s="248"/>
      <c r="G61" s="242"/>
      <c r="I61" s="134"/>
      <c r="J61" s="250"/>
      <c r="L61" s="250"/>
      <c r="M61" s="238"/>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2">
    <cfRule type="expression" priority="2" aboveAverage="0" equalAverage="0" bottom="0" percent="0" rank="0" text="" dxfId="22">
      <formula>$S23=0</formula>
    </cfRule>
    <cfRule type="expression" priority="3" aboveAverage="0" equalAverage="0" bottom="0" percent="0" rank="0" text="" dxfId="23">
      <formula>$P23+$Q23=0</formula>
    </cfRule>
  </conditionalFormatting>
  <conditionalFormatting sqref="D23:I52">
    <cfRule type="expression" priority="4" aboveAverage="0" equalAverage="0" bottom="0" percent="0" rank="0" text="" dxfId="24">
      <formula>$P23+$Q23=1</formula>
    </cfRule>
    <cfRule type="expression" priority="5" aboveAverage="0" equalAverage="0" bottom="0" percent="0" rank="0" text="" dxfId="25">
      <formula>$P23+$Q23=0</formula>
    </cfRule>
  </conditionalFormatting>
  <conditionalFormatting sqref="D23:I52 K23:L52 P23:Q52">
    <cfRule type="expression" priority="6" aboveAverage="0" equalAverage="0" bottom="0" percent="0" rank="0" text="" dxfId="26">
      <formula>$S23=0</formula>
    </cfRule>
  </conditionalFormatting>
  <conditionalFormatting sqref="K23:K52 P23:P52">
    <cfRule type="expression" priority="7" aboveAverage="0" equalAverage="0" bottom="0" percent="0" rank="0" text="" dxfId="27">
      <formula>$P23=0</formula>
    </cfRule>
  </conditionalFormatting>
  <conditionalFormatting sqref="L23:L52 Q23:Q52">
    <cfRule type="expression" priority="8" aboveAverage="0" equalAverage="0" bottom="0" percent="0" rank="0" text="" dxfId="28">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 right="0.379861111111111" top="0.790277777777778" bottom="0.39375" header="0.290277777777778" footer="0.157638888888889"/>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61"/>
  <sheetViews>
    <sheetView showFormulas="false" showGridLines="false" showRowColHeaders="true" showZeros="true" rightToLeft="false" tabSelected="false" showOutlineSymbols="true" defaultGridColor="true" view="normal" topLeftCell="A16" colorId="64" zoomScale="85" zoomScaleNormal="85" zoomScalePageLayoutView="100" workbookViewId="0">
      <selection pane="topLeft" activeCell="A53" activeCellId="0" sqref="A53"/>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7" min="4" style="117" width="12.66"/>
    <col collapsed="false" customWidth="true" hidden="false" outlineLevel="0" max="8" min="8" style="145" width="12.66"/>
    <col collapsed="false" customWidth="true" hidden="false" outlineLevel="0" max="9" min="9" style="117" width="12.66"/>
    <col collapsed="false" customWidth="true" hidden="false" outlineLevel="0" max="10" min="10" style="117" width="2.84"/>
    <col collapsed="false" customWidth="true" hidden="false" outlineLevel="0" max="12" min="11" style="117"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2"/>
    <col collapsed="false" customWidth="false" hidden="false" outlineLevel="0" max="1024" min="24" style="117" width="11.5"/>
  </cols>
  <sheetData>
    <row r="1" s="117" customFormat="tru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I1" s="24"/>
      <c r="J1" s="121"/>
      <c r="K1" s="121" t="str">
        <f aca="false">Para1!F133</f>
        <v>year of birth (4-digit):</v>
      </c>
      <c r="L1" s="122" t="n">
        <f aca="false">'Jahresübersicht (Overview)'!K2</f>
        <v>1994</v>
      </c>
      <c r="P1" s="123"/>
      <c r="Q1" s="24"/>
      <c r="R1" s="133"/>
      <c r="S1" s="295"/>
      <c r="T1" s="295"/>
      <c r="U1" s="133"/>
      <c r="V1" s="133"/>
      <c r="W1" s="133"/>
      <c r="X1" s="133"/>
      <c r="Y1" s="133"/>
    </row>
    <row r="2" customFormat="false" ht="6" hidden="false" customHeight="true" outlineLevel="0" collapsed="false">
      <c r="D2" s="124"/>
      <c r="E2" s="124"/>
      <c r="F2" s="124"/>
      <c r="G2" s="124"/>
      <c r="H2" s="117"/>
      <c r="I2" s="124"/>
      <c r="J2" s="124"/>
      <c r="K2" s="124"/>
      <c r="L2" s="124"/>
      <c r="Q2" s="24"/>
      <c r="R2" s="133"/>
      <c r="S2" s="295"/>
      <c r="T2" s="295"/>
      <c r="U2" s="133"/>
      <c r="V2" s="133"/>
      <c r="W2" s="133"/>
      <c r="X2" s="133"/>
      <c r="Y2" s="133"/>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(Overview)'!G8</f>
        <v>100</v>
      </c>
      <c r="H3" s="117" t="s">
        <v>11</v>
      </c>
      <c r="I3" s="24"/>
      <c r="J3" s="119"/>
      <c r="K3" s="126" t="str">
        <f aca="false">Para1!F113</f>
        <v>starting date:</v>
      </c>
      <c r="L3" s="127" t="n">
        <f aca="false">'Jahresübersicht (Overview)'!$G$4</f>
        <v>42688</v>
      </c>
      <c r="M3" s="128"/>
      <c r="N3" s="128"/>
      <c r="Q3" s="24"/>
      <c r="R3" s="133"/>
      <c r="S3" s="295"/>
      <c r="T3" s="295"/>
      <c r="U3" s="133"/>
      <c r="V3" s="133"/>
      <c r="W3" s="133"/>
      <c r="X3" s="133"/>
      <c r="Y3" s="133"/>
    </row>
    <row r="4" customFormat="false" ht="6" hidden="false" customHeight="true" outlineLevel="0" collapsed="false">
      <c r="A4" s="129"/>
      <c r="B4" s="130"/>
      <c r="C4" s="130"/>
      <c r="D4" s="131"/>
      <c r="E4" s="131"/>
      <c r="F4" s="131"/>
      <c r="G4" s="131"/>
      <c r="H4" s="131"/>
      <c r="I4" s="132"/>
      <c r="J4" s="132"/>
      <c r="K4" s="132"/>
      <c r="L4" s="132"/>
      <c r="M4" s="130"/>
      <c r="N4" s="130"/>
      <c r="R4" s="133"/>
      <c r="S4" s="295"/>
      <c r="T4" s="295"/>
      <c r="U4" s="295"/>
      <c r="V4" s="133"/>
      <c r="W4" s="133"/>
      <c r="X4" s="310"/>
      <c r="Y4" s="133"/>
    </row>
    <row r="5" customFormat="false" ht="6" hidden="false" customHeight="true" outlineLevel="0" collapsed="false">
      <c r="D5" s="124"/>
      <c r="E5" s="124"/>
      <c r="F5" s="124"/>
      <c r="G5" s="124"/>
      <c r="H5" s="124"/>
      <c r="I5" s="134"/>
      <c r="J5" s="134"/>
      <c r="K5" s="134"/>
      <c r="L5" s="134"/>
      <c r="R5" s="295"/>
      <c r="S5" s="295"/>
      <c r="T5" s="295"/>
      <c r="U5" s="295"/>
      <c r="V5" s="133"/>
      <c r="W5" s="133"/>
      <c r="X5" s="310"/>
      <c r="Y5" s="133"/>
    </row>
    <row r="6" customFormat="false" ht="15" hidden="false" customHeight="true" outlineLevel="0" collapsed="false">
      <c r="D6" s="124"/>
      <c r="E6" s="135"/>
      <c r="F6" s="124"/>
      <c r="G6" s="124"/>
      <c r="H6" s="124"/>
      <c r="I6" s="134"/>
      <c r="J6" s="134"/>
      <c r="K6" s="134"/>
      <c r="L6" s="134"/>
      <c r="R6" s="124"/>
      <c r="S6" s="124"/>
      <c r="T6" s="124"/>
      <c r="U6" s="124"/>
      <c r="X6" s="134"/>
    </row>
    <row r="7" customFormat="false" ht="15" hidden="false" customHeight="true" outlineLevel="0" collapsed="false">
      <c r="C7" s="136"/>
      <c r="D7" s="126" t="str">
        <f aca="false">Para1!F117</f>
        <v>holiday</v>
      </c>
      <c r="E7" s="137" t="s">
        <v>12</v>
      </c>
      <c r="H7" s="117"/>
      <c r="I7" s="121" t="str">
        <f aca="false">Para1!F83</f>
        <v>absences</v>
      </c>
      <c r="J7" s="117" t="s">
        <v>12</v>
      </c>
      <c r="L7" s="138" t="str">
        <f aca="false">Para1!F84</f>
        <v>curr. mnth</v>
      </c>
      <c r="M7" s="138" t="str">
        <f aca="false">Para1!F195</f>
        <v>last mnth(s)</v>
      </c>
      <c r="N7" s="139" t="str">
        <f aca="false">Para1!F171</f>
        <v>balance</v>
      </c>
      <c r="P7" s="140"/>
    </row>
    <row r="8" customFormat="false" ht="15" hidden="false" customHeight="true" outlineLevel="0" collapsed="false">
      <c r="D8" s="138" t="str">
        <f aca="false">Para1!B171&amp;" "&amp;Para1!B88&amp;" "&amp;Para1!B154</f>
        <v>Saldo Anfang Monat</v>
      </c>
      <c r="E8" s="141" t="n">
        <f aca="false">April!E11</f>
        <v>7.04375</v>
      </c>
      <c r="H8" s="117"/>
      <c r="I8" s="135" t="str">
        <f aca="false">Para1!F141</f>
        <v>illness</v>
      </c>
      <c r="J8" s="142"/>
      <c r="L8" s="143" t="n">
        <f aca="false">D54</f>
        <v>0</v>
      </c>
      <c r="M8" s="143" t="n">
        <f aca="false">April!N8</f>
        <v>0</v>
      </c>
      <c r="N8" s="144" t="n">
        <f aca="false">SUM(L8:M8)</f>
        <v>0</v>
      </c>
    </row>
    <row r="9" customFormat="false" ht="15" hidden="false" customHeight="true" outlineLevel="0" collapsed="false">
      <c r="D9" s="138" t="str">
        <f aca="false">"./. "&amp;Para1!F118</f>
        <v>./. holiday taken</v>
      </c>
      <c r="E9" s="141" t="n">
        <f aca="false">COUNTIF($K$23:$L$53,"f")*$P$55-IF(ISNA(F9),0,((S54+T54)/100*G3)/48)-IF(ISNA(G9),0,((S54+T54)/100*G3)/48)</f>
        <v>0</v>
      </c>
      <c r="F9" s="145" t="e">
        <f aca="false">INDEX(U23:U53,MATCH("f",U23:U53,0))</f>
        <v>#N/A</v>
      </c>
      <c r="G9" s="145" t="e">
        <f aca="false">INDEX(V23:V53,MATCH("f",V23:V53,0))</f>
        <v>#N/A</v>
      </c>
      <c r="H9" s="117"/>
      <c r="I9" s="135" t="str">
        <f aca="false">Para1!F190</f>
        <v>accident</v>
      </c>
      <c r="J9" s="120" t="str">
        <f aca="false">Para1!F99</f>
        <v>work related</v>
      </c>
      <c r="K9" s="120"/>
      <c r="L9" s="143" t="n">
        <f aca="false">E54</f>
        <v>0</v>
      </c>
      <c r="M9" s="143" t="n">
        <f aca="false">April!N9</f>
        <v>0</v>
      </c>
      <c r="N9" s="144" t="n">
        <f aca="false">SUM(L9:M9)</f>
        <v>0</v>
      </c>
      <c r="Q9" s="145"/>
    </row>
    <row r="10" customFormat="false" ht="15" hidden="false" customHeight="true" outlineLevel="0" collapsed="false">
      <c r="D10" s="138" t="str">
        <f aca="false">"./ ."&amp;Para1!F119</f>
        <v>./ .reduction of holiday</v>
      </c>
      <c r="E10" s="147" t="n">
        <v>0</v>
      </c>
      <c r="H10" s="117"/>
      <c r="I10" s="135"/>
      <c r="J10" s="120" t="str">
        <f aca="false">Para1!F161&amp;" "&amp;Para1!F100</f>
        <v>not work. rel.</v>
      </c>
      <c r="K10" s="120"/>
      <c r="L10" s="143" t="n">
        <f aca="false">F54</f>
        <v>0</v>
      </c>
      <c r="M10" s="143" t="n">
        <f aca="false">April!N10</f>
        <v>0</v>
      </c>
      <c r="N10" s="144" t="n">
        <f aca="false">SUM(L10:M10)</f>
        <v>0</v>
      </c>
      <c r="Q10" s="145"/>
    </row>
    <row r="11" customFormat="false" ht="15" hidden="false" customHeight="true" outlineLevel="0" collapsed="false">
      <c r="B11" s="136"/>
      <c r="C11" s="136"/>
      <c r="D11" s="126" t="str">
        <f aca="false">Para1!F171&amp;" "&amp;Para1!F115&amp;" "&amp;Para1!F154</f>
        <v>balance end of the month</v>
      </c>
      <c r="E11" s="148" t="n">
        <f aca="false">$E$8-$E$9-$E$10</f>
        <v>7.04375</v>
      </c>
      <c r="H11" s="117"/>
      <c r="I11" s="149" t="str">
        <f aca="false">Para1!F142</f>
        <v>short vacation</v>
      </c>
      <c r="L11" s="143" t="n">
        <f aca="false">G54</f>
        <v>0</v>
      </c>
      <c r="M11" s="143" t="n">
        <f aca="false">April!N11</f>
        <v>0</v>
      </c>
      <c r="N11" s="144" t="n">
        <f aca="false">SUM(L11:M11)</f>
        <v>0</v>
      </c>
    </row>
    <row r="12" customFormat="false" ht="15" hidden="false" customHeight="true" outlineLevel="0" collapsed="false">
      <c r="B12" s="150" t="str">
        <f aca="false">IF((E11*24+(4.2*'Persönliche Daten (pers. data)'!O8/100))&lt;0,Para1!J224,IF(E11&gt;0,"",Para1!J223))</f>
        <v/>
      </c>
      <c r="H12" s="117"/>
      <c r="I12" s="151" t="str">
        <f aca="false">Para1!F198</f>
        <v>training / education</v>
      </c>
      <c r="L12" s="143" t="n">
        <f aca="false">H54</f>
        <v>0</v>
      </c>
      <c r="M12" s="143" t="n">
        <f aca="false">April!N12</f>
        <v>0</v>
      </c>
      <c r="N12" s="144" t="n">
        <f aca="false">SUM(L12:M12)</f>
        <v>0</v>
      </c>
    </row>
    <row r="13" customFormat="false" ht="15" hidden="false" customHeight="true" outlineLevel="0" collapsed="false">
      <c r="B13" s="152" t="str">
        <f aca="false">Para1!F105&amp;" "&amp;Para1!F122&amp;" "&amp;Para1!F83&amp;" in "&amp;Para1!F178&amp;":"</f>
        <v>letters for absences in days:</v>
      </c>
      <c r="C13" s="152"/>
      <c r="D13" s="152"/>
      <c r="E13" s="152"/>
      <c r="H13" s="117"/>
      <c r="I13" s="135" t="str">
        <f aca="false">Para1!F163</f>
        <v>public office</v>
      </c>
      <c r="L13" s="143" t="n">
        <f aca="false">I54</f>
        <v>0</v>
      </c>
      <c r="M13" s="143" t="n">
        <f aca="false">April!N13</f>
        <v>0</v>
      </c>
      <c r="N13" s="144" t="n">
        <f aca="false">SUM(L13:M13)</f>
        <v>0</v>
      </c>
    </row>
    <row r="14" customFormat="false" ht="15" hidden="false" customHeight="true" outlineLevel="0" collapsed="false">
      <c r="B14" s="153" t="s">
        <v>13</v>
      </c>
      <c r="C14" s="154" t="str">
        <f aca="false">Para1!F117</f>
        <v>holiday</v>
      </c>
      <c r="D14" s="154"/>
      <c r="E14" s="154"/>
      <c r="H14" s="117"/>
      <c r="I14" s="155" t="str">
        <f aca="false">Para1!F192</f>
        <v>leave</v>
      </c>
      <c r="J14" s="146" t="str">
        <f aca="false">Para1!F101</f>
        <v>paid</v>
      </c>
      <c r="K14" s="157"/>
      <c r="L14" s="146" t="n">
        <f aca="false">COUNTIF($K$23:$L$53,"b")*$P$55-IF(ISNA(O14),0,(($S$54+$T$54)/100*$G$3)/48)-IF(ISNA(P14),0,(($S$54+$T$54)/100*$G$3)/48)</f>
        <v>0</v>
      </c>
      <c r="M14" s="143" t="n">
        <f aca="false">April!N14</f>
        <v>0</v>
      </c>
      <c r="N14" s="144" t="n">
        <f aca="false">SUM(L14:M14)</f>
        <v>0</v>
      </c>
      <c r="O14" s="145" t="e">
        <f aca="false">INDEX(U23:U53,MATCH("b",U23:U53,0))</f>
        <v>#N/A</v>
      </c>
      <c r="P14" s="145" t="e">
        <f aca="false">INDEX(V23:V53,MATCH("b",V23:V53,0))</f>
        <v>#N/A</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COUNTIF($K$23:$L$53,"u")*$P$55-IF(ISNA(O15),0,(($S$54+$T$54)/100*$G$3)/48)-IF(ISNA(P15),0,(($S$54+$T$54)/100*$G$3)/48)</f>
        <v>0</v>
      </c>
      <c r="M15" s="143" t="n">
        <f aca="false">April!N15</f>
        <v>0</v>
      </c>
      <c r="N15" s="144" t="n">
        <f aca="false">SUM(L15:M15)</f>
        <v>0</v>
      </c>
      <c r="O15" s="145" t="e">
        <f aca="false">INDEX(U23:U53,MATCH("u",U23:U53,0))</f>
        <v>#N/A</v>
      </c>
      <c r="P15" s="145" t="e">
        <f aca="false">INDEX(V23:V53,MATCH("u",V23:V53,0))</f>
        <v>#N/A</v>
      </c>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J16" s="157"/>
      <c r="K16" s="157"/>
      <c r="L16" s="146" t="n">
        <f aca="false">COUNTIF($K$23:$L$53,"m")*$P$55-IF(ISNA(O16),0,(($S$54+$T$54)/100*$G$3)/48)-IF(ISNA(P16),0,(($S$54+$T$54)/100*$G$3)/48)</f>
        <v>0</v>
      </c>
      <c r="M16" s="143" t="n">
        <f aca="false">April!N16</f>
        <v>0</v>
      </c>
      <c r="N16" s="144" t="n">
        <f aca="false">SUM(L16:M16)</f>
        <v>0</v>
      </c>
      <c r="O16" s="145" t="e">
        <f aca="false">INDEX(U23:U53,MATCH("m",U23:U53,0))</f>
        <v>#N/A</v>
      </c>
      <c r="P16" s="145" t="e">
        <f aca="false">INDEX(V23:V53,MATCH("m",V23:V53,0))</f>
        <v>#N/A</v>
      </c>
    </row>
    <row r="17" customFormat="false" ht="15" hidden="false" customHeight="true" outlineLevel="0" collapsed="false">
      <c r="B17" s="159" t="s">
        <v>16</v>
      </c>
      <c r="C17" s="156" t="str">
        <f aca="false">Para1!F192&amp;" "&amp;Para1!F101</f>
        <v>leave paid</v>
      </c>
      <c r="D17" s="156"/>
      <c r="E17" s="156"/>
      <c r="G17" s="157"/>
      <c r="H17" s="157"/>
      <c r="I17" s="135" t="str">
        <f aca="false">Para1!F150</f>
        <v>military/civil def./civil serv.</v>
      </c>
      <c r="J17" s="24"/>
      <c r="K17" s="24"/>
      <c r="L17" s="146" t="n">
        <f aca="false">COUNTIF($K$23:$L$53,"z")*$P$55-IF(ISNA(O17),0,(($S$54+$T$54)/100*$G$3)/48)-IF(ISNA(P17),0,(($S$54+$T$54)/100*$G$3)/48)</f>
        <v>0</v>
      </c>
      <c r="M17" s="143" t="n">
        <f aca="false">April!N17</f>
        <v>0</v>
      </c>
      <c r="N17" s="144" t="n">
        <f aca="false">SUM(L17:M17)</f>
        <v>0</v>
      </c>
      <c r="O17" s="145" t="e">
        <f aca="false">INDEX(U23:U53,MATCH("z",U23:U53,0))</f>
        <v>#N/A</v>
      </c>
      <c r="P17" s="145" t="e">
        <f aca="false">INDEX(V23:V53,MATCH("z",V23:V53,0))</f>
        <v>#N/A</v>
      </c>
    </row>
    <row r="18" customFormat="false" ht="15" hidden="false" customHeight="true" outlineLevel="0" collapsed="false">
      <c r="B18" s="159" t="s">
        <v>17</v>
      </c>
      <c r="C18" s="154" t="str">
        <f aca="false">Para1!F192&amp;" "&amp;Para1!F189</f>
        <v>leave unpaid</v>
      </c>
      <c r="D18" s="154"/>
      <c r="E18" s="154"/>
      <c r="H18" s="117"/>
      <c r="I18" s="121" t="str">
        <f aca="false">Para1!F180</f>
        <v>total</v>
      </c>
      <c r="L18" s="160" t="n">
        <f aca="false">SUM(L8:L17)</f>
        <v>0</v>
      </c>
      <c r="M18" s="160" t="n">
        <f aca="false">SUM(M8:M17)</f>
        <v>0</v>
      </c>
      <c r="N18" s="160" t="n">
        <f aca="false">SUM(N8:N17)</f>
        <v>0</v>
      </c>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c r="O19" s="12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row>
    <row r="21" s="179" customFormat="true" ht="18.75" hidden="false" customHeight="true" outlineLevel="0" collapsed="false">
      <c r="A21" s="167" t="n">
        <f aca="true">TODAY()</f>
        <v>42894</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252"/>
      <c r="K21" s="253" t="str">
        <f aca="false">Para1!F194</f>
        <v>morning</v>
      </c>
      <c r="L21" s="175" t="str">
        <f aca="false">Para1!F158</f>
        <v>afternoon</v>
      </c>
      <c r="M21" s="176"/>
      <c r="N21" s="136"/>
      <c r="O21" s="136"/>
      <c r="P21" s="177" t="str">
        <f aca="false">Para1!F194</f>
        <v>morning</v>
      </c>
      <c r="Q21" s="178" t="str">
        <f aca="false">Para1!F158</f>
        <v>afternoon</v>
      </c>
    </row>
    <row r="22" s="179" customFormat="true" ht="15.75" hidden="false" customHeight="true" outlineLevel="0" collapsed="false">
      <c r="A22" s="180" t="str">
        <f aca="false">Para1!F106</f>
        <v>date</v>
      </c>
      <c r="B22" s="180"/>
      <c r="C22" s="181"/>
      <c r="D22" s="169"/>
      <c r="E22" s="170"/>
      <c r="F22" s="171"/>
      <c r="G22" s="170"/>
      <c r="H22" s="170"/>
      <c r="I22" s="172"/>
      <c r="J22" s="254"/>
      <c r="K22" s="253"/>
      <c r="L22" s="175"/>
      <c r="M22" s="183"/>
      <c r="N22" s="136"/>
      <c r="O22" s="136"/>
      <c r="P22" s="177"/>
      <c r="Q22" s="178"/>
    </row>
    <row r="23" s="258" customFormat="true" ht="17" hidden="false" customHeight="true" outlineLevel="0" collapsed="false">
      <c r="A23" s="216" t="s">
        <v>18</v>
      </c>
      <c r="B23" s="297" t="str">
        <f aca="false">IF(April!B52=Para1!$F$153,Para1!$F$109,IF(April!B52=Para1!$F$109,Para1!$F$148,IF(April!B52=Para1!$F$148,Para1!$F$111,IF(April!B52=Para1!$F$111,Para1!$F$120,IF(April!B52=Para1!$F$120,Para1!$F$170,IF(April!B52=Para1!$F$170,Para1!$F$173,Para1!$F$153))))))</f>
        <v>Sat</v>
      </c>
      <c r="C23" s="202"/>
      <c r="D23" s="203"/>
      <c r="E23" s="204"/>
      <c r="F23" s="205"/>
      <c r="G23" s="204"/>
      <c r="H23" s="204"/>
      <c r="I23" s="206"/>
      <c r="J23" s="255"/>
      <c r="K23" s="256"/>
      <c r="L23" s="209"/>
      <c r="M23" s="194"/>
      <c r="N23" s="195"/>
      <c r="O23" s="145"/>
      <c r="P23" s="257" t="n">
        <f aca="false">April!P46</f>
        <v>0</v>
      </c>
      <c r="Q23" s="257" t="n">
        <f aca="false">April!Q46</f>
        <v>0</v>
      </c>
      <c r="R23" s="145" t="e">
        <f aca="false">IF(VLOOKUP(A23,Para1!$B$67:$E$72,2,0)="5.",VLOOKUP(A23,Para1!$B$67:$E$72,3,0),"")</f>
        <v>#N/A</v>
      </c>
      <c r="S23" s="145" t="str">
        <f aca="false">IF((P23+Q23)=0,"",IF(ISNA(R23),"",IF(R23="","",VLOOKUP(R23,Para1!$D$67:$G$79,3,0)*(IF(P23+Q23=1,0.5,1)))))</f>
        <v/>
      </c>
      <c r="T23" s="145" t="str">
        <f aca="false">IF(P23+Q23=0,"",IF(ISNA(R24),"",IF(R24="","",VLOOKUP(R24,Para1!$D$67:$G$79,4,0)*(IF(P23+Q23=1,0.5,1)))))</f>
        <v/>
      </c>
      <c r="U23" s="145" t="str">
        <f aca="false">IF(SUM(S23:T23)&gt;0,K23,"")</f>
        <v/>
      </c>
      <c r="V23" s="145" t="str">
        <f aca="false">IF(SUM(S23:T23)&gt;0,L23,"")</f>
        <v/>
      </c>
      <c r="W23" s="145" t="n">
        <f aca="false">IF(S23=0,P23+Q23,0)</f>
        <v>0</v>
      </c>
    </row>
    <row r="24" s="258" customFormat="true" ht="17" hidden="false" customHeight="true" outlineLevel="0" collapsed="false">
      <c r="A24" s="216" t="s">
        <v>20</v>
      </c>
      <c r="B24" s="297" t="str">
        <f aca="false">IF(B23=Para1!$F$153,Para1!$F$109,IF(B23=Para1!$F$109,Para1!$F$148,IF(B23=Para1!$F$148,Para1!$F$111,IF(B23=Para1!$F$111,Para1!$F$120,IF(B23=Para1!$F$120,Para1!$F$170,IF(B23=Para1!$F$170,Para1!$F$173,Para1!$F$153))))))</f>
        <v>Sun</v>
      </c>
      <c r="C24" s="202"/>
      <c r="D24" s="203"/>
      <c r="E24" s="204"/>
      <c r="F24" s="205"/>
      <c r="G24" s="204"/>
      <c r="H24" s="204"/>
      <c r="I24" s="206"/>
      <c r="J24" s="255"/>
      <c r="K24" s="256"/>
      <c r="L24" s="209"/>
      <c r="M24" s="194"/>
      <c r="N24" s="195"/>
      <c r="O24" s="145"/>
      <c r="P24" s="257" t="n">
        <f aca="false">April!P47</f>
        <v>0</v>
      </c>
      <c r="Q24" s="257" t="n">
        <f aca="false">April!Q47</f>
        <v>0</v>
      </c>
      <c r="R24" s="145" t="str">
        <f aca="false">IF(VLOOKUP(A24,Para1!$B$67:$E$72,2,0)="5.",VLOOKUP(A24,Para1!$B$67:$E$72,3,0),"")</f>
        <v/>
      </c>
      <c r="S24" s="145" t="str">
        <f aca="false">IF((P24+Q24)=0,"",IF(ISNA(R24),"",IF(R24="","",VLOOKUP(R24,Para1!$D$67:$G$79,3,0)*(IF(P24+Q24=1,0.5,1)))))</f>
        <v/>
      </c>
      <c r="T24" s="145" t="str">
        <f aca="false">IF(P24+Q24=0,"",IF(ISNA(R25),"",IF(R25="","",VLOOKUP(R25,Para1!$D$67:$G$79,4,0)*(IF(P24+Q24=1,0.5,1)))))</f>
        <v/>
      </c>
      <c r="U24" s="145" t="str">
        <f aca="false">IF(SUM(S24:T24)&gt;0,K24,"")</f>
        <v/>
      </c>
      <c r="V24" s="145" t="str">
        <f aca="false">IF(SUM(S24:T24)&gt;0,L24,"")</f>
        <v/>
      </c>
      <c r="W24" s="145" t="n">
        <f aca="false">IF(S24=0,P24+Q24,0)</f>
        <v>0</v>
      </c>
    </row>
    <row r="25" customFormat="false" ht="17" hidden="false" customHeight="true" outlineLevel="0" collapsed="false">
      <c r="A25" s="200" t="s">
        <v>22</v>
      </c>
      <c r="B25" s="297" t="str">
        <f aca="false">IF(B24=Para1!$F$153,Para1!$F$109,IF(B24=Para1!$F$109,Para1!$F$148,IF(B24=Para1!$F$148,Para1!$F$111,IF(B24=Para1!$F$111,Para1!$F$120,IF(B24=Para1!$F$120,Para1!$F$170,IF(B24=Para1!$F$170,Para1!$F$173,Para1!$F$153))))))</f>
        <v>Mon</v>
      </c>
      <c r="C25" s="202"/>
      <c r="D25" s="203"/>
      <c r="E25" s="204"/>
      <c r="F25" s="205"/>
      <c r="G25" s="204"/>
      <c r="H25" s="204"/>
      <c r="I25" s="206"/>
      <c r="J25" s="255"/>
      <c r="K25" s="256"/>
      <c r="L25" s="209"/>
      <c r="M25" s="210"/>
      <c r="N25" s="195"/>
      <c r="O25" s="145"/>
      <c r="P25" s="257" t="n">
        <f aca="false">April!P48</f>
        <v>1</v>
      </c>
      <c r="Q25" s="257" t="n">
        <f aca="false">April!Q48</f>
        <v>1</v>
      </c>
      <c r="R25" s="145" t="e">
        <f aca="false">IF(VLOOKUP(A25,Para1!$B$67:$E$72,2,0)="5.",VLOOKUP(A25,Para1!$B$67:$E$72,3,0),"")</f>
        <v>#N/A</v>
      </c>
      <c r="S25" s="145" t="str">
        <f aca="false">IF((P25+Q25)=0,"",IF(ISNA(R25),"",IF(R25="","",VLOOKUP(R25,Para1!$D$67:$G$79,3,0)*(IF(P25+Q25=1,0.5,1)))))</f>
        <v/>
      </c>
      <c r="T25" s="145" t="str">
        <f aca="false">IF(P25+Q25=0,"",IF(ISNA(R26),"",IF(R26="","",VLOOKUP(R26,Para1!$D$67:$G$79,4,0)*(IF(P25+Q25=1,0.5,1)))))</f>
        <v/>
      </c>
      <c r="U25" s="145" t="str">
        <f aca="false">IF(SUM(S25:T25)&gt;0,K25,"")</f>
        <v/>
      </c>
      <c r="V25" s="145" t="str">
        <f aca="false">IF(SUM(S25:T25)&gt;0,L25,"")</f>
        <v/>
      </c>
      <c r="W25" s="145" t="n">
        <f aca="false">IF(S25=0,P25+Q25,0)</f>
        <v>0</v>
      </c>
    </row>
    <row r="26" customFormat="false" ht="17" hidden="false" customHeight="true" outlineLevel="0" collapsed="false">
      <c r="A26" s="200" t="s">
        <v>23</v>
      </c>
      <c r="B26" s="297" t="str">
        <f aca="false">IF(B25=Para1!$F$153,Para1!$F$109,IF(B25=Para1!$F$109,Para1!$F$148,IF(B25=Para1!$F$148,Para1!$F$111,IF(B25=Para1!$F$111,Para1!$F$120,IF(B25=Para1!$F$120,Para1!$F$170,IF(B25=Para1!$F$170,Para1!$F$173,Para1!$F$153))))))</f>
        <v>Tue</v>
      </c>
      <c r="C26" s="202"/>
      <c r="D26" s="203"/>
      <c r="E26" s="204"/>
      <c r="F26" s="205"/>
      <c r="G26" s="204"/>
      <c r="H26" s="204"/>
      <c r="I26" s="206"/>
      <c r="J26" s="255"/>
      <c r="K26" s="256"/>
      <c r="L26" s="209"/>
      <c r="M26" s="210"/>
      <c r="N26" s="195"/>
      <c r="O26" s="145"/>
      <c r="P26" s="257" t="n">
        <f aca="false">April!P49</f>
        <v>1</v>
      </c>
      <c r="Q26" s="257" t="n">
        <f aca="false">April!Q49</f>
        <v>1</v>
      </c>
      <c r="R26" s="145" t="str">
        <f aca="false">IF(VLOOKUP(A26,Para1!$B$67:$E$72,2,0)="5.",VLOOKUP(A26,Para1!$B$67:$E$72,3,0),"")</f>
        <v/>
      </c>
      <c r="S26" s="145" t="str">
        <f aca="false">IF((P26+Q26)=0,"",IF(ISNA(R26),"",IF(R26="","",VLOOKUP(R26,Para1!$D$67:$G$79,3,0)*(IF(P26+Q26=1,0.5,1)))))</f>
        <v/>
      </c>
      <c r="T26" s="145" t="str">
        <f aca="false">IF(P26+Q26=0,"",IF(ISNA(R27),"",IF(R27="","",VLOOKUP(R27,Para1!$D$67:$G$79,4,0)*(IF(P26+Q26=1,0.5,1)))))</f>
        <v/>
      </c>
      <c r="U26" s="145" t="str">
        <f aca="false">IF(SUM(S26:T26)&gt;0,K26,"")</f>
        <v/>
      </c>
      <c r="V26" s="145" t="str">
        <f aca="false">IF(SUM(S26:T26)&gt;0,L26,"")</f>
        <v/>
      </c>
      <c r="W26" s="145" t="n">
        <f aca="false">IF(S26=0,P26+Q26,0)</f>
        <v>0</v>
      </c>
    </row>
    <row r="27" customFormat="false" ht="17" hidden="false" customHeight="true" outlineLevel="0" collapsed="false">
      <c r="A27" s="200" t="s">
        <v>24</v>
      </c>
      <c r="B27" s="297" t="str">
        <f aca="false">IF(B26=Para1!$F$153,Para1!$F$109,IF(B26=Para1!$F$109,Para1!$F$148,IF(B26=Para1!$F$148,Para1!$F$111,IF(B26=Para1!$F$111,Para1!$F$120,IF(B26=Para1!$F$120,Para1!$F$170,IF(B26=Para1!$F$170,Para1!$F$173,Para1!$F$153))))))</f>
        <v>Wed</v>
      </c>
      <c r="C27" s="186"/>
      <c r="D27" s="203"/>
      <c r="E27" s="204"/>
      <c r="F27" s="205"/>
      <c r="G27" s="204"/>
      <c r="H27" s="204"/>
      <c r="I27" s="206"/>
      <c r="J27" s="255"/>
      <c r="K27" s="256"/>
      <c r="L27" s="209"/>
      <c r="M27" s="210"/>
      <c r="N27" s="195"/>
      <c r="O27" s="145"/>
      <c r="P27" s="257" t="n">
        <f aca="false">April!P50</f>
        <v>1</v>
      </c>
      <c r="Q27" s="257" t="n">
        <f aca="false">April!Q50</f>
        <v>1</v>
      </c>
      <c r="R27" s="145" t="str">
        <f aca="false">IF(VLOOKUP(A27,Para1!$B$67:$E$72,2,0)="5.",VLOOKUP(A27,Para1!$B$67:$E$72,3,0),"")</f>
        <v/>
      </c>
      <c r="S27" s="145" t="str">
        <f aca="false">IF((P27+Q27)=0,"",IF(ISNA(R27),"",IF(R27="","",VLOOKUP(R27,Para1!$D$67:$G$79,3,0)*(IF(P27+Q27=1,0.5,1)))))</f>
        <v/>
      </c>
      <c r="T27" s="145" t="str">
        <f aca="false">IF(P27+Q27=0,"",IF(ISNA(R28),"",IF(R28="","",VLOOKUP(R28,Para1!$D$67:$G$79,4,0)*(IF(P27+Q27=1,0.5,1)))))</f>
        <v/>
      </c>
      <c r="U27" s="145" t="str">
        <f aca="false">IF(SUM(S27:T27)&gt;0,K27,"")</f>
        <v/>
      </c>
      <c r="V27" s="145" t="str">
        <f aca="false">IF(SUM(S27:T27)&gt;0,L27,"")</f>
        <v/>
      </c>
      <c r="W27" s="145" t="n">
        <f aca="false">IF(S27=0,P27+Q27,0)</f>
        <v>0</v>
      </c>
    </row>
    <row r="28" customFormat="false" ht="17" hidden="false" customHeight="true" outlineLevel="0" collapsed="false">
      <c r="A28" s="216" t="s">
        <v>25</v>
      </c>
      <c r="B28" s="297" t="str">
        <f aca="false">IF(B27=Para1!$F$153,Para1!$F$109,IF(B27=Para1!$F$109,Para1!$F$148,IF(B27=Para1!$F$148,Para1!$F$111,IF(B27=Para1!$F$111,Para1!$F$120,IF(B27=Para1!$F$120,Para1!$F$170,IF(B27=Para1!$F$170,Para1!$F$173,Para1!$F$153))))))</f>
        <v>Thu</v>
      </c>
      <c r="C28" s="186"/>
      <c r="D28" s="203"/>
      <c r="E28" s="204"/>
      <c r="F28" s="205"/>
      <c r="G28" s="204"/>
      <c r="H28" s="204"/>
      <c r="I28" s="206"/>
      <c r="J28" s="255"/>
      <c r="K28" s="256"/>
      <c r="L28" s="209"/>
      <c r="M28" s="210"/>
      <c r="N28" s="195"/>
      <c r="O28" s="145"/>
      <c r="P28" s="257" t="n">
        <f aca="false">April!P51</f>
        <v>1</v>
      </c>
      <c r="Q28" s="257" t="n">
        <f aca="false">April!Q51</f>
        <v>1</v>
      </c>
      <c r="R28" s="145" t="e">
        <f aca="false">IF(VLOOKUP(A28,Para1!$B$67:$E$72,2,0)="5.",VLOOKUP(A28,Para1!$B$67:$E$72,3,0),"")</f>
        <v>#N/A</v>
      </c>
      <c r="S28" s="145" t="str">
        <f aca="false">IF((P28+Q28)=0,"",IF(ISNA(R28),"",IF(R28="","",VLOOKUP(R28,Para1!$D$67:$G$79,3,0)*(IF(P28+Q28=1,0.5,1)))))</f>
        <v/>
      </c>
      <c r="T28" s="145" t="str">
        <f aca="false">IF(P28+Q28=0,"",IF(ISNA(R29),"",IF(R29="","",VLOOKUP(R29,Para1!$D$67:$G$79,4,0)*(IF(P28+Q28=1,0.5,1)))))</f>
        <v/>
      </c>
      <c r="U28" s="145" t="str">
        <f aca="false">IF(SUM(S28:T28)&gt;0,K28,"")</f>
        <v/>
      </c>
      <c r="V28" s="145" t="str">
        <f aca="false">IF(SUM(S28:T28)&gt;0,L28,"")</f>
        <v/>
      </c>
      <c r="W28" s="145" t="n">
        <f aca="false">IF(S28=0,P28+Q28,0)</f>
        <v>0</v>
      </c>
    </row>
    <row r="29" customFormat="false" ht="17" hidden="false" customHeight="true" outlineLevel="0" collapsed="false">
      <c r="A29" s="200" t="s">
        <v>26</v>
      </c>
      <c r="B29" s="297" t="str">
        <f aca="false">IF(B28=Para1!$F$153,Para1!$F$109,IF(B28=Para1!$F$109,Para1!$F$148,IF(B28=Para1!$F$148,Para1!$F$111,IF(B28=Para1!$F$111,Para1!$F$120,IF(B28=Para1!$F$120,Para1!$F$170,IF(B28=Para1!$F$170,Para1!$F$173,Para1!$F$153))))))</f>
        <v>Fri</v>
      </c>
      <c r="C29" s="202"/>
      <c r="D29" s="203"/>
      <c r="E29" s="204"/>
      <c r="F29" s="205"/>
      <c r="G29" s="204"/>
      <c r="H29" s="204"/>
      <c r="I29" s="206"/>
      <c r="J29" s="255"/>
      <c r="K29" s="256"/>
      <c r="L29" s="209"/>
      <c r="M29" s="210"/>
      <c r="N29" s="195"/>
      <c r="O29" s="145"/>
      <c r="P29" s="257" t="n">
        <f aca="false">April!P52</f>
        <v>1</v>
      </c>
      <c r="Q29" s="257" t="n">
        <f aca="false">April!Q52</f>
        <v>1</v>
      </c>
      <c r="R29" s="145" t="e">
        <f aca="false">IF(VLOOKUP(A29,Para1!$B$67:$E$72,2,0)="5.",VLOOKUP(A29,Para1!$B$67:$E$72,3,0),"")</f>
        <v>#N/A</v>
      </c>
      <c r="S29" s="145" t="str">
        <f aca="false">IF((P29+Q29)=0,"",IF(ISNA(R29),"",IF(R29="","",VLOOKUP(R29,Para1!$D$67:$G$79,3,0)*(IF(P29+Q29=1,0.5,1)))))</f>
        <v/>
      </c>
      <c r="T29" s="145" t="str">
        <f aca="false">IF(P29+Q29=0,"",IF(ISNA(R30),"",IF(R30="","",VLOOKUP(R30,Para1!$D$67:$G$79,4,0)*(IF(P29+Q29=1,0.5,1)))))</f>
        <v/>
      </c>
      <c r="U29" s="145" t="str">
        <f aca="false">IF(SUM(S29:T29)&gt;0,K29,"")</f>
        <v/>
      </c>
      <c r="V29" s="145" t="str">
        <f aca="false">IF(SUM(S29:T29)&gt;0,L29,"")</f>
        <v/>
      </c>
      <c r="W29" s="145" t="n">
        <f aca="false">IF(S29=0,P29+Q29,0)</f>
        <v>0</v>
      </c>
    </row>
    <row r="30" s="258" customFormat="true" ht="17" hidden="false" customHeight="true" outlineLevel="0" collapsed="false">
      <c r="A30" s="216" t="s">
        <v>27</v>
      </c>
      <c r="B30" s="297" t="str">
        <f aca="false">IF(B29=Para1!$F$153,Para1!$F$109,IF(B29=Para1!$F$109,Para1!$F$148,IF(B29=Para1!$F$148,Para1!$F$111,IF(B29=Para1!$F$111,Para1!$F$120,IF(B29=Para1!$F$120,Para1!$F$170,IF(B29=Para1!$F$170,Para1!$F$173,Para1!$F$153))))))</f>
        <v>Sat</v>
      </c>
      <c r="C30" s="202"/>
      <c r="D30" s="203"/>
      <c r="E30" s="204"/>
      <c r="F30" s="205"/>
      <c r="G30" s="204"/>
      <c r="H30" s="204"/>
      <c r="I30" s="206"/>
      <c r="J30" s="255"/>
      <c r="K30" s="256"/>
      <c r="L30" s="209"/>
      <c r="M30" s="210"/>
      <c r="N30" s="195"/>
      <c r="O30" s="145"/>
      <c r="P30" s="259" t="n">
        <f aca="false">P23</f>
        <v>0</v>
      </c>
      <c r="Q30" s="259" t="n">
        <f aca="false">Q23</f>
        <v>0</v>
      </c>
      <c r="R30" s="145" t="e">
        <f aca="false">IF(VLOOKUP(A30,Para1!$B$67:$E$72,2,0)="5.",VLOOKUP(A30,Para1!$B$67:$E$72,3,0),"")</f>
        <v>#N/A</v>
      </c>
      <c r="S30" s="145" t="str">
        <f aca="false">IF((P30+Q30)=0,"",IF(ISNA(R30),"",IF(R30="","",VLOOKUP(R30,Para1!$D$67:$G$79,3,0)*(IF(P30+Q30=1,0.5,1)))))</f>
        <v/>
      </c>
      <c r="T30" s="145" t="str">
        <f aca="false">IF(P30+Q30=0,"",IF(ISNA(R31),"",IF(R31="","",VLOOKUP(R31,Para1!$D$67:$G$79,4,0)*(IF(P30+Q30=1,0.5,1)))))</f>
        <v/>
      </c>
      <c r="U30" s="145" t="str">
        <f aca="false">IF(SUM(S30:T30)&gt;0,K30,"")</f>
        <v/>
      </c>
      <c r="V30" s="145" t="str">
        <f aca="false">IF(SUM(S30:T30)&gt;0,L30,"")</f>
        <v/>
      </c>
      <c r="W30" s="145" t="n">
        <f aca="false">IF(S30=0,P30+Q30,0)</f>
        <v>0</v>
      </c>
    </row>
    <row r="31" s="258" customFormat="true" ht="17" hidden="false" customHeight="true" outlineLevel="0" collapsed="false">
      <c r="A31" s="216" t="s">
        <v>28</v>
      </c>
      <c r="B31" s="297" t="str">
        <f aca="false">IF(B30=Para1!$F$153,Para1!$F$109,IF(B30=Para1!$F$109,Para1!$F$148,IF(B30=Para1!$F$148,Para1!$F$111,IF(B30=Para1!$F$111,Para1!$F$120,IF(B30=Para1!$F$120,Para1!$F$170,IF(B30=Para1!$F$170,Para1!$F$173,Para1!$F$153))))))</f>
        <v>Sun</v>
      </c>
      <c r="C31" s="202"/>
      <c r="D31" s="203"/>
      <c r="E31" s="204"/>
      <c r="F31" s="205"/>
      <c r="G31" s="204"/>
      <c r="H31" s="204"/>
      <c r="I31" s="206"/>
      <c r="J31" s="255"/>
      <c r="K31" s="256"/>
      <c r="L31" s="209"/>
      <c r="M31" s="210"/>
      <c r="N31" s="195"/>
      <c r="O31" s="145"/>
      <c r="P31" s="259" t="n">
        <f aca="false">P24</f>
        <v>0</v>
      </c>
      <c r="Q31" s="259" t="n">
        <f aca="false">Q24</f>
        <v>0</v>
      </c>
      <c r="R31" s="145" t="e">
        <f aca="false">IF(VLOOKUP(A31,Para1!$B$67:$E$72,2,0)="5.",VLOOKUP(A31,Para1!$B$67:$E$72,3,0),"")</f>
        <v>#N/A</v>
      </c>
      <c r="S31" s="145" t="str">
        <f aca="false">IF((P31+Q31)=0,"",IF(ISNA(R31),"",IF(R31="","",VLOOKUP(R31,Para1!$D$67:$G$79,3,0)*(IF(P31+Q31=1,0.5,1)))))</f>
        <v/>
      </c>
      <c r="T31" s="145" t="str">
        <f aca="false">IF(P31+Q31=0,"",IF(ISNA(R32),"",IF(R32="","",VLOOKUP(R32,Para1!$D$67:$G$79,4,0)*(IF(P31+Q31=1,0.5,1)))))</f>
        <v/>
      </c>
      <c r="U31" s="145" t="str">
        <f aca="false">IF(SUM(S31:T31)&gt;0,K31,"")</f>
        <v/>
      </c>
      <c r="V31" s="145" t="str">
        <f aca="false">IF(SUM(S31:T31)&gt;0,L31,"")</f>
        <v/>
      </c>
      <c r="W31" s="145" t="n">
        <f aca="false">IF(S31=0,P31+Q31,0)</f>
        <v>0</v>
      </c>
    </row>
    <row r="32" customFormat="false" ht="17" hidden="false" customHeight="true" outlineLevel="0" collapsed="false">
      <c r="A32" s="200" t="s">
        <v>29</v>
      </c>
      <c r="B32" s="297" t="str">
        <f aca="false">IF(B31=Para1!$F$153,Para1!$F$109,IF(B31=Para1!$F$109,Para1!$F$148,IF(B31=Para1!$F$148,Para1!$F$111,IF(B31=Para1!$F$111,Para1!$F$120,IF(B31=Para1!$F$120,Para1!$F$170,IF(B31=Para1!$F$170,Para1!$F$173,Para1!$F$153))))))</f>
        <v>Mon</v>
      </c>
      <c r="C32" s="202"/>
      <c r="D32" s="203"/>
      <c r="E32" s="204"/>
      <c r="F32" s="205"/>
      <c r="G32" s="204"/>
      <c r="H32" s="204"/>
      <c r="I32" s="206"/>
      <c r="J32" s="255"/>
      <c r="K32" s="256"/>
      <c r="L32" s="209"/>
      <c r="M32" s="210"/>
      <c r="N32" s="195"/>
      <c r="O32" s="145"/>
      <c r="P32" s="259" t="n">
        <f aca="false">P25</f>
        <v>1</v>
      </c>
      <c r="Q32" s="259" t="n">
        <f aca="false">Q25</f>
        <v>1</v>
      </c>
      <c r="R32" s="145" t="e">
        <f aca="false">IF(VLOOKUP(A32,Para1!$B$67:$E$72,2,0)="5.",VLOOKUP(A32,Para1!$B$67:$E$72,3,0),"")</f>
        <v>#N/A</v>
      </c>
      <c r="S32" s="145" t="str">
        <f aca="false">IF((P32+Q32)=0,"",IF(ISNA(R32),"",IF(R32="","",VLOOKUP(R32,Para1!$D$67:$G$79,3,0)*(IF(P32+Q32=1,0.5,1)))))</f>
        <v/>
      </c>
      <c r="T32" s="145" t="str">
        <f aca="false">IF(P32+Q32=0,"",IF(ISNA(R33),"",IF(R33="","",VLOOKUP(R33,Para1!$D$67:$G$79,4,0)*(IF(P32+Q32=1,0.5,1)))))</f>
        <v/>
      </c>
      <c r="U32" s="145" t="str">
        <f aca="false">IF(SUM(S32:T32)&gt;0,K32,"")</f>
        <v/>
      </c>
      <c r="V32" s="145" t="str">
        <f aca="false">IF(SUM(S32:T32)&gt;0,L32,"")</f>
        <v/>
      </c>
      <c r="W32" s="145" t="n">
        <f aca="false">IF(S32=0,P32+Q32,0)</f>
        <v>0</v>
      </c>
    </row>
    <row r="33" customFormat="false" ht="17" hidden="false" customHeight="true" outlineLevel="0" collapsed="false">
      <c r="A33" s="200" t="s">
        <v>30</v>
      </c>
      <c r="B33" s="297" t="str">
        <f aca="false">IF(B32=Para1!$F$153,Para1!$F$109,IF(B32=Para1!$F$109,Para1!$F$148,IF(B32=Para1!$F$148,Para1!$F$111,IF(B32=Para1!$F$111,Para1!$F$120,IF(B32=Para1!$F$120,Para1!$F$170,IF(B32=Para1!$F$170,Para1!$F$173,Para1!$F$153))))))</f>
        <v>Tue</v>
      </c>
      <c r="C33" s="202"/>
      <c r="D33" s="203"/>
      <c r="E33" s="204"/>
      <c r="F33" s="205"/>
      <c r="G33" s="204"/>
      <c r="H33" s="204"/>
      <c r="I33" s="206"/>
      <c r="J33" s="255"/>
      <c r="K33" s="256"/>
      <c r="L33" s="209"/>
      <c r="M33" s="210"/>
      <c r="N33" s="195"/>
      <c r="O33" s="145"/>
      <c r="P33" s="259" t="n">
        <f aca="false">P26</f>
        <v>1</v>
      </c>
      <c r="Q33" s="259" t="n">
        <f aca="false">Q26</f>
        <v>1</v>
      </c>
      <c r="R33" s="145" t="e">
        <f aca="false">IF(VLOOKUP(A33,Para1!$B$67:$E$72,2,0)="5.",VLOOKUP(A33,Para1!$B$67:$E$72,3,0),"")</f>
        <v>#N/A</v>
      </c>
      <c r="S33" s="145" t="str">
        <f aca="false">IF((P33+Q33)=0,"",IF(ISNA(R33),"",IF(R33="","",VLOOKUP(R33,Para1!$D$67:$G$79,3,0)*(IF(P33+Q33=1,0.5,1)))))</f>
        <v/>
      </c>
      <c r="T33" s="145" t="str">
        <f aca="false">IF(P33+Q33=0,"",IF(ISNA(R34),"",IF(R34="","",VLOOKUP(R34,Para1!$D$67:$G$79,4,0)*(IF(P33+Q33=1,0.5,1)))))</f>
        <v/>
      </c>
      <c r="U33" s="145" t="str">
        <f aca="false">IF(SUM(S33:T33)&gt;0,K33,"")</f>
        <v/>
      </c>
      <c r="V33" s="145" t="str">
        <f aca="false">IF(SUM(S33:T33)&gt;0,L33,"")</f>
        <v/>
      </c>
      <c r="W33" s="145" t="n">
        <f aca="false">IF(S33=0,P33+Q33,0)</f>
        <v>0</v>
      </c>
    </row>
    <row r="34" customFormat="false" ht="17" hidden="false" customHeight="true" outlineLevel="0" collapsed="false">
      <c r="A34" s="200" t="s">
        <v>31</v>
      </c>
      <c r="B34" s="297" t="str">
        <f aca="false">IF(B33=Para1!$F$153,Para1!$F$109,IF(B33=Para1!$F$109,Para1!$F$148,IF(B33=Para1!$F$148,Para1!$F$111,IF(B33=Para1!$F$111,Para1!$F$120,IF(B33=Para1!$F$120,Para1!$F$170,IF(B33=Para1!$F$170,Para1!$F$173,Para1!$F$153))))))</f>
        <v>Wed</v>
      </c>
      <c r="C34" s="186"/>
      <c r="D34" s="203"/>
      <c r="E34" s="204"/>
      <c r="F34" s="205"/>
      <c r="G34" s="204"/>
      <c r="H34" s="204"/>
      <c r="I34" s="206"/>
      <c r="J34" s="255"/>
      <c r="K34" s="256"/>
      <c r="L34" s="209"/>
      <c r="M34" s="210"/>
      <c r="N34" s="195"/>
      <c r="O34" s="145"/>
      <c r="P34" s="259" t="n">
        <f aca="false">P27</f>
        <v>1</v>
      </c>
      <c r="Q34" s="259" t="n">
        <f aca="false">Q27</f>
        <v>1</v>
      </c>
      <c r="R34" s="145" t="e">
        <f aca="false">IF(VLOOKUP(A34,Para1!$B$67:$E$72,2,0)="5.",VLOOKUP(A34,Para1!$B$67:$E$72,3,0),"")</f>
        <v>#N/A</v>
      </c>
      <c r="S34" s="145" t="str">
        <f aca="false">IF((P34+Q34)=0,"",IF(ISNA(R34),"",IF(R34="","",VLOOKUP(R34,Para1!$D$67:$G$79,3,0)*(IF(P34+Q34=1,0.5,1)))))</f>
        <v/>
      </c>
      <c r="T34" s="145" t="n">
        <f aca="false">IF(P34+Q34=0,"",IF(ISNA(R35),"",IF(R35="","",VLOOKUP(R35,Para1!$D$67:$G$79,4,0)*(IF(P34+Q34=1,0.5,1)))))</f>
        <v>1</v>
      </c>
      <c r="U34" s="145" t="n">
        <f aca="false">IF(SUM(S34:T34)&gt;0,K34,"")</f>
        <v>0</v>
      </c>
      <c r="V34" s="145" t="n">
        <f aca="false">IF(SUM(S34:T34)&gt;0,L34,"")</f>
        <v>0</v>
      </c>
      <c r="W34" s="145" t="n">
        <f aca="false">IF(S34=0,P34+Q34,0)</f>
        <v>0</v>
      </c>
    </row>
    <row r="35" customFormat="false" ht="17" hidden="false" customHeight="true" outlineLevel="0" collapsed="false">
      <c r="A35" s="216" t="s">
        <v>32</v>
      </c>
      <c r="B35" s="297" t="str">
        <f aca="false">IF(B34=Para1!$F$153,Para1!$F$109,IF(B34=Para1!$F$109,Para1!$F$148,IF(B34=Para1!$F$148,Para1!$F$111,IF(B34=Para1!$F$111,Para1!$F$120,IF(B34=Para1!$F$120,Para1!$F$170,IF(B34=Para1!$F$170,Para1!$F$173,Para1!$F$153))))))</f>
        <v>Thu</v>
      </c>
      <c r="C35" s="186"/>
      <c r="D35" s="203"/>
      <c r="E35" s="204"/>
      <c r="F35" s="205"/>
      <c r="G35" s="204"/>
      <c r="H35" s="204"/>
      <c r="I35" s="206"/>
      <c r="J35" s="255"/>
      <c r="K35" s="256"/>
      <c r="L35" s="209"/>
      <c r="M35" s="210"/>
      <c r="N35" s="195"/>
      <c r="O35" s="145"/>
      <c r="P35" s="259" t="n">
        <f aca="false">P28</f>
        <v>1</v>
      </c>
      <c r="Q35" s="259" t="n">
        <f aca="false">Q28</f>
        <v>1</v>
      </c>
      <c r="R35" s="145" t="str">
        <f aca="false">IF(VLOOKUP(A35,Para1!$B$67:$E$72,2,0)="5.",VLOOKUP(A35,Para1!$B$67:$E$72,3,0),"")</f>
        <v>Auffahrt</v>
      </c>
      <c r="S35" s="145" t="n">
        <f aca="false">IF((P35+Q35)=0,"",IF(ISNA(R35),"",IF(R35="","",VLOOKUP(R35,Para1!$D$67:$G$79,3,0)*(IF(P35+Q35=1,0.5,1)))))</f>
        <v>0</v>
      </c>
      <c r="T35" s="145" t="str">
        <f aca="false">IF(P35+Q35=0,"",IF(ISNA(R36),"",IF(R36="","",VLOOKUP(R36,Para1!$D$67:$G$79,4,0)*(IF(P35+Q35=1,0.5,1)))))</f>
        <v/>
      </c>
      <c r="U35" s="145" t="str">
        <f aca="false">IF(SUM(S35:T35)&gt;0,K35,"")</f>
        <v/>
      </c>
      <c r="V35" s="145" t="str">
        <f aca="false">IF(SUM(S35:T35)&gt;0,L35,"")</f>
        <v/>
      </c>
      <c r="W35" s="145" t="n">
        <f aca="false">IF(S35=0,P35+Q35,0)</f>
        <v>2</v>
      </c>
    </row>
    <row r="36" customFormat="false" ht="17" hidden="false" customHeight="true" outlineLevel="0" collapsed="false">
      <c r="A36" s="200" t="s">
        <v>33</v>
      </c>
      <c r="B36" s="297" t="str">
        <f aca="false">IF(B35=Para1!$F$153,Para1!$F$109,IF(B35=Para1!$F$109,Para1!$F$148,IF(B35=Para1!$F$148,Para1!$F$111,IF(B35=Para1!$F$111,Para1!$F$120,IF(B35=Para1!$F$120,Para1!$F$170,IF(B35=Para1!$F$170,Para1!$F$173,Para1!$F$153))))))</f>
        <v>Fri</v>
      </c>
      <c r="C36" s="202"/>
      <c r="D36" s="203"/>
      <c r="E36" s="204"/>
      <c r="F36" s="205"/>
      <c r="G36" s="204"/>
      <c r="H36" s="204"/>
      <c r="I36" s="206"/>
      <c r="J36" s="255"/>
      <c r="K36" s="256"/>
      <c r="L36" s="209"/>
      <c r="M36" s="210"/>
      <c r="N36" s="195"/>
      <c r="O36" s="145"/>
      <c r="P36" s="259" t="n">
        <f aca="false">P29</f>
        <v>1</v>
      </c>
      <c r="Q36" s="259" t="n">
        <f aca="false">Q29</f>
        <v>1</v>
      </c>
      <c r="R36" s="145" t="e">
        <f aca="false">IF(VLOOKUP(A36,Para1!$B$67:$E$72,2,0)="5.",VLOOKUP(A36,Para1!$B$67:$E$72,3,0),"")</f>
        <v>#N/A</v>
      </c>
      <c r="S36" s="145" t="str">
        <f aca="false">IF((P36+Q36)=0,"",IF(ISNA(R36),"",IF(R36="","",VLOOKUP(R36,Para1!$D$67:$G$79,3,0)*(IF(P36+Q36=1,0.5,1)))))</f>
        <v/>
      </c>
      <c r="T36" s="145" t="str">
        <f aca="false">IF(P36+Q36=0,"",IF(ISNA(R37),"",IF(R37="","",VLOOKUP(R37,Para1!$D$67:$G$79,4,0)*(IF(P36+Q36=1,0.5,1)))))</f>
        <v/>
      </c>
      <c r="U36" s="145" t="str">
        <f aca="false">IF(SUM(S36:T36)&gt;0,K36,"")</f>
        <v/>
      </c>
      <c r="V36" s="145" t="str">
        <f aca="false">IF(SUM(S36:T36)&gt;0,L36,"")</f>
        <v/>
      </c>
      <c r="W36" s="145" t="n">
        <f aca="false">IF(S36=0,P36+Q36,0)</f>
        <v>0</v>
      </c>
    </row>
    <row r="37" s="258" customFormat="true" ht="17" hidden="false" customHeight="true" outlineLevel="0" collapsed="false">
      <c r="A37" s="216" t="s">
        <v>34</v>
      </c>
      <c r="B37" s="297" t="str">
        <f aca="false">IF(B36=Para1!$F$153,Para1!$F$109,IF(B36=Para1!$F$109,Para1!$F$148,IF(B36=Para1!$F$148,Para1!$F$111,IF(B36=Para1!$F$111,Para1!$F$120,IF(B36=Para1!$F$120,Para1!$F$170,IF(B36=Para1!$F$170,Para1!$F$173,Para1!$F$153))))))</f>
        <v>Sat</v>
      </c>
      <c r="C37" s="202"/>
      <c r="D37" s="203"/>
      <c r="E37" s="204"/>
      <c r="F37" s="205"/>
      <c r="G37" s="204"/>
      <c r="H37" s="204"/>
      <c r="I37" s="206"/>
      <c r="J37" s="255"/>
      <c r="K37" s="256"/>
      <c r="L37" s="209"/>
      <c r="M37" s="210"/>
      <c r="N37" s="195"/>
      <c r="O37" s="145"/>
      <c r="P37" s="259" t="n">
        <f aca="false">P30</f>
        <v>0</v>
      </c>
      <c r="Q37" s="259" t="n">
        <f aca="false">Q30</f>
        <v>0</v>
      </c>
      <c r="R37" s="145" t="e">
        <f aca="false">IF(VLOOKUP(A37,Para1!$B$67:$E$72,2,0)="5.",VLOOKUP(A37,Para1!$B$67:$E$72,3,0),"")</f>
        <v>#N/A</v>
      </c>
      <c r="S37" s="145" t="str">
        <f aca="false">IF((P37+Q37)=0,"",IF(ISNA(R37),"",IF(R37="","",VLOOKUP(R37,Para1!$D$67:$G$79,3,0)*(IF(P37+Q37=1,0.5,1)))))</f>
        <v/>
      </c>
      <c r="T37" s="145" t="str">
        <f aca="false">IF(P37+Q37=0,"",IF(ISNA(R38),"",IF(R38="","",VLOOKUP(R38,Para1!$D$67:$G$79,4,0)*(IF(P37+Q37=1,0.5,1)))))</f>
        <v/>
      </c>
      <c r="U37" s="145" t="str">
        <f aca="false">IF(SUM(S37:T37)&gt;0,K37,"")</f>
        <v/>
      </c>
      <c r="V37" s="145" t="str">
        <f aca="false">IF(SUM(S37:T37)&gt;0,L37,"")</f>
        <v/>
      </c>
      <c r="W37" s="145" t="n">
        <f aca="false">IF(S37=0,P37+Q37,0)</f>
        <v>0</v>
      </c>
    </row>
    <row r="38" s="258" customFormat="true" ht="17" hidden="false" customHeight="true" outlineLevel="0" collapsed="false">
      <c r="A38" s="216" t="s">
        <v>35</v>
      </c>
      <c r="B38" s="297" t="str">
        <f aca="false">IF(B37=Para1!$F$153,Para1!$F$109,IF(B37=Para1!$F$109,Para1!$F$148,IF(B37=Para1!$F$148,Para1!$F$111,IF(B37=Para1!$F$111,Para1!$F$120,IF(B37=Para1!$F$120,Para1!$F$170,IF(B37=Para1!$F$170,Para1!$F$173,Para1!$F$153))))))</f>
        <v>Sun</v>
      </c>
      <c r="C38" s="202"/>
      <c r="D38" s="203"/>
      <c r="E38" s="204"/>
      <c r="F38" s="205"/>
      <c r="G38" s="204"/>
      <c r="H38" s="204"/>
      <c r="I38" s="206"/>
      <c r="J38" s="255"/>
      <c r="K38" s="256"/>
      <c r="L38" s="209"/>
      <c r="M38" s="210"/>
      <c r="N38" s="195"/>
      <c r="O38" s="145"/>
      <c r="P38" s="259" t="n">
        <f aca="false">P31</f>
        <v>0</v>
      </c>
      <c r="Q38" s="259" t="n">
        <f aca="false">Q31</f>
        <v>0</v>
      </c>
      <c r="R38" s="145" t="e">
        <f aca="false">IF(VLOOKUP(A38,Para1!$B$67:$E$72,2,0)="5.",VLOOKUP(A38,Para1!$B$67:$E$72,3,0),"")</f>
        <v>#N/A</v>
      </c>
      <c r="S38" s="145" t="str">
        <f aca="false">IF((P38+Q38)=0,"",IF(ISNA(R38),"",IF(R38="","",VLOOKUP(R38,Para1!$D$67:$G$79,3,0)*(IF(P38+Q38=1,0.5,1)))))</f>
        <v/>
      </c>
      <c r="T38" s="145" t="str">
        <f aca="false">IF(P38+Q38=0,"",IF(ISNA(R39),"",IF(R39="","",VLOOKUP(R39,Para1!$D$67:$G$79,4,0)*(IF(P38+Q38=1,0.5,1)))))</f>
        <v/>
      </c>
      <c r="U38" s="145" t="str">
        <f aca="false">IF(SUM(S38:T38)&gt;0,K38,"")</f>
        <v/>
      </c>
      <c r="V38" s="145" t="str">
        <f aca="false">IF(SUM(S38:T38)&gt;0,L38,"")</f>
        <v/>
      </c>
      <c r="W38" s="145" t="n">
        <f aca="false">IF(S38=0,P38+Q38,0)</f>
        <v>0</v>
      </c>
    </row>
    <row r="39" customFormat="false" ht="17" hidden="false" customHeight="true" outlineLevel="0" collapsed="false">
      <c r="A39" s="200" t="s">
        <v>36</v>
      </c>
      <c r="B39" s="297" t="str">
        <f aca="false">IF(B38=Para1!$F$153,Para1!$F$109,IF(B38=Para1!$F$109,Para1!$F$148,IF(B38=Para1!$F$148,Para1!$F$111,IF(B38=Para1!$F$111,Para1!$F$120,IF(B38=Para1!$F$120,Para1!$F$170,IF(B38=Para1!$F$170,Para1!$F$173,Para1!$F$153))))))</f>
        <v>Mon</v>
      </c>
      <c r="C39" s="186"/>
      <c r="D39" s="203"/>
      <c r="E39" s="204"/>
      <c r="F39" s="205"/>
      <c r="G39" s="204"/>
      <c r="H39" s="204"/>
      <c r="I39" s="206"/>
      <c r="J39" s="255"/>
      <c r="K39" s="256"/>
      <c r="L39" s="209"/>
      <c r="M39" s="210"/>
      <c r="N39" s="195"/>
      <c r="O39" s="145"/>
      <c r="P39" s="259" t="n">
        <f aca="false">P32</f>
        <v>1</v>
      </c>
      <c r="Q39" s="259" t="n">
        <f aca="false">Q32</f>
        <v>1</v>
      </c>
      <c r="R39" s="145" t="e">
        <f aca="false">IF(VLOOKUP(A39,Para1!$B$67:$E$72,2,0)="5.",VLOOKUP(A39,Para1!$B$67:$E$72,3,0),"")</f>
        <v>#N/A</v>
      </c>
      <c r="S39" s="145" t="str">
        <f aca="false">IF((P39+Q39)=0,"",IF(ISNA(R39),"",IF(R39="","",VLOOKUP(R39,Para1!$D$67:$G$79,3,0)*(IF(P39+Q39=1,0.5,1)))))</f>
        <v/>
      </c>
      <c r="T39" s="145" t="str">
        <f aca="false">IF(P39+Q39=0,"",IF(ISNA(R40),"",IF(R40="","",VLOOKUP(R40,Para1!$D$67:$G$79,4,0)*(IF(P39+Q39=1,0.5,1)))))</f>
        <v/>
      </c>
      <c r="U39" s="145" t="str">
        <f aca="false">IF(SUM(S39:T39)&gt;0,K39,"")</f>
        <v/>
      </c>
      <c r="V39" s="145" t="str">
        <f aca="false">IF(SUM(S39:T39)&gt;0,L39,"")</f>
        <v/>
      </c>
      <c r="W39" s="145" t="n">
        <f aca="false">IF(S39=0,P39+Q39,0)</f>
        <v>0</v>
      </c>
    </row>
    <row r="40" customFormat="false" ht="17" hidden="false" customHeight="true" outlineLevel="0" collapsed="false">
      <c r="A40" s="200" t="s">
        <v>37</v>
      </c>
      <c r="B40" s="297" t="str">
        <f aca="false">IF(B39=Para1!$F$153,Para1!$F$109,IF(B39=Para1!$F$109,Para1!$F$148,IF(B39=Para1!$F$148,Para1!$F$111,IF(B39=Para1!$F$111,Para1!$F$120,IF(B39=Para1!$F$120,Para1!$F$170,IF(B39=Para1!$F$170,Para1!$F$173,Para1!$F$153))))))</f>
        <v>Tue</v>
      </c>
      <c r="C40" s="202"/>
      <c r="D40" s="203"/>
      <c r="E40" s="204"/>
      <c r="F40" s="205"/>
      <c r="G40" s="204"/>
      <c r="H40" s="204"/>
      <c r="I40" s="206"/>
      <c r="J40" s="255"/>
      <c r="K40" s="256"/>
      <c r="L40" s="209"/>
      <c r="M40" s="210"/>
      <c r="N40" s="195"/>
      <c r="O40" s="145"/>
      <c r="P40" s="259" t="n">
        <f aca="false">P33</f>
        <v>1</v>
      </c>
      <c r="Q40" s="259" t="n">
        <f aca="false">Q33</f>
        <v>1</v>
      </c>
      <c r="R40" s="145" t="e">
        <f aca="false">IF(VLOOKUP(A40,Para1!$B$67:$E$72,2,0)="5.",VLOOKUP(A40,Para1!$B$67:$E$72,3,0),"")</f>
        <v>#N/A</v>
      </c>
      <c r="S40" s="145" t="str">
        <f aca="false">IF((P40+Q40)=0,"",IF(ISNA(R40),"",IF(R40="","",VLOOKUP(R40,Para1!$D$67:$G$79,3,0)*(IF(P40+Q40=1,0.5,1)))))</f>
        <v/>
      </c>
      <c r="T40" s="145" t="str">
        <f aca="false">IF(P40+Q40=0,"",IF(ISNA(R41),"",IF(R41="","",VLOOKUP(R41,Para1!$D$67:$G$79,4,0)*(IF(P40+Q40=1,0.5,1)))))</f>
        <v/>
      </c>
      <c r="U40" s="145" t="str">
        <f aca="false">IF(SUM(S40:T40)&gt;0,K40,"")</f>
        <v/>
      </c>
      <c r="V40" s="145" t="str">
        <f aca="false">IF(SUM(S40:T40)&gt;0,L40,"")</f>
        <v/>
      </c>
      <c r="W40" s="145" t="n">
        <f aca="false">IF(S40=0,P40+Q40,0)</f>
        <v>0</v>
      </c>
    </row>
    <row r="41" customFormat="false" ht="17" hidden="false" customHeight="true" outlineLevel="0" collapsed="false">
      <c r="A41" s="200" t="s">
        <v>38</v>
      </c>
      <c r="B41" s="297" t="str">
        <f aca="false">IF(B40=Para1!$F$153,Para1!$F$109,IF(B40=Para1!$F$109,Para1!$F$148,IF(B40=Para1!$F$148,Para1!$F$111,IF(B40=Para1!$F$111,Para1!$F$120,IF(B40=Para1!$F$120,Para1!$F$170,IF(B40=Para1!$F$170,Para1!$F$173,Para1!$F$153))))))</f>
        <v>Wed</v>
      </c>
      <c r="C41" s="186"/>
      <c r="D41" s="203"/>
      <c r="E41" s="204"/>
      <c r="F41" s="205"/>
      <c r="G41" s="204"/>
      <c r="H41" s="204"/>
      <c r="I41" s="206"/>
      <c r="J41" s="255"/>
      <c r="K41" s="256"/>
      <c r="L41" s="209"/>
      <c r="M41" s="210"/>
      <c r="N41" s="195"/>
      <c r="O41" s="145"/>
      <c r="P41" s="259" t="n">
        <f aca="false">P34</f>
        <v>1</v>
      </c>
      <c r="Q41" s="259" t="n">
        <f aca="false">Q34</f>
        <v>1</v>
      </c>
      <c r="R41" s="145" t="e">
        <f aca="false">IF(VLOOKUP(A41,Para1!$B$67:$E$72,2,0)="5.",VLOOKUP(A41,Para1!$B$67:$E$72,3,0),"")</f>
        <v>#N/A</v>
      </c>
      <c r="S41" s="145" t="str">
        <f aca="false">IF((P41+Q41)=0,"",IF(ISNA(R41),"",IF(R41="","",VLOOKUP(R41,Para1!$D$67:$G$79,3,0)*(IF(P41+Q41=1,0.5,1)))))</f>
        <v/>
      </c>
      <c r="T41" s="145" t="str">
        <f aca="false">IF(P41+Q41=0,"",IF(ISNA(R42),"",IF(R42="","",VLOOKUP(R42,Para1!$D$67:$G$79,4,0)*(IF(P41+Q41=1,0.5,1)))))</f>
        <v/>
      </c>
      <c r="U41" s="145" t="str">
        <f aca="false">IF(SUM(S41:T41)&gt;0,K41,"")</f>
        <v/>
      </c>
      <c r="V41" s="145" t="str">
        <f aca="false">IF(SUM(S41:T41)&gt;0,L41,"")</f>
        <v/>
      </c>
      <c r="W41" s="145" t="n">
        <f aca="false">IF(S41=0,P41+Q41,0)</f>
        <v>0</v>
      </c>
    </row>
    <row r="42" s="258" customFormat="true" ht="17" hidden="false" customHeight="true" outlineLevel="0" collapsed="false">
      <c r="A42" s="216" t="s">
        <v>39</v>
      </c>
      <c r="B42" s="297" t="str">
        <f aca="false">IF(B41=Para1!$F$153,Para1!$F$109,IF(B41=Para1!$F$109,Para1!$F$148,IF(B41=Para1!$F$148,Para1!$F$111,IF(B41=Para1!$F$111,Para1!$F$120,IF(B41=Para1!$F$120,Para1!$F$170,IF(B41=Para1!$F$170,Para1!$F$173,Para1!$F$153))))))</f>
        <v>Thu</v>
      </c>
      <c r="C42" s="186"/>
      <c r="D42" s="203"/>
      <c r="E42" s="204"/>
      <c r="F42" s="205"/>
      <c r="G42" s="204"/>
      <c r="H42" s="204"/>
      <c r="I42" s="206"/>
      <c r="J42" s="255"/>
      <c r="K42" s="256"/>
      <c r="L42" s="209"/>
      <c r="M42" s="210"/>
      <c r="N42" s="195"/>
      <c r="O42" s="145"/>
      <c r="P42" s="259" t="n">
        <f aca="false">P35</f>
        <v>1</v>
      </c>
      <c r="Q42" s="259" t="n">
        <f aca="false">Q35</f>
        <v>1</v>
      </c>
      <c r="R42" s="145" t="e">
        <f aca="false">IF(VLOOKUP(A42,Para1!$B$67:$E$72,2,0)="5.",VLOOKUP(A42,Para1!$B$67:$E$72,3,0),"")</f>
        <v>#N/A</v>
      </c>
      <c r="S42" s="145" t="str">
        <f aca="false">IF((P42+Q42)=0,"",IF(ISNA(R42),"",IF(R42="","",VLOOKUP(R42,Para1!$D$67:$G$79,3,0)*(IF(P42+Q42=1,0.5,1)))))</f>
        <v/>
      </c>
      <c r="T42" s="145" t="str">
        <f aca="false">IF(P42+Q42=0,"",IF(ISNA(R43),"",IF(R43="","",VLOOKUP(R43,Para1!$D$67:$G$79,4,0)*(IF(P42+Q42=1,0.5,1)))))</f>
        <v/>
      </c>
      <c r="U42" s="145" t="str">
        <f aca="false">IF(SUM(S42:T42)&gt;0,K42,"")</f>
        <v/>
      </c>
      <c r="V42" s="145" t="str">
        <f aca="false">IF(SUM(S42:T42)&gt;0,L42,"")</f>
        <v/>
      </c>
      <c r="W42" s="145" t="n">
        <f aca="false">IF(S42=0,P42+Q42,0)</f>
        <v>0</v>
      </c>
    </row>
    <row r="43" customFormat="false" ht="17" hidden="false" customHeight="true" outlineLevel="0" collapsed="false">
      <c r="A43" s="200" t="s">
        <v>40</v>
      </c>
      <c r="B43" s="297" t="str">
        <f aca="false">IF(B42=Para1!$F$153,Para1!$F$109,IF(B42=Para1!$F$109,Para1!$F$148,IF(B42=Para1!$F$148,Para1!$F$111,IF(B42=Para1!$F$111,Para1!$F$120,IF(B42=Para1!$F$120,Para1!$F$170,IF(B42=Para1!$F$170,Para1!$F$173,Para1!$F$153))))))</f>
        <v>Fri</v>
      </c>
      <c r="C43" s="202"/>
      <c r="D43" s="203"/>
      <c r="E43" s="204"/>
      <c r="F43" s="205"/>
      <c r="G43" s="204"/>
      <c r="H43" s="204"/>
      <c r="I43" s="206"/>
      <c r="J43" s="255"/>
      <c r="K43" s="256"/>
      <c r="L43" s="209"/>
      <c r="M43" s="210"/>
      <c r="N43" s="195"/>
      <c r="O43" s="145"/>
      <c r="P43" s="259" t="n">
        <v>1</v>
      </c>
      <c r="Q43" s="259" t="n">
        <v>1</v>
      </c>
      <c r="R43" s="145" t="e">
        <f aca="false">IF(VLOOKUP(A43,Para1!$B$67:$E$72,2,0)="5.",VLOOKUP(A43,Para1!$B$67:$E$72,3,0),"")</f>
        <v>#N/A</v>
      </c>
      <c r="S43" s="145" t="str">
        <f aca="false">IF((P43+Q43)=0,"",IF(ISNA(R43),"",IF(R43="","",VLOOKUP(R43,Para1!$D$67:$G$79,3,0)*(IF(P43+Q43=1,0.5,1)))))</f>
        <v/>
      </c>
      <c r="T43" s="145" t="str">
        <f aca="false">IF(P43+Q43=0,"",IF(ISNA(R44),"",IF(R44="","",VLOOKUP(R44,Para1!$D$67:$G$79,4,0)*(IF(P43+Q43=1,0.5,1)))))</f>
        <v/>
      </c>
      <c r="U43" s="145" t="str">
        <f aca="false">IF(SUM(S43:T43)&gt;0,K43,"")</f>
        <v/>
      </c>
      <c r="V43" s="145" t="str">
        <f aca="false">IF(SUM(S43:T43)&gt;0,L43,"")</f>
        <v/>
      </c>
      <c r="W43" s="145" t="n">
        <f aca="false">IF(S43=0,P43+Q43,0)</f>
        <v>0</v>
      </c>
    </row>
    <row r="44" customFormat="false" ht="17" hidden="false" customHeight="true" outlineLevel="0" collapsed="false">
      <c r="A44" s="216" t="s">
        <v>41</v>
      </c>
      <c r="B44" s="297" t="str">
        <f aca="false">IF(B43=Para1!$F$153,Para1!$F$109,IF(B43=Para1!$F$109,Para1!$F$148,IF(B43=Para1!$F$148,Para1!$F$111,IF(B43=Para1!$F$111,Para1!$F$120,IF(B43=Para1!$F$120,Para1!$F$170,IF(B43=Para1!$F$170,Para1!$F$173,Para1!$F$153))))))</f>
        <v>Sat</v>
      </c>
      <c r="C44" s="202"/>
      <c r="D44" s="203"/>
      <c r="E44" s="204"/>
      <c r="F44" s="205"/>
      <c r="G44" s="204"/>
      <c r="H44" s="204"/>
      <c r="I44" s="206"/>
      <c r="J44" s="255"/>
      <c r="K44" s="256"/>
      <c r="L44" s="209"/>
      <c r="M44" s="210"/>
      <c r="N44" s="195"/>
      <c r="O44" s="145"/>
      <c r="P44" s="259" t="n">
        <f aca="false">P37</f>
        <v>0</v>
      </c>
      <c r="Q44" s="259" t="n">
        <f aca="false">Q37</f>
        <v>0</v>
      </c>
      <c r="R44" s="145" t="e">
        <f aca="false">IF(VLOOKUP(A44,Para1!$B$67:$E$72,2,0)="5.",VLOOKUP(A44,Para1!$B$67:$E$72,3,0),"")</f>
        <v>#N/A</v>
      </c>
      <c r="S44" s="145" t="str">
        <f aca="false">IF((P44+Q44)=0,"",IF(ISNA(R44),"",IF(R44="","",VLOOKUP(R44,Para1!$D$67:$G$79,3,0)*(IF(P44+Q44=1,0.5,1)))))</f>
        <v/>
      </c>
      <c r="T44" s="145" t="str">
        <f aca="false">IF(P44+Q44=0,"",IF(ISNA(R45),"",IF(R45="","",VLOOKUP(R45,Para1!$D$67:$G$79,4,0)*(IF(P44+Q44=1,0.5,1)))))</f>
        <v/>
      </c>
      <c r="U44" s="145" t="str">
        <f aca="false">IF(SUM(S44:T44)&gt;0,K44,"")</f>
        <v/>
      </c>
      <c r="V44" s="145" t="str">
        <f aca="false">IF(SUM(S44:T44)&gt;0,L44,"")</f>
        <v/>
      </c>
      <c r="W44" s="145" t="n">
        <f aca="false">IF(S44=0,P44+Q44,0)</f>
        <v>0</v>
      </c>
    </row>
    <row r="45" s="258" customFormat="true" ht="17" hidden="false" customHeight="true" outlineLevel="0" collapsed="false">
      <c r="A45" s="216" t="s">
        <v>42</v>
      </c>
      <c r="B45" s="297" t="str">
        <f aca="false">IF(B44=Para1!$F$153,Para1!$F$109,IF(B44=Para1!$F$109,Para1!$F$148,IF(B44=Para1!$F$148,Para1!$F$111,IF(B44=Para1!$F$111,Para1!$F$120,IF(B44=Para1!$F$120,Para1!$F$170,IF(B44=Para1!$F$170,Para1!$F$173,Para1!$F$153))))))</f>
        <v>Sun</v>
      </c>
      <c r="C45" s="202"/>
      <c r="D45" s="203"/>
      <c r="E45" s="204"/>
      <c r="F45" s="205"/>
      <c r="G45" s="204"/>
      <c r="H45" s="204"/>
      <c r="I45" s="206"/>
      <c r="J45" s="255"/>
      <c r="K45" s="256"/>
      <c r="L45" s="209"/>
      <c r="M45" s="210"/>
      <c r="N45" s="195"/>
      <c r="O45" s="145"/>
      <c r="P45" s="259" t="n">
        <f aca="false">P38</f>
        <v>0</v>
      </c>
      <c r="Q45" s="259" t="n">
        <f aca="false">Q38</f>
        <v>0</v>
      </c>
      <c r="R45" s="145" t="str">
        <f aca="false">IF(VLOOKUP(A45,Para1!$B$67:$E$72,2,0)="5.",VLOOKUP(A45,Para1!$B$67:$E$72,3,0),"")</f>
        <v>Pfingsten</v>
      </c>
      <c r="S45" s="145" t="str">
        <f aca="false">IF((P45+Q45)=0,"",IF(ISNA(R45),"",IF(R45="","",VLOOKUP(R45,Para1!$D$67:$G$79,3,0)*(IF(P45+Q45=1,0.5,1)))))</f>
        <v/>
      </c>
      <c r="T45" s="145" t="str">
        <f aca="false">IF(P45+Q45=0,"",IF(ISNA(R46),"",IF(R46="","",VLOOKUP(R46,Para1!$D$67:$G$79,4,0)*(IF(P45+Q45=1,0.5,1)))))</f>
        <v/>
      </c>
      <c r="U45" s="145" t="str">
        <f aca="false">IF(SUM(S45:T45)&gt;0,K45,"")</f>
        <v/>
      </c>
      <c r="V45" s="145" t="str">
        <f aca="false">IF(SUM(S45:T45)&gt;0,L45,"")</f>
        <v/>
      </c>
      <c r="W45" s="145" t="n">
        <f aca="false">IF(S45=0,P45+Q45,0)</f>
        <v>0</v>
      </c>
    </row>
    <row r="46" customFormat="false" ht="17" hidden="false" customHeight="true" outlineLevel="0" collapsed="false">
      <c r="A46" s="216" t="s">
        <v>43</v>
      </c>
      <c r="B46" s="297" t="str">
        <f aca="false">IF(B45=Para1!$F$153,Para1!$F$109,IF(B45=Para1!$F$109,Para1!$F$148,IF(B45=Para1!$F$148,Para1!$F$111,IF(B45=Para1!$F$111,Para1!$F$120,IF(B45=Para1!$F$120,Para1!$F$170,IF(B45=Para1!$F$170,Para1!$F$173,Para1!$F$153))))))</f>
        <v>Mon</v>
      </c>
      <c r="C46" s="202"/>
      <c r="D46" s="203"/>
      <c r="E46" s="204"/>
      <c r="F46" s="205"/>
      <c r="G46" s="204"/>
      <c r="H46" s="204"/>
      <c r="I46" s="206"/>
      <c r="J46" s="255"/>
      <c r="K46" s="256"/>
      <c r="L46" s="209"/>
      <c r="M46" s="210"/>
      <c r="N46" s="195"/>
      <c r="O46" s="145"/>
      <c r="P46" s="259" t="n">
        <f aca="false">P39</f>
        <v>1</v>
      </c>
      <c r="Q46" s="259" t="n">
        <f aca="false">Q39</f>
        <v>1</v>
      </c>
      <c r="R46" s="145" t="str">
        <f aca="false">IF(VLOOKUP(A46,Para1!$B$67:$E$72,2,0)="5.",VLOOKUP(A46,Para1!$B$67:$E$72,3,0),"")</f>
        <v>Pfingstmontag</v>
      </c>
      <c r="S46" s="145" t="n">
        <f aca="false">IF((P46+Q46)=0,"",IF(ISNA(R46),"",IF(R46="","",VLOOKUP(R46,Para1!$D$67:$G$79,3,0)*(IF(P46+Q46=1,0.5,1)))))</f>
        <v>0</v>
      </c>
      <c r="T46" s="145" t="str">
        <f aca="false">IF(P46+Q46=0,"",IF(ISNA(R47),"",IF(R47="","",VLOOKUP(R47,Para1!$D$67:$G$79,4,0)*(IF(P46+Q46=1,0.5,1)))))</f>
        <v/>
      </c>
      <c r="U46" s="145" t="str">
        <f aca="false">IF(SUM(S46:T46)&gt;0,K46,"")</f>
        <v/>
      </c>
      <c r="V46" s="145" t="str">
        <f aca="false">IF(SUM(S46:T46)&gt;0,L46,"")</f>
        <v/>
      </c>
      <c r="W46" s="145" t="n">
        <f aca="false">IF(S46=0,P46+Q46,0)</f>
        <v>2</v>
      </c>
    </row>
    <row r="47" customFormat="false" ht="17" hidden="false" customHeight="true" outlineLevel="0" collapsed="false">
      <c r="A47" s="200" t="s">
        <v>44</v>
      </c>
      <c r="B47" s="297" t="str">
        <f aca="false">IF(B46=Para1!$F$153,Para1!$F$109,IF(B46=Para1!$F$109,Para1!$F$148,IF(B46=Para1!$F$148,Para1!$F$111,IF(B46=Para1!$F$111,Para1!$F$120,IF(B46=Para1!$F$120,Para1!$F$170,IF(B46=Para1!$F$170,Para1!$F$173,Para1!$F$153))))))</f>
        <v>Tue</v>
      </c>
      <c r="C47" s="202"/>
      <c r="D47" s="203"/>
      <c r="E47" s="204"/>
      <c r="F47" s="205"/>
      <c r="G47" s="204"/>
      <c r="H47" s="204"/>
      <c r="I47" s="206"/>
      <c r="J47" s="255"/>
      <c r="K47" s="256"/>
      <c r="L47" s="209"/>
      <c r="M47" s="210"/>
      <c r="N47" s="195"/>
      <c r="O47" s="145"/>
      <c r="P47" s="259" t="n">
        <f aca="false">P40</f>
        <v>1</v>
      </c>
      <c r="Q47" s="259" t="n">
        <f aca="false">Q40</f>
        <v>1</v>
      </c>
      <c r="R47" s="145" t="e">
        <f aca="false">IF(VLOOKUP(A47,Para1!$B$67:$E$72,2,0)="5.",VLOOKUP(A47,Para1!$B$67:$E$72,3,0),"")</f>
        <v>#N/A</v>
      </c>
      <c r="S47" s="145" t="str">
        <f aca="false">IF((P47+Q47)=0,"",IF(ISNA(R47),"",IF(R47="","",VLOOKUP(R47,Para1!$D$67:$G$79,3,0)*(IF(P47+Q47=1,0.5,1)))))</f>
        <v/>
      </c>
      <c r="T47" s="145" t="str">
        <f aca="false">IF(P47+Q47=0,"",IF(ISNA(R48),"",IF(R48="","",VLOOKUP(R48,Para1!$D$67:$G$79,4,0)*(IF(P47+Q47=1,0.5,1)))))</f>
        <v/>
      </c>
      <c r="U47" s="145" t="str">
        <f aca="false">IF(SUM(S47:T47)&gt;0,K47,"")</f>
        <v/>
      </c>
      <c r="V47" s="145" t="str">
        <f aca="false">IF(SUM(S47:T47)&gt;0,L47,"")</f>
        <v/>
      </c>
      <c r="W47" s="145" t="n">
        <f aca="false">IF(S47=0,P47+Q47,0)</f>
        <v>0</v>
      </c>
    </row>
    <row r="48" customFormat="false" ht="17" hidden="false" customHeight="true" outlineLevel="0" collapsed="false">
      <c r="A48" s="200" t="s">
        <v>45</v>
      </c>
      <c r="B48" s="297" t="str">
        <f aca="false">IF(B47=Para1!$F$153,Para1!$F$109,IF(B47=Para1!$F$109,Para1!$F$148,IF(B47=Para1!$F$148,Para1!$F$111,IF(B47=Para1!$F$111,Para1!$F$120,IF(B47=Para1!$F$120,Para1!$F$170,IF(B47=Para1!$F$170,Para1!$F$173,Para1!$F$153))))))</f>
        <v>Wed</v>
      </c>
      <c r="C48" s="186"/>
      <c r="D48" s="203"/>
      <c r="E48" s="204"/>
      <c r="F48" s="205"/>
      <c r="G48" s="204"/>
      <c r="H48" s="204"/>
      <c r="I48" s="206"/>
      <c r="J48" s="255"/>
      <c r="K48" s="256"/>
      <c r="L48" s="209"/>
      <c r="M48" s="210"/>
      <c r="N48" s="195"/>
      <c r="O48" s="145"/>
      <c r="P48" s="259" t="n">
        <f aca="false">P41</f>
        <v>1</v>
      </c>
      <c r="Q48" s="259" t="n">
        <f aca="false">Q41</f>
        <v>1</v>
      </c>
      <c r="R48" s="145" t="e">
        <f aca="false">IF(VLOOKUP(A48,Para1!$B$67:$E$72,2,0)="5.",VLOOKUP(A48,Para1!$B$67:$E$72,3,0),"")</f>
        <v>#N/A</v>
      </c>
      <c r="S48" s="145" t="str">
        <f aca="false">IF((P48+Q48)=0,"",IF(ISNA(R48),"",IF(R48="","",VLOOKUP(R48,Para1!$D$67:$G$79,3,0)*(IF(P48+Q48=1,0.5,1)))))</f>
        <v/>
      </c>
      <c r="T48" s="145" t="str">
        <f aca="false">IF(P48+Q48=0,"",IF(ISNA(R49),"",IF(R49="","",VLOOKUP(R49,Para1!$D$67:$G$79,4,0)*(IF(P48+Q48=1,0.5,1)))))</f>
        <v/>
      </c>
      <c r="U48" s="145" t="str">
        <f aca="false">IF(SUM(S48:T48)&gt;0,K48,"")</f>
        <v/>
      </c>
      <c r="V48" s="145" t="str">
        <f aca="false">IF(SUM(S48:T48)&gt;0,L48,"")</f>
        <v/>
      </c>
      <c r="W48" s="145" t="n">
        <f aca="false">IF(S48=0,P48+Q48,0)</f>
        <v>0</v>
      </c>
    </row>
    <row r="49" customFormat="false" ht="16.5" hidden="false" customHeight="true" outlineLevel="0" collapsed="false">
      <c r="A49" s="216" t="s">
        <v>46</v>
      </c>
      <c r="B49" s="297" t="str">
        <f aca="false">IF(B48=Para1!$F$153,Para1!$F$109,IF(B48=Para1!$F$109,Para1!$F$148,IF(B48=Para1!$F$148,Para1!$F$111,IF(B48=Para1!$F$111,Para1!$F$120,IF(B48=Para1!$F$120,Para1!$F$170,IF(B48=Para1!$F$170,Para1!$F$173,Para1!$F$153))))))</f>
        <v>Thu</v>
      </c>
      <c r="C49" s="186"/>
      <c r="D49" s="203"/>
      <c r="E49" s="204"/>
      <c r="F49" s="205"/>
      <c r="G49" s="204"/>
      <c r="H49" s="204"/>
      <c r="I49" s="206"/>
      <c r="J49" s="255"/>
      <c r="K49" s="256"/>
      <c r="L49" s="209"/>
      <c r="M49" s="210"/>
      <c r="N49" s="195"/>
      <c r="O49" s="145"/>
      <c r="P49" s="259" t="n">
        <f aca="false">P42</f>
        <v>1</v>
      </c>
      <c r="Q49" s="259" t="n">
        <f aca="false">Q42</f>
        <v>1</v>
      </c>
      <c r="R49" s="145" t="e">
        <f aca="false">IF(VLOOKUP(A49,Para1!$B$67:$E$72,2,0)="5.",VLOOKUP(A49,Para1!$B$67:$E$72,3,0),"")</f>
        <v>#N/A</v>
      </c>
      <c r="S49" s="145" t="str">
        <f aca="false">IF((P49+Q49)=0,"",IF(ISNA(R49),"",IF(R49="","",VLOOKUP(R49,Para1!$D$67:$G$79,3,0)*(IF(P49+Q49=1,0.5,1)))))</f>
        <v/>
      </c>
      <c r="T49" s="145" t="str">
        <f aca="false">IF(P49+Q49=0,"",IF(ISNA(R50),"",IF(R50="","",VLOOKUP(R50,Para1!$D$67:$G$79,4,0)*(IF(P49+Q49=1,0.5,1)))))</f>
        <v/>
      </c>
      <c r="U49" s="145" t="str">
        <f aca="false">IF(SUM(S49:T49)&gt;0,K49,"")</f>
        <v/>
      </c>
      <c r="V49" s="145" t="str">
        <f aca="false">IF(SUM(S49:T49)&gt;0,L49,"")</f>
        <v/>
      </c>
      <c r="W49" s="145" t="n">
        <f aca="false">IF(S49=0,P49+Q49,0)</f>
        <v>0</v>
      </c>
    </row>
    <row r="50" customFormat="false" ht="16.5" hidden="false" customHeight="true" outlineLevel="0" collapsed="false">
      <c r="A50" s="216" t="s">
        <v>47</v>
      </c>
      <c r="B50" s="297" t="str">
        <f aca="false">IF(B49=Para1!$F$153,Para1!$F$109,IF(B49=Para1!$F$109,Para1!$F$148,IF(B49=Para1!$F$148,Para1!$F$111,IF(B49=Para1!$F$111,Para1!$F$120,IF(B49=Para1!$F$120,Para1!$F$170,IF(B49=Para1!$F$170,Para1!$F$173,Para1!$F$153))))))</f>
        <v>Fri</v>
      </c>
      <c r="C50" s="186"/>
      <c r="D50" s="203"/>
      <c r="E50" s="204"/>
      <c r="F50" s="205"/>
      <c r="G50" s="204"/>
      <c r="H50" s="204"/>
      <c r="I50" s="206"/>
      <c r="J50" s="255"/>
      <c r="K50" s="256"/>
      <c r="L50" s="209"/>
      <c r="M50" s="210"/>
      <c r="N50" s="195"/>
      <c r="O50" s="145"/>
      <c r="P50" s="262" t="n">
        <f aca="false">P36</f>
        <v>1</v>
      </c>
      <c r="Q50" s="262" t="n">
        <f aca="false">Q36</f>
        <v>1</v>
      </c>
      <c r="R50" s="145" t="e">
        <f aca="false">IF(VLOOKUP(A50,Para1!$B$67:$E$72,2,0)="5.",VLOOKUP(A50,Para1!$B$67:$E$72,3,0),"")</f>
        <v>#N/A</v>
      </c>
      <c r="S50" s="145" t="str">
        <f aca="false">IF((P50+Q50)=0,"",IF(ISNA(R50),"",IF(R50="","",VLOOKUP(R50,Para1!$D$67:$G$79,3,0)*(IF(P50+Q50=1,0.5,1)))))</f>
        <v/>
      </c>
      <c r="T50" s="145" t="str">
        <f aca="false">IF(P50+Q50=0,"",IF(ISNA(R51),"",IF(R51="","",VLOOKUP(R51,Para1!$D$67:$G$79,4,0)*(IF(P50+Q50=1,0.5,1)))))</f>
        <v/>
      </c>
      <c r="U50" s="145" t="str">
        <f aca="false">IF(SUM(S50:T50)&gt;0,K50,"")</f>
        <v/>
      </c>
      <c r="V50" s="145" t="str">
        <f aca="false">IF(SUM(S50:T50)&gt;0,L50,"")</f>
        <v/>
      </c>
      <c r="W50" s="145" t="n">
        <f aca="false">IF(S50=0,P50+Q50,0)</f>
        <v>0</v>
      </c>
    </row>
    <row r="51" s="258" customFormat="true" ht="16.5" hidden="false" customHeight="true" outlineLevel="0" collapsed="false">
      <c r="A51" s="216" t="s">
        <v>48</v>
      </c>
      <c r="B51" s="297" t="str">
        <f aca="false">IF(B50=Para1!$F$153,Para1!$F$109,IF(B50=Para1!$F$109,Para1!$F$148,IF(B50=Para1!$F$148,Para1!$F$111,IF(B50=Para1!$F$111,Para1!$F$120,IF(B50=Para1!$F$120,Para1!$F$170,IF(B50=Para1!$F$170,Para1!$F$173,Para1!$F$153))))))</f>
        <v>Sat</v>
      </c>
      <c r="C51" s="202"/>
      <c r="D51" s="203"/>
      <c r="E51" s="204"/>
      <c r="F51" s="205"/>
      <c r="G51" s="204"/>
      <c r="H51" s="204"/>
      <c r="I51" s="206"/>
      <c r="J51" s="255"/>
      <c r="K51" s="256"/>
      <c r="L51" s="209"/>
      <c r="M51" s="210"/>
      <c r="N51" s="195"/>
      <c r="O51" s="145"/>
      <c r="P51" s="217" t="n">
        <f aca="false">P44</f>
        <v>0</v>
      </c>
      <c r="Q51" s="259" t="n">
        <f aca="false">Q44</f>
        <v>0</v>
      </c>
      <c r="R51" s="145" t="e">
        <f aca="false">IF(VLOOKUP(A51,Para1!$B$67:$E$72,2,0)="5.",VLOOKUP(A51,Para1!$B$67:$E$72,3,0),"")</f>
        <v>#N/A</v>
      </c>
      <c r="S51" s="145" t="str">
        <f aca="false">IF((P51+Q51)=0,"",IF(ISNA(R51),"",IF(R51="","",VLOOKUP(R51,Para1!$D$67:$G$79,3,0)*(IF(P51+Q51=1,0.5,1)))))</f>
        <v/>
      </c>
      <c r="T51" s="145" t="str">
        <f aca="false">IF(P51+Q51=0,"",IF(ISNA(R52),"",IF(R52="","",VLOOKUP(R52,Para1!$D$67:$G$79,4,0)*(IF(P51+Q51=1,0.5,1)))))</f>
        <v/>
      </c>
      <c r="U51" s="145" t="str">
        <f aca="false">IF(SUM(S51:T51)&gt;0,K51,"")</f>
        <v/>
      </c>
      <c r="V51" s="145" t="str">
        <f aca="false">IF(SUM(S51:T51)&gt;0,L51,"")</f>
        <v/>
      </c>
      <c r="W51" s="145" t="n">
        <f aca="false">IF(S51=0,P51+Q51,0)</f>
        <v>0</v>
      </c>
    </row>
    <row r="52" s="258" customFormat="true" ht="16.5" hidden="false" customHeight="true" outlineLevel="0" collapsed="false">
      <c r="A52" s="216" t="s">
        <v>49</v>
      </c>
      <c r="B52" s="297" t="str">
        <f aca="false">IF(B51=Para1!$F$153,Para1!$F$109,IF(B51=Para1!$F$109,Para1!$F$148,IF(B51=Para1!$F$148,Para1!$F$111,IF(B51=Para1!$F$111,Para1!$F$120,IF(B51=Para1!$F$120,Para1!$F$170,IF(B51=Para1!$F$170,Para1!$F$173,Para1!$F$153))))))</f>
        <v>Sun</v>
      </c>
      <c r="C52" s="202"/>
      <c r="D52" s="203"/>
      <c r="E52" s="204"/>
      <c r="F52" s="205"/>
      <c r="G52" s="204"/>
      <c r="H52" s="204"/>
      <c r="I52" s="206"/>
      <c r="J52" s="255"/>
      <c r="K52" s="256"/>
      <c r="L52" s="209"/>
      <c r="M52" s="210"/>
      <c r="N52" s="195"/>
      <c r="O52" s="145"/>
      <c r="P52" s="217" t="n">
        <f aca="false">P45</f>
        <v>0</v>
      </c>
      <c r="Q52" s="259" t="n">
        <f aca="false">Q45</f>
        <v>0</v>
      </c>
      <c r="R52" s="145" t="e">
        <f aca="false">IF(VLOOKUP(A52,Para1!$B$67:$E$72,2,0)="5.",VLOOKUP(A52,Para1!$B$67:$E$72,3,0),"")</f>
        <v>#N/A</v>
      </c>
      <c r="S52" s="145" t="str">
        <f aca="false">IF((P52+Q52)=0,"",IF(ISNA(R52),"",IF(R52="","",VLOOKUP(R52,Para1!$D$67:$G$79,3,0)*(IF(P52+Q52=1,0.5,1)))))</f>
        <v/>
      </c>
      <c r="T52" s="145" t="str">
        <f aca="false">IF(P52+Q52=0,"",IF(ISNA(R53),"",IF(R53="","",VLOOKUP(R53,Para1!$D$67:$G$79,4,0)*(IF(P52+Q52=1,0.5,1)))))</f>
        <v/>
      </c>
      <c r="U52" s="145" t="str">
        <f aca="false">IF(SUM(S52:T52)&gt;0,K52,"")</f>
        <v/>
      </c>
      <c r="V52" s="145" t="str">
        <f aca="false">IF(SUM(S52:T52)&gt;0,L52,"")</f>
        <v/>
      </c>
      <c r="W52" s="145" t="n">
        <f aca="false">IF(S52=0,P52+Q52,0)</f>
        <v>0</v>
      </c>
    </row>
    <row r="53" customFormat="false" ht="17" hidden="false" customHeight="true" outlineLevel="0" collapsed="false">
      <c r="A53" s="200" t="s">
        <v>50</v>
      </c>
      <c r="B53" s="297" t="str">
        <f aca="false">IF(B52=Para1!$F$153,Para1!$F$109,IF(B52=Para1!$F$109,Para1!$F$148,IF(B52=Para1!$F$148,Para1!$F$111,IF(B52=Para1!$F$111,Para1!$F$120,IF(B52=Para1!$F$120,Para1!$F$170,IF(B52=Para1!$F$170,Para1!$F$173,Para1!$F$153))))))</f>
        <v>Mon</v>
      </c>
      <c r="C53" s="202"/>
      <c r="D53" s="203"/>
      <c r="E53" s="311"/>
      <c r="F53" s="205"/>
      <c r="G53" s="204"/>
      <c r="H53" s="204"/>
      <c r="I53" s="206"/>
      <c r="J53" s="255"/>
      <c r="K53" s="312"/>
      <c r="L53" s="313"/>
      <c r="M53" s="210"/>
      <c r="N53" s="195"/>
      <c r="O53" s="145"/>
      <c r="P53" s="221" t="n">
        <f aca="false">P46</f>
        <v>1</v>
      </c>
      <c r="Q53" s="289" t="n">
        <f aca="false">Q46</f>
        <v>1</v>
      </c>
      <c r="R53" s="145" t="e">
        <f aca="false">IF(VLOOKUP(A53,Para1!$B$67:$E$72,2,0)="5.",VLOOKUP(A53,Para1!$B$67:$E$72,3,0),"")</f>
        <v>#N/A</v>
      </c>
      <c r="S53" s="145" t="str">
        <f aca="false">IF((P53+Q53)=0,"",IF(ISNA(R53),"",IF(R53="","",VLOOKUP(R53,Para1!$D$67:$G$79,3,0)*(IF(P53+Q53=1,0.5,1)))))</f>
        <v/>
      </c>
      <c r="T53" s="145" t="str">
        <f aca="false">IF(P53+Q53=0,"",IF(ISNA(Juni!R23),"",IF(Juni!R23="","",VLOOKUP(Juni!R23,Para1!$D$67:$G$79,4,0)*(IF(P53+Q53=1,0.5,1)))))</f>
        <v/>
      </c>
      <c r="U53" s="145" t="str">
        <f aca="false">IF(SUM(S53:T53)&gt;0,K53,"")</f>
        <v/>
      </c>
      <c r="V53" s="145" t="str">
        <f aca="false">IF(SUM(S53:T53)&gt;0,L53,"")</f>
        <v/>
      </c>
      <c r="W53" s="145" t="n">
        <f aca="false">IF(S53=0,P53+Q53,0)</f>
        <v>0</v>
      </c>
    </row>
    <row r="54" customFormat="false" ht="15" hidden="false" customHeight="false" outlineLevel="0" collapsed="false">
      <c r="A54" s="223"/>
      <c r="B54" s="197"/>
      <c r="C54" s="133"/>
      <c r="D54" s="224" t="n">
        <f aca="false">SUM(D23:D53)</f>
        <v>0</v>
      </c>
      <c r="E54" s="225" t="n">
        <f aca="false">SUM(E23:E53)</f>
        <v>0</v>
      </c>
      <c r="F54" s="225" t="n">
        <f aca="false">SUM(F23:F53)</f>
        <v>0</v>
      </c>
      <c r="G54" s="225" t="n">
        <f aca="false">SUM(G23:G53)</f>
        <v>0</v>
      </c>
      <c r="H54" s="225" t="n">
        <f aca="false">SUM(H23:H53)</f>
        <v>0</v>
      </c>
      <c r="I54" s="226" t="n">
        <f aca="false">SUM(I23:I53)</f>
        <v>0</v>
      </c>
      <c r="J54" s="282"/>
      <c r="P54" s="229" t="str">
        <f aca="false">Para1!F174&amp;" "&amp;Para1!F168</f>
        <v>balance due / half-day</v>
      </c>
      <c r="Q54" s="229"/>
      <c r="R54" s="145" t="n">
        <f aca="false">SUM(W23:W53)</f>
        <v>4</v>
      </c>
      <c r="S54" s="145" t="n">
        <f aca="false">SUM(S23:S53)</f>
        <v>0</v>
      </c>
      <c r="T54" s="145" t="n">
        <f aca="false">SUM(T23:T53)</f>
        <v>1</v>
      </c>
      <c r="U54" s="145"/>
      <c r="V54" s="145"/>
    </row>
    <row r="55" customFormat="false" ht="15" hidden="false" customHeight="false" outlineLevel="0" collapsed="false">
      <c r="A55" s="283"/>
      <c r="B55" s="284"/>
      <c r="C55" s="284"/>
      <c r="D55" s="230" t="n">
        <f aca="false">D54*24</f>
        <v>0</v>
      </c>
      <c r="E55" s="231" t="n">
        <f aca="false">E54*24</f>
        <v>0</v>
      </c>
      <c r="F55" s="231" t="n">
        <f aca="false">F54*24</f>
        <v>0</v>
      </c>
      <c r="G55" s="231" t="n">
        <f aca="false">G54*24</f>
        <v>0</v>
      </c>
      <c r="H55" s="231" t="n">
        <f aca="false">H54*24</f>
        <v>0</v>
      </c>
      <c r="I55" s="232" t="n">
        <f aca="false">I54*24</f>
        <v>0</v>
      </c>
      <c r="J55" s="235"/>
      <c r="M55" s="235" t="str">
        <f aca="false">Para1!G2</f>
        <v>AE v1_01 02.12.2021</v>
      </c>
      <c r="P55" s="236" t="n">
        <f aca="false">(Para1!K59/100*$G$3+((S54+T54)/100*$G$3))/(SUM(P23:Q53)-R54)/24</f>
        <v>0.175</v>
      </c>
      <c r="Q55" s="236"/>
      <c r="R55" s="145"/>
      <c r="S55" s="145"/>
      <c r="T55" s="145"/>
      <c r="U55" s="145"/>
      <c r="V55" s="145"/>
    </row>
    <row r="56" customFormat="false" ht="15" hidden="false" customHeight="false" outlineLevel="0" collapsed="false">
      <c r="Q56" s="133"/>
    </row>
    <row r="57" customFormat="false" ht="22.5" hidden="false" customHeight="true" outlineLevel="0" collapsed="false">
      <c r="A57" s="237" t="str">
        <f aca="false">Para1!F106</f>
        <v>date</v>
      </c>
      <c r="B57" s="238"/>
      <c r="C57" s="238"/>
      <c r="D57" s="239"/>
      <c r="E57" s="238"/>
      <c r="F57" s="240" t="str">
        <f aca="false">Para1!F191&amp;" "&amp;Para1!F152</f>
        <v>signature employee</v>
      </c>
      <c r="G57" s="238"/>
      <c r="H57" s="241"/>
      <c r="I57" s="241"/>
      <c r="J57" s="241"/>
      <c r="K57" s="241"/>
      <c r="L57" s="241"/>
      <c r="Q57" s="133"/>
      <c r="T57" s="250"/>
      <c r="U57" s="238"/>
      <c r="Y57" s="243"/>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row r="61" customFormat="false" ht="22.5" hidden="false" customHeight="true" outlineLevel="0" collapsed="false">
      <c r="A61" s="247"/>
      <c r="B61" s="238"/>
      <c r="C61" s="238"/>
      <c r="D61" s="248"/>
      <c r="E61" s="249"/>
      <c r="G61" s="242"/>
      <c r="I61" s="134"/>
      <c r="J61" s="250"/>
      <c r="L61" s="250"/>
      <c r="M61" s="238"/>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3">
    <cfRule type="expression" priority="2" aboveAverage="0" equalAverage="0" bottom="0" percent="0" rank="0" text="" dxfId="29">
      <formula>$S23=0</formula>
    </cfRule>
    <cfRule type="expression" priority="3" aboveAverage="0" equalAverage="0" bottom="0" percent="0" rank="0" text="" dxfId="30">
      <formula>$P23+$Q23=0</formula>
    </cfRule>
  </conditionalFormatting>
  <conditionalFormatting sqref="D23:I53">
    <cfRule type="expression" priority="4" aboveAverage="0" equalAverage="0" bottom="0" percent="0" rank="0" text="" dxfId="31">
      <formula>$P$23+$Q$23=1</formula>
    </cfRule>
    <cfRule type="expression" priority="5" aboveAverage="0" equalAverage="0" bottom="0" percent="0" rank="0" text="" dxfId="32">
      <formula>$P23+$Q23=0</formula>
    </cfRule>
  </conditionalFormatting>
  <conditionalFormatting sqref="D23:I53 K23:L53 P23:Q53">
    <cfRule type="expression" priority="6" aboveAverage="0" equalAverage="0" bottom="0" percent="0" rank="0" text="" dxfId="33">
      <formula>$S23=0</formula>
    </cfRule>
  </conditionalFormatting>
  <conditionalFormatting sqref="K23:K53 P23:P53">
    <cfRule type="expression" priority="7" aboveAverage="0" equalAverage="0" bottom="0" percent="0" rank="0" text="" dxfId="34">
      <formula>$P23=0</formula>
    </cfRule>
  </conditionalFormatting>
  <conditionalFormatting sqref="L23:L53 Q23:Q53">
    <cfRule type="expression" priority="8" aboveAverage="0" equalAverage="0" bottom="0" percent="0" rank="0" text="" dxfId="35">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J23:J53 M23:M53" type="textLength">
      <formula1>0</formula1>
      <formula2>25</formula2>
    </dataValidation>
  </dataValidations>
  <printOptions headings="false" gridLines="false" gridLinesSet="true" horizontalCentered="false" verticalCentered="false"/>
  <pageMargins left="0.4" right="0.4" top="0.790277777777778" bottom="0.39375" header="0.290277777777778" footer="0.157638888888889"/>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67"/>
  <sheetViews>
    <sheetView showFormulas="false" showGridLines="false" showRowColHeaders="true" showZeros="true" rightToLeft="false" tabSelected="false" showOutlineSymbols="true" defaultGridColor="true" view="normal" topLeftCell="A10" colorId="64" zoomScale="85" zoomScaleNormal="85" zoomScalePageLayoutView="100" workbookViewId="0">
      <selection pane="topLeft" activeCell="X23" activeCellId="0" sqref="X23"/>
    </sheetView>
  </sheetViews>
  <sheetFormatPr defaultColWidth="11.515625" defaultRowHeight="14" zeroHeight="false" outlineLevelRow="0" outlineLevelCol="0"/>
  <cols>
    <col collapsed="false" customWidth="true" hidden="false" outlineLevel="0" max="1" min="1" style="116" width="8.33"/>
    <col collapsed="false" customWidth="true" hidden="false" outlineLevel="0" max="2" min="2" style="117" width="8.33"/>
    <col collapsed="false" customWidth="true" hidden="false" outlineLevel="0" max="3" min="3" style="117" width="2.84"/>
    <col collapsed="false" customWidth="true" hidden="false" outlineLevel="0" max="7" min="4" style="117" width="12.66"/>
    <col collapsed="false" customWidth="true" hidden="false" outlineLevel="0" max="8" min="8" style="145" width="12.66"/>
    <col collapsed="false" customWidth="true" hidden="false" outlineLevel="0" max="9" min="9" style="117" width="12.66"/>
    <col collapsed="false" customWidth="true" hidden="false" outlineLevel="0" max="10" min="10" style="117" width="2.84"/>
    <col collapsed="false" customWidth="true" hidden="false" outlineLevel="0" max="12" min="11" style="117" width="12.66"/>
    <col collapsed="false" customWidth="true" hidden="false" outlineLevel="0" max="14" min="13" style="117" width="11.84"/>
    <col collapsed="false" customWidth="false" hidden="false" outlineLevel="0" max="15" min="15" style="117" width="11.5"/>
    <col collapsed="false" customWidth="true" hidden="false" outlineLevel="0" max="17" min="16" style="117" width="12.66"/>
    <col collapsed="false" customWidth="false" hidden="true" outlineLevel="0" max="23" min="18" style="117" width="11.52"/>
    <col collapsed="false" customWidth="false" hidden="false" outlineLevel="0" max="1024" min="24" style="117" width="11.5"/>
  </cols>
  <sheetData>
    <row r="1" s="117" customFormat="true" ht="14" hidden="false" customHeight="false" outlineLevel="0" collapsed="false">
      <c r="A1" s="118" t="str">
        <f aca="false">Para1!F196</f>
        <v>first name:</v>
      </c>
      <c r="B1" s="118"/>
      <c r="C1" s="119"/>
      <c r="D1" s="120" t="str">
        <f aca="false">'Jahresübersicht (Overview)'!C2</f>
        <v>Mathieu</v>
      </c>
      <c r="E1" s="120"/>
      <c r="F1" s="121" t="str">
        <f aca="false">Para1!F159</f>
        <v>surname:</v>
      </c>
      <c r="G1" s="120" t="str">
        <f aca="false">'Jahresübersicht (Overview)'!G2</f>
        <v>Simon</v>
      </c>
      <c r="I1" s="24"/>
      <c r="J1" s="121"/>
      <c r="K1" s="121" t="str">
        <f aca="false">Para1!F133</f>
        <v>year of birth (4-digit):</v>
      </c>
      <c r="L1" s="122" t="n">
        <f aca="false">'Jahresübersicht (Overview)'!K2</f>
        <v>1994</v>
      </c>
      <c r="P1" s="123"/>
      <c r="Q1" s="24"/>
      <c r="T1" s="124"/>
      <c r="U1" s="124"/>
    </row>
    <row r="2" customFormat="false" ht="6" hidden="false" customHeight="true" outlineLevel="0" collapsed="false">
      <c r="D2" s="124"/>
      <c r="E2" s="124"/>
      <c r="F2" s="124"/>
      <c r="G2" s="124"/>
      <c r="H2" s="117"/>
      <c r="I2" s="124"/>
      <c r="J2" s="124"/>
      <c r="K2" s="124"/>
      <c r="L2" s="124"/>
      <c r="Q2" s="24"/>
      <c r="T2" s="124"/>
      <c r="U2" s="124"/>
    </row>
    <row r="3" customFormat="false" ht="14" hidden="false" customHeight="false" outlineLevel="0" collapsed="false">
      <c r="A3" s="118" t="str">
        <f aca="false">Para1!F165</f>
        <v>pers.-no.:</v>
      </c>
      <c r="B3" s="118"/>
      <c r="C3" s="119"/>
      <c r="D3" s="120" t="n">
        <f aca="false">'Jahresübersicht (Overview)'!C4</f>
        <v>381322</v>
      </c>
      <c r="E3" s="124"/>
      <c r="F3" s="121" t="str">
        <f aca="false">Para1!F97&amp;": "</f>
        <v>level of employment:</v>
      </c>
      <c r="G3" s="125" t="n">
        <f aca="false">'Jahresübersicht (Overview)'!H8</f>
        <v>100</v>
      </c>
      <c r="H3" s="117" t="s">
        <v>11</v>
      </c>
      <c r="I3" s="24"/>
      <c r="J3" s="119"/>
      <c r="K3" s="126" t="str">
        <f aca="false">Para1!F113</f>
        <v>starting date:</v>
      </c>
      <c r="L3" s="127" t="n">
        <f aca="false">'Jahresübersicht (Overview)'!$G$4</f>
        <v>42688</v>
      </c>
      <c r="M3" s="128"/>
      <c r="N3" s="128"/>
      <c r="Q3" s="24"/>
      <c r="S3" s="133"/>
      <c r="T3" s="295"/>
      <c r="U3" s="295"/>
    </row>
    <row r="4" customFormat="false" ht="6" hidden="false" customHeight="true" outlineLevel="0" collapsed="false">
      <c r="A4" s="129"/>
      <c r="B4" s="130"/>
      <c r="C4" s="130"/>
      <c r="D4" s="131"/>
      <c r="E4" s="131"/>
      <c r="F4" s="131"/>
      <c r="G4" s="131"/>
      <c r="H4" s="131"/>
      <c r="I4" s="132"/>
      <c r="J4" s="132"/>
      <c r="K4" s="132"/>
      <c r="L4" s="132"/>
      <c r="M4" s="130"/>
      <c r="N4" s="130"/>
      <c r="S4" s="133"/>
      <c r="T4" s="295"/>
      <c r="U4" s="295"/>
    </row>
    <row r="5" customFormat="false" ht="6" hidden="false" customHeight="true" outlineLevel="0" collapsed="false">
      <c r="D5" s="124"/>
      <c r="E5" s="124"/>
      <c r="F5" s="124"/>
      <c r="G5" s="124"/>
      <c r="H5" s="124"/>
      <c r="I5" s="134"/>
      <c r="J5" s="134"/>
      <c r="K5" s="134"/>
      <c r="L5" s="134"/>
      <c r="S5" s="133"/>
      <c r="T5" s="295"/>
      <c r="U5" s="295"/>
    </row>
    <row r="6" customFormat="false" ht="15" hidden="false" customHeight="true" outlineLevel="0" collapsed="false">
      <c r="D6" s="124"/>
      <c r="E6" s="135"/>
      <c r="F6" s="124"/>
      <c r="G6" s="124"/>
      <c r="H6" s="124"/>
      <c r="I6" s="134"/>
      <c r="J6" s="134"/>
      <c r="K6" s="134"/>
      <c r="L6" s="134"/>
      <c r="O6" s="124"/>
      <c r="R6" s="124"/>
      <c r="S6" s="295"/>
      <c r="T6" s="295"/>
      <c r="U6" s="295"/>
      <c r="V6" s="124"/>
      <c r="Y6" s="134"/>
    </row>
    <row r="7" customFormat="false" ht="15" hidden="false" customHeight="true" outlineLevel="0" collapsed="false">
      <c r="C7" s="136"/>
      <c r="D7" s="126" t="str">
        <f aca="false">Para1!F117</f>
        <v>holiday</v>
      </c>
      <c r="E7" s="137" t="s">
        <v>12</v>
      </c>
      <c r="H7" s="117"/>
      <c r="I7" s="121" t="str">
        <f aca="false">Para1!F83</f>
        <v>absences</v>
      </c>
      <c r="J7" s="117" t="s">
        <v>12</v>
      </c>
      <c r="L7" s="138" t="str">
        <f aca="false">Para1!F84</f>
        <v>curr. mnth</v>
      </c>
      <c r="M7" s="138" t="str">
        <f aca="false">Para1!F195</f>
        <v>last mnth(s)</v>
      </c>
      <c r="N7" s="139" t="str">
        <f aca="false">Para1!F171</f>
        <v>balance</v>
      </c>
      <c r="O7" s="121"/>
      <c r="P7" s="140"/>
      <c r="R7" s="119"/>
      <c r="S7" s="133"/>
      <c r="T7" s="133"/>
      <c r="U7" s="133"/>
    </row>
    <row r="8" customFormat="false" ht="15" hidden="false" customHeight="true" outlineLevel="0" collapsed="false">
      <c r="D8" s="138" t="str">
        <f aca="false">Para1!B171&amp;" "&amp;Para1!B88&amp;" "&amp;Para1!B154</f>
        <v>Saldo Anfang Monat</v>
      </c>
      <c r="E8" s="141" t="n">
        <f aca="false">Mai!E11</f>
        <v>7.04375</v>
      </c>
      <c r="H8" s="117"/>
      <c r="I8" s="135" t="str">
        <f aca="false">Para1!F141</f>
        <v>illness</v>
      </c>
      <c r="J8" s="142"/>
      <c r="L8" s="143" t="n">
        <f aca="false">D54</f>
        <v>0</v>
      </c>
      <c r="M8" s="143" t="n">
        <f aca="false">Mai!N8</f>
        <v>0</v>
      </c>
      <c r="N8" s="144" t="n">
        <f aca="false">SUM(L8:M8)</f>
        <v>0</v>
      </c>
      <c r="O8" s="135"/>
      <c r="R8" s="314"/>
    </row>
    <row r="9" customFormat="false" ht="15" hidden="false" customHeight="true" outlineLevel="0" collapsed="false">
      <c r="D9" s="138" t="str">
        <f aca="false">"./. "&amp;Para1!F118</f>
        <v>./. holiday taken</v>
      </c>
      <c r="E9" s="141" t="n">
        <f aca="false">COUNTIF($K$23:$L$53,"f")*$P$55-IF(ISNA(F9),0,((S54+T54)/100*G3)/48)-IF(ISNA(G9),0,((S54+T54)/100*G3)/48)</f>
        <v>0</v>
      </c>
      <c r="F9" s="145" t="e">
        <f aca="false">INDEX(U23:U53,MATCH("f",U23:U53,0))</f>
        <v>#N/A</v>
      </c>
      <c r="G9" s="145" t="e">
        <f aca="false">INDEX(V23:V53,MATCH("f",V23:V53,0))</f>
        <v>#N/A</v>
      </c>
      <c r="H9" s="117"/>
      <c r="I9" s="135" t="str">
        <f aca="false">Para1!F190</f>
        <v>accident</v>
      </c>
      <c r="J9" s="120" t="str">
        <f aca="false">Para1!F99</f>
        <v>work related</v>
      </c>
      <c r="K9" s="120"/>
      <c r="L9" s="143" t="n">
        <f aca="false">E54</f>
        <v>0</v>
      </c>
      <c r="M9" s="143" t="n">
        <f aca="false">Mai!N9</f>
        <v>0</v>
      </c>
      <c r="N9" s="144" t="n">
        <f aca="false">SUM(L9:M9)</f>
        <v>0</v>
      </c>
      <c r="O9" s="135"/>
      <c r="Q9" s="145"/>
      <c r="R9" s="314"/>
    </row>
    <row r="10" customFormat="false" ht="15" hidden="false" customHeight="true" outlineLevel="0" collapsed="false">
      <c r="D10" s="138" t="str">
        <f aca="false">"./ ."&amp;Para1!F119</f>
        <v>./ .reduction of holiday</v>
      </c>
      <c r="E10" s="147" t="n">
        <v>0</v>
      </c>
      <c r="F10" s="145"/>
      <c r="G10" s="145"/>
      <c r="H10" s="117"/>
      <c r="I10" s="135"/>
      <c r="J10" s="120" t="str">
        <f aca="false">Para1!F161&amp;" "&amp;Para1!F100</f>
        <v>not work. rel.</v>
      </c>
      <c r="K10" s="120"/>
      <c r="L10" s="143" t="n">
        <f aca="false">F54</f>
        <v>0</v>
      </c>
      <c r="M10" s="143" t="n">
        <f aca="false">Mai!N10</f>
        <v>0</v>
      </c>
      <c r="N10" s="144" t="n">
        <f aca="false">SUM(L10:M10)</f>
        <v>0</v>
      </c>
      <c r="O10" s="314"/>
      <c r="Q10" s="145"/>
      <c r="R10" s="119"/>
    </row>
    <row r="11" customFormat="false" ht="15" hidden="false" customHeight="true" outlineLevel="0" collapsed="false">
      <c r="B11" s="136"/>
      <c r="C11" s="136"/>
      <c r="D11" s="126" t="str">
        <f aca="false">Para1!F171&amp;" "&amp;Para1!F115&amp;" "&amp;Para1!F154</f>
        <v>balance end of the month</v>
      </c>
      <c r="E11" s="148" t="n">
        <f aca="false">$E$8-$E$9-$E$10</f>
        <v>7.04375</v>
      </c>
      <c r="H11" s="117"/>
      <c r="I11" s="149" t="str">
        <f aca="false">Para1!F142</f>
        <v>short vacation</v>
      </c>
      <c r="L11" s="143" t="n">
        <f aca="false">G54</f>
        <v>0</v>
      </c>
      <c r="M11" s="143" t="n">
        <f aca="false">Mai!N11</f>
        <v>0</v>
      </c>
      <c r="N11" s="144" t="n">
        <f aca="false">SUM(L11:M11)</f>
        <v>0</v>
      </c>
      <c r="O11" s="315"/>
      <c r="R11" s="124"/>
    </row>
    <row r="12" customFormat="false" ht="15" hidden="false" customHeight="true" outlineLevel="0" collapsed="false">
      <c r="B12" s="150" t="str">
        <f aca="false">IF((E11*24+(4.2*'Persönliche Daten (pers. data)'!O8/100))&lt;0,Para1!J224,IF(E11&gt;0,"",Para1!J223))</f>
        <v/>
      </c>
      <c r="H12" s="117"/>
      <c r="I12" s="151" t="str">
        <f aca="false">Para1!F198</f>
        <v>training / education</v>
      </c>
      <c r="L12" s="143" t="n">
        <f aca="false">H54</f>
        <v>0</v>
      </c>
      <c r="M12" s="143" t="n">
        <f aca="false">Mai!N12</f>
        <v>0</v>
      </c>
      <c r="N12" s="144" t="n">
        <f aca="false">SUM(L12:M12)</f>
        <v>0</v>
      </c>
      <c r="O12" s="124"/>
    </row>
    <row r="13" customFormat="false" ht="15" hidden="false" customHeight="true" outlineLevel="0" collapsed="false">
      <c r="B13" s="152" t="str">
        <f aca="false">Para1!F105&amp;" "&amp;Para1!F122&amp;" "&amp;Para1!F83&amp;" in "&amp;Para1!F178&amp;":"</f>
        <v>letters for absences in days:</v>
      </c>
      <c r="C13" s="152"/>
      <c r="D13" s="152"/>
      <c r="E13" s="152"/>
      <c r="H13" s="117"/>
      <c r="I13" s="135" t="str">
        <f aca="false">Para1!F163</f>
        <v>public office</v>
      </c>
      <c r="L13" s="143" t="n">
        <f aca="false">I54</f>
        <v>0</v>
      </c>
      <c r="M13" s="143" t="n">
        <f aca="false">Mai!N13</f>
        <v>0</v>
      </c>
      <c r="N13" s="144" t="n">
        <f aca="false">SUM(L13:M13)</f>
        <v>0</v>
      </c>
      <c r="O13" s="124"/>
    </row>
    <row r="14" customFormat="false" ht="15" hidden="false" customHeight="true" outlineLevel="0" collapsed="false">
      <c r="B14" s="153" t="s">
        <v>13</v>
      </c>
      <c r="C14" s="154" t="str">
        <f aca="false">Para1!F117</f>
        <v>holiday</v>
      </c>
      <c r="D14" s="154"/>
      <c r="E14" s="154"/>
      <c r="H14" s="117"/>
      <c r="I14" s="155" t="str">
        <f aca="false">Para1!F192</f>
        <v>leave</v>
      </c>
      <c r="J14" s="146" t="str">
        <f aca="false">Para1!F101</f>
        <v>paid</v>
      </c>
      <c r="K14" s="157"/>
      <c r="L14" s="146" t="n">
        <f aca="false">COUNTIF($K$23:$L$53,"b")*$P$55-IF(ISNA(O14),0,(($S$54+$T$54)/100*$G$3)/48)-IF(ISNA(P14),0,(($S$54+$T$54)/100*$G$3)/48)</f>
        <v>0</v>
      </c>
      <c r="M14" s="143" t="n">
        <f aca="false">Mai!N14</f>
        <v>0</v>
      </c>
      <c r="N14" s="144" t="n">
        <f aca="false">SUM(L14:M14)</f>
        <v>0</v>
      </c>
      <c r="O14" s="145" t="e">
        <f aca="false">INDEX(U23:U53,MATCH("b",U23:U53,0))</f>
        <v>#N/A</v>
      </c>
      <c r="P14" s="145" t="e">
        <f aca="false">INDEX(V23:V53,MATCH("b",V23:V53,0))</f>
        <v>#N/A</v>
      </c>
    </row>
    <row r="15" customFormat="false" ht="15" hidden="false" customHeight="true" outlineLevel="0" collapsed="false">
      <c r="B15" s="153" t="s">
        <v>14</v>
      </c>
      <c r="C15" s="156" t="str">
        <f aca="false">Para1!F157</f>
        <v>parental leave</v>
      </c>
      <c r="D15" s="156"/>
      <c r="E15" s="156"/>
      <c r="G15" s="157"/>
      <c r="H15" s="157"/>
      <c r="I15" s="155"/>
      <c r="J15" s="146" t="str">
        <f aca="false">Para1!F189</f>
        <v>unpaid</v>
      </c>
      <c r="K15" s="157"/>
      <c r="L15" s="146" t="n">
        <f aca="false">COUNTIF($K$23:$L$53,"u")*$P$55-IF(ISNA(O15),0,(($S$54+$T$54)/100*$G$3)/48)-IF(ISNA(P15),0,(($S$54+$T$54)/100*$G$3)/48)</f>
        <v>0</v>
      </c>
      <c r="M15" s="143" t="n">
        <f aca="false">Mai!N15</f>
        <v>0</v>
      </c>
      <c r="N15" s="144" t="n">
        <f aca="false">SUM(L15:M15)</f>
        <v>0</v>
      </c>
      <c r="O15" s="145" t="e">
        <f aca="false">INDEX(U23:U53,MATCH("u",U23:U53,0))</f>
        <v>#N/A</v>
      </c>
      <c r="P15" s="145" t="e">
        <f aca="false">INDEX(V23:V53,MATCH("u",V23:V53,0))</f>
        <v>#N/A</v>
      </c>
    </row>
    <row r="16" customFormat="false" ht="15" hidden="false" customHeight="true" outlineLevel="0" collapsed="false">
      <c r="B16" s="153" t="s">
        <v>15</v>
      </c>
      <c r="C16" s="154" t="str">
        <f aca="false">Para1!F150</f>
        <v>military/civil def./civil serv.</v>
      </c>
      <c r="D16" s="154"/>
      <c r="E16" s="154"/>
      <c r="G16" s="157"/>
      <c r="H16" s="157"/>
      <c r="I16" s="155" t="str">
        <f aca="false">Para1!F157</f>
        <v>parental leave</v>
      </c>
      <c r="J16" s="157"/>
      <c r="K16" s="157"/>
      <c r="L16" s="146" t="n">
        <f aca="false">COUNTIF($K$23:$L$53,"m")*$P$55-IF(ISNA(O16),0,(($S$54+$T$54)/100*$G$3)/48)-IF(ISNA(P16),0,(($S$54+$T$54)/100*$G$3)/48)</f>
        <v>0</v>
      </c>
      <c r="M16" s="143" t="n">
        <f aca="false">Mai!N16</f>
        <v>0</v>
      </c>
      <c r="N16" s="144" t="n">
        <f aca="false">SUM(L16:M16)</f>
        <v>0</v>
      </c>
      <c r="O16" s="145" t="e">
        <f aca="false">INDEX(U23:U53,MATCH("m",U23:U53,0))</f>
        <v>#N/A</v>
      </c>
      <c r="P16" s="145" t="e">
        <f aca="false">INDEX(V23:V53,MATCH("m",V23:V53,0))</f>
        <v>#N/A</v>
      </c>
    </row>
    <row r="17" customFormat="false" ht="15" hidden="false" customHeight="true" outlineLevel="0" collapsed="false">
      <c r="B17" s="159" t="s">
        <v>16</v>
      </c>
      <c r="C17" s="156" t="str">
        <f aca="false">Para1!F192&amp;" "&amp;Para1!F101</f>
        <v>leave paid</v>
      </c>
      <c r="D17" s="156"/>
      <c r="E17" s="156"/>
      <c r="G17" s="157"/>
      <c r="H17" s="117"/>
      <c r="I17" s="135" t="str">
        <f aca="false">Para1!F150</f>
        <v>military/civil def./civil serv.</v>
      </c>
      <c r="J17" s="24"/>
      <c r="K17" s="24"/>
      <c r="L17" s="146" t="n">
        <f aca="false">COUNTIF($K$23:$L$53,"z")*$P$55-IF(ISNA(O17),0,(($S$54+$T$54)/100*$G$3)/48)-IF(ISNA(P17),0,(($S$54+$T$54)/100*$G$3)/48)</f>
        <v>0</v>
      </c>
      <c r="M17" s="143" t="n">
        <f aca="false">Mai!N17</f>
        <v>0</v>
      </c>
      <c r="N17" s="144" t="n">
        <f aca="false">SUM(L17:M17)</f>
        <v>0</v>
      </c>
      <c r="O17" s="145" t="e">
        <f aca="false">INDEX(U23:U53,MATCH("z",U23:U53,0))</f>
        <v>#N/A</v>
      </c>
      <c r="P17" s="145" t="e">
        <f aca="false">INDEX(V23:V53,MATCH("z",V23:V53,0))</f>
        <v>#N/A</v>
      </c>
      <c r="R17" s="124"/>
    </row>
    <row r="18" customFormat="false" ht="15" hidden="false" customHeight="true" outlineLevel="0" collapsed="false">
      <c r="B18" s="159" t="s">
        <v>17</v>
      </c>
      <c r="C18" s="154" t="str">
        <f aca="false">Para1!F192&amp;" "&amp;Para1!F189</f>
        <v>leave unpaid</v>
      </c>
      <c r="D18" s="154"/>
      <c r="E18" s="154"/>
      <c r="H18" s="117"/>
      <c r="I18" s="121" t="str">
        <f aca="false">Para1!F180</f>
        <v>total</v>
      </c>
      <c r="L18" s="160" t="n">
        <f aca="false">SUM(L8:L17)</f>
        <v>0</v>
      </c>
      <c r="M18" s="160" t="n">
        <f aca="false">SUM(M8:M17)</f>
        <v>0</v>
      </c>
      <c r="N18" s="160" t="n">
        <f aca="false">SUM(N8:N17)</f>
        <v>0</v>
      </c>
      <c r="O18" s="124"/>
      <c r="R18" s="124"/>
    </row>
    <row r="19" customFormat="false" ht="35.25" hidden="false" customHeight="true" outlineLevel="0" collapsed="false">
      <c r="A19" s="161" t="str">
        <f aca="false">Para1!F104</f>
        <v>(please enter in hours and minutes)</v>
      </c>
      <c r="B19" s="124"/>
      <c r="C19" s="124"/>
      <c r="D19" s="124"/>
      <c r="E19" s="124"/>
      <c r="F19" s="124"/>
      <c r="G19" s="124"/>
      <c r="H19" s="124"/>
      <c r="I19" s="134"/>
      <c r="J19" s="134"/>
      <c r="K19" s="134"/>
      <c r="L19" s="134"/>
    </row>
    <row r="20" customFormat="false" ht="17.25" hidden="false" customHeight="true" outlineLevel="0" collapsed="false">
      <c r="D20" s="162" t="str">
        <f aca="false">Para1!F83&amp;" in "&amp;Para1!F176&amp;" hh:mm"</f>
        <v>absences in hours hh:mm</v>
      </c>
      <c r="E20" s="162"/>
      <c r="F20" s="162"/>
      <c r="G20" s="162"/>
      <c r="H20" s="162"/>
      <c r="I20" s="162"/>
      <c r="J20" s="163"/>
      <c r="K20" s="164" t="str">
        <f aca="false">Para1!F83&amp;" in "&amp;Para1!F178</f>
        <v>absences in days</v>
      </c>
      <c r="L20" s="164"/>
      <c r="M20" s="165" t="str">
        <f aca="false">Para1!F140</f>
        <v>comment</v>
      </c>
      <c r="N20" s="165"/>
      <c r="P20" s="166" t="str">
        <f aca="false">Para1!F90</f>
        <v>working hours templ.</v>
      </c>
      <c r="Q20" s="166"/>
    </row>
    <row r="21" s="179" customFormat="true" ht="18.75" hidden="false" customHeight="true" outlineLevel="0" collapsed="false">
      <c r="A21" s="167" t="n">
        <f aca="true">TODAY()</f>
        <v>42894</v>
      </c>
      <c r="B21" s="167"/>
      <c r="C21" s="168"/>
      <c r="D21" s="169" t="str">
        <f aca="false">Para1!F141</f>
        <v>illness</v>
      </c>
      <c r="E21" s="170" t="str">
        <f aca="false">Para1!F190&amp;" "&amp;Para1!F100</f>
        <v>accident work. rel.</v>
      </c>
      <c r="F21" s="171" t="str">
        <f aca="false">Para1!F190&amp;" "&amp;Para1!F161&amp;" "&amp;Para1!F100</f>
        <v>accident not work. rel.</v>
      </c>
      <c r="G21" s="170" t="str">
        <f aca="false">Para1!F142</f>
        <v>short vacation</v>
      </c>
      <c r="H21" s="170" t="str">
        <f aca="false">Para1!F199</f>
        <v>training / education</v>
      </c>
      <c r="I21" s="172" t="str">
        <f aca="false">Para1!F163</f>
        <v>public office</v>
      </c>
      <c r="J21" s="252"/>
      <c r="K21" s="253" t="str">
        <f aca="false">Para1!F194</f>
        <v>morning</v>
      </c>
      <c r="L21" s="175" t="str">
        <f aca="false">Para1!F158</f>
        <v>afternoon</v>
      </c>
      <c r="M21" s="176"/>
      <c r="N21" s="136"/>
      <c r="O21" s="136"/>
      <c r="P21" s="177" t="str">
        <f aca="false">Para1!F194</f>
        <v>morning</v>
      </c>
      <c r="Q21" s="178" t="str">
        <f aca="false">Para1!F158</f>
        <v>afternoon</v>
      </c>
    </row>
    <row r="22" s="179" customFormat="true" ht="15.75" hidden="false" customHeight="true" outlineLevel="0" collapsed="false">
      <c r="A22" s="180" t="str">
        <f aca="false">Para1!F106</f>
        <v>date</v>
      </c>
      <c r="B22" s="180"/>
      <c r="C22" s="181"/>
      <c r="D22" s="169"/>
      <c r="E22" s="170"/>
      <c r="F22" s="171"/>
      <c r="G22" s="170"/>
      <c r="H22" s="170"/>
      <c r="I22" s="172"/>
      <c r="J22" s="254"/>
      <c r="K22" s="253"/>
      <c r="L22" s="175"/>
      <c r="M22" s="183"/>
      <c r="N22" s="136"/>
      <c r="O22" s="136"/>
      <c r="P22" s="177"/>
      <c r="Q22" s="178"/>
    </row>
    <row r="23" customFormat="false" ht="17" hidden="false" customHeight="true" outlineLevel="0" collapsed="false">
      <c r="A23" s="216" t="s">
        <v>18</v>
      </c>
      <c r="B23" s="297" t="str">
        <f aca="false">IF(Mai!B53=Para1!$F$153,Para1!$F$109,IF(Mai!B53=Para1!$F$109,Para1!$F$148,IF(Mai!B53=Para1!$F$148,Para1!$F$111,IF(Mai!B53=Para1!$F$111,Para1!$F$120,IF(Mai!B53=Para1!$F$120,Para1!$F$170,IF(Mai!B53=Para1!$F$170,Para1!$F$173,Para1!$F$153))))))</f>
        <v>Tue</v>
      </c>
      <c r="C23" s="202"/>
      <c r="D23" s="203"/>
      <c r="E23" s="316"/>
      <c r="F23" s="205"/>
      <c r="G23" s="204"/>
      <c r="H23" s="204"/>
      <c r="I23" s="206"/>
      <c r="J23" s="317"/>
      <c r="K23" s="208"/>
      <c r="L23" s="209"/>
      <c r="M23" s="194"/>
      <c r="N23" s="195"/>
      <c r="O23" s="145"/>
      <c r="P23" s="257" t="n">
        <v>1</v>
      </c>
      <c r="Q23" s="257" t="n">
        <v>1</v>
      </c>
      <c r="R23" s="145" t="e">
        <f aca="false">IF(VLOOKUP(A23,Para1!$B$67:$E$72,2,0)="6.",VLOOKUP(A23,Para1!$B$67:$E$72,3,0),"")</f>
        <v>#N/A</v>
      </c>
      <c r="S23" s="145" t="str">
        <f aca="false">IF((P23+Q23)=0,"",IF(ISNA(R23),"",IF(R23="","",VLOOKUP(R23,Para1!$D$67:$G$79,3,0)*(IF(P23+Q23=1,0.5,1)))))</f>
        <v/>
      </c>
      <c r="T23" s="145" t="str">
        <f aca="false">IF(P23+Q23=0,"",IF(ISNA(R24),"",IF(R24="","",VLOOKUP(R24,Para1!$D$67:$G$79,4,0)*(IF(P23+Q23=1,0.5,1)))))</f>
        <v/>
      </c>
      <c r="U23" s="145" t="str">
        <f aca="false">IF(SUM(S23:T23)&gt;0,K23,"")</f>
        <v/>
      </c>
      <c r="V23" s="145" t="str">
        <f aca="false">IF(SUM(S23:T23)&gt;0,L23,"")</f>
        <v/>
      </c>
      <c r="W23" s="145" t="n">
        <f aca="false">IF(S23=0,P23+Q23,0)</f>
        <v>0</v>
      </c>
    </row>
    <row r="24" customFormat="false" ht="17" hidden="false" customHeight="true" outlineLevel="0" collapsed="false">
      <c r="A24" s="200" t="s">
        <v>20</v>
      </c>
      <c r="B24" s="297" t="str">
        <f aca="false">IF(B23=Para1!$F$153,Para1!$F$109,IF(B23=Para1!$F$109,Para1!$F$148,IF(B23=Para1!$F$148,Para1!$F$111,IF(B23=Para1!$F$111,Para1!$F$120,IF(B23=Para1!$F$120,Para1!$F$170,IF(B23=Para1!$F$170,Para1!$F$173,Para1!$F$153))))))</f>
        <v>Wed</v>
      </c>
      <c r="C24" s="186"/>
      <c r="D24" s="203"/>
      <c r="E24" s="316"/>
      <c r="F24" s="205"/>
      <c r="G24" s="204"/>
      <c r="H24" s="204"/>
      <c r="I24" s="206"/>
      <c r="J24" s="317"/>
      <c r="K24" s="208"/>
      <c r="L24" s="209"/>
      <c r="M24" s="194"/>
      <c r="N24" s="195"/>
      <c r="O24" s="145"/>
      <c r="P24" s="257" t="n">
        <f aca="false">Mai!P48</f>
        <v>1</v>
      </c>
      <c r="Q24" s="257" t="n">
        <f aca="false">Mai!Q48</f>
        <v>1</v>
      </c>
      <c r="R24" s="145" t="str">
        <f aca="false">IF(VLOOKUP(A24,Para1!$B$67:$E$72,2,0)="6.",VLOOKUP(A24,Para1!$B$67:$E$72,3,0),"")</f>
        <v/>
      </c>
      <c r="S24" s="145" t="str">
        <f aca="false">IF((P24+Q24)=0,"",IF(ISNA(R24),"",IF(R24="","",VLOOKUP(R24,Para1!$D$67:$G$79,3,0)*(IF(P24+Q24=1,0.5,1)))))</f>
        <v/>
      </c>
      <c r="T24" s="145" t="str">
        <f aca="false">IF(P24+Q24=0,"",IF(ISNA(R25),"",IF(R25="","",VLOOKUP(R25,Para1!$D$67:$G$79,4,0)*(IF(P24+Q24=1,0.5,1)))))</f>
        <v/>
      </c>
      <c r="U24" s="145" t="str">
        <f aca="false">IF(SUM(S24:T24)&gt;0,K24,"")</f>
        <v/>
      </c>
      <c r="V24" s="145" t="str">
        <f aca="false">IF(SUM(S24:T24)&gt;0,L24,"")</f>
        <v/>
      </c>
      <c r="W24" s="145" t="n">
        <f aca="false">IF(S24=0,P24+Q24,0)</f>
        <v>0</v>
      </c>
    </row>
    <row r="25" customFormat="false" ht="17" hidden="false" customHeight="true" outlineLevel="0" collapsed="false">
      <c r="A25" s="200" t="s">
        <v>22</v>
      </c>
      <c r="B25" s="297" t="str">
        <f aca="false">IF(B24=Para1!$F$153,Para1!$F$109,IF(B24=Para1!$F$109,Para1!$F$148,IF(B24=Para1!$F$148,Para1!$F$111,IF(B24=Para1!$F$111,Para1!$F$120,IF(B24=Para1!$F$120,Para1!$F$170,IF(B24=Para1!$F$170,Para1!$F$173,Para1!$F$153))))))</f>
        <v>Thu</v>
      </c>
      <c r="C25" s="186"/>
      <c r="D25" s="203"/>
      <c r="E25" s="316"/>
      <c r="F25" s="205"/>
      <c r="G25" s="204"/>
      <c r="H25" s="204"/>
      <c r="I25" s="206"/>
      <c r="J25" s="317"/>
      <c r="K25" s="208"/>
      <c r="L25" s="209"/>
      <c r="M25" s="210"/>
      <c r="N25" s="195"/>
      <c r="O25" s="145"/>
      <c r="P25" s="257" t="n">
        <f aca="false">Mai!P49</f>
        <v>1</v>
      </c>
      <c r="Q25" s="257" t="n">
        <f aca="false">Mai!Q49</f>
        <v>1</v>
      </c>
      <c r="R25" s="145" t="e">
        <f aca="false">IF(VLOOKUP(A25,Para1!$B$67:$E$72,2,0)="6.",VLOOKUP(A25,Para1!$B$67:$E$72,3,0),"")</f>
        <v>#N/A</v>
      </c>
      <c r="S25" s="145" t="str">
        <f aca="false">IF((P25+Q25)=0,"",IF(ISNA(R25),"",IF(R25="","",VLOOKUP(R25,Para1!$D$67:$G$79,3,0)*(IF(P25+Q25=1,0.5,1)))))</f>
        <v/>
      </c>
      <c r="T25" s="145" t="str">
        <f aca="false">IF(P25+Q25=0,"",IF(ISNA(R26),"",IF(R26="","",VLOOKUP(R26,Para1!$D$67:$G$79,4,0)*(IF(P25+Q25=1,0.5,1)))))</f>
        <v/>
      </c>
      <c r="U25" s="145" t="str">
        <f aca="false">IF(SUM(S25:T25)&gt;0,K25,"")</f>
        <v/>
      </c>
      <c r="V25" s="145" t="str">
        <f aca="false">IF(SUM(S25:T25)&gt;0,L25,"")</f>
        <v/>
      </c>
      <c r="W25" s="145" t="n">
        <f aca="false">IF(S25=0,P25+Q25,0)</f>
        <v>0</v>
      </c>
    </row>
    <row r="26" customFormat="false" ht="17" hidden="false" customHeight="true" outlineLevel="0" collapsed="false">
      <c r="A26" s="200" t="s">
        <v>23</v>
      </c>
      <c r="B26" s="297" t="str">
        <f aca="false">IF(B25=Para1!$F$153,Para1!$F$109,IF(B25=Para1!$F$109,Para1!$F$148,IF(B25=Para1!$F$148,Para1!$F$111,IF(B25=Para1!$F$111,Para1!$F$120,IF(B25=Para1!$F$120,Para1!$F$170,IF(B25=Para1!$F$170,Para1!$F$173,Para1!$F$153))))))</f>
        <v>Fri</v>
      </c>
      <c r="C26" s="202"/>
      <c r="D26" s="203"/>
      <c r="E26" s="316"/>
      <c r="F26" s="205"/>
      <c r="G26" s="204"/>
      <c r="H26" s="204"/>
      <c r="I26" s="206"/>
      <c r="J26" s="317"/>
      <c r="K26" s="208"/>
      <c r="L26" s="209"/>
      <c r="M26" s="210"/>
      <c r="N26" s="195"/>
      <c r="O26" s="145"/>
      <c r="P26" s="257" t="n">
        <f aca="false">Mai!P50</f>
        <v>1</v>
      </c>
      <c r="Q26" s="257" t="n">
        <f aca="false">Mai!Q50</f>
        <v>1</v>
      </c>
      <c r="R26" s="145" t="str">
        <f aca="false">IF(VLOOKUP(A26,Para1!$B$67:$E$72,2,0)="6.",VLOOKUP(A26,Para1!$B$67:$E$72,3,0),"")</f>
        <v/>
      </c>
      <c r="S26" s="145" t="str">
        <f aca="false">IF((P26+Q26)=0,"",IF(ISNA(R26),"",IF(R26="","",VLOOKUP(R26,Para1!$D$67:$G$79,3,0)*(IF(P26+Q26=1,0.5,1)))))</f>
        <v/>
      </c>
      <c r="T26" s="145" t="str">
        <f aca="false">IF(P26+Q26=0,"",IF(ISNA(R27),"",IF(R27="","",VLOOKUP(R27,Para1!$D$67:$G$79,4,0)*(IF(P26+Q26=1,0.5,1)))))</f>
        <v/>
      </c>
      <c r="U26" s="145" t="str">
        <f aca="false">IF(SUM(S26:T26)&gt;0,K26,"")</f>
        <v/>
      </c>
      <c r="V26" s="145" t="str">
        <f aca="false">IF(SUM(S26:T26)&gt;0,L26,"")</f>
        <v/>
      </c>
      <c r="W26" s="145" t="n">
        <f aca="false">IF(S26=0,P26+Q26,0)</f>
        <v>0</v>
      </c>
    </row>
    <row r="27" s="258" customFormat="true" ht="17" hidden="false" customHeight="true" outlineLevel="0" collapsed="false">
      <c r="A27" s="216" t="s">
        <v>24</v>
      </c>
      <c r="B27" s="297" t="str">
        <f aca="false">IF(B26=Para1!$F$153,Para1!$F$109,IF(B26=Para1!$F$109,Para1!$F$148,IF(B26=Para1!$F$148,Para1!$F$111,IF(B26=Para1!$F$111,Para1!$F$120,IF(B26=Para1!$F$120,Para1!$F$170,IF(B26=Para1!$F$170,Para1!$F$173,Para1!$F$153))))))</f>
        <v>Sat</v>
      </c>
      <c r="C27" s="202"/>
      <c r="D27" s="203"/>
      <c r="E27" s="316"/>
      <c r="F27" s="205"/>
      <c r="G27" s="204"/>
      <c r="H27" s="204"/>
      <c r="I27" s="206"/>
      <c r="J27" s="317"/>
      <c r="K27" s="208"/>
      <c r="L27" s="209"/>
      <c r="M27" s="210"/>
      <c r="N27" s="195"/>
      <c r="O27" s="145"/>
      <c r="P27" s="257" t="n">
        <f aca="false">Mai!P51</f>
        <v>0</v>
      </c>
      <c r="Q27" s="257" t="n">
        <f aca="false">Mai!Q51</f>
        <v>0</v>
      </c>
      <c r="R27" s="145" t="str">
        <f aca="false">IF(VLOOKUP(A27,Para1!$B$67:$E$72,2,0)="6.",VLOOKUP(A27,Para1!$B$67:$E$72,3,0),"")</f>
        <v/>
      </c>
      <c r="S27" s="145" t="str">
        <f aca="false">IF((P27+Q27)=0,"",IF(ISNA(R27),"",IF(R27="","",VLOOKUP(R27,Para1!$D$67:$G$79,3,0)*(IF(P27+Q27=1,0.5,1)))))</f>
        <v/>
      </c>
      <c r="T27" s="145" t="str">
        <f aca="false">IF(P27+Q27=0,"",IF(ISNA(R28),"",IF(R28="","",VLOOKUP(R28,Para1!$D$67:$G$79,4,0)*(IF(P27+Q27=1,0.5,1)))))</f>
        <v/>
      </c>
      <c r="U27" s="145" t="str">
        <f aca="false">IF(SUM(S27:T27)&gt;0,K27,"")</f>
        <v/>
      </c>
      <c r="V27" s="145" t="str">
        <f aca="false">IF(SUM(S27:T27)&gt;0,L27,"")</f>
        <v/>
      </c>
      <c r="W27" s="145" t="n">
        <f aca="false">IF(S27=0,P27+Q27,0)</f>
        <v>0</v>
      </c>
    </row>
    <row r="28" s="258" customFormat="true" ht="17" hidden="false" customHeight="true" outlineLevel="0" collapsed="false">
      <c r="A28" s="216" t="s">
        <v>25</v>
      </c>
      <c r="B28" s="297" t="str">
        <f aca="false">IF(B27=Para1!$F$153,Para1!$F$109,IF(B27=Para1!$F$109,Para1!$F$148,IF(B27=Para1!$F$148,Para1!$F$111,IF(B27=Para1!$F$111,Para1!$F$120,IF(B27=Para1!$F$120,Para1!$F$170,IF(B27=Para1!$F$170,Para1!$F$173,Para1!$F$153))))))</f>
        <v>Sun</v>
      </c>
      <c r="C28" s="202"/>
      <c r="D28" s="203"/>
      <c r="E28" s="316"/>
      <c r="F28" s="205"/>
      <c r="G28" s="204"/>
      <c r="H28" s="204"/>
      <c r="I28" s="206"/>
      <c r="J28" s="317"/>
      <c r="K28" s="208"/>
      <c r="L28" s="209"/>
      <c r="M28" s="210"/>
      <c r="N28" s="195"/>
      <c r="O28" s="145"/>
      <c r="P28" s="257" t="n">
        <f aca="false">Mai!P52</f>
        <v>0</v>
      </c>
      <c r="Q28" s="257" t="n">
        <f aca="false">Mai!Q52</f>
        <v>0</v>
      </c>
      <c r="R28" s="145" t="e">
        <f aca="false">IF(VLOOKUP(A28,Para1!$B$67:$E$72,2,0)="6.",VLOOKUP(A28,Para1!$B$67:$E$72,3,0),"")</f>
        <v>#N/A</v>
      </c>
      <c r="S28" s="145" t="str">
        <f aca="false">IF((P28+Q28)=0,"",IF(ISNA(R28),"",IF(R28="","",VLOOKUP(R28,Para1!$D$67:$G$79,3,0)*(IF(P28+Q28=1,0.5,1)))))</f>
        <v/>
      </c>
      <c r="T28" s="145" t="str">
        <f aca="false">IF(P28+Q28=0,"",IF(ISNA(R29),"",IF(R29="","",VLOOKUP(R29,Para1!$D$67:$G$79,4,0)*(IF(P28+Q28=1,0.5,1)))))</f>
        <v/>
      </c>
      <c r="U28" s="145" t="str">
        <f aca="false">IF(SUM(S28:T28)&gt;0,K28,"")</f>
        <v/>
      </c>
      <c r="V28" s="145" t="str">
        <f aca="false">IF(SUM(S28:T28)&gt;0,L28,"")</f>
        <v/>
      </c>
      <c r="W28" s="145" t="n">
        <f aca="false">IF(S28=0,P28+Q28,0)</f>
        <v>0</v>
      </c>
    </row>
    <row r="29" customFormat="false" ht="17" hidden="false" customHeight="true" outlineLevel="0" collapsed="false">
      <c r="A29" s="216" t="s">
        <v>26</v>
      </c>
      <c r="B29" s="297" t="str">
        <f aca="false">IF(B28=Para1!$F$153,Para1!$F$109,IF(B28=Para1!$F$109,Para1!$F$148,IF(B28=Para1!$F$148,Para1!$F$111,IF(B28=Para1!$F$111,Para1!$F$120,IF(B28=Para1!$F$120,Para1!$F$170,IF(B28=Para1!$F$170,Para1!$F$173,Para1!$F$153))))))</f>
        <v>Mon</v>
      </c>
      <c r="C29" s="202"/>
      <c r="D29" s="203"/>
      <c r="E29" s="316"/>
      <c r="F29" s="205"/>
      <c r="G29" s="204"/>
      <c r="H29" s="204"/>
      <c r="I29" s="206"/>
      <c r="J29" s="317"/>
      <c r="K29" s="208"/>
      <c r="L29" s="209"/>
      <c r="M29" s="210"/>
      <c r="N29" s="195"/>
      <c r="O29" s="145"/>
      <c r="P29" s="257" t="n">
        <f aca="false">Mai!P53</f>
        <v>1</v>
      </c>
      <c r="Q29" s="257" t="n">
        <f aca="false">Mai!Q53</f>
        <v>1</v>
      </c>
      <c r="R29" s="145" t="e">
        <f aca="false">IF(VLOOKUP(A29,Para1!$B$67:$E$72,2,0)="6.",VLOOKUP(A29,Para1!$B$67:$E$72,3,0),"")</f>
        <v>#N/A</v>
      </c>
      <c r="S29" s="145" t="str">
        <f aca="false">IF((P29+Q29)=0,"",IF(ISNA(R29),"",IF(R29="","",VLOOKUP(R29,Para1!$D$67:$G$79,3,0)*(IF(P29+Q29=1,0.5,1)))))</f>
        <v/>
      </c>
      <c r="T29" s="145" t="str">
        <f aca="false">IF(P29+Q29=0,"",IF(ISNA(R30),"",IF(R30="","",VLOOKUP(R30,Para1!$D$67:$G$79,4,0)*(IF(P29+Q29=1,0.5,1)))))</f>
        <v/>
      </c>
      <c r="U29" s="145" t="str">
        <f aca="false">IF(SUM(S29:T29)&gt;0,K29,"")</f>
        <v/>
      </c>
      <c r="V29" s="145" t="str">
        <f aca="false">IF(SUM(S29:T29)&gt;0,L29,"")</f>
        <v/>
      </c>
      <c r="W29" s="145" t="n">
        <f aca="false">IF(S29=0,P29+Q29,0)</f>
        <v>0</v>
      </c>
    </row>
    <row r="30" customFormat="false" ht="17" hidden="false" customHeight="true" outlineLevel="0" collapsed="false">
      <c r="A30" s="200" t="s">
        <v>27</v>
      </c>
      <c r="B30" s="297" t="str">
        <f aca="false">IF(B29=Para1!$F$153,Para1!$F$109,IF(B29=Para1!$F$109,Para1!$F$148,IF(B29=Para1!$F$148,Para1!$F$111,IF(B29=Para1!$F$111,Para1!$F$120,IF(B29=Para1!$F$120,Para1!$F$170,IF(B29=Para1!$F$170,Para1!$F$173,Para1!$F$153))))))</f>
        <v>Tue</v>
      </c>
      <c r="C30" s="202"/>
      <c r="D30" s="203"/>
      <c r="E30" s="316"/>
      <c r="F30" s="205"/>
      <c r="G30" s="204"/>
      <c r="H30" s="204"/>
      <c r="I30" s="206"/>
      <c r="J30" s="317"/>
      <c r="K30" s="208"/>
      <c r="L30" s="209"/>
      <c r="M30" s="210"/>
      <c r="N30" s="195"/>
      <c r="O30" s="145"/>
      <c r="P30" s="259" t="n">
        <f aca="false">Mai!P47</f>
        <v>1</v>
      </c>
      <c r="Q30" s="259" t="n">
        <f aca="false">Mai!Q47</f>
        <v>1</v>
      </c>
      <c r="R30" s="145" t="e">
        <f aca="false">IF(VLOOKUP(A30,Para1!$B$67:$E$72,2,0)="6.",VLOOKUP(A30,Para1!$B$67:$E$72,3,0),"")</f>
        <v>#N/A</v>
      </c>
      <c r="S30" s="145" t="str">
        <f aca="false">IF((P30+Q30)=0,"",IF(ISNA(R30),"",IF(R30="","",VLOOKUP(R30,Para1!$D$67:$G$79,3,0)*(IF(P30+Q30=1,0.5,1)))))</f>
        <v/>
      </c>
      <c r="T30" s="145" t="str">
        <f aca="false">IF(P30+Q30=0,"",IF(ISNA(R31),"",IF(R31="","",VLOOKUP(R31,Para1!$D$67:$G$79,4,0)*(IF(P30+Q30=1,0.5,1)))))</f>
        <v/>
      </c>
      <c r="U30" s="145" t="str">
        <f aca="false">IF(SUM(S30:T30)&gt;0,K30,"")</f>
        <v/>
      </c>
      <c r="V30" s="145" t="str">
        <f aca="false">IF(SUM(S30:T30)&gt;0,L30,"")</f>
        <v/>
      </c>
      <c r="W30" s="145" t="n">
        <f aca="false">IF(S30=0,P30+Q30,0)</f>
        <v>0</v>
      </c>
    </row>
    <row r="31" customFormat="false" ht="17" hidden="false" customHeight="true" outlineLevel="0" collapsed="false">
      <c r="A31" s="200" t="s">
        <v>28</v>
      </c>
      <c r="B31" s="297" t="str">
        <f aca="false">IF(B30=Para1!$F$153,Para1!$F$109,IF(B30=Para1!$F$109,Para1!$F$148,IF(B30=Para1!$F$148,Para1!$F$111,IF(B30=Para1!$F$111,Para1!$F$120,IF(B30=Para1!$F$120,Para1!$F$170,IF(B30=Para1!$F$170,Para1!$F$173,Para1!$F$153))))))</f>
        <v>Wed</v>
      </c>
      <c r="C31" s="186"/>
      <c r="D31" s="203"/>
      <c r="E31" s="316"/>
      <c r="F31" s="205"/>
      <c r="G31" s="204"/>
      <c r="H31" s="204"/>
      <c r="I31" s="206"/>
      <c r="J31" s="317"/>
      <c r="K31" s="208"/>
      <c r="L31" s="209"/>
      <c r="M31" s="210"/>
      <c r="N31" s="195"/>
      <c r="O31" s="145"/>
      <c r="P31" s="259" t="n">
        <f aca="false">P24</f>
        <v>1</v>
      </c>
      <c r="Q31" s="259" t="n">
        <f aca="false">Q24</f>
        <v>1</v>
      </c>
      <c r="R31" s="145" t="e">
        <f aca="false">IF(VLOOKUP(A31,Para1!$B$67:$E$72,2,0)="6.",VLOOKUP(A31,Para1!$B$67:$E$72,3,0),"")</f>
        <v>#N/A</v>
      </c>
      <c r="S31" s="145" t="str">
        <f aca="false">IF((P31+Q31)=0,"",IF(ISNA(R31),"",IF(R31="","",VLOOKUP(R31,Para1!$D$67:$G$79,3,0)*(IF(P31+Q31=1,0.5,1)))))</f>
        <v/>
      </c>
      <c r="T31" s="145" t="str">
        <f aca="false">IF(P31+Q31=0,"",IF(ISNA(R32),"",IF(R32="","",VLOOKUP(R32,Para1!$D$67:$G$79,4,0)*(IF(P31+Q31=1,0.5,1)))))</f>
        <v/>
      </c>
      <c r="U31" s="145" t="str">
        <f aca="false">IF(SUM(S31:T31)&gt;0,K31,"")</f>
        <v/>
      </c>
      <c r="V31" s="145" t="str">
        <f aca="false">IF(SUM(S31:T31)&gt;0,L31,"")</f>
        <v/>
      </c>
      <c r="W31" s="145" t="n">
        <f aca="false">IF(S31=0,P31+Q31,0)</f>
        <v>0</v>
      </c>
    </row>
    <row r="32" customFormat="false" ht="17" hidden="false" customHeight="true" outlineLevel="0" collapsed="false">
      <c r="A32" s="200" t="s">
        <v>29</v>
      </c>
      <c r="B32" s="297" t="str">
        <f aca="false">IF(B31=Para1!$F$153,Para1!$F$109,IF(B31=Para1!$F$109,Para1!$F$148,IF(B31=Para1!$F$148,Para1!$F$111,IF(B31=Para1!$F$111,Para1!$F$120,IF(B31=Para1!$F$120,Para1!$F$170,IF(B31=Para1!$F$170,Para1!$F$173,Para1!$F$153))))))</f>
        <v>Thu</v>
      </c>
      <c r="C32" s="186"/>
      <c r="D32" s="203"/>
      <c r="E32" s="316"/>
      <c r="F32" s="205"/>
      <c r="G32" s="204"/>
      <c r="H32" s="204"/>
      <c r="I32" s="206"/>
      <c r="J32" s="317"/>
      <c r="K32" s="208"/>
      <c r="L32" s="209"/>
      <c r="M32" s="210"/>
      <c r="N32" s="195"/>
      <c r="O32" s="145"/>
      <c r="P32" s="259" t="n">
        <f aca="false">P25</f>
        <v>1</v>
      </c>
      <c r="Q32" s="259" t="n">
        <f aca="false">Q25</f>
        <v>1</v>
      </c>
      <c r="R32" s="145" t="e">
        <f aca="false">IF(VLOOKUP(A32,Para1!$B$67:$E$72,2,0)="6.",VLOOKUP(A32,Para1!$B$67:$E$72,3,0),"")</f>
        <v>#N/A</v>
      </c>
      <c r="S32" s="145" t="str">
        <f aca="false">IF((P32+Q32)=0,"",IF(ISNA(R32),"",IF(R32="","",VLOOKUP(R32,Para1!$D$67:$G$79,3,0)*(IF(P32+Q32=1,0.5,1)))))</f>
        <v/>
      </c>
      <c r="T32" s="145" t="str">
        <f aca="false">IF(P32+Q32=0,"",IF(ISNA(R33),"",IF(R33="","",VLOOKUP(R33,Para1!$D$67:$G$79,4,0)*(IF(P32+Q32=1,0.5,1)))))</f>
        <v/>
      </c>
      <c r="U32" s="145" t="str">
        <f aca="false">IF(SUM(S32:T32)&gt;0,K32,"")</f>
        <v/>
      </c>
      <c r="V32" s="145" t="str">
        <f aca="false">IF(SUM(S32:T32)&gt;0,L32,"")</f>
        <v/>
      </c>
      <c r="W32" s="145" t="n">
        <f aca="false">IF(S32=0,P32+Q32,0)</f>
        <v>0</v>
      </c>
    </row>
    <row r="33" customFormat="false" ht="17" hidden="false" customHeight="true" outlineLevel="0" collapsed="false">
      <c r="A33" s="200" t="s">
        <v>30</v>
      </c>
      <c r="B33" s="297" t="str">
        <f aca="false">IF(B32=Para1!$F$153,Para1!$F$109,IF(B32=Para1!$F$109,Para1!$F$148,IF(B32=Para1!$F$148,Para1!$F$111,IF(B32=Para1!$F$111,Para1!$F$120,IF(B32=Para1!$F$120,Para1!$F$170,IF(B32=Para1!$F$170,Para1!$F$173,Para1!$F$153))))))</f>
        <v>Fri</v>
      </c>
      <c r="C33" s="202"/>
      <c r="D33" s="203"/>
      <c r="E33" s="316"/>
      <c r="F33" s="205"/>
      <c r="G33" s="204"/>
      <c r="H33" s="204"/>
      <c r="I33" s="206"/>
      <c r="J33" s="317"/>
      <c r="K33" s="208"/>
      <c r="L33" s="209"/>
      <c r="M33" s="210"/>
      <c r="N33" s="195"/>
      <c r="O33" s="145"/>
      <c r="P33" s="259" t="n">
        <f aca="false">P26</f>
        <v>1</v>
      </c>
      <c r="Q33" s="259" t="n">
        <f aca="false">Q26</f>
        <v>1</v>
      </c>
      <c r="R33" s="145" t="e">
        <f aca="false">IF(VLOOKUP(A33,Para1!$B$67:$E$72,2,0)="6.",VLOOKUP(A33,Para1!$B$67:$E$72,3,0),"")</f>
        <v>#N/A</v>
      </c>
      <c r="S33" s="145" t="str">
        <f aca="false">IF((P33+Q33)=0,"",IF(ISNA(R33),"",IF(R33="","",VLOOKUP(R33,Para1!$D$67:$G$79,3,0)*(IF(P33+Q33=1,0.5,1)))))</f>
        <v/>
      </c>
      <c r="T33" s="145" t="str">
        <f aca="false">IF(P33+Q33=0,"",IF(ISNA(R34),"",IF(R34="","",VLOOKUP(R34,Para1!$D$67:$G$79,4,0)*(IF(P33+Q33=1,0.5,1)))))</f>
        <v/>
      </c>
      <c r="U33" s="145" t="str">
        <f aca="false">IF(SUM(S33:T33)&gt;0,K33,"")</f>
        <v/>
      </c>
      <c r="V33" s="145" t="str">
        <f aca="false">IF(SUM(S33:T33)&gt;0,L33,"")</f>
        <v/>
      </c>
      <c r="W33" s="145" t="n">
        <f aca="false">IF(S33=0,P33+Q33,0)</f>
        <v>0</v>
      </c>
    </row>
    <row r="34" s="258" customFormat="true" ht="17" hidden="false" customHeight="true" outlineLevel="0" collapsed="false">
      <c r="A34" s="216" t="s">
        <v>31</v>
      </c>
      <c r="B34" s="297" t="str">
        <f aca="false">IF(B33=Para1!$F$153,Para1!$F$109,IF(B33=Para1!$F$109,Para1!$F$148,IF(B33=Para1!$F$148,Para1!$F$111,IF(B33=Para1!$F$111,Para1!$F$120,IF(B33=Para1!$F$120,Para1!$F$170,IF(B33=Para1!$F$170,Para1!$F$173,Para1!$F$153))))))</f>
        <v>Sat</v>
      </c>
      <c r="C34" s="202"/>
      <c r="D34" s="203"/>
      <c r="E34" s="316"/>
      <c r="F34" s="205"/>
      <c r="G34" s="204"/>
      <c r="H34" s="204"/>
      <c r="I34" s="206"/>
      <c r="J34" s="317"/>
      <c r="K34" s="208"/>
      <c r="L34" s="209"/>
      <c r="M34" s="210"/>
      <c r="N34" s="195"/>
      <c r="O34" s="145"/>
      <c r="P34" s="259" t="n">
        <f aca="false">P27</f>
        <v>0</v>
      </c>
      <c r="Q34" s="259" t="n">
        <f aca="false">Q27</f>
        <v>0</v>
      </c>
      <c r="R34" s="145" t="e">
        <f aca="false">IF(VLOOKUP(A34,Para1!$B$67:$E$72,2,0)="6.",VLOOKUP(A34,Para1!$B$67:$E$72,3,0),"")</f>
        <v>#N/A</v>
      </c>
      <c r="S34" s="145" t="str">
        <f aca="false">IF((P34+Q34)=0,"",IF(ISNA(R34),"",IF(R34="","",VLOOKUP(R34,Para1!$D$67:$G$79,3,0)*(IF(P34+Q34=1,0.5,1)))))</f>
        <v/>
      </c>
      <c r="T34" s="145" t="str">
        <f aca="false">IF(P34+Q34=0,"",IF(ISNA(R35),"",IF(R35="","",VLOOKUP(R35,Para1!$D$67:$G$79,4,0)*(IF(P34+Q34=1,0.5,1)))))</f>
        <v/>
      </c>
      <c r="U34" s="145" t="str">
        <f aca="false">IF(SUM(S34:T34)&gt;0,K34,"")</f>
        <v/>
      </c>
      <c r="V34" s="145" t="str">
        <f aca="false">IF(SUM(S34:T34)&gt;0,L34,"")</f>
        <v/>
      </c>
      <c r="W34" s="145" t="n">
        <f aca="false">IF(S34=0,P34+Q34,0)</f>
        <v>0</v>
      </c>
    </row>
    <row r="35" s="258" customFormat="true" ht="17" hidden="false" customHeight="true" outlineLevel="0" collapsed="false">
      <c r="A35" s="216" t="s">
        <v>32</v>
      </c>
      <c r="B35" s="297" t="str">
        <f aca="false">IF(B34=Para1!$F$153,Para1!$F$109,IF(B34=Para1!$F$109,Para1!$F$148,IF(B34=Para1!$F$148,Para1!$F$111,IF(B34=Para1!$F$111,Para1!$F$120,IF(B34=Para1!$F$120,Para1!$F$170,IF(B34=Para1!$F$170,Para1!$F$173,Para1!$F$153))))))</f>
        <v>Sun</v>
      </c>
      <c r="C35" s="202"/>
      <c r="D35" s="203"/>
      <c r="E35" s="316"/>
      <c r="F35" s="205"/>
      <c r="G35" s="204"/>
      <c r="H35" s="204"/>
      <c r="I35" s="206"/>
      <c r="J35" s="317"/>
      <c r="K35" s="208"/>
      <c r="L35" s="209"/>
      <c r="M35" s="210"/>
      <c r="N35" s="195"/>
      <c r="O35" s="145"/>
      <c r="P35" s="259" t="n">
        <f aca="false">P28</f>
        <v>0</v>
      </c>
      <c r="Q35" s="259" t="n">
        <f aca="false">Q28</f>
        <v>0</v>
      </c>
      <c r="R35" s="145" t="str">
        <f aca="false">IF(VLOOKUP(A35,Para1!$B$67:$E$72,2,0)="6.",VLOOKUP(A35,Para1!$B$67:$E$72,3,0),"")</f>
        <v/>
      </c>
      <c r="S35" s="145" t="str">
        <f aca="false">IF((P35+Q35)=0,"",IF(ISNA(R35),"",IF(R35="","",VLOOKUP(R35,Para1!$D$67:$G$79,3,0)*(IF(P35+Q35=1,0.5,1)))))</f>
        <v/>
      </c>
      <c r="T35" s="145" t="str">
        <f aca="false">IF(P35+Q35=0,"",IF(ISNA(R36),"",IF(R36="","",VLOOKUP(R36,Para1!$D$67:$G$79,4,0)*(IF(P35+Q35=1,0.5,1)))))</f>
        <v/>
      </c>
      <c r="U35" s="145" t="str">
        <f aca="false">IF(SUM(S35:T35)&gt;0,K35,"")</f>
        <v/>
      </c>
      <c r="V35" s="145" t="str">
        <f aca="false">IF(SUM(S35:T35)&gt;0,L35,"")</f>
        <v/>
      </c>
      <c r="W35" s="145" t="n">
        <f aca="false">IF(S35=0,P35+Q35,0)</f>
        <v>0</v>
      </c>
    </row>
    <row r="36" customFormat="false" ht="17" hidden="false" customHeight="true" outlineLevel="0" collapsed="false">
      <c r="A36" s="216" t="s">
        <v>33</v>
      </c>
      <c r="B36" s="297" t="str">
        <f aca="false">IF(B35=Para1!$F$153,Para1!$F$109,IF(B35=Para1!$F$109,Para1!$F$148,IF(B35=Para1!$F$148,Para1!$F$111,IF(B35=Para1!$F$111,Para1!$F$120,IF(B35=Para1!$F$120,Para1!$F$170,IF(B35=Para1!$F$170,Para1!$F$173,Para1!$F$153))))))</f>
        <v>Mon</v>
      </c>
      <c r="C36" s="202"/>
      <c r="D36" s="203"/>
      <c r="E36" s="316"/>
      <c r="F36" s="205"/>
      <c r="G36" s="204"/>
      <c r="H36" s="204"/>
      <c r="I36" s="206"/>
      <c r="J36" s="317"/>
      <c r="K36" s="208"/>
      <c r="L36" s="209"/>
      <c r="M36" s="210"/>
      <c r="N36" s="195"/>
      <c r="O36" s="145"/>
      <c r="P36" s="259" t="n">
        <f aca="false">P29</f>
        <v>1</v>
      </c>
      <c r="Q36" s="259" t="n">
        <f aca="false">Q29</f>
        <v>1</v>
      </c>
      <c r="R36" s="145" t="e">
        <f aca="false">IF(VLOOKUP(A36,Para1!$B$67:$E$72,2,0)="6.",VLOOKUP(A36,Para1!$B$67:$E$72,3,0),"")</f>
        <v>#N/A</v>
      </c>
      <c r="S36" s="145" t="str">
        <f aca="false">IF((P36+Q36)=0,"",IF(ISNA(R36),"",IF(R36="","",VLOOKUP(R36,Para1!$D$67:$G$79,3,0)*(IF(P36+Q36=1,0.5,1)))))</f>
        <v/>
      </c>
      <c r="T36" s="145" t="str">
        <f aca="false">IF(P36+Q36=0,"",IF(ISNA(R37),"",IF(R37="","",VLOOKUP(R37,Para1!$D$67:$G$79,4,0)*(IF(P36+Q36=1,0.5,1)))))</f>
        <v/>
      </c>
      <c r="U36" s="145" t="str">
        <f aca="false">IF(SUM(S36:T36)&gt;0,K36,"")</f>
        <v/>
      </c>
      <c r="V36" s="145" t="str">
        <f aca="false">IF(SUM(S36:T36)&gt;0,L36,"")</f>
        <v/>
      </c>
      <c r="W36" s="145" t="n">
        <f aca="false">IF(S36=0,P36+Q36,0)</f>
        <v>0</v>
      </c>
    </row>
    <row r="37" customFormat="false" ht="17" hidden="false" customHeight="true" outlineLevel="0" collapsed="false">
      <c r="A37" s="200" t="s">
        <v>34</v>
      </c>
      <c r="B37" s="297" t="str">
        <f aca="false">IF(B36=Para1!$F$153,Para1!$F$109,IF(B36=Para1!$F$109,Para1!$F$148,IF(B36=Para1!$F$148,Para1!$F$111,IF(B36=Para1!$F$111,Para1!$F$120,IF(B36=Para1!$F$120,Para1!$F$170,IF(B36=Para1!$F$170,Para1!$F$173,Para1!$F$153))))))</f>
        <v>Tue</v>
      </c>
      <c r="C37" s="202"/>
      <c r="D37" s="203"/>
      <c r="E37" s="316"/>
      <c r="F37" s="205"/>
      <c r="G37" s="204"/>
      <c r="H37" s="204"/>
      <c r="I37" s="206"/>
      <c r="J37" s="317"/>
      <c r="K37" s="208"/>
      <c r="L37" s="209"/>
      <c r="M37" s="210"/>
      <c r="N37" s="195"/>
      <c r="O37" s="145"/>
      <c r="P37" s="259" t="n">
        <f aca="false">P30</f>
        <v>1</v>
      </c>
      <c r="Q37" s="259" t="n">
        <f aca="false">Q30</f>
        <v>1</v>
      </c>
      <c r="R37" s="145" t="e">
        <f aca="false">IF(VLOOKUP(A37,Para1!$B$67:$E$72,2,0)="6.",VLOOKUP(A37,Para1!$B$67:$E$72,3,0),"")</f>
        <v>#N/A</v>
      </c>
      <c r="S37" s="145" t="str">
        <f aca="false">IF((P37+Q37)=0,"",IF(ISNA(R37),"",IF(R37="","",VLOOKUP(R37,Para1!$D$67:$G$79,3,0)*(IF(P37+Q37=1,0.5,1)))))</f>
        <v/>
      </c>
      <c r="T37" s="145" t="str">
        <f aca="false">IF(P37+Q37=0,"",IF(ISNA(R38),"",IF(R38="","",VLOOKUP(R38,Para1!$D$67:$G$79,4,0)*(IF(P37+Q37=1,0.5,1)))))</f>
        <v/>
      </c>
      <c r="U37" s="145" t="str">
        <f aca="false">IF(SUM(S37:T37)&gt;0,K37,"")</f>
        <v/>
      </c>
      <c r="V37" s="145" t="str">
        <f aca="false">IF(SUM(S37:T37)&gt;0,L37,"")</f>
        <v/>
      </c>
      <c r="W37" s="145" t="n">
        <f aca="false">IF(S37=0,P37+Q37,0)</f>
        <v>0</v>
      </c>
    </row>
    <row r="38" customFormat="false" ht="17" hidden="false" customHeight="true" outlineLevel="0" collapsed="false">
      <c r="A38" s="200" t="s">
        <v>35</v>
      </c>
      <c r="B38" s="297" t="str">
        <f aca="false">IF(B37=Para1!$F$153,Para1!$F$109,IF(B37=Para1!$F$109,Para1!$F$148,IF(B37=Para1!$F$148,Para1!$F$111,IF(B37=Para1!$F$111,Para1!$F$120,IF(B37=Para1!$F$120,Para1!$F$170,IF(B37=Para1!$F$170,Para1!$F$173,Para1!$F$153))))))</f>
        <v>Wed</v>
      </c>
      <c r="C38" s="186"/>
      <c r="D38" s="203"/>
      <c r="E38" s="316"/>
      <c r="F38" s="205"/>
      <c r="G38" s="204"/>
      <c r="H38" s="204"/>
      <c r="I38" s="206"/>
      <c r="J38" s="317"/>
      <c r="K38" s="208"/>
      <c r="L38" s="209"/>
      <c r="M38" s="210"/>
      <c r="N38" s="195"/>
      <c r="O38" s="145"/>
      <c r="P38" s="259" t="n">
        <f aca="false">P31</f>
        <v>1</v>
      </c>
      <c r="Q38" s="259" t="n">
        <f aca="false">Q31</f>
        <v>1</v>
      </c>
      <c r="R38" s="145" t="e">
        <f aca="false">IF(VLOOKUP(A38,Para1!$B$67:$E$72,2,0)="6.",VLOOKUP(A38,Para1!$B$67:$E$72,3,0),"")</f>
        <v>#N/A</v>
      </c>
      <c r="S38" s="145" t="str">
        <f aca="false">IF((P38+Q38)=0,"",IF(ISNA(R38),"",IF(R38="","",VLOOKUP(R38,Para1!$D$67:$G$79,3,0)*(IF(P38+Q38=1,0.5,1)))))</f>
        <v/>
      </c>
      <c r="T38" s="145" t="str">
        <f aca="false">IF(P38+Q38=0,"",IF(ISNA(R39),"",IF(R39="","",VLOOKUP(R39,Para1!$D$67:$G$79,4,0)*(IF(P38+Q38=1,0.5,1)))))</f>
        <v/>
      </c>
      <c r="U38" s="145" t="str">
        <f aca="false">IF(SUM(S38:T38)&gt;0,K38,"")</f>
        <v/>
      </c>
      <c r="V38" s="145" t="str">
        <f aca="false">IF(SUM(S38:T38)&gt;0,L38,"")</f>
        <v/>
      </c>
      <c r="W38" s="145" t="n">
        <f aca="false">IF(S38=0,P38+Q38,0)</f>
        <v>0</v>
      </c>
    </row>
    <row r="39" customFormat="false" ht="17" hidden="false" customHeight="true" outlineLevel="0" collapsed="false">
      <c r="A39" s="200" t="s">
        <v>36</v>
      </c>
      <c r="B39" s="297" t="str">
        <f aca="false">IF(B38=Para1!$F$153,Para1!$F$109,IF(B38=Para1!$F$109,Para1!$F$148,IF(B38=Para1!$F$148,Para1!$F$111,IF(B38=Para1!$F$111,Para1!$F$120,IF(B38=Para1!$F$120,Para1!$F$170,IF(B38=Para1!$F$170,Para1!$F$173,Para1!$F$153))))))</f>
        <v>Thu</v>
      </c>
      <c r="C39" s="186"/>
      <c r="D39" s="203"/>
      <c r="E39" s="316"/>
      <c r="F39" s="205"/>
      <c r="G39" s="204"/>
      <c r="H39" s="204"/>
      <c r="I39" s="206"/>
      <c r="J39" s="317"/>
      <c r="K39" s="208"/>
      <c r="L39" s="209"/>
      <c r="M39" s="210"/>
      <c r="N39" s="195"/>
      <c r="O39" s="145"/>
      <c r="P39" s="259" t="n">
        <f aca="false">P32</f>
        <v>1</v>
      </c>
      <c r="Q39" s="259" t="n">
        <f aca="false">Q32</f>
        <v>1</v>
      </c>
      <c r="R39" s="145" t="e">
        <f aca="false">IF(VLOOKUP(A39,Para1!$B$67:$E$72,2,0)="6.",VLOOKUP(A39,Para1!$B$67:$E$72,3,0),"")</f>
        <v>#N/A</v>
      </c>
      <c r="S39" s="145" t="str">
        <f aca="false">IF((P39+Q39)=0,"",IF(ISNA(R39),"",IF(R39="","",VLOOKUP(R39,Para1!$D$67:$G$79,3,0)*(IF(P39+Q39=1,0.5,1)))))</f>
        <v/>
      </c>
      <c r="T39" s="145" t="str">
        <f aca="false">IF(P39+Q39=0,"",IF(ISNA(R40),"",IF(R40="","",VLOOKUP(R40,Para1!$D$67:$G$79,4,0)*(IF(P39+Q39=1,0.5,1)))))</f>
        <v/>
      </c>
      <c r="U39" s="145" t="str">
        <f aca="false">IF(SUM(S39:T39)&gt;0,K39,"")</f>
        <v/>
      </c>
      <c r="V39" s="145" t="str">
        <f aca="false">IF(SUM(S39:T39)&gt;0,L39,"")</f>
        <v/>
      </c>
      <c r="W39" s="145" t="n">
        <f aca="false">IF(S39=0,P39+Q39,0)</f>
        <v>0</v>
      </c>
    </row>
    <row r="40" customFormat="false" ht="17" hidden="false" customHeight="true" outlineLevel="0" collapsed="false">
      <c r="A40" s="200" t="s">
        <v>37</v>
      </c>
      <c r="B40" s="297" t="str">
        <f aca="false">IF(B39=Para1!$F$153,Para1!$F$109,IF(B39=Para1!$F$109,Para1!$F$148,IF(B39=Para1!$F$148,Para1!$F$111,IF(B39=Para1!$F$111,Para1!$F$120,IF(B39=Para1!$F$120,Para1!$F$170,IF(B39=Para1!$F$170,Para1!$F$173,Para1!$F$153))))))</f>
        <v>Fri</v>
      </c>
      <c r="C40" s="202"/>
      <c r="D40" s="203"/>
      <c r="E40" s="316"/>
      <c r="F40" s="205"/>
      <c r="G40" s="204"/>
      <c r="H40" s="204"/>
      <c r="I40" s="206"/>
      <c r="J40" s="317"/>
      <c r="K40" s="208"/>
      <c r="L40" s="209"/>
      <c r="M40" s="210"/>
      <c r="N40" s="195"/>
      <c r="O40" s="145"/>
      <c r="P40" s="259" t="n">
        <f aca="false">P33</f>
        <v>1</v>
      </c>
      <c r="Q40" s="259" t="n">
        <f aca="false">Q33</f>
        <v>1</v>
      </c>
      <c r="R40" s="145" t="e">
        <f aca="false">IF(VLOOKUP(A40,Para1!$B$67:$E$72,2,0)="6.",VLOOKUP(A40,Para1!$B$67:$E$72,3,0),"")</f>
        <v>#N/A</v>
      </c>
      <c r="S40" s="145" t="str">
        <f aca="false">IF((P40+Q40)=0,"",IF(ISNA(R40),"",IF(R40="","",VLOOKUP(R40,Para1!$D$67:$G$79,3,0)*(IF(P40+Q40=1,0.5,1)))))</f>
        <v/>
      </c>
      <c r="T40" s="145" t="str">
        <f aca="false">IF(P40+Q40=0,"",IF(ISNA(R41),"",IF(R41="","",VLOOKUP(R41,Para1!$D$67:$G$79,4,0)*(IF(P40+Q40=1,0.5,1)))))</f>
        <v/>
      </c>
      <c r="U40" s="145" t="str">
        <f aca="false">IF(SUM(S40:T40)&gt;0,K40,"")</f>
        <v/>
      </c>
      <c r="V40" s="145" t="str">
        <f aca="false">IF(SUM(S40:T40)&gt;0,L40,"")</f>
        <v/>
      </c>
      <c r="W40" s="145" t="n">
        <f aca="false">IF(S40=0,P40+Q40,0)</f>
        <v>0</v>
      </c>
    </row>
    <row r="41" s="258" customFormat="true" ht="17" hidden="false" customHeight="true" outlineLevel="0" collapsed="false">
      <c r="A41" s="216" t="s">
        <v>38</v>
      </c>
      <c r="B41" s="297" t="str">
        <f aca="false">IF(B40=Para1!$F$153,Para1!$F$109,IF(B40=Para1!$F$109,Para1!$F$148,IF(B40=Para1!$F$148,Para1!$F$111,IF(B40=Para1!$F$111,Para1!$F$120,IF(B40=Para1!$F$120,Para1!$F$170,IF(B40=Para1!$F$170,Para1!$F$173,Para1!$F$153))))))</f>
        <v>Sat</v>
      </c>
      <c r="C41" s="202"/>
      <c r="D41" s="203"/>
      <c r="E41" s="316"/>
      <c r="F41" s="205"/>
      <c r="G41" s="204"/>
      <c r="H41" s="204"/>
      <c r="I41" s="206"/>
      <c r="J41" s="317"/>
      <c r="K41" s="208"/>
      <c r="L41" s="209"/>
      <c r="M41" s="210"/>
      <c r="N41" s="195"/>
      <c r="O41" s="145"/>
      <c r="P41" s="259" t="n">
        <f aca="false">P34</f>
        <v>0</v>
      </c>
      <c r="Q41" s="259" t="n">
        <f aca="false">Q34</f>
        <v>0</v>
      </c>
      <c r="R41" s="145" t="e">
        <f aca="false">IF(VLOOKUP(A41,Para1!$B$67:$E$72,2,0)="6.",VLOOKUP(A41,Para1!$B$67:$E$72,3,0),"")</f>
        <v>#N/A</v>
      </c>
      <c r="S41" s="145" t="str">
        <f aca="false">IF((P41+Q41)=0,"",IF(ISNA(R41),"",IF(R41="","",VLOOKUP(R41,Para1!$D$67:$G$79,3,0)*(IF(P41+Q41=1,0.5,1)))))</f>
        <v/>
      </c>
      <c r="T41" s="145" t="str">
        <f aca="false">IF(P41+Q41=0,"",IF(ISNA(R42),"",IF(R42="","",VLOOKUP(R42,Para1!$D$67:$G$79,4,0)*(IF(P41+Q41=1,0.5,1)))))</f>
        <v/>
      </c>
      <c r="U41" s="145" t="str">
        <f aca="false">IF(SUM(S41:T41)&gt;0,K41,"")</f>
        <v/>
      </c>
      <c r="V41" s="145" t="str">
        <f aca="false">IF(SUM(S41:T41)&gt;0,L41,"")</f>
        <v/>
      </c>
      <c r="W41" s="145" t="n">
        <f aca="false">IF(S41=0,P41+Q41,0)</f>
        <v>0</v>
      </c>
    </row>
    <row r="42" s="258" customFormat="true" ht="17" hidden="false" customHeight="true" outlineLevel="0" collapsed="false">
      <c r="A42" s="216" t="s">
        <v>39</v>
      </c>
      <c r="B42" s="297" t="str">
        <f aca="false">IF(B41=Para1!$F$153,Para1!$F$109,IF(B41=Para1!$F$109,Para1!$F$148,IF(B41=Para1!$F$148,Para1!$F$111,IF(B41=Para1!$F$111,Para1!$F$120,IF(B41=Para1!$F$120,Para1!$F$170,IF(B41=Para1!$F$170,Para1!$F$173,Para1!$F$153))))))</f>
        <v>Sun</v>
      </c>
      <c r="C42" s="202"/>
      <c r="D42" s="203"/>
      <c r="E42" s="316"/>
      <c r="F42" s="205"/>
      <c r="G42" s="204"/>
      <c r="H42" s="204"/>
      <c r="I42" s="206"/>
      <c r="J42" s="317"/>
      <c r="K42" s="208"/>
      <c r="L42" s="209"/>
      <c r="M42" s="210"/>
      <c r="N42" s="195"/>
      <c r="O42" s="145"/>
      <c r="P42" s="259" t="n">
        <f aca="false">P35</f>
        <v>0</v>
      </c>
      <c r="Q42" s="259" t="n">
        <f aca="false">Q35</f>
        <v>0</v>
      </c>
      <c r="R42" s="145" t="e">
        <f aca="false">IF(VLOOKUP(A42,Para1!$B$67:$E$72,2,0)="6.",VLOOKUP(A42,Para1!$B$67:$E$72,3,0),"")</f>
        <v>#N/A</v>
      </c>
      <c r="S42" s="145" t="str">
        <f aca="false">IF((P42+Q42)=0,"",IF(ISNA(R42),"",IF(R42="","",VLOOKUP(R42,Para1!$D$67:$G$79,3,0)*(IF(P42+Q42=1,0.5,1)))))</f>
        <v/>
      </c>
      <c r="T42" s="145" t="str">
        <f aca="false">IF(P42+Q42=0,"",IF(ISNA(R43),"",IF(R43="","",VLOOKUP(R43,Para1!$D$67:$G$79,4,0)*(IF(P42+Q42=1,0.5,1)))))</f>
        <v/>
      </c>
      <c r="U42" s="145" t="str">
        <f aca="false">IF(SUM(S42:T42)&gt;0,K42,"")</f>
        <v/>
      </c>
      <c r="V42" s="145" t="str">
        <f aca="false">IF(SUM(S42:T42)&gt;0,L42,"")</f>
        <v/>
      </c>
      <c r="W42" s="145" t="n">
        <f aca="false">IF(S42=0,P42+Q42,0)</f>
        <v>0</v>
      </c>
    </row>
    <row r="43" customFormat="false" ht="17" hidden="false" customHeight="true" outlineLevel="0" collapsed="false">
      <c r="A43" s="216" t="s">
        <v>40</v>
      </c>
      <c r="B43" s="297" t="str">
        <f aca="false">IF(B42=Para1!$F$153,Para1!$F$109,IF(B42=Para1!$F$109,Para1!$F$148,IF(B42=Para1!$F$148,Para1!$F$111,IF(B42=Para1!$F$111,Para1!$F$120,IF(B42=Para1!$F$120,Para1!$F$170,IF(B42=Para1!$F$170,Para1!$F$173,Para1!$F$153))))))</f>
        <v>Mon</v>
      </c>
      <c r="C43" s="202"/>
      <c r="D43" s="203"/>
      <c r="E43" s="316"/>
      <c r="F43" s="205"/>
      <c r="G43" s="204"/>
      <c r="H43" s="204"/>
      <c r="I43" s="206"/>
      <c r="J43" s="317"/>
      <c r="K43" s="208"/>
      <c r="L43" s="209"/>
      <c r="M43" s="210"/>
      <c r="N43" s="195"/>
      <c r="O43" s="145"/>
      <c r="P43" s="259" t="n">
        <f aca="false">P36</f>
        <v>1</v>
      </c>
      <c r="Q43" s="259" t="n">
        <f aca="false">Q36</f>
        <v>1</v>
      </c>
      <c r="R43" s="145" t="e">
        <f aca="false">IF(VLOOKUP(A43,Para1!$B$67:$E$72,2,0)="6.",VLOOKUP(A43,Para1!$B$67:$E$72,3,0),"")</f>
        <v>#N/A</v>
      </c>
      <c r="S43" s="145" t="str">
        <f aca="false">IF((P43+Q43)=0,"",IF(ISNA(R43),"",IF(R43="","",VLOOKUP(R43,Para1!$D$67:$G$79,3,0)*(IF(P43+Q43=1,0.5,1)))))</f>
        <v/>
      </c>
      <c r="T43" s="145" t="str">
        <f aca="false">IF(P43+Q43=0,"",IF(ISNA(R44),"",IF(R44="","",VLOOKUP(R44,Para1!$D$67:$G$79,4,0)*(IF(P43+Q43=1,0.5,1)))))</f>
        <v/>
      </c>
      <c r="U43" s="145" t="str">
        <f aca="false">IF(SUM(S43:T43)&gt;0,K43,"")</f>
        <v/>
      </c>
      <c r="V43" s="145" t="str">
        <f aca="false">IF(SUM(S43:T43)&gt;0,L43,"")</f>
        <v/>
      </c>
      <c r="W43" s="145" t="n">
        <f aca="false">IF(S43=0,P43+Q43,0)</f>
        <v>0</v>
      </c>
    </row>
    <row r="44" customFormat="false" ht="17" hidden="false" customHeight="true" outlineLevel="0" collapsed="false">
      <c r="A44" s="200" t="s">
        <v>41</v>
      </c>
      <c r="B44" s="297" t="str">
        <f aca="false">IF(B43=Para1!$F$153,Para1!$F$109,IF(B43=Para1!$F$109,Para1!$F$148,IF(B43=Para1!$F$148,Para1!$F$111,IF(B43=Para1!$F$111,Para1!$F$120,IF(B43=Para1!$F$120,Para1!$F$170,IF(B43=Para1!$F$170,Para1!$F$173,Para1!$F$153))))))</f>
        <v>Tue</v>
      </c>
      <c r="C44" s="202"/>
      <c r="D44" s="203"/>
      <c r="E44" s="316"/>
      <c r="F44" s="205"/>
      <c r="G44" s="204"/>
      <c r="H44" s="204"/>
      <c r="I44" s="206"/>
      <c r="J44" s="317"/>
      <c r="K44" s="208"/>
      <c r="L44" s="209"/>
      <c r="M44" s="210"/>
      <c r="N44" s="195"/>
      <c r="O44" s="145"/>
      <c r="P44" s="259" t="n">
        <f aca="false">P37</f>
        <v>1</v>
      </c>
      <c r="Q44" s="259" t="n">
        <f aca="false">Q37</f>
        <v>1</v>
      </c>
      <c r="R44" s="145" t="e">
        <f aca="false">IF(VLOOKUP(A44,Para1!$B$67:$E$72,2,0)="6.",VLOOKUP(A44,Para1!$B$67:$E$72,3,0),"")</f>
        <v>#N/A</v>
      </c>
      <c r="S44" s="145" t="str">
        <f aca="false">IF((P44+Q44)=0,"",IF(ISNA(R44),"",IF(R44="","",VLOOKUP(R44,Para1!$D$67:$G$79,3,0)*(IF(P44+Q44=1,0.5,1)))))</f>
        <v/>
      </c>
      <c r="T44" s="145" t="str">
        <f aca="false">IF(P44+Q44=0,"",IF(ISNA(R45),"",IF(R45="","",VLOOKUP(R45,Para1!$D$67:$G$79,4,0)*(IF(P44+Q44=1,0.5,1)))))</f>
        <v/>
      </c>
      <c r="U44" s="145" t="str">
        <f aca="false">IF(SUM(S44:T44)&gt;0,K44,"")</f>
        <v/>
      </c>
      <c r="V44" s="145" t="str">
        <f aca="false">IF(SUM(S44:T44)&gt;0,L44,"")</f>
        <v/>
      </c>
      <c r="W44" s="145" t="n">
        <f aca="false">IF(S44=0,P44+Q44,0)</f>
        <v>0</v>
      </c>
    </row>
    <row r="45" customFormat="false" ht="17" hidden="false" customHeight="true" outlineLevel="0" collapsed="false">
      <c r="A45" s="200" t="s">
        <v>42</v>
      </c>
      <c r="B45" s="297" t="str">
        <f aca="false">IF(B44=Para1!$F$153,Para1!$F$109,IF(B44=Para1!$F$109,Para1!$F$148,IF(B44=Para1!$F$148,Para1!$F$111,IF(B44=Para1!$F$111,Para1!$F$120,IF(B44=Para1!$F$120,Para1!$F$170,IF(B44=Para1!$F$170,Para1!$F$173,Para1!$F$153))))))</f>
        <v>Wed</v>
      </c>
      <c r="C45" s="186"/>
      <c r="D45" s="203"/>
      <c r="E45" s="316"/>
      <c r="F45" s="205"/>
      <c r="G45" s="204"/>
      <c r="H45" s="204"/>
      <c r="I45" s="206"/>
      <c r="J45" s="317"/>
      <c r="K45" s="208"/>
      <c r="L45" s="209"/>
      <c r="M45" s="210"/>
      <c r="N45" s="195"/>
      <c r="O45" s="145"/>
      <c r="P45" s="259" t="n">
        <f aca="false">P38</f>
        <v>1</v>
      </c>
      <c r="Q45" s="259" t="n">
        <f aca="false">Q38</f>
        <v>1</v>
      </c>
      <c r="R45" s="145" t="str">
        <f aca="false">IF(VLOOKUP(A45,Para1!$B$67:$E$72,2,0)="6.",VLOOKUP(A45,Para1!$B$67:$E$72,3,0),"")</f>
        <v/>
      </c>
      <c r="S45" s="145" t="str">
        <f aca="false">IF((P45+Q45)=0,"",IF(ISNA(R45),"",IF(R45="","",VLOOKUP(R45,Para1!$D$67:$G$79,3,0)*(IF(P45+Q45=1,0.5,1)))))</f>
        <v/>
      </c>
      <c r="T45" s="145" t="str">
        <f aca="false">IF(P45+Q45=0,"",IF(ISNA(R46),"",IF(R46="","",VLOOKUP(R46,Para1!$D$67:$G$79,4,0)*(IF(P45+Q45=1,0.5,1)))))</f>
        <v/>
      </c>
      <c r="U45" s="145" t="str">
        <f aca="false">IF(SUM(S45:T45)&gt;0,K45,"")</f>
        <v/>
      </c>
      <c r="V45" s="145" t="str">
        <f aca="false">IF(SUM(S45:T45)&gt;0,L45,"")</f>
        <v/>
      </c>
      <c r="W45" s="145" t="n">
        <f aca="false">IF(S45=0,P45+Q45,0)</f>
        <v>0</v>
      </c>
    </row>
    <row r="46" customFormat="false" ht="17" hidden="false" customHeight="true" outlineLevel="0" collapsed="false">
      <c r="A46" s="200" t="s">
        <v>43</v>
      </c>
      <c r="B46" s="297" t="str">
        <f aca="false">IF(B45=Para1!$F$153,Para1!$F$109,IF(B45=Para1!$F$109,Para1!$F$148,IF(B45=Para1!$F$148,Para1!$F$111,IF(B45=Para1!$F$111,Para1!$F$120,IF(B45=Para1!$F$120,Para1!$F$170,IF(B45=Para1!$F$170,Para1!$F$173,Para1!$F$153))))))</f>
        <v>Thu</v>
      </c>
      <c r="C46" s="186"/>
      <c r="D46" s="203"/>
      <c r="E46" s="316"/>
      <c r="F46" s="205"/>
      <c r="G46" s="204"/>
      <c r="H46" s="204"/>
      <c r="I46" s="206"/>
      <c r="J46" s="317"/>
      <c r="K46" s="208"/>
      <c r="L46" s="209"/>
      <c r="M46" s="210"/>
      <c r="N46" s="195"/>
      <c r="O46" s="145"/>
      <c r="P46" s="259" t="n">
        <f aca="false">P39</f>
        <v>1</v>
      </c>
      <c r="Q46" s="259" t="n">
        <f aca="false">Q39</f>
        <v>1</v>
      </c>
      <c r="R46" s="145" t="str">
        <f aca="false">IF(VLOOKUP(A46,Para1!$B$67:$E$72,2,0)="6.",VLOOKUP(A46,Para1!$B$67:$E$72,3,0),"")</f>
        <v/>
      </c>
      <c r="S46" s="145" t="str">
        <f aca="false">IF((P46+Q46)=0,"",IF(ISNA(R46),"",IF(R46="","",VLOOKUP(R46,Para1!$D$67:$G$79,3,0)*(IF(P46+Q46=1,0.5,1)))))</f>
        <v/>
      </c>
      <c r="T46" s="145" t="str">
        <f aca="false">IF(P46+Q46=0,"",IF(ISNA(R47),"",IF(R47="","",VLOOKUP(R47,Para1!$D$67:$G$79,4,0)*(IF(P46+Q46=1,0.5,1)))))</f>
        <v/>
      </c>
      <c r="U46" s="145" t="str">
        <f aca="false">IF(SUM(S46:T46)&gt;0,K46,"")</f>
        <v/>
      </c>
      <c r="V46" s="145" t="str">
        <f aca="false">IF(SUM(S46:T46)&gt;0,L46,"")</f>
        <v/>
      </c>
      <c r="W46" s="145" t="n">
        <f aca="false">IF(S46=0,P46+Q46,0)</f>
        <v>0</v>
      </c>
    </row>
    <row r="47" customFormat="false" ht="17" hidden="false" customHeight="true" outlineLevel="0" collapsed="false">
      <c r="A47" s="200" t="s">
        <v>44</v>
      </c>
      <c r="B47" s="297" t="str">
        <f aca="false">IF(B46=Para1!$F$153,Para1!$F$109,IF(B46=Para1!$F$109,Para1!$F$148,IF(B46=Para1!$F$148,Para1!$F$111,IF(B46=Para1!$F$111,Para1!$F$120,IF(B46=Para1!$F$120,Para1!$F$170,IF(B46=Para1!$F$170,Para1!$F$173,Para1!$F$153))))))</f>
        <v>Fri</v>
      </c>
      <c r="C47" s="202"/>
      <c r="D47" s="203"/>
      <c r="E47" s="316"/>
      <c r="F47" s="205"/>
      <c r="G47" s="204"/>
      <c r="H47" s="204"/>
      <c r="I47" s="206"/>
      <c r="J47" s="317"/>
      <c r="K47" s="208"/>
      <c r="L47" s="209"/>
      <c r="M47" s="210"/>
      <c r="N47" s="195"/>
      <c r="O47" s="145"/>
      <c r="P47" s="259" t="n">
        <f aca="false">P40</f>
        <v>1</v>
      </c>
      <c r="Q47" s="259" t="n">
        <f aca="false">Q40</f>
        <v>1</v>
      </c>
      <c r="R47" s="145" t="e">
        <f aca="false">IF(VLOOKUP(A47,Para1!$B$67:$E$72,2,0)="6.",VLOOKUP(A47,Para1!$B$67:$E$72,3,0),"")</f>
        <v>#N/A</v>
      </c>
      <c r="S47" s="145" t="str">
        <f aca="false">IF((P47+Q47)=0,"",IF(ISNA(R47),"",IF(R47="","",VLOOKUP(R47,Para1!$D$67:$G$79,3,0)*(IF(P47+Q47=1,0.5,1)))))</f>
        <v/>
      </c>
      <c r="T47" s="145" t="str">
        <f aca="false">IF(P47+Q47=0,"",IF(ISNA(R48),"",IF(R48="","",VLOOKUP(R48,Para1!$D$67:$G$79,4,0)*(IF(P47+Q47=1,0.5,1)))))</f>
        <v/>
      </c>
      <c r="U47" s="145" t="str">
        <f aca="false">IF(SUM(S47:T47)&gt;0,K47,"")</f>
        <v/>
      </c>
      <c r="V47" s="145" t="str">
        <f aca="false">IF(SUM(S47:T47)&gt;0,L47,"")</f>
        <v/>
      </c>
      <c r="W47" s="145" t="n">
        <f aca="false">IF(S47=0,P47+Q47,0)</f>
        <v>0</v>
      </c>
    </row>
    <row r="48" s="258" customFormat="true" ht="16.5" hidden="false" customHeight="true" outlineLevel="0" collapsed="false">
      <c r="A48" s="216" t="s">
        <v>45</v>
      </c>
      <c r="B48" s="297" t="str">
        <f aca="false">IF(B47=Para1!$F$153,Para1!$F$109,IF(B47=Para1!$F$109,Para1!$F$148,IF(B47=Para1!$F$148,Para1!$F$111,IF(B47=Para1!$F$111,Para1!$F$120,IF(B47=Para1!$F$120,Para1!$F$170,IF(B47=Para1!$F$170,Para1!$F$173,Para1!$F$153))))))</f>
        <v>Sat</v>
      </c>
      <c r="C48" s="202"/>
      <c r="D48" s="203"/>
      <c r="E48" s="316"/>
      <c r="F48" s="205"/>
      <c r="G48" s="204"/>
      <c r="H48" s="204"/>
      <c r="I48" s="206"/>
      <c r="J48" s="317"/>
      <c r="K48" s="208"/>
      <c r="L48" s="209"/>
      <c r="M48" s="210"/>
      <c r="N48" s="195"/>
      <c r="O48" s="145"/>
      <c r="P48" s="259" t="n">
        <f aca="false">P41</f>
        <v>0</v>
      </c>
      <c r="Q48" s="259" t="n">
        <f aca="false">Q41</f>
        <v>0</v>
      </c>
      <c r="R48" s="145" t="e">
        <f aca="false">IF(VLOOKUP(A48,Para1!$B$67:$E$72,2,0)="6.",VLOOKUP(A48,Para1!$B$67:$E$72,3,0),"")</f>
        <v>#N/A</v>
      </c>
      <c r="S48" s="145" t="str">
        <f aca="false">IF((P48+Q48)=0,"",IF(ISNA(R48),"",IF(R48="","",VLOOKUP(R48,Para1!$D$67:$G$79,3,0)*(IF(P48+Q48=1,0.5,1)))))</f>
        <v/>
      </c>
      <c r="T48" s="145" t="str">
        <f aca="false">IF(P48+Q48=0,"",IF(ISNA(R49),"",IF(R49="","",VLOOKUP(R49,Para1!$D$67:$G$79,4,0)*(IF(P48+Q48=1,0.5,1)))))</f>
        <v/>
      </c>
      <c r="U48" s="145" t="str">
        <f aca="false">IF(SUM(S48:T48)&gt;0,K48,"")</f>
        <v/>
      </c>
      <c r="V48" s="145" t="str">
        <f aca="false">IF(SUM(S48:T48)&gt;0,L48,"")</f>
        <v/>
      </c>
      <c r="W48" s="145" t="n">
        <f aca="false">IF(S48=0,P48+Q48,0)</f>
        <v>0</v>
      </c>
    </row>
    <row r="49" s="258" customFormat="true" ht="16.5" hidden="false" customHeight="true" outlineLevel="0" collapsed="false">
      <c r="A49" s="216" t="s">
        <v>46</v>
      </c>
      <c r="B49" s="297" t="str">
        <f aca="false">IF(B48=Para1!$F$153,Para1!$F$109,IF(B48=Para1!$F$109,Para1!$F$148,IF(B48=Para1!$F$148,Para1!$F$111,IF(B48=Para1!$F$111,Para1!$F$120,IF(B48=Para1!$F$120,Para1!$F$170,IF(B48=Para1!$F$170,Para1!$F$173,Para1!$F$153))))))</f>
        <v>Sun</v>
      </c>
      <c r="C49" s="202"/>
      <c r="D49" s="203"/>
      <c r="E49" s="316"/>
      <c r="F49" s="205"/>
      <c r="G49" s="204"/>
      <c r="H49" s="204"/>
      <c r="I49" s="206"/>
      <c r="J49" s="317"/>
      <c r="K49" s="208"/>
      <c r="L49" s="209"/>
      <c r="M49" s="210"/>
      <c r="N49" s="195"/>
      <c r="O49" s="145"/>
      <c r="P49" s="259" t="n">
        <f aca="false">P42</f>
        <v>0</v>
      </c>
      <c r="Q49" s="259" t="n">
        <f aca="false">Q42</f>
        <v>0</v>
      </c>
      <c r="R49" s="145" t="e">
        <f aca="false">IF(VLOOKUP(A49,Para1!$B$67:$E$72,2,0)="6.",VLOOKUP(A49,Para1!$B$67:$E$72,3,0),"")</f>
        <v>#N/A</v>
      </c>
      <c r="S49" s="145" t="str">
        <f aca="false">IF((P49+Q49)=0,"",IF(ISNA(R49),"",IF(R49="","",VLOOKUP(R49,Para1!$D$67:$G$79,3,0)*(IF(P49+Q49=1,0.5,1)))))</f>
        <v/>
      </c>
      <c r="T49" s="145" t="str">
        <f aca="false">IF(P49+Q49=0,"",IF(ISNA(R50),"",IF(R50="","",VLOOKUP(R50,Para1!$D$67:$G$79,4,0)*(IF(P49+Q49=1,0.5,1)))))</f>
        <v/>
      </c>
      <c r="U49" s="145" t="str">
        <f aca="false">IF(SUM(S49:T49)&gt;0,K49,"")</f>
        <v/>
      </c>
      <c r="V49" s="145" t="str">
        <f aca="false">IF(SUM(S49:T49)&gt;0,L49,"")</f>
        <v/>
      </c>
      <c r="W49" s="145" t="n">
        <f aca="false">IF(S49=0,P49+Q49,0)</f>
        <v>0</v>
      </c>
    </row>
    <row r="50" customFormat="false" ht="17" hidden="false" customHeight="true" outlineLevel="0" collapsed="false">
      <c r="A50" s="216" t="s">
        <v>47</v>
      </c>
      <c r="B50" s="297" t="str">
        <f aca="false">IF(B49=Para1!$F$153,Para1!$F$109,IF(B49=Para1!$F$109,Para1!$F$148,IF(B49=Para1!$F$148,Para1!$F$111,IF(B49=Para1!$F$111,Para1!$F$120,IF(B49=Para1!$F$120,Para1!$F$170,IF(B49=Para1!$F$170,Para1!$F$173,Para1!$F$153))))))</f>
        <v>Mon</v>
      </c>
      <c r="C50" s="202"/>
      <c r="D50" s="203"/>
      <c r="E50" s="316"/>
      <c r="F50" s="205"/>
      <c r="G50" s="204"/>
      <c r="H50" s="204"/>
      <c r="I50" s="206"/>
      <c r="J50" s="317"/>
      <c r="K50" s="208"/>
      <c r="L50" s="209"/>
      <c r="M50" s="210"/>
      <c r="N50" s="195"/>
      <c r="O50" s="145"/>
      <c r="P50" s="262" t="n">
        <f aca="false">P43</f>
        <v>1</v>
      </c>
      <c r="Q50" s="262" t="n">
        <f aca="false">Q43</f>
        <v>1</v>
      </c>
      <c r="R50" s="145" t="e">
        <f aca="false">IF(VLOOKUP(A50,Para1!$B$67:$E$72,2,0)="6.",VLOOKUP(A50,Para1!$B$67:$E$72,3,0),"")</f>
        <v>#N/A</v>
      </c>
      <c r="S50" s="145" t="str">
        <f aca="false">IF((P50+Q50)=0,"",IF(ISNA(R50),"",IF(R50="","",VLOOKUP(R50,Para1!$D$67:$G$79,3,0)*(IF(P50+Q50=1,0.5,1)))))</f>
        <v/>
      </c>
      <c r="T50" s="145" t="str">
        <f aca="false">IF(P50+Q50=0,"",IF(ISNA(R51),"",IF(R51="","",VLOOKUP(R51,Para1!$D$67:$G$79,4,0)*(IF(P50+Q50=1,0.5,1)))))</f>
        <v/>
      </c>
      <c r="U50" s="145" t="str">
        <f aca="false">IF(SUM(S50:T50)&gt;0,K50,"")</f>
        <v/>
      </c>
      <c r="V50" s="145" t="str">
        <f aca="false">IF(SUM(S50:T50)&gt;0,L50,"")</f>
        <v/>
      </c>
      <c r="W50" s="145" t="n">
        <f aca="false">IF(S50=0,P50+Q50,0)</f>
        <v>0</v>
      </c>
    </row>
    <row r="51" customFormat="false" ht="17" hidden="false" customHeight="true" outlineLevel="0" collapsed="false">
      <c r="A51" s="200" t="s">
        <v>48</v>
      </c>
      <c r="B51" s="297" t="str">
        <f aca="false">IF(B50=Para1!$F$153,Para1!$F$109,IF(B50=Para1!$F$109,Para1!$F$148,IF(B50=Para1!$F$148,Para1!$F$111,IF(B50=Para1!$F$111,Para1!$F$120,IF(B50=Para1!$F$120,Para1!$F$170,IF(B50=Para1!$F$170,Para1!$F$173,Para1!$F$153))))))</f>
        <v>Tue</v>
      </c>
      <c r="C51" s="202"/>
      <c r="D51" s="203"/>
      <c r="E51" s="316"/>
      <c r="F51" s="205"/>
      <c r="G51" s="204"/>
      <c r="H51" s="204"/>
      <c r="I51" s="206"/>
      <c r="J51" s="317"/>
      <c r="K51" s="208"/>
      <c r="L51" s="209"/>
      <c r="M51" s="210"/>
      <c r="N51" s="195"/>
      <c r="O51" s="145"/>
      <c r="P51" s="217" t="n">
        <f aca="false">P44</f>
        <v>1</v>
      </c>
      <c r="Q51" s="259" t="n">
        <f aca="false">Q44</f>
        <v>1</v>
      </c>
      <c r="R51" s="145" t="e">
        <f aca="false">IF(VLOOKUP(A51,Para1!$B$67:$E$72,2,0)="6.",VLOOKUP(A51,Para1!$B$67:$E$72,3,0),"")</f>
        <v>#N/A</v>
      </c>
      <c r="S51" s="145" t="str">
        <f aca="false">IF((P51+Q51)=0,"",IF(ISNA(R51),"",IF(R51="","",VLOOKUP(R51,Para1!$D$67:$G$79,3,0)*(IF(P51+Q51=1,0.5,1)))))</f>
        <v/>
      </c>
      <c r="T51" s="145" t="str">
        <f aca="false">IF(P51+Q51=0,"",IF(ISNA(R52),"",IF(R52="","",VLOOKUP(R52,Para1!$D$67:$G$79,4,0)*(IF(P51+Q51=1,0.5,1)))))</f>
        <v/>
      </c>
      <c r="U51" s="145" t="str">
        <f aca="false">IF(SUM(S51:T51)&gt;0,K51,"")</f>
        <v/>
      </c>
      <c r="V51" s="145" t="str">
        <f aca="false">IF(SUM(S51:T51)&gt;0,L51,"")</f>
        <v/>
      </c>
      <c r="W51" s="145" t="n">
        <f aca="false">IF(S51=0,P51+Q51,0)</f>
        <v>0</v>
      </c>
    </row>
    <row r="52" customFormat="false" ht="17" hidden="false" customHeight="true" outlineLevel="0" collapsed="false">
      <c r="A52" s="200" t="s">
        <v>49</v>
      </c>
      <c r="B52" s="297" t="str">
        <f aca="false">IF(B51=Para1!$F$153,Para1!$F$109,IF(B51=Para1!$F$109,Para1!$F$148,IF(B51=Para1!$F$148,Para1!$F$111,IF(B51=Para1!$F$111,Para1!$F$120,IF(B51=Para1!$F$120,Para1!$F$170,IF(B51=Para1!$F$170,Para1!$F$173,Para1!$F$153))))))</f>
        <v>Wed</v>
      </c>
      <c r="C52" s="186"/>
      <c r="D52" s="203"/>
      <c r="E52" s="316"/>
      <c r="F52" s="205"/>
      <c r="G52" s="204"/>
      <c r="H52" s="204"/>
      <c r="I52" s="206"/>
      <c r="J52" s="317"/>
      <c r="K52" s="208"/>
      <c r="L52" s="209"/>
      <c r="M52" s="210"/>
      <c r="N52" s="195"/>
      <c r="O52" s="145"/>
      <c r="P52" s="318" t="n">
        <f aca="false">P45</f>
        <v>1</v>
      </c>
      <c r="Q52" s="262" t="n">
        <f aca="false">Q45</f>
        <v>1</v>
      </c>
      <c r="R52" s="145" t="e">
        <f aca="false">IF(VLOOKUP(A52,Para1!$B$67:$E$72,2,0)="6.",VLOOKUP(A52,Para1!$B$67:$E$72,3,0),"")</f>
        <v>#N/A</v>
      </c>
      <c r="S52" s="145" t="str">
        <f aca="false">IF((P52+Q52)=0,"",IF(ISNA(R52),"",IF(R52="","",VLOOKUP(R52,Para1!$D$67:$G$79,3,0)*(IF(P52+Q52=1,0.5,1)))))</f>
        <v/>
      </c>
      <c r="T52" s="145" t="str">
        <f aca="false">IF(P52+Q52=0,"",IF(ISNA(Juli!R23),"",IF(Juli!R23="","",VLOOKUP(Juli!R23,Para1!$D$67:$G$79,4,0)*(IF(P52+Q52=1,0.5,1)))))</f>
        <v/>
      </c>
      <c r="U52" s="145" t="str">
        <f aca="false">IF(SUM(S52:T52)&gt;0,K52,"")</f>
        <v/>
      </c>
      <c r="V52" s="145" t="str">
        <f aca="false">IF(SUM(S52:T52)&gt;0,L52,"")</f>
        <v/>
      </c>
      <c r="W52" s="145" t="n">
        <f aca="false">IF(S52=0,P52+Q52,0)</f>
        <v>0</v>
      </c>
    </row>
    <row r="53" customFormat="false" ht="17" hidden="false" customHeight="true" outlineLevel="0" collapsed="false">
      <c r="A53" s="300"/>
      <c r="B53" s="301"/>
      <c r="C53" s="302"/>
      <c r="D53" s="319"/>
      <c r="E53" s="320"/>
      <c r="F53" s="321"/>
      <c r="G53" s="322"/>
      <c r="H53" s="322"/>
      <c r="I53" s="323"/>
      <c r="J53" s="324"/>
      <c r="K53" s="307"/>
      <c r="L53" s="308"/>
      <c r="M53" s="210"/>
      <c r="N53" s="195"/>
      <c r="O53" s="145"/>
      <c r="P53" s="325"/>
      <c r="Q53" s="325"/>
      <c r="R53" s="145" t="e">
        <f aca="false">IF(VLOOKUP(A53,Para1!$B$67:$E$72,2,0)="6.",VLOOKUP(A53,Para1!$B$67:$E$72,3,0),"")</f>
        <v>#N/A</v>
      </c>
      <c r="S53" s="145" t="str">
        <f aca="false">IF((P53+Q53)=0,"",IF(ISNA(R53),"",IF(R53="","",VLOOKUP(R53,Para1!$D$67:$G$79,3,0)*(IF(P53+Q53=1,0.5,1)))))</f>
        <v/>
      </c>
      <c r="T53" s="145"/>
      <c r="U53" s="145" t="str">
        <f aca="false">IF(SUM(S53:T53)&gt;0,K53,"")</f>
        <v/>
      </c>
      <c r="V53" s="145" t="str">
        <f aca="false">IF(SUM(S53:T53)&gt;0,L53,"")</f>
        <v/>
      </c>
      <c r="W53" s="145" t="n">
        <f aca="false">IF(S53=0,P53+Q53,0)</f>
        <v>0</v>
      </c>
    </row>
    <row r="54" customFormat="false" ht="15" hidden="false" customHeight="false" outlineLevel="0" collapsed="false">
      <c r="A54" s="223"/>
      <c r="B54" s="197"/>
      <c r="C54" s="133"/>
      <c r="D54" s="224" t="n">
        <f aca="false">SUM(D23:D53)</f>
        <v>0</v>
      </c>
      <c r="E54" s="290" t="n">
        <f aca="false">SUM(E23:E53)</f>
        <v>0</v>
      </c>
      <c r="F54" s="225" t="n">
        <f aca="false">SUM(F23:F53)</f>
        <v>0</v>
      </c>
      <c r="G54" s="225" t="n">
        <f aca="false">SUM(G23:G53)</f>
        <v>0</v>
      </c>
      <c r="H54" s="225" t="n">
        <f aca="false">SUM(H23:H53)</f>
        <v>0</v>
      </c>
      <c r="I54" s="226" t="n">
        <f aca="false">SUM(I23:I53)</f>
        <v>0</v>
      </c>
      <c r="J54" s="227"/>
      <c r="P54" s="229" t="str">
        <f aca="false">Para1!F174&amp;" "&amp;Para1!F168</f>
        <v>balance due / half-day</v>
      </c>
      <c r="Q54" s="229"/>
      <c r="R54" s="145" t="n">
        <f aca="false">SUM(W23:W53)</f>
        <v>0</v>
      </c>
      <c r="S54" s="145" t="n">
        <f aca="false">SUM(S23:S53)</f>
        <v>0</v>
      </c>
      <c r="T54" s="145" t="n">
        <f aca="false">SUM(T23:T53)</f>
        <v>0</v>
      </c>
    </row>
    <row r="55" customFormat="false" ht="15" hidden="false" customHeight="false" outlineLevel="0" collapsed="false">
      <c r="A55" s="283"/>
      <c r="B55" s="284"/>
      <c r="C55" s="284"/>
      <c r="D55" s="326" t="n">
        <f aca="false">D54*24</f>
        <v>0</v>
      </c>
      <c r="E55" s="291" t="n">
        <f aca="false">E54*24</f>
        <v>0</v>
      </c>
      <c r="F55" s="231" t="n">
        <f aca="false">F54*24</f>
        <v>0</v>
      </c>
      <c r="G55" s="231" t="n">
        <f aca="false">G54*24</f>
        <v>0</v>
      </c>
      <c r="H55" s="231" t="n">
        <f aca="false">H54*24</f>
        <v>0</v>
      </c>
      <c r="I55" s="232" t="n">
        <f aca="false">I54*24</f>
        <v>0</v>
      </c>
      <c r="J55" s="233"/>
      <c r="M55" s="235" t="str">
        <f aca="false">Para1!G2</f>
        <v>AE v1_01 02.12.2021</v>
      </c>
      <c r="P55" s="236" t="n">
        <f aca="false">(Para1!M59/100*$G$3+((S54+T54)/100*$G$3))/(SUM(P23:Q53)-R54)/24</f>
        <v>0.175</v>
      </c>
      <c r="Q55" s="236"/>
    </row>
    <row r="56" customFormat="false" ht="15" hidden="false" customHeight="false" outlineLevel="0" collapsed="false">
      <c r="Q56" s="133"/>
    </row>
    <row r="57" customFormat="false" ht="22.5" hidden="false" customHeight="true" outlineLevel="0" collapsed="false">
      <c r="A57" s="237" t="str">
        <f aca="false">Para1!F106</f>
        <v>date</v>
      </c>
      <c r="B57" s="238"/>
      <c r="C57" s="238"/>
      <c r="D57" s="239"/>
      <c r="E57" s="238"/>
      <c r="F57" s="240" t="str">
        <f aca="false">Para1!F191&amp;" "&amp;Para1!F152</f>
        <v>signature employee</v>
      </c>
      <c r="G57" s="238"/>
      <c r="H57" s="241"/>
      <c r="I57" s="241"/>
      <c r="J57" s="241"/>
      <c r="K57" s="241"/>
      <c r="L57" s="241"/>
      <c r="Q57" s="133"/>
      <c r="T57" s="250"/>
      <c r="U57" s="238"/>
      <c r="Y57" s="24"/>
    </row>
    <row r="58" s="117" customFormat="true" ht="14" hidden="false" customHeight="false" outlineLevel="0" collapsed="false">
      <c r="I58" s="243"/>
      <c r="J58" s="243"/>
      <c r="K58" s="243"/>
      <c r="L58" s="243"/>
    </row>
    <row r="59" s="117" customFormat="true" ht="22.5" hidden="false" customHeight="true" outlineLevel="0" collapsed="false">
      <c r="F59" s="244" t="str">
        <f aca="false">Para1!F191&amp;" "&amp;Para1!F193</f>
        <v>signature manager</v>
      </c>
      <c r="H59" s="245"/>
      <c r="I59" s="246"/>
      <c r="J59" s="246"/>
      <c r="K59" s="246"/>
      <c r="L59" s="246"/>
    </row>
    <row r="60" customFormat="false" ht="14" hidden="false" customHeight="false" outlineLevel="0" collapsed="false">
      <c r="A60" s="283"/>
      <c r="B60" s="133"/>
      <c r="C60" s="133"/>
      <c r="D60" s="133"/>
      <c r="E60" s="133"/>
      <c r="F60" s="133"/>
      <c r="G60" s="133"/>
      <c r="H60" s="265"/>
      <c r="I60" s="133"/>
      <c r="J60" s="133"/>
      <c r="K60" s="133"/>
      <c r="L60" s="133"/>
      <c r="M60" s="133"/>
      <c r="N60" s="133"/>
    </row>
    <row r="61" customFormat="false" ht="22.5" hidden="false" customHeight="true" outlineLevel="0" collapsed="false">
      <c r="A61" s="247"/>
      <c r="B61" s="327"/>
      <c r="C61" s="327"/>
      <c r="D61" s="328"/>
      <c r="E61" s="249"/>
      <c r="F61" s="328"/>
      <c r="G61" s="242"/>
      <c r="H61" s="265"/>
      <c r="I61" s="310"/>
      <c r="J61" s="310"/>
      <c r="K61" s="242"/>
      <c r="L61" s="133"/>
      <c r="M61" s="242"/>
      <c r="N61" s="237"/>
      <c r="R61" s="24"/>
    </row>
    <row r="62" customFormat="false" ht="14" hidden="false" customHeight="false" outlineLevel="0" collapsed="false">
      <c r="A62" s="283"/>
      <c r="B62" s="133"/>
      <c r="C62" s="133"/>
      <c r="D62" s="133"/>
      <c r="E62" s="133"/>
      <c r="F62" s="133"/>
      <c r="G62" s="133"/>
      <c r="H62" s="265"/>
      <c r="I62" s="133"/>
      <c r="J62" s="133"/>
      <c r="K62" s="133"/>
      <c r="L62" s="133"/>
      <c r="M62" s="133"/>
      <c r="N62" s="133"/>
    </row>
    <row r="63" customFormat="false" ht="14" hidden="false" customHeight="false" outlineLevel="0" collapsed="false">
      <c r="A63" s="283"/>
      <c r="B63" s="133"/>
      <c r="C63" s="133"/>
      <c r="D63" s="133"/>
      <c r="E63" s="133"/>
      <c r="F63" s="133"/>
      <c r="G63" s="133"/>
      <c r="H63" s="265"/>
      <c r="I63" s="133"/>
      <c r="J63" s="133"/>
      <c r="K63" s="133"/>
      <c r="L63" s="133"/>
      <c r="M63" s="133"/>
      <c r="N63" s="133"/>
    </row>
    <row r="64" customFormat="false" ht="14" hidden="false" customHeight="false" outlineLevel="0" collapsed="false">
      <c r="A64" s="283"/>
      <c r="B64" s="133"/>
      <c r="C64" s="133"/>
      <c r="D64" s="133"/>
      <c r="E64" s="133"/>
      <c r="F64" s="133"/>
      <c r="G64" s="133"/>
      <c r="H64" s="265"/>
      <c r="I64" s="133"/>
      <c r="J64" s="133"/>
      <c r="K64" s="133"/>
      <c r="L64" s="133"/>
      <c r="M64" s="133"/>
      <c r="N64" s="133"/>
    </row>
    <row r="65" customFormat="false" ht="14" hidden="false" customHeight="false" outlineLevel="0" collapsed="false">
      <c r="A65" s="283"/>
      <c r="B65" s="133"/>
      <c r="C65" s="133"/>
      <c r="D65" s="133"/>
      <c r="E65" s="133"/>
      <c r="F65" s="133"/>
      <c r="G65" s="133"/>
      <c r="H65" s="265"/>
      <c r="I65" s="133"/>
      <c r="J65" s="133"/>
      <c r="K65" s="133"/>
      <c r="L65" s="133"/>
      <c r="M65" s="133"/>
      <c r="N65" s="133"/>
    </row>
    <row r="66" customFormat="false" ht="14" hidden="false" customHeight="false" outlineLevel="0" collapsed="false">
      <c r="A66" s="283"/>
      <c r="B66" s="133"/>
      <c r="C66" s="133"/>
      <c r="D66" s="133"/>
      <c r="E66" s="133"/>
      <c r="F66" s="133"/>
      <c r="G66" s="133"/>
      <c r="H66" s="265"/>
      <c r="I66" s="133"/>
      <c r="J66" s="133"/>
      <c r="K66" s="133"/>
      <c r="L66" s="133"/>
      <c r="M66" s="133"/>
      <c r="N66" s="133"/>
    </row>
    <row r="67" customFormat="false" ht="14" hidden="false" customHeight="false" outlineLevel="0" collapsed="false">
      <c r="A67" s="283"/>
      <c r="B67" s="133"/>
      <c r="C67" s="133"/>
      <c r="D67" s="133"/>
      <c r="E67" s="133"/>
      <c r="F67" s="133"/>
      <c r="G67" s="133"/>
      <c r="H67" s="265"/>
      <c r="I67" s="133"/>
      <c r="J67" s="133"/>
      <c r="K67" s="133"/>
      <c r="L67" s="133"/>
      <c r="M67" s="133"/>
      <c r="N67" s="133"/>
    </row>
  </sheetData>
  <sheetProtection sheet="true" password="cf1f" objects="true" scenarios="true"/>
  <mergeCells count="29">
    <mergeCell ref="A1:B1"/>
    <mergeCell ref="D1:E1"/>
    <mergeCell ref="A3:B3"/>
    <mergeCell ref="J9:K9"/>
    <mergeCell ref="J10:K10"/>
    <mergeCell ref="B13:E13"/>
    <mergeCell ref="C14:E14"/>
    <mergeCell ref="C15:E15"/>
    <mergeCell ref="C16:E16"/>
    <mergeCell ref="C17:E17"/>
    <mergeCell ref="C18:E18"/>
    <mergeCell ref="D20:I20"/>
    <mergeCell ref="K20:L20"/>
    <mergeCell ref="M20:N20"/>
    <mergeCell ref="P20:Q20"/>
    <mergeCell ref="A21:B21"/>
    <mergeCell ref="D21:D22"/>
    <mergeCell ref="E21:E22"/>
    <mergeCell ref="F21:F22"/>
    <mergeCell ref="G21:G22"/>
    <mergeCell ref="H21:H22"/>
    <mergeCell ref="I21:I22"/>
    <mergeCell ref="K21:K22"/>
    <mergeCell ref="L21:L22"/>
    <mergeCell ref="P21:P22"/>
    <mergeCell ref="Q21:Q22"/>
    <mergeCell ref="A22:B22"/>
    <mergeCell ref="P54:Q54"/>
    <mergeCell ref="P55:Q55"/>
  </mergeCells>
  <conditionalFormatting sqref="A23:B52">
    <cfRule type="expression" priority="2" aboveAverage="0" equalAverage="0" bottom="0" percent="0" rank="0" text="" dxfId="36">
      <formula>$S23=0</formula>
    </cfRule>
    <cfRule type="expression" priority="3" aboveAverage="0" equalAverage="0" bottom="0" percent="0" rank="0" text="" dxfId="37">
      <formula>$P23+$Q23=0</formula>
    </cfRule>
  </conditionalFormatting>
  <conditionalFormatting sqref="D23:I52">
    <cfRule type="expression" priority="4" aboveAverage="0" equalAverage="0" bottom="0" percent="0" rank="0" text="" dxfId="38">
      <formula>$P23+$Q23=1</formula>
    </cfRule>
    <cfRule type="expression" priority="5" aboveAverage="0" equalAverage="0" bottom="0" percent="0" rank="0" text="" dxfId="39">
      <formula>$P23+$Q23=0</formula>
    </cfRule>
  </conditionalFormatting>
  <conditionalFormatting sqref="D23:I52 K23:L52 P23:Q52">
    <cfRule type="expression" priority="6" aboveAverage="0" equalAverage="0" bottom="0" percent="0" rank="0" text="" dxfId="40">
      <formula>$S23=0</formula>
    </cfRule>
  </conditionalFormatting>
  <conditionalFormatting sqref="K23:K52 P23:P52">
    <cfRule type="expression" priority="7" aboveAverage="0" equalAverage="0" bottom="0" percent="0" rank="0" text="" dxfId="41">
      <formula>$P23=0</formula>
    </cfRule>
  </conditionalFormatting>
  <conditionalFormatting sqref="L23:L52 Q23:Q52">
    <cfRule type="expression" priority="8" aboveAverage="0" equalAverage="0" bottom="0" percent="0" rank="0" text="" dxfId="42">
      <formula>$Q23=0</formula>
    </cfRule>
  </conditionalFormatting>
  <dataValidations count="1">
    <dataValidation allowBlank="true" error="Die maximal zulässige Anzahl Zeichen in dieser Spalte beschränkt sich auf 25. Klicken Sie auf Wiederholen, um den eingegebenen Text zu überarbeiten oder auf Abbrechen um wieder in die leere Zelle zu gelangen." errorTitle="Zeichenzahl überschritten!" operator="between" prompt="Die Kommentareingabe ist aus Übersichtlichkeitsgründen auf maximal 50 Zeichen beschränkt. Bitte fassen Sie sich möglichst kurz." promptTitle="Kommentar" showDropDown="false" showErrorMessage="true" showInputMessage="false" sqref="M23:M53" type="textLength">
      <formula1>0</formula1>
      <formula2>25</formula2>
    </dataValidation>
  </dataValidations>
  <printOptions headings="false" gridLines="false" gridLinesSet="true" horizontalCentered="false" verticalCentered="false"/>
  <pageMargins left="0.4" right="0.409722222222222" top="0.790277777777778" bottom="0.39375" header="0.290277777777778" footer="0.157638888888889"/>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&amp;C&amp;16Absenzenerfassung -  &amp;A</oddHeader>
    <oddFooter>&amp;L&amp;Z&amp;F</oddFooter>
  </headerFooter>
  <legacyDrawing r:id="rId2"/>
</worksheet>
</file>

<file path=docProps/app.xml><?xml version="1.0" encoding="utf-8"?>
<Properties xmlns="http://schemas.openxmlformats.org/officeDocument/2006/extended-properties" xmlns:vt="http://schemas.openxmlformats.org/officeDocument/2006/docPropsVTypes">
  <Template/>
  <TotalTime>9</TotalTime>
  <Application>LibreOffice/6.4.7.2$Linux_X86_64 LibreOffice_project/40$Build-2</Application>
  <Company>Universität Bern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1998-05-15T09:55:22Z</dcterms:created>
  <dc:creator>AD/VD Netz</dc:creator>
  <dc:description>Kennwort: aze</dc:description>
  <dc:language>fr-CH</dc:language>
  <cp:lastModifiedBy/>
  <cp:lastPrinted>2013-02-25T11:00:14Z</cp:lastPrinted>
  <dcterms:modified xsi:type="dcterms:W3CDTF">2021-06-09T10:50:53Z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Universität Bern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