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ate1904="1" codeName="DieseArbeitsmappe"/>
  <mc:AlternateContent xmlns:mc="http://schemas.openxmlformats.org/markup-compatibility/2006">
    <mc:Choice Requires="x15">
      <x15ac:absPath xmlns:x15ac="http://schemas.microsoft.com/office/spreadsheetml/2010/11/ac" url="/Users/christinawapp/Google Drive/PhD/Admin/Ferien/"/>
    </mc:Choice>
  </mc:AlternateContent>
  <xr:revisionPtr revIDLastSave="0" documentId="13_ncr:1_{56F16EA9-2DC2-3C4D-AEFE-FE76EF2EC078}" xr6:coauthVersionLast="45" xr6:coauthVersionMax="45" xr10:uidLastSave="{00000000-0000-0000-0000-000000000000}"/>
  <bookViews>
    <workbookView xWindow="800" yWindow="460" windowWidth="28000" windowHeight="17540" tabRatio="861" firstSheet="2" activeTab="12" xr2:uid="{00000000-000D-0000-FFFF-FFFF00000000}"/>
  </bookViews>
  <sheets>
    <sheet name="Information" sheetId="25" r:id="rId1"/>
    <sheet name="Persönliche Daten (pers. data)" sheetId="26" r:id="rId2"/>
    <sheet name="Jahresübersicht (Overview)" sheetId="24" r:id="rId3"/>
    <sheet name="Januar" sheetId="2" r:id="rId4"/>
    <sheet name="Februar" sheetId="4" r:id="rId5"/>
    <sheet name="Maerz" sheetId="7" r:id="rId6"/>
    <sheet name="April" sheetId="8" r:id="rId7"/>
    <sheet name="Mai" sheetId="9" r:id="rId8"/>
    <sheet name="Juni" sheetId="10" r:id="rId9"/>
    <sheet name="Juli" sheetId="11" r:id="rId10"/>
    <sheet name="August" sheetId="12" r:id="rId11"/>
    <sheet name="September" sheetId="13" r:id="rId12"/>
    <sheet name="Oktober" sheetId="14" r:id="rId13"/>
    <sheet name="November" sheetId="15" r:id="rId14"/>
    <sheet name="Dezember" sheetId="16" r:id="rId15"/>
    <sheet name="Zeitkennzahlen (key figures)" sheetId="21" r:id="rId16"/>
    <sheet name="Umrechnung (calculation)" sheetId="17" r:id="rId17"/>
    <sheet name="Para1" sheetId="3" r:id="rId18"/>
  </sheets>
  <definedNames>
    <definedName name="_xlnm.Print_Area" localSheetId="6">April!$A$1:$N$59</definedName>
    <definedName name="_xlnm.Print_Area" localSheetId="10">August!$A$1:$N$59</definedName>
    <definedName name="_xlnm.Print_Area" localSheetId="14">Dezember!$A$1:$N$59</definedName>
    <definedName name="_xlnm.Print_Area" localSheetId="4">Februar!$A$1:$N$59</definedName>
    <definedName name="_xlnm.Print_Area" localSheetId="0">Information!$A$1:$L$68</definedName>
    <definedName name="_xlnm.Print_Area" localSheetId="2">'Jahresübersicht (Overview)'!$A$1:$O$34</definedName>
    <definedName name="_xlnm.Print_Area" localSheetId="3">Januar!$A$1:$N$59</definedName>
    <definedName name="_xlnm.Print_Area" localSheetId="9">Juli!$A$1:$N$59</definedName>
    <definedName name="_xlnm.Print_Area" localSheetId="8">Juni!$A$1:$N$59</definedName>
    <definedName name="_xlnm.Print_Area" localSheetId="5">Maerz!$A$1:$N$59</definedName>
    <definedName name="_xlnm.Print_Area" localSheetId="7">Mai!$A$1:$N$59</definedName>
    <definedName name="_xlnm.Print_Area" localSheetId="13">November!$A$1:$N$59</definedName>
    <definedName name="_xlnm.Print_Area" localSheetId="12">Oktober!$A$1:$N$59</definedName>
    <definedName name="_xlnm.Print_Area" localSheetId="1">'Persönliche Daten (pers. data)'!$A$1:$O$48</definedName>
    <definedName name="_xlnm.Print_Area" localSheetId="11">September!$A$1:$N$59</definedName>
    <definedName name="_xlnm.Print_Area" localSheetId="15">'Zeitkennzahlen (key figures)'!$A$1:$K$24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3" i="3" l="1"/>
  <c r="B23" i="2"/>
  <c r="F153" i="3"/>
  <c r="F109" i="3"/>
  <c r="F148" i="3"/>
  <c r="F111" i="3"/>
  <c r="B24" i="2"/>
  <c r="F120" i="3"/>
  <c r="B25" i="2"/>
  <c r="F170" i="3"/>
  <c r="B26" i="2"/>
  <c r="F173" i="3"/>
  <c r="B27" i="2"/>
  <c r="B28" i="2"/>
  <c r="B29" i="2"/>
  <c r="B30" i="2"/>
  <c r="Q30" i="2"/>
  <c r="Q37" i="2"/>
  <c r="Q44" i="2"/>
  <c r="Q51" i="2"/>
  <c r="Q27" i="4"/>
  <c r="Q34" i="4"/>
  <c r="Q41" i="4"/>
  <c r="Q48" i="4"/>
  <c r="Q26" i="7"/>
  <c r="Q33" i="7"/>
  <c r="Q40" i="7"/>
  <c r="Q47" i="7"/>
  <c r="Q23" i="8"/>
  <c r="Q30" i="8"/>
  <c r="Q37" i="8"/>
  <c r="Q44" i="8"/>
  <c r="Q51" i="8"/>
  <c r="Q28" i="9"/>
  <c r="Q35" i="9"/>
  <c r="Q42" i="9"/>
  <c r="Q49" i="9"/>
  <c r="Q25" i="10"/>
  <c r="Q32" i="10"/>
  <c r="Q39" i="10"/>
  <c r="Q46" i="10"/>
  <c r="Q23" i="11"/>
  <c r="Q30" i="11"/>
  <c r="Q37" i="11"/>
  <c r="Q44" i="11"/>
  <c r="Q51" i="11"/>
  <c r="Q27" i="12"/>
  <c r="Q34" i="12"/>
  <c r="Q41" i="12"/>
  <c r="Q48" i="12"/>
  <c r="Q24" i="13"/>
  <c r="Q31" i="13"/>
  <c r="Q38" i="13"/>
  <c r="Q45" i="13"/>
  <c r="Q52" i="13"/>
  <c r="Q29" i="14"/>
  <c r="Q36" i="14"/>
  <c r="Q43" i="14"/>
  <c r="Q50" i="14"/>
  <c r="Q26" i="15"/>
  <c r="P30" i="2"/>
  <c r="P37" i="2"/>
  <c r="P44" i="2"/>
  <c r="P51" i="2"/>
  <c r="P27" i="4"/>
  <c r="P34" i="4"/>
  <c r="P41" i="4"/>
  <c r="P48" i="4"/>
  <c r="P26" i="7"/>
  <c r="P33" i="7"/>
  <c r="P40" i="7"/>
  <c r="P47" i="7"/>
  <c r="P23" i="8"/>
  <c r="P30" i="8"/>
  <c r="P37" i="8"/>
  <c r="P44" i="8"/>
  <c r="P51" i="8"/>
  <c r="P28" i="9"/>
  <c r="P35" i="9"/>
  <c r="P42" i="9"/>
  <c r="P49" i="9"/>
  <c r="P25" i="10"/>
  <c r="P32" i="10"/>
  <c r="P39" i="10"/>
  <c r="P46" i="10"/>
  <c r="P23" i="11"/>
  <c r="P30" i="11"/>
  <c r="P37" i="11"/>
  <c r="P44" i="11"/>
  <c r="P51" i="11"/>
  <c r="P27" i="12"/>
  <c r="P34" i="12"/>
  <c r="P41" i="12"/>
  <c r="P48" i="12"/>
  <c r="P24" i="13"/>
  <c r="P31" i="13"/>
  <c r="P38" i="13"/>
  <c r="P45" i="13"/>
  <c r="P52" i="13"/>
  <c r="P29" i="14"/>
  <c r="P36" i="14"/>
  <c r="P43" i="14"/>
  <c r="P50" i="14"/>
  <c r="P26" i="15"/>
  <c r="Q26" i="2"/>
  <c r="Q33" i="2"/>
  <c r="Q40" i="2"/>
  <c r="Q47" i="2"/>
  <c r="Q23" i="4"/>
  <c r="Q30" i="4"/>
  <c r="Q37" i="4"/>
  <c r="Q44" i="4"/>
  <c r="Q51" i="4"/>
  <c r="Q29" i="7"/>
  <c r="Q36" i="7"/>
  <c r="Q43" i="7"/>
  <c r="Q50" i="7"/>
  <c r="Q26" i="8"/>
  <c r="Q33" i="8"/>
  <c r="Q40" i="8"/>
  <c r="Q47" i="8"/>
  <c r="Q24" i="9"/>
  <c r="Q31" i="9"/>
  <c r="Q38" i="9"/>
  <c r="Q45" i="9"/>
  <c r="Q52" i="9"/>
  <c r="Q28" i="10"/>
  <c r="Q35" i="10"/>
  <c r="Q42" i="10"/>
  <c r="Q49" i="10"/>
  <c r="Q26" i="11"/>
  <c r="Q33" i="11"/>
  <c r="Q40" i="11"/>
  <c r="Q47" i="11"/>
  <c r="Q30" i="12"/>
  <c r="P26" i="2"/>
  <c r="P33" i="2"/>
  <c r="P40" i="2"/>
  <c r="P47" i="2"/>
  <c r="P23" i="4"/>
  <c r="P30" i="4"/>
  <c r="P37" i="4"/>
  <c r="P44" i="4"/>
  <c r="P51" i="4"/>
  <c r="P29" i="7"/>
  <c r="P36" i="7"/>
  <c r="P43" i="7"/>
  <c r="P50" i="7"/>
  <c r="P26" i="8"/>
  <c r="P33" i="8"/>
  <c r="P40" i="8"/>
  <c r="P47" i="8"/>
  <c r="P24" i="9"/>
  <c r="P31" i="9"/>
  <c r="P38" i="9"/>
  <c r="P45" i="9"/>
  <c r="P52" i="9"/>
  <c r="P28" i="10"/>
  <c r="P35" i="10"/>
  <c r="P42" i="10"/>
  <c r="P49" i="10"/>
  <c r="P26" i="11"/>
  <c r="P33" i="11"/>
  <c r="P40" i="11"/>
  <c r="P47" i="11"/>
  <c r="P30" i="12"/>
  <c r="Q28" i="2"/>
  <c r="Q35" i="2"/>
  <c r="Q42" i="2"/>
  <c r="Q49" i="2"/>
  <c r="Q25" i="4"/>
  <c r="Q32" i="4"/>
  <c r="Q39" i="4"/>
  <c r="Q46" i="4"/>
  <c r="Q24" i="7"/>
  <c r="Q31" i="7"/>
  <c r="Q38" i="7"/>
  <c r="Q45" i="7"/>
  <c r="Q52" i="7"/>
  <c r="Q28" i="8"/>
  <c r="Q42" i="8"/>
  <c r="Q49" i="8"/>
  <c r="Q26" i="9"/>
  <c r="Q33" i="9"/>
  <c r="Q40" i="9"/>
  <c r="Q47" i="9"/>
  <c r="Q30" i="10"/>
  <c r="P28" i="2"/>
  <c r="P35" i="2"/>
  <c r="P42" i="2"/>
  <c r="P49" i="2"/>
  <c r="P25" i="4"/>
  <c r="P32" i="4"/>
  <c r="P39" i="4"/>
  <c r="P46" i="4"/>
  <c r="P24" i="7"/>
  <c r="P31" i="7"/>
  <c r="P38" i="7"/>
  <c r="P45" i="7"/>
  <c r="P52" i="7"/>
  <c r="P28" i="8"/>
  <c r="P42" i="8"/>
  <c r="P49" i="8"/>
  <c r="P26" i="9"/>
  <c r="P33" i="9"/>
  <c r="P40" i="9"/>
  <c r="P47" i="9"/>
  <c r="P30" i="10"/>
  <c r="B31" i="2"/>
  <c r="Q31" i="2"/>
  <c r="Q38" i="2"/>
  <c r="Q45" i="2"/>
  <c r="Q52" i="2"/>
  <c r="Q28" i="4"/>
  <c r="Q35" i="4"/>
  <c r="Q42" i="4"/>
  <c r="Q49" i="4"/>
  <c r="Q27" i="7"/>
  <c r="Q34" i="7"/>
  <c r="Q41" i="7"/>
  <c r="Q48" i="7"/>
  <c r="Q24" i="8"/>
  <c r="Q31" i="8"/>
  <c r="Q38" i="8"/>
  <c r="Q45" i="8"/>
  <c r="Q52" i="8"/>
  <c r="Q29" i="9"/>
  <c r="Q36" i="9"/>
  <c r="Q50" i="9"/>
  <c r="P31" i="2"/>
  <c r="P38" i="2"/>
  <c r="P45" i="2"/>
  <c r="P52" i="2"/>
  <c r="P28" i="4"/>
  <c r="P35" i="4"/>
  <c r="P42" i="4"/>
  <c r="P49" i="4"/>
  <c r="P27" i="7"/>
  <c r="P34" i="7"/>
  <c r="P41" i="7"/>
  <c r="P48" i="7"/>
  <c r="P24" i="8"/>
  <c r="P31" i="8"/>
  <c r="P38" i="8"/>
  <c r="P45" i="8"/>
  <c r="P52" i="8"/>
  <c r="P29" i="9"/>
  <c r="P36" i="9"/>
  <c r="P50" i="9"/>
  <c r="Q27" i="2"/>
  <c r="Q34" i="2"/>
  <c r="Q41" i="2"/>
  <c r="Q48" i="2"/>
  <c r="Q24" i="4"/>
  <c r="Q31" i="4"/>
  <c r="Q38" i="4"/>
  <c r="Q45" i="4"/>
  <c r="Q23" i="7"/>
  <c r="Q30" i="7"/>
  <c r="Q37" i="7"/>
  <c r="Q44" i="7"/>
  <c r="Q51" i="7"/>
  <c r="Q27" i="8"/>
  <c r="Q34" i="8"/>
  <c r="Q41" i="8"/>
  <c r="Q48" i="8"/>
  <c r="P27" i="2"/>
  <c r="P34" i="2"/>
  <c r="P41" i="2"/>
  <c r="P48" i="2"/>
  <c r="P24" i="4"/>
  <c r="P31" i="4"/>
  <c r="P38" i="4"/>
  <c r="P45" i="4"/>
  <c r="P23" i="7"/>
  <c r="P30" i="7"/>
  <c r="P37" i="7"/>
  <c r="P44" i="7"/>
  <c r="P51" i="7"/>
  <c r="P27" i="8"/>
  <c r="P34" i="8"/>
  <c r="P41" i="8"/>
  <c r="P48" i="8"/>
  <c r="Q25" i="2"/>
  <c r="Q32" i="2"/>
  <c r="Q39" i="2"/>
  <c r="Q46" i="2"/>
  <c r="Q53" i="2"/>
  <c r="Q29" i="4"/>
  <c r="Q36" i="4"/>
  <c r="Q43" i="4"/>
  <c r="Q50" i="4"/>
  <c r="Q28" i="7"/>
  <c r="Q35" i="7"/>
  <c r="Q42" i="7"/>
  <c r="Q49" i="7"/>
  <c r="Q25" i="8"/>
  <c r="Q39" i="8"/>
  <c r="P25" i="2"/>
  <c r="P32" i="2"/>
  <c r="P39" i="2"/>
  <c r="P46" i="2"/>
  <c r="P53" i="2"/>
  <c r="P29" i="4"/>
  <c r="P36" i="4"/>
  <c r="P43" i="4"/>
  <c r="P50" i="4"/>
  <c r="P28" i="7"/>
  <c r="P35" i="7"/>
  <c r="P42" i="7"/>
  <c r="P49" i="7"/>
  <c r="P25" i="8"/>
  <c r="P39" i="8"/>
  <c r="Q29" i="2"/>
  <c r="Q36" i="2"/>
  <c r="Q43" i="2"/>
  <c r="Q50" i="2"/>
  <c r="Q26" i="4"/>
  <c r="Q33" i="4"/>
  <c r="Q40" i="4"/>
  <c r="Q47" i="4"/>
  <c r="Q25" i="7"/>
  <c r="P29" i="2"/>
  <c r="P36" i="2"/>
  <c r="P43" i="2"/>
  <c r="P50" i="2"/>
  <c r="P26" i="4"/>
  <c r="P33" i="4"/>
  <c r="P40" i="4"/>
  <c r="P47" i="4"/>
  <c r="P25" i="7"/>
  <c r="B32" i="2"/>
  <c r="B33" i="2"/>
  <c r="B34" i="2"/>
  <c r="B35" i="2"/>
  <c r="B36" i="2"/>
  <c r="B37" i="2"/>
  <c r="B38" i="2"/>
  <c r="B39" i="2"/>
  <c r="B40" i="2"/>
  <c r="B41" i="2"/>
  <c r="B42" i="2"/>
  <c r="B43" i="2"/>
  <c r="B44" i="2"/>
  <c r="B45" i="2"/>
  <c r="B46" i="2"/>
  <c r="B47" i="2"/>
  <c r="B48" i="2"/>
  <c r="B49" i="2"/>
  <c r="B50" i="2"/>
  <c r="B51" i="2"/>
  <c r="B52" i="2"/>
  <c r="B53" i="2"/>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23" i="7"/>
  <c r="I54" i="16"/>
  <c r="L13" i="16"/>
  <c r="I54" i="15"/>
  <c r="L13" i="15"/>
  <c r="I54" i="14"/>
  <c r="L13" i="14"/>
  <c r="I54" i="13"/>
  <c r="L13" i="13"/>
  <c r="I54" i="12"/>
  <c r="L13" i="12"/>
  <c r="I54" i="11"/>
  <c r="L13" i="11"/>
  <c r="I54" i="10"/>
  <c r="L13" i="10"/>
  <c r="I54" i="9"/>
  <c r="L13" i="9"/>
  <c r="I54" i="8"/>
  <c r="L13" i="8"/>
  <c r="I54" i="7"/>
  <c r="L13" i="7"/>
  <c r="I54" i="4"/>
  <c r="L13" i="4"/>
  <c r="I54" i="2"/>
  <c r="L13" i="2"/>
  <c r="N13" i="2"/>
  <c r="M13" i="4"/>
  <c r="N13" i="4"/>
  <c r="M13" i="7"/>
  <c r="N13" i="7"/>
  <c r="M13" i="8"/>
  <c r="N13" i="8"/>
  <c r="M13" i="9"/>
  <c r="N13" i="9"/>
  <c r="M13" i="10"/>
  <c r="N13" i="10"/>
  <c r="M13" i="11"/>
  <c r="N13" i="11"/>
  <c r="M13" i="12"/>
  <c r="N13" i="12"/>
  <c r="M13" i="13"/>
  <c r="N13" i="13"/>
  <c r="M13" i="14"/>
  <c r="N13" i="14"/>
  <c r="M13" i="15"/>
  <c r="N13" i="15"/>
  <c r="M13" i="16"/>
  <c r="N13" i="16"/>
  <c r="F21" i="21"/>
  <c r="C16" i="24"/>
  <c r="D16" i="24"/>
  <c r="E16" i="24"/>
  <c r="F16" i="24"/>
  <c r="G16" i="24"/>
  <c r="H16" i="24"/>
  <c r="I16" i="24"/>
  <c r="J16" i="24"/>
  <c r="K16" i="24"/>
  <c r="L16" i="24"/>
  <c r="M16" i="24"/>
  <c r="N16" i="24"/>
  <c r="F20" i="21"/>
  <c r="H54" i="16"/>
  <c r="L12" i="16"/>
  <c r="H54" i="15"/>
  <c r="L12" i="15"/>
  <c r="H54" i="14"/>
  <c r="L12" i="14"/>
  <c r="H54" i="13"/>
  <c r="L12" i="13"/>
  <c r="H54" i="12"/>
  <c r="L12" i="12"/>
  <c r="H54" i="11"/>
  <c r="L12" i="11"/>
  <c r="H54" i="10"/>
  <c r="L12" i="10"/>
  <c r="H54" i="9"/>
  <c r="L12" i="9"/>
  <c r="H54" i="8"/>
  <c r="L12" i="8"/>
  <c r="H54" i="7"/>
  <c r="L12" i="7"/>
  <c r="H54" i="4"/>
  <c r="L12" i="4"/>
  <c r="H54" i="2"/>
  <c r="L12" i="2"/>
  <c r="N12" i="2"/>
  <c r="M12" i="4"/>
  <c r="N12" i="4"/>
  <c r="M12" i="7"/>
  <c r="N12" i="7"/>
  <c r="M12" i="8"/>
  <c r="N12" i="8"/>
  <c r="M12" i="9"/>
  <c r="N12" i="9"/>
  <c r="M12" i="10"/>
  <c r="N12" i="10"/>
  <c r="M12" i="11"/>
  <c r="N12" i="11"/>
  <c r="M12" i="12"/>
  <c r="N12" i="12"/>
  <c r="M12" i="13"/>
  <c r="N12" i="13"/>
  <c r="M12" i="14"/>
  <c r="N12" i="14"/>
  <c r="M12" i="15"/>
  <c r="N12" i="15"/>
  <c r="M12" i="16"/>
  <c r="N12" i="16"/>
  <c r="F19" i="21"/>
  <c r="F54" i="16"/>
  <c r="L10" i="16"/>
  <c r="F54" i="15"/>
  <c r="L10" i="15"/>
  <c r="F54" i="14"/>
  <c r="L10" i="14"/>
  <c r="F54" i="13"/>
  <c r="L10" i="13"/>
  <c r="F54" i="12"/>
  <c r="L10" i="12"/>
  <c r="F54" i="11"/>
  <c r="L10" i="11"/>
  <c r="F54" i="10"/>
  <c r="L10" i="10"/>
  <c r="F54" i="9"/>
  <c r="L10" i="9"/>
  <c r="F54" i="8"/>
  <c r="L10" i="8"/>
  <c r="F54" i="7"/>
  <c r="L10" i="7"/>
  <c r="F54" i="4"/>
  <c r="L10" i="4"/>
  <c r="F54" i="2"/>
  <c r="L10" i="2"/>
  <c r="N10" i="2"/>
  <c r="M10" i="4"/>
  <c r="N10" i="4"/>
  <c r="M10" i="7"/>
  <c r="N10" i="7"/>
  <c r="M10" i="8"/>
  <c r="N10" i="8"/>
  <c r="M10" i="9"/>
  <c r="N10" i="9"/>
  <c r="M10" i="10"/>
  <c r="N10" i="10"/>
  <c r="M10" i="11"/>
  <c r="N10" i="11"/>
  <c r="M10" i="12"/>
  <c r="N10" i="12"/>
  <c r="M10" i="13"/>
  <c r="N10" i="13"/>
  <c r="M10" i="14"/>
  <c r="N10" i="14"/>
  <c r="M10" i="15"/>
  <c r="N10" i="15"/>
  <c r="M10" i="16"/>
  <c r="N10" i="16"/>
  <c r="F15" i="21"/>
  <c r="E54" i="16"/>
  <c r="L9" i="16"/>
  <c r="E54" i="15"/>
  <c r="L9" i="15"/>
  <c r="E54" i="14"/>
  <c r="L9" i="14"/>
  <c r="E54" i="13"/>
  <c r="L9" i="13"/>
  <c r="E54" i="12"/>
  <c r="L9" i="12"/>
  <c r="E54" i="11"/>
  <c r="L9" i="11"/>
  <c r="E54" i="10"/>
  <c r="L9" i="10"/>
  <c r="E54" i="9"/>
  <c r="L9" i="9"/>
  <c r="E54" i="8"/>
  <c r="L9" i="8"/>
  <c r="E54" i="7"/>
  <c r="L9" i="7"/>
  <c r="E54" i="4"/>
  <c r="L9" i="4"/>
  <c r="E54" i="2"/>
  <c r="L9" i="2"/>
  <c r="N9" i="2"/>
  <c r="M9" i="4"/>
  <c r="N9" i="4"/>
  <c r="M9" i="7"/>
  <c r="N9" i="7"/>
  <c r="M9" i="8"/>
  <c r="N9" i="8"/>
  <c r="M9" i="9"/>
  <c r="N9" i="9"/>
  <c r="M9" i="10"/>
  <c r="N9" i="10"/>
  <c r="M9" i="11"/>
  <c r="N9" i="11"/>
  <c r="M9" i="12"/>
  <c r="N9" i="12"/>
  <c r="M9" i="13"/>
  <c r="N9" i="13"/>
  <c r="M9" i="14"/>
  <c r="N9" i="14"/>
  <c r="M9" i="15"/>
  <c r="N9" i="15"/>
  <c r="M9" i="16"/>
  <c r="N9" i="16"/>
  <c r="F14" i="21"/>
  <c r="G11" i="24"/>
  <c r="D11" i="24"/>
  <c r="H9" i="25"/>
  <c r="H8" i="25"/>
  <c r="O11" i="26"/>
  <c r="O12" i="26"/>
  <c r="O10" i="26"/>
  <c r="F84" i="3"/>
  <c r="F85" i="3"/>
  <c r="F86" i="3"/>
  <c r="F87" i="3"/>
  <c r="F88" i="3"/>
  <c r="F89" i="3"/>
  <c r="F90" i="3"/>
  <c r="F91" i="3"/>
  <c r="F92" i="3"/>
  <c r="F93" i="3"/>
  <c r="F94" i="3"/>
  <c r="F95" i="3"/>
  <c r="F96" i="3"/>
  <c r="F97" i="3"/>
  <c r="F98" i="3"/>
  <c r="F99" i="3"/>
  <c r="F100" i="3"/>
  <c r="F101" i="3"/>
  <c r="F102" i="3"/>
  <c r="F103" i="3"/>
  <c r="F104" i="3"/>
  <c r="C14" i="26"/>
  <c r="F105" i="3"/>
  <c r="F106" i="3"/>
  <c r="F107" i="3"/>
  <c r="F108" i="3"/>
  <c r="F110" i="3"/>
  <c r="F112" i="3"/>
  <c r="F113" i="3"/>
  <c r="F114" i="3"/>
  <c r="F115" i="3"/>
  <c r="F116" i="3"/>
  <c r="F117" i="3"/>
  <c r="F118" i="3"/>
  <c r="F119"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9" i="3"/>
  <c r="F150" i="3"/>
  <c r="F151" i="3"/>
  <c r="F152" i="3"/>
  <c r="F154" i="3"/>
  <c r="F155" i="3"/>
  <c r="F156" i="3"/>
  <c r="F157" i="3"/>
  <c r="F158" i="3"/>
  <c r="F159" i="3"/>
  <c r="F160" i="3"/>
  <c r="F161" i="3"/>
  <c r="F162" i="3"/>
  <c r="F163" i="3"/>
  <c r="F164" i="3"/>
  <c r="F165" i="3"/>
  <c r="F166" i="3"/>
  <c r="F167" i="3"/>
  <c r="F168" i="3"/>
  <c r="F169" i="3"/>
  <c r="F171" i="3"/>
  <c r="F172" i="3"/>
  <c r="F174" i="3"/>
  <c r="F175" i="3"/>
  <c r="F176" i="3"/>
  <c r="F177" i="3"/>
  <c r="F178" i="3"/>
  <c r="F179" i="3"/>
  <c r="F180" i="3"/>
  <c r="F181" i="3"/>
  <c r="F182" i="3"/>
  <c r="A18" i="26"/>
  <c r="F183" i="3"/>
  <c r="F184" i="3"/>
  <c r="F185" i="3"/>
  <c r="F186" i="3"/>
  <c r="F187" i="3"/>
  <c r="F188" i="3"/>
  <c r="F189" i="3"/>
  <c r="F190" i="3"/>
  <c r="F191" i="3"/>
  <c r="F192" i="3"/>
  <c r="F193" i="3"/>
  <c r="F194" i="3"/>
  <c r="F195" i="3"/>
  <c r="F196" i="3"/>
  <c r="F197" i="3"/>
  <c r="F198" i="3"/>
  <c r="F199" i="3"/>
  <c r="F200" i="3"/>
  <c r="F201" i="3"/>
  <c r="B5" i="21"/>
  <c r="F202" i="3"/>
  <c r="F83" i="3"/>
  <c r="A16" i="26"/>
  <c r="J223" i="3"/>
  <c r="J224" i="3"/>
  <c r="J222" i="3"/>
  <c r="A24" i="26"/>
  <c r="A51" i="25"/>
  <c r="K4" i="24"/>
  <c r="J217" i="3"/>
  <c r="I19" i="26"/>
  <c r="J221" i="3"/>
  <c r="J220" i="3"/>
  <c r="I21" i="26"/>
  <c r="J219" i="3"/>
  <c r="I20" i="26"/>
  <c r="J218" i="3"/>
  <c r="B60" i="25"/>
  <c r="J216" i="3"/>
  <c r="J215" i="3"/>
  <c r="A4" i="26"/>
  <c r="J214" i="3"/>
  <c r="P15" i="16"/>
  <c r="P14" i="16"/>
  <c r="P16" i="16"/>
  <c r="P17" i="16"/>
  <c r="G9" i="16"/>
  <c r="O15" i="16"/>
  <c r="O14" i="16"/>
  <c r="O16" i="16"/>
  <c r="O17" i="16"/>
  <c r="F9" i="16"/>
  <c r="H14" i="26"/>
  <c r="J231" i="3"/>
  <c r="B18" i="25"/>
  <c r="C9" i="24"/>
  <c r="C8" i="24"/>
  <c r="C4" i="24"/>
  <c r="G4" i="24"/>
  <c r="K2" i="24"/>
  <c r="G2" i="24"/>
  <c r="C2" i="24"/>
  <c r="D9" i="26"/>
  <c r="D9" i="24"/>
  <c r="O2" i="26"/>
  <c r="D8" i="24"/>
  <c r="E9" i="26"/>
  <c r="F9" i="26"/>
  <c r="E9" i="24"/>
  <c r="E8" i="24"/>
  <c r="F8" i="24"/>
  <c r="G9" i="26"/>
  <c r="F9" i="24"/>
  <c r="G8" i="24"/>
  <c r="H9" i="26"/>
  <c r="G9" i="24"/>
  <c r="H8" i="24"/>
  <c r="I9" i="26"/>
  <c r="H9" i="24"/>
  <c r="J9" i="26"/>
  <c r="I9" i="24"/>
  <c r="I8" i="24"/>
  <c r="J8" i="24"/>
  <c r="K9" i="26"/>
  <c r="J9" i="24"/>
  <c r="L9" i="26"/>
  <c r="K9" i="24"/>
  <c r="K8" i="24"/>
  <c r="M9" i="26"/>
  <c r="L9" i="24"/>
  <c r="L8" i="24"/>
  <c r="H3" i="21"/>
  <c r="L9" i="21"/>
  <c r="N9" i="26"/>
  <c r="N9" i="24"/>
  <c r="M9" i="24"/>
  <c r="M8" i="24"/>
  <c r="N8" i="24"/>
  <c r="E8" i="21"/>
  <c r="O8" i="26"/>
  <c r="J264" i="3"/>
  <c r="J241" i="3"/>
  <c r="B31" i="25"/>
  <c r="J238" i="3"/>
  <c r="B28" i="25"/>
  <c r="B16" i="25"/>
  <c r="J263" i="3"/>
  <c r="J229" i="3"/>
  <c r="H13" i="25"/>
  <c r="J228" i="3"/>
  <c r="A13" i="25"/>
  <c r="J230" i="3"/>
  <c r="B17" i="25"/>
  <c r="J232" i="3"/>
  <c r="B19" i="25"/>
  <c r="J233" i="3"/>
  <c r="B20" i="25"/>
  <c r="J234" i="3"/>
  <c r="B24" i="25"/>
  <c r="J235" i="3"/>
  <c r="B25" i="25"/>
  <c r="J236" i="3"/>
  <c r="B26" i="25"/>
  <c r="J237" i="3"/>
  <c r="B27" i="25"/>
  <c r="J239" i="3"/>
  <c r="B29" i="25"/>
  <c r="J240" i="3"/>
  <c r="B30" i="25"/>
  <c r="J242" i="3"/>
  <c r="B32" i="25"/>
  <c r="J243" i="3"/>
  <c r="B34" i="25"/>
  <c r="J246" i="3"/>
  <c r="B41" i="25"/>
  <c r="J244" i="3"/>
  <c r="B36" i="25"/>
  <c r="J245" i="3"/>
  <c r="B37" i="25"/>
  <c r="J247" i="3"/>
  <c r="B43" i="25"/>
  <c r="J248" i="3"/>
  <c r="B45" i="25"/>
  <c r="J249" i="3"/>
  <c r="B46" i="25"/>
  <c r="J250" i="3"/>
  <c r="B47" i="25"/>
  <c r="J251" i="3"/>
  <c r="B49" i="25"/>
  <c r="J252" i="3"/>
  <c r="B53" i="25"/>
  <c r="J253" i="3"/>
  <c r="B54" i="25"/>
  <c r="J254" i="3"/>
  <c r="B55" i="25"/>
  <c r="J255" i="3"/>
  <c r="B57" i="25"/>
  <c r="J256" i="3"/>
  <c r="B58" i="25"/>
  <c r="J257" i="3"/>
  <c r="B59" i="25"/>
  <c r="J258" i="3"/>
  <c r="B61" i="25"/>
  <c r="J259" i="3"/>
  <c r="B62" i="25"/>
  <c r="J260" i="3"/>
  <c r="B65" i="25"/>
  <c r="J261" i="3"/>
  <c r="B66" i="25"/>
  <c r="J262" i="3"/>
  <c r="B67" i="25"/>
  <c r="J227" i="3"/>
  <c r="A5" i="25"/>
  <c r="J213" i="3"/>
  <c r="C35" i="17"/>
  <c r="B44" i="17"/>
  <c r="J207" i="3"/>
  <c r="B54" i="17"/>
  <c r="J208" i="3"/>
  <c r="B40" i="17"/>
  <c r="J209" i="3"/>
  <c r="B32" i="17"/>
  <c r="J210" i="3"/>
  <c r="B47" i="17"/>
  <c r="J211" i="3"/>
  <c r="J212" i="3"/>
  <c r="B6" i="21"/>
  <c r="B7" i="21"/>
  <c r="J206" i="3"/>
  <c r="H8" i="21"/>
  <c r="L10" i="25"/>
  <c r="D10" i="25"/>
  <c r="B56" i="17"/>
  <c r="B41" i="17"/>
  <c r="B49" i="17"/>
  <c r="W53" i="13"/>
  <c r="U53" i="13"/>
  <c r="V53" i="13"/>
  <c r="T53" i="15"/>
  <c r="T23" i="2"/>
  <c r="T24" i="2"/>
  <c r="R49" i="16"/>
  <c r="R50" i="16"/>
  <c r="R51" i="16"/>
  <c r="R52" i="16"/>
  <c r="R24" i="16"/>
  <c r="R25" i="16"/>
  <c r="R26" i="16"/>
  <c r="R27" i="16"/>
  <c r="R28" i="16"/>
  <c r="R29" i="16"/>
  <c r="R30" i="16"/>
  <c r="R31" i="16"/>
  <c r="R32" i="16"/>
  <c r="R33" i="16"/>
  <c r="R34" i="16"/>
  <c r="R35" i="16"/>
  <c r="R36" i="16"/>
  <c r="R37" i="16"/>
  <c r="R38" i="16"/>
  <c r="R39" i="16"/>
  <c r="R40" i="16"/>
  <c r="R41" i="16"/>
  <c r="R42" i="16"/>
  <c r="R43" i="16"/>
  <c r="R44" i="16"/>
  <c r="R45" i="16"/>
  <c r="R23" i="16"/>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23" i="14"/>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23" i="13"/>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24" i="12"/>
  <c r="R25" i="12"/>
  <c r="R26" i="12"/>
  <c r="R25" i="10"/>
  <c r="R24"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23" i="10"/>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23" i="11"/>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23" i="9"/>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23" i="8"/>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23" i="7"/>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23" i="4"/>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25" i="2"/>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23" i="15"/>
  <c r="S53" i="15"/>
  <c r="S53" i="10"/>
  <c r="S53" i="8"/>
  <c r="S51" i="4"/>
  <c r="S52" i="4"/>
  <c r="S53" i="4"/>
  <c r="S23" i="2"/>
  <c r="S24" i="2"/>
  <c r="W53" i="15"/>
  <c r="U53" i="15"/>
  <c r="V53" i="15"/>
  <c r="W24" i="2"/>
  <c r="U24" i="2"/>
  <c r="V24" i="2"/>
  <c r="W51" i="4"/>
  <c r="U51" i="4"/>
  <c r="V51" i="4"/>
  <c r="W23" i="2"/>
  <c r="U23" i="2"/>
  <c r="V23" i="2"/>
  <c r="W53" i="10"/>
  <c r="U53" i="10"/>
  <c r="V53" i="10"/>
  <c r="W53" i="8"/>
  <c r="V53" i="8"/>
  <c r="U53" i="8"/>
  <c r="W53" i="4"/>
  <c r="U53" i="4"/>
  <c r="V53" i="4"/>
  <c r="W52" i="4"/>
  <c r="V52" i="4"/>
  <c r="U52" i="4"/>
  <c r="L3" i="15"/>
  <c r="L3" i="14"/>
  <c r="L3" i="13"/>
  <c r="L3" i="12"/>
  <c r="L3" i="11"/>
  <c r="L3" i="10"/>
  <c r="L3" i="9"/>
  <c r="L3" i="8"/>
  <c r="L3" i="7"/>
  <c r="L3" i="4"/>
  <c r="L3" i="2"/>
  <c r="L3" i="16"/>
  <c r="K22" i="21"/>
  <c r="C3" i="21"/>
  <c r="F1" i="21"/>
  <c r="C1" i="21"/>
  <c r="F3" i="21"/>
  <c r="I1" i="21"/>
  <c r="A21" i="16"/>
  <c r="A21" i="15"/>
  <c r="A21" i="14"/>
  <c r="A21" i="13"/>
  <c r="M55" i="16"/>
  <c r="M55" i="15"/>
  <c r="M55" i="14"/>
  <c r="M55" i="13"/>
  <c r="D8" i="16"/>
  <c r="D3" i="16"/>
  <c r="L1" i="16"/>
  <c r="G1" i="16"/>
  <c r="D1" i="16"/>
  <c r="D8" i="15"/>
  <c r="D3" i="15"/>
  <c r="L1" i="15"/>
  <c r="G1" i="15"/>
  <c r="D1" i="15"/>
  <c r="D8" i="14"/>
  <c r="D3" i="14"/>
  <c r="L1" i="14"/>
  <c r="G1" i="14"/>
  <c r="D1" i="14"/>
  <c r="D8" i="13"/>
  <c r="D3" i="13"/>
  <c r="L1" i="13"/>
  <c r="G1" i="13"/>
  <c r="D1" i="13"/>
  <c r="M55" i="12"/>
  <c r="M55" i="11"/>
  <c r="M55" i="10"/>
  <c r="A21" i="12"/>
  <c r="D8" i="12"/>
  <c r="D3" i="12"/>
  <c r="L1" i="12"/>
  <c r="G1" i="12"/>
  <c r="D1" i="12"/>
  <c r="A21" i="11"/>
  <c r="D8" i="11"/>
  <c r="D3" i="11"/>
  <c r="L1" i="11"/>
  <c r="G1" i="11"/>
  <c r="D1" i="11"/>
  <c r="A21" i="10"/>
  <c r="D8" i="10"/>
  <c r="D3" i="10"/>
  <c r="L1" i="10"/>
  <c r="G1" i="10"/>
  <c r="D1" i="10"/>
  <c r="M55" i="9"/>
  <c r="M55" i="8"/>
  <c r="M55" i="7"/>
  <c r="M55" i="4"/>
  <c r="M55" i="2"/>
  <c r="D8" i="9"/>
  <c r="D3" i="9"/>
  <c r="L1" i="9"/>
  <c r="G1" i="9"/>
  <c r="D1" i="9"/>
  <c r="G3" i="2"/>
  <c r="D8" i="8"/>
  <c r="D3" i="8"/>
  <c r="L1" i="8"/>
  <c r="G1" i="8"/>
  <c r="D1" i="8"/>
  <c r="D8" i="7"/>
  <c r="D3" i="7"/>
  <c r="L1" i="7"/>
  <c r="G1" i="7"/>
  <c r="D1" i="7"/>
  <c r="D8" i="4"/>
  <c r="D3" i="4"/>
  <c r="L1" i="4"/>
  <c r="G1" i="4"/>
  <c r="D1" i="4"/>
  <c r="D54" i="4"/>
  <c r="L8" i="4"/>
  <c r="D22" i="24"/>
  <c r="D23" i="24"/>
  <c r="D24" i="24"/>
  <c r="G54" i="4"/>
  <c r="L11" i="4"/>
  <c r="D25" i="24"/>
  <c r="D26" i="24"/>
  <c r="D27" i="24"/>
  <c r="F55" i="4"/>
  <c r="G55" i="4"/>
  <c r="M18" i="2"/>
  <c r="D8" i="2"/>
  <c r="C3" i="3"/>
  <c r="L1" i="2"/>
  <c r="H56" i="3"/>
  <c r="K56" i="3"/>
  <c r="G56" i="3"/>
  <c r="J56" i="3"/>
  <c r="F56" i="3"/>
  <c r="I56" i="3"/>
  <c r="H55" i="3"/>
  <c r="K55" i="3"/>
  <c r="G55" i="3"/>
  <c r="J55" i="3"/>
  <c r="F55" i="3"/>
  <c r="I55" i="3"/>
  <c r="H54" i="3"/>
  <c r="K54" i="3"/>
  <c r="G54" i="3"/>
  <c r="J54" i="3"/>
  <c r="F54" i="3"/>
  <c r="I54" i="3"/>
  <c r="H53" i="3"/>
  <c r="K53" i="3"/>
  <c r="G53" i="3"/>
  <c r="J53" i="3"/>
  <c r="F53" i="3"/>
  <c r="I53" i="3"/>
  <c r="H52" i="3"/>
  <c r="K52" i="3"/>
  <c r="G52" i="3"/>
  <c r="J52" i="3"/>
  <c r="F52" i="3"/>
  <c r="I52" i="3"/>
  <c r="H51" i="3"/>
  <c r="K51" i="3"/>
  <c r="G51" i="3"/>
  <c r="J51" i="3"/>
  <c r="F51" i="3"/>
  <c r="I51" i="3"/>
  <c r="H50" i="3"/>
  <c r="K50" i="3"/>
  <c r="G50" i="3"/>
  <c r="J50" i="3"/>
  <c r="F50" i="3"/>
  <c r="I50" i="3"/>
  <c r="H49" i="3"/>
  <c r="K49" i="3"/>
  <c r="G49" i="3"/>
  <c r="J49" i="3"/>
  <c r="F49" i="3"/>
  <c r="I49" i="3"/>
  <c r="H48" i="3"/>
  <c r="K48" i="3"/>
  <c r="G48" i="3"/>
  <c r="J48" i="3"/>
  <c r="F48" i="3"/>
  <c r="I48" i="3"/>
  <c r="H47" i="3"/>
  <c r="K47" i="3"/>
  <c r="G47" i="3"/>
  <c r="J47" i="3"/>
  <c r="F47" i="3"/>
  <c r="I47" i="3"/>
  <c r="H46" i="3"/>
  <c r="K46" i="3"/>
  <c r="G46" i="3"/>
  <c r="J46" i="3"/>
  <c r="F46" i="3"/>
  <c r="I46" i="3"/>
  <c r="H45" i="3"/>
  <c r="K45" i="3"/>
  <c r="G45" i="3"/>
  <c r="J45" i="3"/>
  <c r="F45" i="3"/>
  <c r="I45" i="3"/>
  <c r="H44" i="3"/>
  <c r="K44" i="3"/>
  <c r="G44" i="3"/>
  <c r="J44" i="3"/>
  <c r="F44" i="3"/>
  <c r="I44" i="3"/>
  <c r="H43" i="3"/>
  <c r="K43" i="3"/>
  <c r="G43" i="3"/>
  <c r="J43" i="3"/>
  <c r="F43" i="3"/>
  <c r="I43" i="3"/>
  <c r="H42" i="3"/>
  <c r="K42" i="3"/>
  <c r="G42" i="3"/>
  <c r="J42" i="3"/>
  <c r="F42" i="3"/>
  <c r="I42" i="3"/>
  <c r="H41" i="3"/>
  <c r="K41" i="3"/>
  <c r="G41" i="3"/>
  <c r="J41" i="3"/>
  <c r="F41" i="3"/>
  <c r="I41" i="3"/>
  <c r="H40" i="3"/>
  <c r="K40" i="3"/>
  <c r="G40" i="3"/>
  <c r="J40" i="3"/>
  <c r="F40" i="3"/>
  <c r="I40" i="3"/>
  <c r="H39" i="3"/>
  <c r="K39" i="3"/>
  <c r="G39" i="3"/>
  <c r="J39" i="3"/>
  <c r="F39" i="3"/>
  <c r="I39" i="3"/>
  <c r="H38" i="3"/>
  <c r="K38" i="3"/>
  <c r="G38" i="3"/>
  <c r="J38" i="3"/>
  <c r="F38" i="3"/>
  <c r="I38" i="3"/>
  <c r="H37" i="3"/>
  <c r="K37" i="3"/>
  <c r="G37" i="3"/>
  <c r="J37" i="3"/>
  <c r="F37" i="3"/>
  <c r="I37" i="3"/>
  <c r="H36" i="3"/>
  <c r="K36" i="3"/>
  <c r="G36" i="3"/>
  <c r="J36" i="3"/>
  <c r="F36" i="3"/>
  <c r="I36" i="3"/>
  <c r="H35" i="3"/>
  <c r="K35" i="3"/>
  <c r="G35" i="3"/>
  <c r="J35" i="3"/>
  <c r="F35" i="3"/>
  <c r="I35" i="3"/>
  <c r="H34" i="3"/>
  <c r="K34" i="3"/>
  <c r="G34" i="3"/>
  <c r="J34" i="3"/>
  <c r="F34" i="3"/>
  <c r="I34" i="3"/>
  <c r="H33" i="3"/>
  <c r="K33" i="3"/>
  <c r="G33" i="3"/>
  <c r="J33" i="3"/>
  <c r="F33" i="3"/>
  <c r="I33" i="3"/>
  <c r="H32" i="3"/>
  <c r="K32" i="3"/>
  <c r="G32" i="3"/>
  <c r="J32" i="3"/>
  <c r="F32" i="3"/>
  <c r="I32" i="3"/>
  <c r="H31" i="3"/>
  <c r="K31" i="3"/>
  <c r="G31" i="3"/>
  <c r="J31" i="3"/>
  <c r="F31" i="3"/>
  <c r="I31" i="3"/>
  <c r="H30" i="3"/>
  <c r="K30" i="3"/>
  <c r="G30" i="3"/>
  <c r="J30" i="3"/>
  <c r="F30" i="3"/>
  <c r="I30" i="3"/>
  <c r="H29" i="3"/>
  <c r="K29" i="3"/>
  <c r="G29" i="3"/>
  <c r="J29" i="3"/>
  <c r="F29" i="3"/>
  <c r="I29" i="3"/>
  <c r="H28" i="3"/>
  <c r="K28" i="3"/>
  <c r="G28" i="3"/>
  <c r="J28" i="3"/>
  <c r="F28" i="3"/>
  <c r="I28" i="3"/>
  <c r="H27" i="3"/>
  <c r="K27" i="3"/>
  <c r="G27" i="3"/>
  <c r="J27" i="3"/>
  <c r="F27" i="3"/>
  <c r="I27" i="3"/>
  <c r="H26" i="3"/>
  <c r="K26" i="3"/>
  <c r="G26" i="3"/>
  <c r="J26" i="3"/>
  <c r="F26" i="3"/>
  <c r="I26" i="3"/>
  <c r="H25" i="3"/>
  <c r="K25" i="3"/>
  <c r="G25" i="3"/>
  <c r="J25" i="3"/>
  <c r="F25" i="3"/>
  <c r="I25" i="3"/>
  <c r="H24" i="3"/>
  <c r="K24" i="3"/>
  <c r="G24" i="3"/>
  <c r="J24" i="3"/>
  <c r="F24" i="3"/>
  <c r="I24" i="3"/>
  <c r="H23" i="3"/>
  <c r="K23" i="3"/>
  <c r="G23" i="3"/>
  <c r="J23" i="3"/>
  <c r="F23" i="3"/>
  <c r="I23" i="3"/>
  <c r="H22" i="3"/>
  <c r="K22" i="3"/>
  <c r="G22" i="3"/>
  <c r="J22" i="3"/>
  <c r="F22" i="3"/>
  <c r="I22" i="3"/>
  <c r="H21" i="3"/>
  <c r="K21" i="3"/>
  <c r="G21" i="3"/>
  <c r="J21" i="3"/>
  <c r="F21" i="3"/>
  <c r="I21" i="3"/>
  <c r="H20" i="3"/>
  <c r="K20" i="3"/>
  <c r="G20" i="3"/>
  <c r="J20" i="3"/>
  <c r="F20" i="3"/>
  <c r="I20" i="3"/>
  <c r="H19" i="3"/>
  <c r="K19" i="3"/>
  <c r="G19" i="3"/>
  <c r="J19" i="3"/>
  <c r="F19" i="3"/>
  <c r="I19" i="3"/>
  <c r="H18" i="3"/>
  <c r="K18" i="3"/>
  <c r="G18" i="3"/>
  <c r="J18" i="3"/>
  <c r="F18" i="3"/>
  <c r="I18" i="3"/>
  <c r="H17" i="3"/>
  <c r="K17" i="3"/>
  <c r="G17" i="3"/>
  <c r="J17" i="3"/>
  <c r="F17" i="3"/>
  <c r="I17" i="3"/>
  <c r="H16" i="3"/>
  <c r="K16" i="3"/>
  <c r="G16" i="3"/>
  <c r="J16" i="3"/>
  <c r="F16" i="3"/>
  <c r="I16" i="3"/>
  <c r="H15" i="3"/>
  <c r="K15" i="3"/>
  <c r="G15" i="3"/>
  <c r="J15" i="3"/>
  <c r="F15" i="3"/>
  <c r="I15" i="3"/>
  <c r="H14" i="3"/>
  <c r="K14" i="3"/>
  <c r="G14" i="3"/>
  <c r="J14" i="3"/>
  <c r="F14" i="3"/>
  <c r="I14" i="3"/>
  <c r="H13" i="3"/>
  <c r="K13" i="3"/>
  <c r="G13" i="3"/>
  <c r="J13" i="3"/>
  <c r="F13" i="3"/>
  <c r="I13" i="3"/>
  <c r="H12" i="3"/>
  <c r="K12" i="3"/>
  <c r="G12" i="3"/>
  <c r="J12" i="3"/>
  <c r="F12" i="3"/>
  <c r="I12" i="3"/>
  <c r="H11" i="3"/>
  <c r="K11" i="3"/>
  <c r="G11" i="3"/>
  <c r="J11" i="3"/>
  <c r="F11" i="3"/>
  <c r="I11" i="3"/>
  <c r="H10" i="3"/>
  <c r="K10" i="3"/>
  <c r="G10" i="3"/>
  <c r="J10" i="3"/>
  <c r="F10" i="3"/>
  <c r="I10" i="3"/>
  <c r="H9" i="3"/>
  <c r="K9" i="3"/>
  <c r="G9" i="3"/>
  <c r="J9" i="3"/>
  <c r="F9" i="3"/>
  <c r="I9" i="3"/>
  <c r="H8" i="3"/>
  <c r="K8" i="3"/>
  <c r="G8" i="3"/>
  <c r="J8" i="3"/>
  <c r="F8" i="3"/>
  <c r="I8" i="3"/>
  <c r="H7" i="3"/>
  <c r="K7" i="3"/>
  <c r="G7" i="3"/>
  <c r="J7" i="3"/>
  <c r="F7" i="3"/>
  <c r="I7" i="3"/>
  <c r="H6" i="3"/>
  <c r="K6" i="3"/>
  <c r="G6" i="3"/>
  <c r="J6" i="3"/>
  <c r="F6" i="3"/>
  <c r="I6" i="3"/>
  <c r="O33" i="24"/>
  <c r="I55" i="4"/>
  <c r="D55" i="4"/>
  <c r="E55" i="4"/>
  <c r="H55" i="4"/>
  <c r="C14" i="24"/>
  <c r="D14" i="24"/>
  <c r="D3" i="2"/>
  <c r="D1" i="2"/>
  <c r="G1" i="2"/>
  <c r="G20" i="21"/>
  <c r="H20" i="21"/>
  <c r="I20" i="21"/>
  <c r="J20" i="21"/>
  <c r="K20" i="21"/>
  <c r="O16" i="24"/>
  <c r="O2" i="24"/>
  <c r="F7" i="26"/>
  <c r="J7" i="26"/>
  <c r="A15" i="24"/>
  <c r="N7" i="26"/>
  <c r="I22" i="26"/>
  <c r="F5" i="26"/>
  <c r="D7" i="26"/>
  <c r="B44" i="25"/>
  <c r="N2" i="26"/>
  <c r="A39" i="25"/>
  <c r="J2" i="26"/>
  <c r="I7" i="26"/>
  <c r="H7" i="26"/>
  <c r="G21" i="11"/>
  <c r="G7" i="26"/>
  <c r="E7" i="26"/>
  <c r="A7" i="26"/>
  <c r="F2" i="26"/>
  <c r="M7" i="26"/>
  <c r="B5" i="26"/>
  <c r="K7" i="26"/>
  <c r="A17" i="24"/>
  <c r="B43" i="17"/>
  <c r="A14" i="24"/>
  <c r="C11" i="24"/>
  <c r="B1" i="17"/>
  <c r="F59" i="14"/>
  <c r="F59" i="10"/>
  <c r="F59" i="4"/>
  <c r="F57" i="15"/>
  <c r="F57" i="11"/>
  <c r="F57" i="7"/>
  <c r="F57" i="9"/>
  <c r="F59" i="7"/>
  <c r="F57" i="8"/>
  <c r="F59" i="13"/>
  <c r="F59" i="9"/>
  <c r="F59" i="2"/>
  <c r="F57" i="14"/>
  <c r="F57" i="10"/>
  <c r="F57" i="13"/>
  <c r="F59" i="15"/>
  <c r="F57" i="16"/>
  <c r="F59" i="16"/>
  <c r="F59" i="12"/>
  <c r="F59" i="8"/>
  <c r="J34" i="24"/>
  <c r="F59" i="11"/>
  <c r="F57" i="12"/>
  <c r="F57" i="4"/>
  <c r="F57" i="2"/>
  <c r="D34" i="24"/>
  <c r="A57" i="16"/>
  <c r="A57" i="12"/>
  <c r="A57" i="8"/>
  <c r="A34" i="24"/>
  <c r="A57" i="15"/>
  <c r="A57" i="11"/>
  <c r="A57" i="7"/>
  <c r="A57" i="14"/>
  <c r="A57" i="10"/>
  <c r="A57" i="4"/>
  <c r="A57" i="13"/>
  <c r="A57" i="9"/>
  <c r="A57" i="2"/>
  <c r="Q21" i="15"/>
  <c r="L21" i="13"/>
  <c r="L21" i="10"/>
  <c r="L21" i="8"/>
  <c r="L21" i="4"/>
  <c r="L21" i="2"/>
  <c r="Q21" i="16"/>
  <c r="Q21" i="14"/>
  <c r="Q21" i="12"/>
  <c r="Q21" i="9"/>
  <c r="Q21" i="7"/>
  <c r="L21" i="11"/>
  <c r="L21" i="16"/>
  <c r="L21" i="14"/>
  <c r="L21" i="12"/>
  <c r="L21" i="9"/>
  <c r="L21" i="7"/>
  <c r="Q21" i="11"/>
  <c r="L21" i="15"/>
  <c r="Q21" i="13"/>
  <c r="Q21" i="10"/>
  <c r="Q21" i="8"/>
  <c r="Q21" i="4"/>
  <c r="Q21" i="2"/>
  <c r="O7" i="26"/>
  <c r="I18" i="2"/>
  <c r="C18" i="7"/>
  <c r="C18" i="9"/>
  <c r="C18" i="11"/>
  <c r="C18" i="14"/>
  <c r="C18" i="15"/>
  <c r="C18" i="2"/>
  <c r="C17" i="7"/>
  <c r="C17" i="9"/>
  <c r="C17" i="11"/>
  <c r="C17" i="14"/>
  <c r="C17" i="15"/>
  <c r="C17" i="2"/>
  <c r="C18" i="8"/>
  <c r="C18" i="10"/>
  <c r="C18" i="12"/>
  <c r="C18" i="13"/>
  <c r="C18" i="16"/>
  <c r="C17" i="4"/>
  <c r="C17" i="8"/>
  <c r="C17" i="10"/>
  <c r="C17" i="12"/>
  <c r="C17" i="13"/>
  <c r="C17" i="16"/>
  <c r="F11" i="24"/>
  <c r="K21" i="11"/>
  <c r="P21" i="11"/>
  <c r="F21" i="13"/>
  <c r="F21" i="8"/>
  <c r="F21" i="16"/>
  <c r="F21" i="12"/>
  <c r="F21" i="7"/>
  <c r="F21" i="15"/>
  <c r="F21" i="10"/>
  <c r="F21" i="11"/>
  <c r="F21" i="4"/>
  <c r="F21" i="14"/>
  <c r="F21" i="9"/>
  <c r="F21" i="2"/>
  <c r="I21" i="13"/>
  <c r="I21" i="9"/>
  <c r="I21" i="2"/>
  <c r="I21" i="16"/>
  <c r="I21" i="12"/>
  <c r="I21" i="8"/>
  <c r="I21" i="15"/>
  <c r="I21" i="11"/>
  <c r="I21" i="7"/>
  <c r="I21" i="14"/>
  <c r="I21" i="10"/>
  <c r="I21" i="4"/>
  <c r="J10" i="2"/>
  <c r="G21" i="9"/>
  <c r="G21" i="4"/>
  <c r="G21" i="10"/>
  <c r="G21" i="15"/>
  <c r="G21" i="7"/>
  <c r="G21" i="12"/>
  <c r="G21" i="14"/>
  <c r="G21" i="16"/>
  <c r="G21" i="8"/>
  <c r="G21" i="13"/>
  <c r="G21" i="2"/>
  <c r="P21" i="7"/>
  <c r="P21" i="8"/>
  <c r="P21" i="12"/>
  <c r="P21" i="13"/>
  <c r="K21" i="14"/>
  <c r="K21" i="16"/>
  <c r="K21" i="2"/>
  <c r="K21" i="7"/>
  <c r="K21" i="8"/>
  <c r="K21" i="12"/>
  <c r="K21" i="13"/>
  <c r="P21" i="16"/>
  <c r="P21" i="2"/>
  <c r="P21" i="4"/>
  <c r="P21" i="9"/>
  <c r="P21" i="10"/>
  <c r="K21" i="15"/>
  <c r="K21" i="4"/>
  <c r="K21" i="9"/>
  <c r="K21" i="10"/>
  <c r="P21" i="14"/>
  <c r="P21" i="15"/>
  <c r="E21" i="2"/>
  <c r="J9" i="13"/>
  <c r="J9" i="9"/>
  <c r="J9" i="16"/>
  <c r="J9" i="12"/>
  <c r="J9" i="15"/>
  <c r="J9" i="11"/>
  <c r="J9" i="8"/>
  <c r="J9" i="14"/>
  <c r="J9" i="10"/>
  <c r="J9" i="2"/>
  <c r="J9" i="7"/>
  <c r="J9" i="4"/>
  <c r="B40" i="25"/>
  <c r="H16" i="26"/>
  <c r="A8" i="26"/>
  <c r="A1" i="26"/>
  <c r="A22" i="25"/>
  <c r="B23" i="25"/>
  <c r="A14" i="26"/>
  <c r="K20" i="15"/>
  <c r="D20" i="14"/>
  <c r="K20" i="11"/>
  <c r="D20" i="10"/>
  <c r="K20" i="7"/>
  <c r="D20" i="4"/>
  <c r="K20" i="16"/>
  <c r="D20" i="15"/>
  <c r="K20" i="12"/>
  <c r="D20" i="11"/>
  <c r="K20" i="8"/>
  <c r="D20" i="7"/>
  <c r="D20" i="16"/>
  <c r="K20" i="13"/>
  <c r="D20" i="12"/>
  <c r="K20" i="9"/>
  <c r="D20" i="8"/>
  <c r="D20" i="2"/>
  <c r="K20" i="14"/>
  <c r="D20" i="13"/>
  <c r="K20" i="10"/>
  <c r="D20" i="9"/>
  <c r="K20" i="4"/>
  <c r="L2" i="26"/>
  <c r="L7" i="24"/>
  <c r="L7" i="26"/>
  <c r="M20" i="16"/>
  <c r="M20" i="12"/>
  <c r="M20" i="8"/>
  <c r="M20" i="13"/>
  <c r="M20" i="9"/>
  <c r="M20" i="14"/>
  <c r="M20" i="10"/>
  <c r="M20" i="4"/>
  <c r="M20" i="15"/>
  <c r="M20" i="11"/>
  <c r="M20" i="7"/>
  <c r="J4" i="24"/>
  <c r="A10" i="26"/>
  <c r="C21" i="24"/>
  <c r="C7" i="26"/>
  <c r="B1" i="21"/>
  <c r="B2" i="26"/>
  <c r="A9" i="24"/>
  <c r="A9" i="26"/>
  <c r="B33" i="25"/>
  <c r="B35" i="25"/>
  <c r="A1" i="24"/>
  <c r="B48" i="25"/>
  <c r="B56" i="25"/>
  <c r="B52" i="25"/>
  <c r="A64" i="25"/>
  <c r="B42" i="25"/>
  <c r="A21" i="24"/>
  <c r="B55" i="17"/>
  <c r="B48" i="17"/>
  <c r="B51" i="17"/>
  <c r="O7" i="24"/>
  <c r="B58" i="17"/>
  <c r="B57" i="17"/>
  <c r="B42" i="17"/>
  <c r="B50" i="17"/>
  <c r="B24" i="17"/>
  <c r="B27" i="17"/>
  <c r="B16" i="17"/>
  <c r="G19" i="17"/>
  <c r="B19" i="17"/>
  <c r="G27" i="17"/>
  <c r="G9" i="21"/>
  <c r="B11" i="17"/>
  <c r="G11" i="17"/>
  <c r="C4" i="17"/>
  <c r="F4" i="17"/>
  <c r="F2" i="17"/>
  <c r="F19" i="17"/>
  <c r="F9" i="17"/>
  <c r="F16" i="17"/>
  <c r="F27" i="17"/>
  <c r="B9" i="17"/>
  <c r="F24" i="17"/>
  <c r="C27" i="17"/>
  <c r="C19" i="17"/>
  <c r="B4" i="17"/>
  <c r="G4" i="17"/>
  <c r="B2" i="17"/>
  <c r="B11" i="21"/>
  <c r="B10" i="21"/>
  <c r="N2" i="24"/>
  <c r="K10" i="25"/>
  <c r="P54" i="2"/>
  <c r="P54" i="16"/>
  <c r="P54" i="15"/>
  <c r="P54" i="14"/>
  <c r="P54" i="13"/>
  <c r="P54" i="12"/>
  <c r="P54" i="11"/>
  <c r="P54" i="10"/>
  <c r="P54" i="9"/>
  <c r="P54" i="8"/>
  <c r="P54" i="7"/>
  <c r="P54" i="4"/>
  <c r="Q37" i="12"/>
  <c r="Q44" i="12"/>
  <c r="Q51" i="12"/>
  <c r="Q27" i="13"/>
  <c r="Q34" i="13"/>
  <c r="Q41" i="13"/>
  <c r="Q48" i="13"/>
  <c r="Q25" i="14"/>
  <c r="Q32" i="14"/>
  <c r="Q39" i="14"/>
  <c r="Q46" i="14"/>
  <c r="Q53" i="14"/>
  <c r="Q29" i="15"/>
  <c r="Q36" i="15"/>
  <c r="Q43" i="15"/>
  <c r="Q50" i="15"/>
  <c r="Q27" i="16"/>
  <c r="Q34" i="16"/>
  <c r="Q41" i="16"/>
  <c r="P20" i="2"/>
  <c r="P20" i="16"/>
  <c r="P20" i="15"/>
  <c r="P20" i="14"/>
  <c r="P20" i="13"/>
  <c r="P20" i="12"/>
  <c r="P20" i="11"/>
  <c r="P20" i="10"/>
  <c r="P20" i="9"/>
  <c r="P20" i="8"/>
  <c r="P20" i="7"/>
  <c r="P20" i="4"/>
  <c r="G3" i="4"/>
  <c r="I7" i="16"/>
  <c r="I7" i="14"/>
  <c r="I7" i="11"/>
  <c r="I7" i="15"/>
  <c r="I7" i="13"/>
  <c r="I7" i="12"/>
  <c r="I7" i="9"/>
  <c r="I7" i="8"/>
  <c r="I7" i="10"/>
  <c r="H21" i="16"/>
  <c r="H21" i="15"/>
  <c r="H21" i="14"/>
  <c r="H21" i="13"/>
  <c r="H21" i="12"/>
  <c r="H21" i="10"/>
  <c r="H21" i="11"/>
  <c r="H21" i="9"/>
  <c r="H21" i="8"/>
  <c r="A1" i="16"/>
  <c r="A1" i="15"/>
  <c r="A1" i="13"/>
  <c r="A1" i="12"/>
  <c r="A1" i="14"/>
  <c r="A1" i="11"/>
  <c r="A1" i="10"/>
  <c r="A1" i="8"/>
  <c r="A1" i="9"/>
  <c r="I24" i="21"/>
  <c r="E24" i="21"/>
  <c r="J15" i="16"/>
  <c r="J15" i="15"/>
  <c r="J15" i="14"/>
  <c r="J15" i="13"/>
  <c r="J15" i="12"/>
  <c r="J15" i="11"/>
  <c r="J15" i="10"/>
  <c r="J15" i="8"/>
  <c r="J15" i="9"/>
  <c r="A3" i="16"/>
  <c r="B3" i="21"/>
  <c r="A3" i="15"/>
  <c r="A3" i="13"/>
  <c r="A3" i="12"/>
  <c r="A3" i="14"/>
  <c r="A3" i="11"/>
  <c r="A3" i="10"/>
  <c r="A3" i="8"/>
  <c r="A3" i="9"/>
  <c r="E1" i="21"/>
  <c r="F1" i="16"/>
  <c r="F1" i="15"/>
  <c r="F1" i="13"/>
  <c r="F1" i="12"/>
  <c r="F1" i="14"/>
  <c r="F1" i="11"/>
  <c r="F1" i="10"/>
  <c r="F1" i="8"/>
  <c r="F1" i="9"/>
  <c r="B13" i="21"/>
  <c r="D21" i="16"/>
  <c r="D21" i="15"/>
  <c r="D21" i="14"/>
  <c r="D21" i="13"/>
  <c r="I8" i="16"/>
  <c r="D21" i="12"/>
  <c r="I8" i="11"/>
  <c r="D21" i="10"/>
  <c r="I8" i="15"/>
  <c r="I8" i="14"/>
  <c r="I8" i="13"/>
  <c r="I8" i="12"/>
  <c r="D21" i="11"/>
  <c r="I8" i="9"/>
  <c r="I8" i="8"/>
  <c r="I8" i="10"/>
  <c r="D21" i="9"/>
  <c r="D21" i="8"/>
  <c r="G1" i="21"/>
  <c r="K1" i="16"/>
  <c r="K1" i="15"/>
  <c r="K1" i="13"/>
  <c r="K1" i="12"/>
  <c r="K1" i="14"/>
  <c r="K1" i="11"/>
  <c r="K1" i="10"/>
  <c r="K1" i="8"/>
  <c r="K1" i="9"/>
  <c r="D9" i="16"/>
  <c r="D9" i="11"/>
  <c r="D9" i="15"/>
  <c r="D9" i="14"/>
  <c r="D9" i="13"/>
  <c r="D9" i="12"/>
  <c r="D9" i="9"/>
  <c r="D9" i="8"/>
  <c r="D9" i="10"/>
  <c r="K3" i="16"/>
  <c r="E3" i="21"/>
  <c r="K3" i="15"/>
  <c r="K3" i="13"/>
  <c r="K3" i="12"/>
  <c r="K3" i="14"/>
  <c r="K3" i="11"/>
  <c r="K3" i="10"/>
  <c r="K3" i="9"/>
  <c r="K3" i="8"/>
  <c r="B24" i="21"/>
  <c r="A22" i="16"/>
  <c r="A22" i="15"/>
  <c r="A22" i="14"/>
  <c r="A22" i="13"/>
  <c r="A22" i="12"/>
  <c r="A22" i="10"/>
  <c r="A22" i="11"/>
  <c r="A22" i="9"/>
  <c r="A22" i="8"/>
  <c r="A19" i="16"/>
  <c r="A19" i="15"/>
  <c r="A19" i="14"/>
  <c r="A19" i="13"/>
  <c r="A19" i="11"/>
  <c r="A19" i="12"/>
  <c r="A19" i="9"/>
  <c r="A19" i="8"/>
  <c r="A19" i="10"/>
  <c r="J14" i="16"/>
  <c r="J14" i="15"/>
  <c r="J14" i="14"/>
  <c r="J14" i="13"/>
  <c r="J14" i="12"/>
  <c r="J14" i="11"/>
  <c r="J14" i="10"/>
  <c r="J14" i="9"/>
  <c r="J14" i="8"/>
  <c r="L7" i="16"/>
  <c r="L7" i="15"/>
  <c r="L7" i="13"/>
  <c r="L7" i="12"/>
  <c r="L7" i="14"/>
  <c r="L7" i="11"/>
  <c r="L7" i="10"/>
  <c r="L7" i="9"/>
  <c r="L7" i="8"/>
  <c r="B19" i="21"/>
  <c r="I12" i="16"/>
  <c r="I12" i="15"/>
  <c r="I12" i="14"/>
  <c r="I12" i="11"/>
  <c r="I12" i="13"/>
  <c r="I12" i="12"/>
  <c r="I12" i="9"/>
  <c r="I12" i="8"/>
  <c r="I12" i="10"/>
  <c r="M7" i="16"/>
  <c r="M7" i="15"/>
  <c r="M7" i="14"/>
  <c r="M7" i="11"/>
  <c r="M7" i="13"/>
  <c r="M7" i="12"/>
  <c r="M7" i="9"/>
  <c r="M7" i="8"/>
  <c r="M7" i="10"/>
  <c r="I14" i="15"/>
  <c r="B18" i="21"/>
  <c r="I14" i="16"/>
  <c r="I14" i="11"/>
  <c r="I14" i="14"/>
  <c r="I14" i="13"/>
  <c r="I14" i="12"/>
  <c r="I14" i="9"/>
  <c r="I14" i="8"/>
  <c r="I14" i="10"/>
  <c r="C18" i="4"/>
  <c r="B15" i="21"/>
  <c r="E21" i="16"/>
  <c r="E21" i="15"/>
  <c r="E21" i="14"/>
  <c r="E21" i="13"/>
  <c r="B14" i="21"/>
  <c r="I9" i="16"/>
  <c r="I9" i="15"/>
  <c r="I9" i="13"/>
  <c r="I9" i="12"/>
  <c r="E21" i="11"/>
  <c r="I9" i="14"/>
  <c r="E21" i="12"/>
  <c r="I9" i="11"/>
  <c r="E21" i="10"/>
  <c r="I9" i="10"/>
  <c r="E21" i="9"/>
  <c r="E21" i="8"/>
  <c r="I9" i="9"/>
  <c r="I9" i="8"/>
  <c r="I18" i="16"/>
  <c r="I18" i="15"/>
  <c r="I18" i="14"/>
  <c r="I18" i="13"/>
  <c r="I18" i="12"/>
  <c r="I18" i="11"/>
  <c r="I18" i="10"/>
  <c r="I18" i="9"/>
  <c r="I18" i="8"/>
  <c r="N7" i="16"/>
  <c r="D11" i="16"/>
  <c r="D11" i="15"/>
  <c r="N7" i="15"/>
  <c r="N7" i="14"/>
  <c r="D11" i="13"/>
  <c r="N7" i="13"/>
  <c r="D11" i="12"/>
  <c r="N7" i="12"/>
  <c r="D11" i="14"/>
  <c r="D11" i="11"/>
  <c r="N7" i="11"/>
  <c r="D11" i="10"/>
  <c r="N7" i="10"/>
  <c r="D11" i="9"/>
  <c r="N7" i="9"/>
  <c r="D11" i="8"/>
  <c r="N7" i="8"/>
  <c r="B21" i="21"/>
  <c r="I13" i="16"/>
  <c r="I13" i="15"/>
  <c r="I13" i="14"/>
  <c r="I13" i="13"/>
  <c r="I13" i="12"/>
  <c r="I13" i="11"/>
  <c r="I13" i="10"/>
  <c r="I13" i="8"/>
  <c r="I13" i="9"/>
  <c r="J10" i="16"/>
  <c r="J10" i="15"/>
  <c r="J10" i="13"/>
  <c r="J10" i="12"/>
  <c r="J10" i="14"/>
  <c r="J10" i="11"/>
  <c r="J10" i="10"/>
  <c r="J10" i="9"/>
  <c r="J10" i="8"/>
  <c r="C15" i="16"/>
  <c r="I16" i="15"/>
  <c r="B16" i="21"/>
  <c r="I16" i="16"/>
  <c r="C15" i="15"/>
  <c r="C15" i="14"/>
  <c r="I16" i="14"/>
  <c r="C15" i="13"/>
  <c r="C15" i="12"/>
  <c r="I16" i="11"/>
  <c r="I16" i="13"/>
  <c r="I16" i="12"/>
  <c r="C15" i="11"/>
  <c r="C15" i="10"/>
  <c r="I16" i="9"/>
  <c r="C15" i="8"/>
  <c r="C15" i="7"/>
  <c r="C15" i="2"/>
  <c r="I16" i="10"/>
  <c r="C15" i="9"/>
  <c r="C15" i="4"/>
  <c r="I16" i="8"/>
  <c r="C16" i="16"/>
  <c r="I17" i="16"/>
  <c r="I17" i="15"/>
  <c r="B12" i="21"/>
  <c r="C16" i="15"/>
  <c r="C16" i="14"/>
  <c r="I17" i="14"/>
  <c r="C16" i="13"/>
  <c r="C16" i="12"/>
  <c r="I17" i="11"/>
  <c r="I17" i="13"/>
  <c r="I17" i="12"/>
  <c r="C16" i="11"/>
  <c r="C16" i="10"/>
  <c r="I17" i="9"/>
  <c r="C16" i="4"/>
  <c r="I17" i="8"/>
  <c r="I17" i="10"/>
  <c r="C16" i="9"/>
  <c r="C16" i="8"/>
  <c r="C16" i="7"/>
  <c r="C16" i="2"/>
  <c r="B17" i="21"/>
  <c r="I11" i="16"/>
  <c r="I11" i="15"/>
  <c r="I11" i="14"/>
  <c r="I11" i="11"/>
  <c r="I11" i="13"/>
  <c r="I11" i="12"/>
  <c r="I11" i="9"/>
  <c r="I11" i="8"/>
  <c r="I11" i="10"/>
  <c r="D10" i="16"/>
  <c r="D10" i="15"/>
  <c r="B20" i="21"/>
  <c r="D10" i="14"/>
  <c r="D10" i="11"/>
  <c r="D10" i="13"/>
  <c r="D10" i="12"/>
  <c r="D10" i="9"/>
  <c r="D10" i="8"/>
  <c r="D10" i="10"/>
  <c r="D7" i="16"/>
  <c r="C14" i="16"/>
  <c r="C14" i="15"/>
  <c r="D7" i="15"/>
  <c r="C14" i="14"/>
  <c r="C14" i="13"/>
  <c r="D7" i="13"/>
  <c r="C14" i="12"/>
  <c r="D7" i="12"/>
  <c r="D7" i="14"/>
  <c r="C14" i="11"/>
  <c r="D7" i="11"/>
  <c r="C14" i="10"/>
  <c r="D7" i="10"/>
  <c r="C14" i="4"/>
  <c r="C14" i="9"/>
  <c r="D7" i="9"/>
  <c r="C14" i="8"/>
  <c r="C14" i="7"/>
  <c r="C14" i="2"/>
  <c r="D7" i="8"/>
  <c r="B13" i="16"/>
  <c r="B13" i="15"/>
  <c r="B13" i="14"/>
  <c r="B13" i="11"/>
  <c r="B13" i="13"/>
  <c r="B13" i="12"/>
  <c r="B13" i="9"/>
  <c r="B13" i="8"/>
  <c r="B13" i="7"/>
  <c r="B13" i="2"/>
  <c r="B13" i="10"/>
  <c r="B13" i="4"/>
  <c r="F3" i="16"/>
  <c r="F3" i="15"/>
  <c r="F3" i="13"/>
  <c r="F3" i="12"/>
  <c r="F3" i="14"/>
  <c r="F3" i="11"/>
  <c r="F3" i="10"/>
  <c r="F3" i="8"/>
  <c r="F3" i="9"/>
  <c r="I12" i="7"/>
  <c r="I12" i="4"/>
  <c r="I7" i="7"/>
  <c r="I7" i="4"/>
  <c r="H21" i="2"/>
  <c r="H21" i="7"/>
  <c r="H21" i="4"/>
  <c r="A1" i="2"/>
  <c r="A1" i="7"/>
  <c r="A1" i="4"/>
  <c r="J15" i="2"/>
  <c r="J15" i="7"/>
  <c r="J15" i="4"/>
  <c r="A3" i="2"/>
  <c r="A3" i="7"/>
  <c r="A3" i="4"/>
  <c r="F1" i="2"/>
  <c r="F1" i="7"/>
  <c r="F1" i="4"/>
  <c r="I8" i="7"/>
  <c r="D21" i="7"/>
  <c r="D21" i="4"/>
  <c r="I8" i="4"/>
  <c r="K1" i="2"/>
  <c r="K1" i="7"/>
  <c r="K1" i="4"/>
  <c r="D9" i="2"/>
  <c r="D9" i="7"/>
  <c r="D9" i="4"/>
  <c r="K3" i="2"/>
  <c r="K3" i="7"/>
  <c r="K3" i="4"/>
  <c r="A22" i="7"/>
  <c r="A22" i="4"/>
  <c r="A19" i="2"/>
  <c r="A19" i="7"/>
  <c r="A19" i="4"/>
  <c r="J14" i="2"/>
  <c r="J14" i="7"/>
  <c r="J14" i="4"/>
  <c r="L7" i="2"/>
  <c r="L7" i="7"/>
  <c r="L7" i="4"/>
  <c r="M7" i="7"/>
  <c r="M7" i="4"/>
  <c r="I14" i="7"/>
  <c r="I14" i="4"/>
  <c r="E21" i="7"/>
  <c r="I9" i="7"/>
  <c r="E21" i="4"/>
  <c r="I9" i="4"/>
  <c r="I18" i="7"/>
  <c r="I18" i="4"/>
  <c r="D11" i="7"/>
  <c r="N7" i="7"/>
  <c r="N7" i="4"/>
  <c r="D11" i="4"/>
  <c r="I13" i="7"/>
  <c r="I13" i="4"/>
  <c r="J10" i="7"/>
  <c r="J10" i="4"/>
  <c r="I16" i="7"/>
  <c r="I16" i="4"/>
  <c r="I17" i="7"/>
  <c r="I17" i="4"/>
  <c r="I11" i="7"/>
  <c r="I11" i="4"/>
  <c r="M20" i="2"/>
  <c r="D10" i="7"/>
  <c r="D10" i="4"/>
  <c r="D7" i="7"/>
  <c r="D7" i="4"/>
  <c r="F3" i="7"/>
  <c r="F3" i="2"/>
  <c r="F3" i="4"/>
  <c r="A22" i="24"/>
  <c r="D21" i="2"/>
  <c r="I8" i="2"/>
  <c r="A22" i="2"/>
  <c r="A19" i="24"/>
  <c r="K20" i="2"/>
  <c r="I7" i="2"/>
  <c r="A26" i="24"/>
  <c r="I12" i="2"/>
  <c r="A29" i="24"/>
  <c r="I14" i="2"/>
  <c r="A23" i="24"/>
  <c r="I9" i="2"/>
  <c r="A32" i="24"/>
  <c r="O21" i="24"/>
  <c r="O13" i="24"/>
  <c r="D11" i="2"/>
  <c r="N7" i="2"/>
  <c r="A27" i="24"/>
  <c r="I13" i="2"/>
  <c r="A30" i="24"/>
  <c r="I16" i="2"/>
  <c r="A31" i="24"/>
  <c r="I17" i="2"/>
  <c r="A25" i="24"/>
  <c r="I11" i="2"/>
  <c r="A16" i="24"/>
  <c r="D10" i="2"/>
  <c r="A11" i="24"/>
  <c r="D7" i="2"/>
  <c r="M21" i="24"/>
  <c r="M7" i="24"/>
  <c r="M13" i="24"/>
  <c r="G21" i="24"/>
  <c r="G13" i="24"/>
  <c r="H13" i="24"/>
  <c r="H21" i="24"/>
  <c r="H7" i="24"/>
  <c r="D21" i="24"/>
  <c r="D13" i="24"/>
  <c r="D7" i="24"/>
  <c r="A8" i="24"/>
  <c r="G7" i="24"/>
  <c r="B2" i="24"/>
  <c r="F2" i="24"/>
  <c r="J2" i="24"/>
  <c r="A7" i="24"/>
  <c r="A24" i="24"/>
  <c r="A28" i="24"/>
  <c r="K13" i="24"/>
  <c r="K21" i="24"/>
  <c r="K7" i="24"/>
  <c r="L13" i="24"/>
  <c r="L21" i="24"/>
  <c r="E21" i="24"/>
  <c r="E7" i="24"/>
  <c r="E13" i="24"/>
  <c r="I21" i="24"/>
  <c r="I7" i="24"/>
  <c r="I13" i="24"/>
  <c r="C7" i="24"/>
  <c r="C13" i="24"/>
  <c r="N21" i="24"/>
  <c r="N13" i="24"/>
  <c r="J21" i="24"/>
  <c r="J13" i="24"/>
  <c r="F21" i="24"/>
  <c r="F7" i="24"/>
  <c r="F13" i="24"/>
  <c r="J7" i="24"/>
  <c r="N7" i="24"/>
  <c r="B4" i="24"/>
  <c r="F4" i="24"/>
  <c r="A13" i="24"/>
  <c r="E14" i="24"/>
  <c r="Q25" i="9"/>
  <c r="Q32" i="9"/>
  <c r="Q39" i="9"/>
  <c r="Q46" i="9"/>
  <c r="Q53" i="9"/>
  <c r="Q29" i="10"/>
  <c r="Q36" i="10"/>
  <c r="Q43" i="10"/>
  <c r="Q50" i="10"/>
  <c r="Q27" i="11"/>
  <c r="Q34" i="11"/>
  <c r="Q41" i="11"/>
  <c r="Q48" i="11"/>
  <c r="Q24" i="12"/>
  <c r="Q31" i="12"/>
  <c r="Q38" i="12"/>
  <c r="Q45" i="12"/>
  <c r="Q52" i="12"/>
  <c r="Q28" i="13"/>
  <c r="Q35" i="13"/>
  <c r="Q42" i="13"/>
  <c r="Q49" i="13"/>
  <c r="Q26" i="14"/>
  <c r="Q33" i="14"/>
  <c r="Q40" i="14"/>
  <c r="Q47" i="14"/>
  <c r="Q23" i="15"/>
  <c r="Q30" i="15"/>
  <c r="Q37" i="15"/>
  <c r="Q44" i="15"/>
  <c r="Q51" i="15"/>
  <c r="Q28" i="16"/>
  <c r="Q35" i="16"/>
  <c r="Q42" i="16"/>
  <c r="Q49" i="16"/>
  <c r="T25" i="2"/>
  <c r="G3" i="7"/>
  <c r="F14" i="24"/>
  <c r="T26" i="2"/>
  <c r="S25" i="2"/>
  <c r="S32" i="2"/>
  <c r="G3" i="8"/>
  <c r="F58" i="17"/>
  <c r="G51" i="17"/>
  <c r="G44" i="17"/>
  <c r="G43" i="17"/>
  <c r="C37" i="17"/>
  <c r="G29" i="17"/>
  <c r="C29" i="17"/>
  <c r="G21" i="17"/>
  <c r="C21" i="17"/>
  <c r="G13" i="17"/>
  <c r="C13" i="17"/>
  <c r="G6" i="17"/>
  <c r="C6" i="17"/>
  <c r="G54" i="16"/>
  <c r="D54" i="16"/>
  <c r="G54" i="15"/>
  <c r="D54" i="15"/>
  <c r="G54" i="14"/>
  <c r="D54" i="14"/>
  <c r="G54" i="13"/>
  <c r="D54" i="13"/>
  <c r="G54" i="12"/>
  <c r="D54" i="12"/>
  <c r="G54" i="11"/>
  <c r="D54" i="11"/>
  <c r="G54" i="10"/>
  <c r="D54" i="10"/>
  <c r="G54" i="9"/>
  <c r="D54" i="9"/>
  <c r="A21" i="9"/>
  <c r="G54" i="8"/>
  <c r="D54" i="8"/>
  <c r="A21" i="8"/>
  <c r="G54" i="7"/>
  <c r="D54" i="7"/>
  <c r="A21" i="7"/>
  <c r="A21" i="4"/>
  <c r="H55" i="2"/>
  <c r="G54" i="2"/>
  <c r="G55" i="2"/>
  <c r="F55" i="2"/>
  <c r="E55" i="2"/>
  <c r="D54" i="2"/>
  <c r="D55" i="2"/>
  <c r="A21" i="2"/>
  <c r="E55" i="7"/>
  <c r="E23" i="24"/>
  <c r="I55" i="7"/>
  <c r="E27" i="24"/>
  <c r="F55" i="8"/>
  <c r="F24" i="24"/>
  <c r="G55" i="9"/>
  <c r="L11" i="9"/>
  <c r="G25" i="24"/>
  <c r="E55" i="10"/>
  <c r="H23" i="24"/>
  <c r="I55" i="10"/>
  <c r="H27" i="24"/>
  <c r="G55" i="11"/>
  <c r="L11" i="11"/>
  <c r="I25" i="24"/>
  <c r="E55" i="12"/>
  <c r="J23" i="24"/>
  <c r="I55" i="12"/>
  <c r="J27" i="24"/>
  <c r="G55" i="13"/>
  <c r="L11" i="13"/>
  <c r="K25" i="24"/>
  <c r="E55" i="14"/>
  <c r="L23" i="24"/>
  <c r="I55" i="14"/>
  <c r="L27" i="24"/>
  <c r="G55" i="15"/>
  <c r="L11" i="15"/>
  <c r="M25" i="24"/>
  <c r="E55" i="16"/>
  <c r="N23" i="24"/>
  <c r="I55" i="16"/>
  <c r="N27" i="24"/>
  <c r="F55" i="7"/>
  <c r="E24" i="24"/>
  <c r="G55" i="8"/>
  <c r="L11" i="8"/>
  <c r="F25" i="24"/>
  <c r="D55" i="9"/>
  <c r="L8" i="9"/>
  <c r="G22" i="24"/>
  <c r="H55" i="9"/>
  <c r="G26" i="24"/>
  <c r="F55" i="10"/>
  <c r="H24" i="24"/>
  <c r="D55" i="11"/>
  <c r="L8" i="11"/>
  <c r="I22" i="24"/>
  <c r="H55" i="11"/>
  <c r="I26" i="24"/>
  <c r="F55" i="12"/>
  <c r="J24" i="24"/>
  <c r="D55" i="13"/>
  <c r="L8" i="13"/>
  <c r="K22" i="24"/>
  <c r="H55" i="13"/>
  <c r="K26" i="24"/>
  <c r="F55" i="14"/>
  <c r="L24" i="24"/>
  <c r="D55" i="15"/>
  <c r="L8" i="15"/>
  <c r="M22" i="24"/>
  <c r="H55" i="15"/>
  <c r="M26" i="24"/>
  <c r="F55" i="16"/>
  <c r="N24" i="24"/>
  <c r="G55" i="7"/>
  <c r="L11" i="7"/>
  <c r="E25" i="24"/>
  <c r="D55" i="8"/>
  <c r="L8" i="8"/>
  <c r="F22" i="24"/>
  <c r="H55" i="8"/>
  <c r="F26" i="24"/>
  <c r="E55" i="9"/>
  <c r="G23" i="24"/>
  <c r="I55" i="9"/>
  <c r="G27" i="24"/>
  <c r="G55" i="10"/>
  <c r="L11" i="10"/>
  <c r="H25" i="24"/>
  <c r="E55" i="11"/>
  <c r="I23" i="24"/>
  <c r="I55" i="11"/>
  <c r="I27" i="24"/>
  <c r="G55" i="12"/>
  <c r="L11" i="12"/>
  <c r="J25" i="24"/>
  <c r="E55" i="13"/>
  <c r="K23" i="24"/>
  <c r="I55" i="13"/>
  <c r="K27" i="24"/>
  <c r="G55" i="14"/>
  <c r="L11" i="14"/>
  <c r="L25" i="24"/>
  <c r="E55" i="15"/>
  <c r="M23" i="24"/>
  <c r="I55" i="15"/>
  <c r="M27" i="24"/>
  <c r="G55" i="16"/>
  <c r="L11" i="16"/>
  <c r="N25" i="24"/>
  <c r="D55" i="7"/>
  <c r="L8" i="7"/>
  <c r="E22" i="24"/>
  <c r="H55" i="7"/>
  <c r="E26" i="24"/>
  <c r="E55" i="8"/>
  <c r="F23" i="24"/>
  <c r="I55" i="8"/>
  <c r="F27" i="24"/>
  <c r="F55" i="9"/>
  <c r="G24" i="24"/>
  <c r="D55" i="10"/>
  <c r="L8" i="10"/>
  <c r="H22" i="24"/>
  <c r="H55" i="10"/>
  <c r="H26" i="24"/>
  <c r="F55" i="11"/>
  <c r="I24" i="24"/>
  <c r="D55" i="12"/>
  <c r="L8" i="12"/>
  <c r="J22" i="24"/>
  <c r="H55" i="12"/>
  <c r="J26" i="24"/>
  <c r="F55" i="13"/>
  <c r="K24" i="24"/>
  <c r="D55" i="14"/>
  <c r="L8" i="14"/>
  <c r="L22" i="24"/>
  <c r="H55" i="14"/>
  <c r="L26" i="24"/>
  <c r="F55" i="15"/>
  <c r="M24" i="24"/>
  <c r="D55" i="16"/>
  <c r="L8" i="16"/>
  <c r="N22" i="24"/>
  <c r="H55" i="16"/>
  <c r="N26" i="24"/>
  <c r="T39" i="2"/>
  <c r="S26" i="2"/>
  <c r="W26" i="2"/>
  <c r="S33" i="2"/>
  <c r="Q37" i="10"/>
  <c r="Q44" i="10"/>
  <c r="Q51" i="10"/>
  <c r="Q28" i="11"/>
  <c r="Q35" i="11"/>
  <c r="Q42" i="11"/>
  <c r="Q49" i="11"/>
  <c r="Q25" i="12"/>
  <c r="Q32" i="12"/>
  <c r="Q39" i="12"/>
  <c r="Q46" i="12"/>
  <c r="Q53" i="12"/>
  <c r="Q29" i="13"/>
  <c r="Q36" i="13"/>
  <c r="Q43" i="13"/>
  <c r="Q50" i="13"/>
  <c r="Q27" i="14"/>
  <c r="Q34" i="14"/>
  <c r="Q41" i="14"/>
  <c r="Q48" i="14"/>
  <c r="Q24" i="15"/>
  <c r="Q31" i="15"/>
  <c r="Q38" i="15"/>
  <c r="Q45" i="15"/>
  <c r="Q52" i="15"/>
  <c r="Q29" i="16"/>
  <c r="Q36" i="16"/>
  <c r="Q43" i="16"/>
  <c r="Q50" i="16"/>
  <c r="G14" i="24"/>
  <c r="T32" i="2"/>
  <c r="V32" i="2"/>
  <c r="W32" i="2"/>
  <c r="U32" i="2"/>
  <c r="W25" i="2"/>
  <c r="U25" i="2"/>
  <c r="V25" i="2"/>
  <c r="G3" i="9"/>
  <c r="L11" i="2"/>
  <c r="I55" i="2"/>
  <c r="L8" i="2"/>
  <c r="N11" i="2"/>
  <c r="M11" i="4"/>
  <c r="N11" i="4"/>
  <c r="M11" i="7"/>
  <c r="N11" i="7"/>
  <c r="M11" i="8"/>
  <c r="N11" i="8"/>
  <c r="M11" i="9"/>
  <c r="N11" i="9"/>
  <c r="M11" i="10"/>
  <c r="N11" i="10"/>
  <c r="M11" i="11"/>
  <c r="N11" i="11"/>
  <c r="M11" i="12"/>
  <c r="N11" i="12"/>
  <c r="M11" i="13"/>
  <c r="N11" i="13"/>
  <c r="M11" i="14"/>
  <c r="N11" i="14"/>
  <c r="C25" i="24"/>
  <c r="C22" i="24"/>
  <c r="C26" i="24"/>
  <c r="O26" i="24"/>
  <c r="C23" i="24"/>
  <c r="O23" i="24"/>
  <c r="C24" i="24"/>
  <c r="O24" i="24"/>
  <c r="C27" i="24"/>
  <c r="T33" i="2"/>
  <c r="V33" i="2"/>
  <c r="S40" i="2"/>
  <c r="S39" i="2"/>
  <c r="W39" i="2"/>
  <c r="U26" i="2"/>
  <c r="V26" i="2"/>
  <c r="Q32" i="7"/>
  <c r="Q39" i="7"/>
  <c r="Q46" i="7"/>
  <c r="Q53" i="7"/>
  <c r="Q29" i="8"/>
  <c r="Q36" i="8"/>
  <c r="Q43" i="8"/>
  <c r="Q50" i="8"/>
  <c r="Q27" i="9"/>
  <c r="Q34" i="9"/>
  <c r="Q41" i="9"/>
  <c r="Q48" i="9"/>
  <c r="Q24" i="10"/>
  <c r="Q31" i="10"/>
  <c r="Q38" i="10"/>
  <c r="Q45" i="10"/>
  <c r="Q52" i="10"/>
  <c r="Q29" i="11"/>
  <c r="Q36" i="11"/>
  <c r="Q43" i="11"/>
  <c r="Q50" i="11"/>
  <c r="Q26" i="12"/>
  <c r="Q33" i="12"/>
  <c r="Q40" i="12"/>
  <c r="Q47" i="12"/>
  <c r="Q23" i="13"/>
  <c r="Q30" i="13"/>
  <c r="Q37" i="13"/>
  <c r="Q44" i="13"/>
  <c r="Q51" i="13"/>
  <c r="Q28" i="14"/>
  <c r="Q35" i="14"/>
  <c r="Q42" i="14"/>
  <c r="Q49" i="14"/>
  <c r="Q25" i="15"/>
  <c r="Q32" i="15"/>
  <c r="Q39" i="15"/>
  <c r="Q46" i="15"/>
  <c r="Q23" i="16"/>
  <c r="Q30" i="16"/>
  <c r="Q37" i="16"/>
  <c r="Q44" i="16"/>
  <c r="Q51" i="16"/>
  <c r="S27" i="2"/>
  <c r="W27" i="2"/>
  <c r="T27" i="2"/>
  <c r="H14" i="24"/>
  <c r="W33" i="2"/>
  <c r="U33" i="2"/>
  <c r="T34" i="2"/>
  <c r="S34" i="2"/>
  <c r="T46" i="2"/>
  <c r="S46" i="2"/>
  <c r="O25" i="24"/>
  <c r="O27" i="24"/>
  <c r="G3" i="10"/>
  <c r="N8" i="2"/>
  <c r="M11" i="15"/>
  <c r="N11" i="15"/>
  <c r="M11" i="16"/>
  <c r="N11" i="16"/>
  <c r="T47" i="2"/>
  <c r="U39" i="2"/>
  <c r="T40" i="2"/>
  <c r="V40" i="2"/>
  <c r="V39" i="2"/>
  <c r="Q33" i="15"/>
  <c r="Q40" i="15"/>
  <c r="Q47" i="15"/>
  <c r="Q24" i="16"/>
  <c r="Q31" i="16"/>
  <c r="Q38" i="16"/>
  <c r="Q45" i="16"/>
  <c r="Q52" i="16"/>
  <c r="V27" i="2"/>
  <c r="S28" i="2"/>
  <c r="U28" i="2"/>
  <c r="U27" i="2"/>
  <c r="T28" i="2"/>
  <c r="I14" i="24"/>
  <c r="W40" i="2"/>
  <c r="U40" i="2"/>
  <c r="W34" i="2"/>
  <c r="V34" i="2"/>
  <c r="U34" i="2"/>
  <c r="W46" i="2"/>
  <c r="V46" i="2"/>
  <c r="U46" i="2"/>
  <c r="T35" i="2"/>
  <c r="S35" i="2"/>
  <c r="T53" i="2"/>
  <c r="S53" i="2"/>
  <c r="T41" i="2"/>
  <c r="S41" i="2"/>
  <c r="G3" i="11"/>
  <c r="M8" i="4"/>
  <c r="O22" i="24"/>
  <c r="G21" i="21"/>
  <c r="H21" i="21"/>
  <c r="I21" i="21"/>
  <c r="K21" i="21"/>
  <c r="J21" i="21"/>
  <c r="G14" i="21"/>
  <c r="H14" i="21"/>
  <c r="I14" i="21"/>
  <c r="J14" i="21"/>
  <c r="K14" i="21"/>
  <c r="S47" i="2"/>
  <c r="V47" i="2"/>
  <c r="T23" i="4"/>
  <c r="W28" i="2"/>
  <c r="J14" i="24"/>
  <c r="Q46" i="8"/>
  <c r="S30" i="2"/>
  <c r="S29" i="2"/>
  <c r="W29" i="2"/>
  <c r="T29" i="2"/>
  <c r="V28" i="2"/>
  <c r="V41" i="2"/>
  <c r="U41" i="2"/>
  <c r="W41" i="2"/>
  <c r="W53" i="2"/>
  <c r="V53" i="2"/>
  <c r="U53" i="2"/>
  <c r="U35" i="2"/>
  <c r="W35" i="2"/>
  <c r="V35" i="2"/>
  <c r="T48" i="2"/>
  <c r="S48" i="2"/>
  <c r="T29" i="4"/>
  <c r="S29" i="4"/>
  <c r="W29" i="4"/>
  <c r="S36" i="2"/>
  <c r="T36" i="2"/>
  <c r="T42" i="2"/>
  <c r="S42" i="2"/>
  <c r="G3" i="12"/>
  <c r="N8" i="4"/>
  <c r="G15" i="21"/>
  <c r="H15" i="21"/>
  <c r="I15" i="21"/>
  <c r="J15" i="21"/>
  <c r="K15" i="21"/>
  <c r="G19" i="21"/>
  <c r="H19" i="21"/>
  <c r="I19" i="21"/>
  <c r="J19" i="21"/>
  <c r="K19" i="21"/>
  <c r="U47" i="2"/>
  <c r="W47" i="2"/>
  <c r="S23" i="4"/>
  <c r="W23" i="4"/>
  <c r="S30" i="4"/>
  <c r="W30" i="4"/>
  <c r="U29" i="2"/>
  <c r="T31" i="2"/>
  <c r="T30" i="2"/>
  <c r="V30" i="2"/>
  <c r="V29" i="2"/>
  <c r="K14" i="24"/>
  <c r="W30" i="2"/>
  <c r="U30" i="2"/>
  <c r="W42" i="2"/>
  <c r="V42" i="2"/>
  <c r="U42" i="2"/>
  <c r="W36" i="2"/>
  <c r="V36" i="2"/>
  <c r="U36" i="2"/>
  <c r="W48" i="2"/>
  <c r="V48" i="2"/>
  <c r="U48" i="2"/>
  <c r="T49" i="2"/>
  <c r="S49" i="2"/>
  <c r="T36" i="4"/>
  <c r="S36" i="4"/>
  <c r="W36" i="4"/>
  <c r="Q26" i="10"/>
  <c r="Q33" i="10"/>
  <c r="Q40" i="10"/>
  <c r="Q47" i="10"/>
  <c r="Q24" i="11"/>
  <c r="Q31" i="11"/>
  <c r="Q38" i="11"/>
  <c r="Q45" i="11"/>
  <c r="Q52" i="11"/>
  <c r="Q28" i="12"/>
  <c r="Q35" i="12"/>
  <c r="Q42" i="12"/>
  <c r="Q49" i="12"/>
  <c r="Q25" i="13"/>
  <c r="Q32" i="13"/>
  <c r="Q39" i="13"/>
  <c r="Q46" i="13"/>
  <c r="Q23" i="14"/>
  <c r="Q30" i="14"/>
  <c r="Q37" i="14"/>
  <c r="Q44" i="14"/>
  <c r="Q51" i="14"/>
  <c r="Q27" i="15"/>
  <c r="Q34" i="15"/>
  <c r="Q41" i="15"/>
  <c r="Q48" i="15"/>
  <c r="Q25" i="16"/>
  <c r="Q32" i="16"/>
  <c r="Q39" i="16"/>
  <c r="Q23" i="9"/>
  <c r="Q30" i="9"/>
  <c r="Q37" i="9"/>
  <c r="Q44" i="9"/>
  <c r="Q51" i="9"/>
  <c r="Q27" i="10"/>
  <c r="Q34" i="10"/>
  <c r="Q41" i="10"/>
  <c r="Q48" i="10"/>
  <c r="Q25" i="11"/>
  <c r="Q32" i="11"/>
  <c r="Q39" i="11"/>
  <c r="Q46" i="11"/>
  <c r="Q53" i="11"/>
  <c r="Q29" i="12"/>
  <c r="Q36" i="12"/>
  <c r="Q43" i="12"/>
  <c r="Q50" i="12"/>
  <c r="Q26" i="13"/>
  <c r="Q33" i="13"/>
  <c r="Q40" i="13"/>
  <c r="Q47" i="13"/>
  <c r="Q24" i="14"/>
  <c r="Q31" i="14"/>
  <c r="Q38" i="14"/>
  <c r="Q45" i="14"/>
  <c r="Q52" i="14"/>
  <c r="Q28" i="15"/>
  <c r="Q35" i="15"/>
  <c r="Q42" i="15"/>
  <c r="Q49" i="15"/>
  <c r="Q26" i="16"/>
  <c r="Q33" i="16"/>
  <c r="Q40" i="16"/>
  <c r="U29" i="4"/>
  <c r="V29" i="4"/>
  <c r="T24" i="4"/>
  <c r="S24" i="4"/>
  <c r="W24" i="4"/>
  <c r="T30" i="4"/>
  <c r="T43" i="2"/>
  <c r="S43" i="2"/>
  <c r="G3" i="13"/>
  <c r="M8" i="7"/>
  <c r="U23" i="4"/>
  <c r="V23" i="4"/>
  <c r="S37" i="4"/>
  <c r="W37" i="4"/>
  <c r="S37" i="2"/>
  <c r="W37" i="2"/>
  <c r="T37" i="2"/>
  <c r="S31" i="2"/>
  <c r="U31" i="2"/>
  <c r="L14" i="24"/>
  <c r="U43" i="2"/>
  <c r="V43" i="2"/>
  <c r="W43" i="2"/>
  <c r="U49" i="2"/>
  <c r="W49" i="2"/>
  <c r="V49" i="2"/>
  <c r="U36" i="4"/>
  <c r="V36" i="4"/>
  <c r="T25" i="4"/>
  <c r="S25" i="4"/>
  <c r="W25" i="4"/>
  <c r="U24" i="4"/>
  <c r="V24" i="4"/>
  <c r="T44" i="2"/>
  <c r="S44" i="2"/>
  <c r="V30" i="4"/>
  <c r="U30" i="4"/>
  <c r="T31" i="4"/>
  <c r="S31" i="4"/>
  <c r="W31" i="4"/>
  <c r="T43" i="4"/>
  <c r="S43" i="4"/>
  <c r="W43" i="4"/>
  <c r="T50" i="2"/>
  <c r="S50" i="2"/>
  <c r="G3" i="14"/>
  <c r="N8" i="7"/>
  <c r="T37" i="4"/>
  <c r="U37" i="4"/>
  <c r="U37" i="2"/>
  <c r="T38" i="2"/>
  <c r="S38" i="2"/>
  <c r="W38" i="2"/>
  <c r="V37" i="2"/>
  <c r="V31" i="2"/>
  <c r="W31" i="2"/>
  <c r="M14" i="24"/>
  <c r="W50" i="2"/>
  <c r="V50" i="2"/>
  <c r="U50" i="2"/>
  <c r="W44" i="2"/>
  <c r="V44" i="2"/>
  <c r="U44" i="2"/>
  <c r="S26" i="4"/>
  <c r="T26" i="4"/>
  <c r="U31" i="4"/>
  <c r="V31" i="4"/>
  <c r="T51" i="2"/>
  <c r="S51" i="2"/>
  <c r="T32" i="4"/>
  <c r="S32" i="4"/>
  <c r="W32" i="4"/>
  <c r="T50" i="4"/>
  <c r="S50" i="4"/>
  <c r="W50" i="4"/>
  <c r="U25" i="4"/>
  <c r="V25" i="4"/>
  <c r="S44" i="4"/>
  <c r="W44" i="4"/>
  <c r="T44" i="4"/>
  <c r="T38" i="4"/>
  <c r="S38" i="4"/>
  <c r="W38" i="4"/>
  <c r="T45" i="2"/>
  <c r="S45" i="2"/>
  <c r="U43" i="4"/>
  <c r="V43" i="4"/>
  <c r="G3" i="15"/>
  <c r="M8" i="8"/>
  <c r="V37" i="4"/>
  <c r="U38" i="2"/>
  <c r="V38" i="2"/>
  <c r="N14" i="24"/>
  <c r="O14" i="24"/>
  <c r="K21" i="26"/>
  <c r="O8" i="24"/>
  <c r="V45" i="2"/>
  <c r="U45" i="2"/>
  <c r="W45" i="2"/>
  <c r="U51" i="2"/>
  <c r="W51" i="2"/>
  <c r="V51" i="2"/>
  <c r="W26" i="4"/>
  <c r="U26" i="4"/>
  <c r="V26" i="4"/>
  <c r="S52" i="2"/>
  <c r="T52" i="2"/>
  <c r="T54" i="2"/>
  <c r="S45" i="4"/>
  <c r="W45" i="4"/>
  <c r="T45" i="4"/>
  <c r="T29" i="7"/>
  <c r="S29" i="7"/>
  <c r="W29" i="7"/>
  <c r="V50" i="4"/>
  <c r="U50" i="4"/>
  <c r="T39" i="4"/>
  <c r="S39" i="4"/>
  <c r="W39" i="4"/>
  <c r="V38" i="4"/>
  <c r="U38" i="4"/>
  <c r="T23" i="7"/>
  <c r="S23" i="7"/>
  <c r="W23" i="7"/>
  <c r="T27" i="4"/>
  <c r="S27" i="4"/>
  <c r="W27" i="4"/>
  <c r="U44" i="4"/>
  <c r="V44" i="4"/>
  <c r="U32" i="4"/>
  <c r="V32" i="4"/>
  <c r="T33" i="4"/>
  <c r="S33" i="4"/>
  <c r="W33" i="4"/>
  <c r="G3" i="16"/>
  <c r="N8" i="8"/>
  <c r="W52" i="2"/>
  <c r="R54" i="2"/>
  <c r="V52" i="2"/>
  <c r="P15" i="2"/>
  <c r="U52" i="2"/>
  <c r="T40" i="4"/>
  <c r="S40" i="4"/>
  <c r="W40" i="4"/>
  <c r="T28" i="4"/>
  <c r="S28" i="4"/>
  <c r="W28" i="4"/>
  <c r="T34" i="4"/>
  <c r="S34" i="4"/>
  <c r="W34" i="4"/>
  <c r="T30" i="7"/>
  <c r="S30" i="7"/>
  <c r="W30" i="7"/>
  <c r="T46" i="4"/>
  <c r="S46" i="4"/>
  <c r="W46" i="4"/>
  <c r="T24" i="7"/>
  <c r="S24" i="7"/>
  <c r="W24" i="7"/>
  <c r="U33" i="4"/>
  <c r="V33" i="4"/>
  <c r="U27" i="4"/>
  <c r="V27" i="4"/>
  <c r="U23" i="7"/>
  <c r="V23" i="7"/>
  <c r="T36" i="7"/>
  <c r="S36" i="7"/>
  <c r="W36" i="7"/>
  <c r="S54" i="2"/>
  <c r="U39" i="4"/>
  <c r="V39" i="4"/>
  <c r="U29" i="7"/>
  <c r="V29" i="7"/>
  <c r="U45" i="4"/>
  <c r="V45" i="4"/>
  <c r="E8" i="2"/>
  <c r="M8" i="9"/>
  <c r="O15" i="2"/>
  <c r="F9" i="2"/>
  <c r="P14" i="2"/>
  <c r="O14" i="2"/>
  <c r="O17" i="2"/>
  <c r="O16" i="2"/>
  <c r="P16" i="2"/>
  <c r="P17" i="2"/>
  <c r="P55" i="2"/>
  <c r="G9" i="2"/>
  <c r="S37" i="7"/>
  <c r="W37" i="7"/>
  <c r="T37" i="7"/>
  <c r="T41" i="4"/>
  <c r="S41" i="4"/>
  <c r="W41" i="4"/>
  <c r="U40" i="4"/>
  <c r="V40" i="4"/>
  <c r="V36" i="7"/>
  <c r="U36" i="7"/>
  <c r="T25" i="7"/>
  <c r="S25" i="7"/>
  <c r="W25" i="7"/>
  <c r="P32" i="7"/>
  <c r="T35" i="4"/>
  <c r="S35" i="4"/>
  <c r="W35" i="4"/>
  <c r="T31" i="7"/>
  <c r="S31" i="7"/>
  <c r="W31" i="7"/>
  <c r="V46" i="4"/>
  <c r="U46" i="4"/>
  <c r="V34" i="4"/>
  <c r="U34" i="4"/>
  <c r="U28" i="4"/>
  <c r="V28" i="4"/>
  <c r="T47" i="4"/>
  <c r="S47" i="4"/>
  <c r="W47" i="4"/>
  <c r="T43" i="7"/>
  <c r="S43" i="7"/>
  <c r="W43" i="7"/>
  <c r="V24" i="7"/>
  <c r="U24" i="7"/>
  <c r="U30" i="7"/>
  <c r="V30" i="7"/>
  <c r="N8" i="9"/>
  <c r="L14" i="2"/>
  <c r="E9" i="2"/>
  <c r="C15" i="24"/>
  <c r="L17" i="2"/>
  <c r="L16" i="2"/>
  <c r="L15" i="2"/>
  <c r="U47" i="4"/>
  <c r="V47" i="4"/>
  <c r="S38" i="7"/>
  <c r="W38" i="7"/>
  <c r="T38" i="7"/>
  <c r="U35" i="4"/>
  <c r="V35" i="4"/>
  <c r="P39" i="7"/>
  <c r="T32" i="7"/>
  <c r="S32" i="7"/>
  <c r="W32" i="7"/>
  <c r="T50" i="7"/>
  <c r="S50" i="7"/>
  <c r="W50" i="7"/>
  <c r="T26" i="7"/>
  <c r="S26" i="7"/>
  <c r="W26" i="7"/>
  <c r="U25" i="7"/>
  <c r="V25" i="7"/>
  <c r="U41" i="4"/>
  <c r="V41" i="4"/>
  <c r="S44" i="7"/>
  <c r="W44" i="7"/>
  <c r="T44" i="7"/>
  <c r="U43" i="7"/>
  <c r="V43" i="7"/>
  <c r="U31" i="7"/>
  <c r="V31" i="7"/>
  <c r="T42" i="4"/>
  <c r="S42" i="4"/>
  <c r="W42" i="4"/>
  <c r="U37" i="7"/>
  <c r="V37" i="7"/>
  <c r="T48" i="4"/>
  <c r="S48" i="4"/>
  <c r="W48" i="4"/>
  <c r="M8" i="10"/>
  <c r="C17" i="24"/>
  <c r="N17" i="2"/>
  <c r="M17" i="4"/>
  <c r="C31" i="24"/>
  <c r="N15" i="2"/>
  <c r="M15" i="4"/>
  <c r="C29" i="24"/>
  <c r="N14" i="2"/>
  <c r="M14" i="4"/>
  <c r="C28" i="24"/>
  <c r="N16" i="2"/>
  <c r="M16" i="4"/>
  <c r="C30" i="24"/>
  <c r="L18" i="2"/>
  <c r="E11" i="2"/>
  <c r="T26" i="8"/>
  <c r="S26" i="8"/>
  <c r="W26" i="8"/>
  <c r="P46" i="7"/>
  <c r="T39" i="7"/>
  <c r="S39" i="7"/>
  <c r="W39" i="7"/>
  <c r="U48" i="4"/>
  <c r="V48" i="4"/>
  <c r="T51" i="7"/>
  <c r="S51" i="7"/>
  <c r="W51" i="7"/>
  <c r="T33" i="7"/>
  <c r="S33" i="7"/>
  <c r="W33" i="7"/>
  <c r="U50" i="7"/>
  <c r="V50" i="7"/>
  <c r="V42" i="4"/>
  <c r="U42" i="4"/>
  <c r="U26" i="7"/>
  <c r="V26" i="7"/>
  <c r="V32" i="7"/>
  <c r="U32" i="7"/>
  <c r="U38" i="7"/>
  <c r="V38" i="7"/>
  <c r="T27" i="7"/>
  <c r="S27" i="7"/>
  <c r="W27" i="7"/>
  <c r="T49" i="4"/>
  <c r="T54" i="4"/>
  <c r="S49" i="4"/>
  <c r="V44" i="7"/>
  <c r="U44" i="7"/>
  <c r="T45" i="7"/>
  <c r="S45" i="7"/>
  <c r="W45" i="7"/>
  <c r="N8" i="10"/>
  <c r="E8" i="4"/>
  <c r="B12" i="2"/>
  <c r="C32" i="24"/>
  <c r="M18" i="4"/>
  <c r="N18" i="2"/>
  <c r="S54" i="4"/>
  <c r="W49" i="4"/>
  <c r="R54" i="4"/>
  <c r="T28" i="7"/>
  <c r="S28" i="7"/>
  <c r="W28" i="7"/>
  <c r="U27" i="7"/>
  <c r="V27" i="7"/>
  <c r="U39" i="7"/>
  <c r="V39" i="7"/>
  <c r="S33" i="8"/>
  <c r="W33" i="8"/>
  <c r="T33" i="8"/>
  <c r="T40" i="7"/>
  <c r="S40" i="7"/>
  <c r="W40" i="7"/>
  <c r="V26" i="8"/>
  <c r="U26" i="8"/>
  <c r="U49" i="4"/>
  <c r="O15" i="4"/>
  <c r="V49" i="4"/>
  <c r="T52" i="7"/>
  <c r="S52" i="7"/>
  <c r="W52" i="7"/>
  <c r="T27" i="8"/>
  <c r="S27" i="8"/>
  <c r="W27" i="8"/>
  <c r="T46" i="7"/>
  <c r="P53" i="7"/>
  <c r="S46" i="7"/>
  <c r="W46" i="7"/>
  <c r="U45" i="7"/>
  <c r="V45" i="7"/>
  <c r="T34" i="7"/>
  <c r="S34" i="7"/>
  <c r="W34" i="7"/>
  <c r="U33" i="7"/>
  <c r="V33" i="7"/>
  <c r="U51" i="7"/>
  <c r="V51" i="7"/>
  <c r="M8" i="11"/>
  <c r="P55" i="4"/>
  <c r="U34" i="7"/>
  <c r="V34" i="7"/>
  <c r="S34" i="8"/>
  <c r="W34" i="8"/>
  <c r="T34" i="8"/>
  <c r="P17" i="4"/>
  <c r="P16" i="4"/>
  <c r="P15" i="4"/>
  <c r="G9" i="4"/>
  <c r="P14" i="4"/>
  <c r="V40" i="7"/>
  <c r="U40" i="7"/>
  <c r="U33" i="8"/>
  <c r="V33" i="8"/>
  <c r="V28" i="7"/>
  <c r="U28" i="7"/>
  <c r="U27" i="8"/>
  <c r="V27" i="8"/>
  <c r="O14" i="4"/>
  <c r="O17" i="4"/>
  <c r="F9" i="4"/>
  <c r="O16" i="4"/>
  <c r="U46" i="7"/>
  <c r="V46" i="7"/>
  <c r="T28" i="8"/>
  <c r="S28" i="8"/>
  <c r="W28" i="8"/>
  <c r="T40" i="8"/>
  <c r="S40" i="8"/>
  <c r="W40" i="8"/>
  <c r="T41" i="7"/>
  <c r="S41" i="7"/>
  <c r="W41" i="7"/>
  <c r="T53" i="7"/>
  <c r="S53" i="7"/>
  <c r="W53" i="7"/>
  <c r="P29" i="8"/>
  <c r="V52" i="7"/>
  <c r="U52" i="7"/>
  <c r="T47" i="7"/>
  <c r="S47" i="7"/>
  <c r="W47" i="7"/>
  <c r="T35" i="7"/>
  <c r="S35" i="7"/>
  <c r="W35" i="7"/>
  <c r="N8" i="11"/>
  <c r="L15" i="4"/>
  <c r="E9" i="4"/>
  <c r="L17" i="4"/>
  <c r="L16" i="4"/>
  <c r="L14" i="4"/>
  <c r="D28" i="24"/>
  <c r="T42" i="7"/>
  <c r="S42" i="7"/>
  <c r="W42" i="7"/>
  <c r="T23" i="8"/>
  <c r="S23" i="8"/>
  <c r="W23" i="8"/>
  <c r="U41" i="7"/>
  <c r="V41" i="7"/>
  <c r="S35" i="8"/>
  <c r="W35" i="8"/>
  <c r="T35" i="8"/>
  <c r="U47" i="7"/>
  <c r="V47" i="7"/>
  <c r="U28" i="8"/>
  <c r="V28" i="8"/>
  <c r="U35" i="7"/>
  <c r="V35" i="7"/>
  <c r="U53" i="7"/>
  <c r="V53" i="7"/>
  <c r="T48" i="7"/>
  <c r="S48" i="7"/>
  <c r="W48" i="7"/>
  <c r="S41" i="8"/>
  <c r="W41" i="8"/>
  <c r="T41" i="8"/>
  <c r="S29" i="8"/>
  <c r="W29" i="8"/>
  <c r="T29" i="8"/>
  <c r="P36" i="8"/>
  <c r="U40" i="8"/>
  <c r="V40" i="8"/>
  <c r="S47" i="8"/>
  <c r="W47" i="8"/>
  <c r="T47" i="8"/>
  <c r="V34" i="8"/>
  <c r="U34" i="8"/>
  <c r="M8" i="12"/>
  <c r="N16" i="4"/>
  <c r="M16" i="7"/>
  <c r="D30" i="24"/>
  <c r="N15" i="4"/>
  <c r="M15" i="7"/>
  <c r="D29" i="24"/>
  <c r="N17" i="4"/>
  <c r="D31" i="24"/>
  <c r="L18" i="4"/>
  <c r="N14" i="4"/>
  <c r="M14" i="7"/>
  <c r="D15" i="24"/>
  <c r="E11" i="4"/>
  <c r="T24" i="9"/>
  <c r="S24" i="9"/>
  <c r="W24" i="9"/>
  <c r="U41" i="8"/>
  <c r="V41" i="8"/>
  <c r="U47" i="8"/>
  <c r="V47" i="8"/>
  <c r="T48" i="8"/>
  <c r="S48" i="8"/>
  <c r="W48" i="8"/>
  <c r="P25" i="9"/>
  <c r="T24" i="8"/>
  <c r="S24" i="8"/>
  <c r="W24" i="8"/>
  <c r="T42" i="8"/>
  <c r="S42" i="8"/>
  <c r="W42" i="8"/>
  <c r="S30" i="8"/>
  <c r="W30" i="8"/>
  <c r="T30" i="8"/>
  <c r="T49" i="7"/>
  <c r="T54" i="7"/>
  <c r="S49" i="7"/>
  <c r="W49" i="7"/>
  <c r="R54" i="7"/>
  <c r="U42" i="7"/>
  <c r="V42" i="7"/>
  <c r="U29" i="8"/>
  <c r="V29" i="8"/>
  <c r="V48" i="7"/>
  <c r="U48" i="7"/>
  <c r="P43" i="8"/>
  <c r="S36" i="8"/>
  <c r="W36" i="8"/>
  <c r="T36" i="8"/>
  <c r="U35" i="8"/>
  <c r="V35" i="8"/>
  <c r="V23" i="8"/>
  <c r="U23" i="8"/>
  <c r="N8" i="12"/>
  <c r="D17" i="24"/>
  <c r="E8" i="7"/>
  <c r="B12" i="4"/>
  <c r="M17" i="7"/>
  <c r="M18" i="7"/>
  <c r="N18" i="4"/>
  <c r="D32" i="24"/>
  <c r="V42" i="8"/>
  <c r="U42" i="8"/>
  <c r="P32" i="9"/>
  <c r="T25" i="9"/>
  <c r="S25" i="9"/>
  <c r="W25" i="9"/>
  <c r="U24" i="9"/>
  <c r="V24" i="9"/>
  <c r="T31" i="8"/>
  <c r="S31" i="8"/>
  <c r="W31" i="8"/>
  <c r="U48" i="8"/>
  <c r="V48" i="8"/>
  <c r="U36" i="8"/>
  <c r="V36" i="8"/>
  <c r="U49" i="7"/>
  <c r="F9" i="7"/>
  <c r="V49" i="7"/>
  <c r="P17" i="7"/>
  <c r="S54" i="7"/>
  <c r="P55" i="7"/>
  <c r="V30" i="8"/>
  <c r="U30" i="8"/>
  <c r="S49" i="8"/>
  <c r="W49" i="8"/>
  <c r="T49" i="8"/>
  <c r="U24" i="8"/>
  <c r="V24" i="8"/>
  <c r="P50" i="8"/>
  <c r="S43" i="8"/>
  <c r="W43" i="8"/>
  <c r="T43" i="8"/>
  <c r="T25" i="8"/>
  <c r="S25" i="8"/>
  <c r="W25" i="8"/>
  <c r="T37" i="8"/>
  <c r="S37" i="8"/>
  <c r="W37" i="8"/>
  <c r="T31" i="9"/>
  <c r="S31" i="9"/>
  <c r="W31" i="9"/>
  <c r="M8" i="13"/>
  <c r="O16" i="7"/>
  <c r="O17" i="7"/>
  <c r="L17" i="7"/>
  <c r="E31" i="24"/>
  <c r="U31" i="9"/>
  <c r="V31" i="9"/>
  <c r="U37" i="8"/>
  <c r="V37" i="8"/>
  <c r="U25" i="8"/>
  <c r="V25" i="8"/>
  <c r="T50" i="8"/>
  <c r="S50" i="8"/>
  <c r="W50" i="8"/>
  <c r="P27" i="9"/>
  <c r="O15" i="7"/>
  <c r="T32" i="9"/>
  <c r="P39" i="9"/>
  <c r="S32" i="9"/>
  <c r="W32" i="9"/>
  <c r="P15" i="7"/>
  <c r="T38" i="9"/>
  <c r="S38" i="9"/>
  <c r="W38" i="9"/>
  <c r="T44" i="8"/>
  <c r="S44" i="8"/>
  <c r="W44" i="8"/>
  <c r="U25" i="9"/>
  <c r="V25" i="9"/>
  <c r="O14" i="7"/>
  <c r="T26" i="9"/>
  <c r="S26" i="9"/>
  <c r="W26" i="9"/>
  <c r="U31" i="8"/>
  <c r="V31" i="8"/>
  <c r="T32" i="8"/>
  <c r="S32" i="8"/>
  <c r="W32" i="8"/>
  <c r="U43" i="8"/>
  <c r="V43" i="8"/>
  <c r="U49" i="8"/>
  <c r="V49" i="8"/>
  <c r="P14" i="7"/>
  <c r="T38" i="8"/>
  <c r="S38" i="8"/>
  <c r="W38" i="8"/>
  <c r="G9" i="7"/>
  <c r="E9" i="7"/>
  <c r="P16" i="7"/>
  <c r="N8" i="13"/>
  <c r="L14" i="7"/>
  <c r="E28" i="24"/>
  <c r="L15" i="7"/>
  <c r="E29" i="24"/>
  <c r="L16" i="7"/>
  <c r="E30" i="24"/>
  <c r="E15" i="24"/>
  <c r="E11" i="7"/>
  <c r="V38" i="9"/>
  <c r="U38" i="9"/>
  <c r="T27" i="9"/>
  <c r="P34" i="9"/>
  <c r="S27" i="9"/>
  <c r="W27" i="9"/>
  <c r="U32" i="9"/>
  <c r="V32" i="9"/>
  <c r="V50" i="8"/>
  <c r="U50" i="8"/>
  <c r="U32" i="8"/>
  <c r="V32" i="8"/>
  <c r="T33" i="9"/>
  <c r="S33" i="9"/>
  <c r="W33" i="9"/>
  <c r="N17" i="7"/>
  <c r="U44" i="8"/>
  <c r="V44" i="8"/>
  <c r="T45" i="9"/>
  <c r="S45" i="9"/>
  <c r="W45" i="9"/>
  <c r="P46" i="9"/>
  <c r="S39" i="9"/>
  <c r="W39" i="9"/>
  <c r="T39" i="9"/>
  <c r="T45" i="8"/>
  <c r="S45" i="8"/>
  <c r="W45" i="8"/>
  <c r="V38" i="8"/>
  <c r="U38" i="8"/>
  <c r="P46" i="8"/>
  <c r="T39" i="8"/>
  <c r="S39" i="8"/>
  <c r="W39" i="8"/>
  <c r="V26" i="9"/>
  <c r="U26" i="9"/>
  <c r="M8" i="14"/>
  <c r="E17" i="24"/>
  <c r="N14" i="7"/>
  <c r="M14" i="8"/>
  <c r="N15" i="7"/>
  <c r="M15" i="8"/>
  <c r="L18" i="7"/>
  <c r="N16" i="7"/>
  <c r="M16" i="8"/>
  <c r="E8" i="8"/>
  <c r="B12" i="7"/>
  <c r="T46" i="8"/>
  <c r="S46" i="8"/>
  <c r="W46" i="8"/>
  <c r="P23" i="9"/>
  <c r="U33" i="9"/>
  <c r="V33" i="9"/>
  <c r="T51" i="8"/>
  <c r="S51" i="8"/>
  <c r="W51" i="8"/>
  <c r="U45" i="9"/>
  <c r="V45" i="9"/>
  <c r="P41" i="9"/>
  <c r="T34" i="9"/>
  <c r="S34" i="9"/>
  <c r="W34" i="9"/>
  <c r="U45" i="8"/>
  <c r="V45" i="8"/>
  <c r="U39" i="9"/>
  <c r="V39" i="9"/>
  <c r="T52" i="9"/>
  <c r="S52" i="9"/>
  <c r="W52" i="9"/>
  <c r="M17" i="8"/>
  <c r="U39" i="8"/>
  <c r="V39" i="8"/>
  <c r="P53" i="9"/>
  <c r="S46" i="9"/>
  <c r="W46" i="9"/>
  <c r="T46" i="9"/>
  <c r="E32" i="24"/>
  <c r="T40" i="9"/>
  <c r="S40" i="9"/>
  <c r="W40" i="9"/>
  <c r="U27" i="9"/>
  <c r="V27" i="9"/>
  <c r="N8" i="14"/>
  <c r="N18" i="7"/>
  <c r="M18" i="8"/>
  <c r="T28" i="9"/>
  <c r="S28" i="9"/>
  <c r="W28" i="9"/>
  <c r="V40" i="9"/>
  <c r="U40" i="9"/>
  <c r="V46" i="9"/>
  <c r="U46" i="9"/>
  <c r="U52" i="9"/>
  <c r="V52" i="9"/>
  <c r="U46" i="8"/>
  <c r="V46" i="8"/>
  <c r="T47" i="9"/>
  <c r="S47" i="9"/>
  <c r="W47" i="9"/>
  <c r="T53" i="9"/>
  <c r="P29" i="10"/>
  <c r="S53" i="9"/>
  <c r="W53" i="9"/>
  <c r="P48" i="9"/>
  <c r="T41" i="9"/>
  <c r="S41" i="9"/>
  <c r="W41" i="9"/>
  <c r="U51" i="8"/>
  <c r="V51" i="8"/>
  <c r="T52" i="8"/>
  <c r="T54" i="8"/>
  <c r="S52" i="8"/>
  <c r="W52" i="8"/>
  <c r="R54" i="8"/>
  <c r="T28" i="10"/>
  <c r="S28" i="10"/>
  <c r="W28" i="10"/>
  <c r="U34" i="9"/>
  <c r="V34" i="9"/>
  <c r="T23" i="9"/>
  <c r="P30" i="9"/>
  <c r="S23" i="9"/>
  <c r="W23" i="9"/>
  <c r="M8" i="15"/>
  <c r="U52" i="8"/>
  <c r="V52" i="8"/>
  <c r="S54" i="8"/>
  <c r="P55" i="8"/>
  <c r="T48" i="9"/>
  <c r="S48" i="9"/>
  <c r="W48" i="9"/>
  <c r="P24" i="10"/>
  <c r="T23" i="10"/>
  <c r="S23" i="10"/>
  <c r="W23" i="10"/>
  <c r="U28" i="9"/>
  <c r="V28" i="9"/>
  <c r="V23" i="9"/>
  <c r="U23" i="9"/>
  <c r="U53" i="9"/>
  <c r="V53" i="9"/>
  <c r="U47" i="9"/>
  <c r="V47" i="9"/>
  <c r="P37" i="9"/>
  <c r="T30" i="9"/>
  <c r="S30" i="9"/>
  <c r="W30" i="9"/>
  <c r="T35" i="10"/>
  <c r="S35" i="10"/>
  <c r="W35" i="10"/>
  <c r="U41" i="9"/>
  <c r="V41" i="9"/>
  <c r="T29" i="10"/>
  <c r="P36" i="10"/>
  <c r="S29" i="10"/>
  <c r="W29" i="10"/>
  <c r="V28" i="10"/>
  <c r="U28" i="10"/>
  <c r="T29" i="9"/>
  <c r="S29" i="9"/>
  <c r="W29" i="9"/>
  <c r="T35" i="9"/>
  <c r="S35" i="9"/>
  <c r="W35" i="9"/>
  <c r="N8" i="15"/>
  <c r="V23" i="10"/>
  <c r="U23" i="10"/>
  <c r="P43" i="10"/>
  <c r="S36" i="10"/>
  <c r="W36" i="10"/>
  <c r="T36" i="10"/>
  <c r="P44" i="9"/>
  <c r="T37" i="9"/>
  <c r="S37" i="9"/>
  <c r="W37" i="9"/>
  <c r="T42" i="9"/>
  <c r="S42" i="9"/>
  <c r="W42" i="9"/>
  <c r="U35" i="10"/>
  <c r="V35" i="10"/>
  <c r="U35" i="9"/>
  <c r="V35" i="9"/>
  <c r="T36" i="9"/>
  <c r="S36" i="9"/>
  <c r="W36" i="9"/>
  <c r="T42" i="10"/>
  <c r="S42" i="10"/>
  <c r="W42" i="10"/>
  <c r="T24" i="10"/>
  <c r="S24" i="10"/>
  <c r="W24" i="10"/>
  <c r="P31" i="10"/>
  <c r="G9" i="8"/>
  <c r="P17" i="8"/>
  <c r="P14" i="8"/>
  <c r="P16" i="8"/>
  <c r="P15" i="8"/>
  <c r="U29" i="9"/>
  <c r="V29" i="9"/>
  <c r="U29" i="10"/>
  <c r="V29" i="10"/>
  <c r="V30" i="9"/>
  <c r="U30" i="9"/>
  <c r="P37" i="10"/>
  <c r="T30" i="10"/>
  <c r="S30" i="10"/>
  <c r="W30" i="10"/>
  <c r="U48" i="9"/>
  <c r="V48" i="9"/>
  <c r="O14" i="8"/>
  <c r="F9" i="8"/>
  <c r="O17" i="8"/>
  <c r="O15" i="8"/>
  <c r="O16" i="8"/>
  <c r="M8" i="16"/>
  <c r="E9" i="8"/>
  <c r="F15" i="24"/>
  <c r="L15" i="8"/>
  <c r="F29" i="24"/>
  <c r="L16" i="8"/>
  <c r="F30" i="24"/>
  <c r="L17" i="8"/>
  <c r="F31" i="24"/>
  <c r="L14" i="8"/>
  <c r="F28" i="24"/>
  <c r="U30" i="10"/>
  <c r="V30" i="10"/>
  <c r="U42" i="9"/>
  <c r="V42" i="9"/>
  <c r="P38" i="10"/>
  <c r="T31" i="10"/>
  <c r="S31" i="10"/>
  <c r="W31" i="10"/>
  <c r="T43" i="9"/>
  <c r="S43" i="9"/>
  <c r="W43" i="9"/>
  <c r="V24" i="10"/>
  <c r="U24" i="10"/>
  <c r="T49" i="10"/>
  <c r="S49" i="10"/>
  <c r="W49" i="10"/>
  <c r="U37" i="9"/>
  <c r="V37" i="9"/>
  <c r="U36" i="10"/>
  <c r="V36" i="10"/>
  <c r="U36" i="9"/>
  <c r="V36" i="9"/>
  <c r="P50" i="10"/>
  <c r="S43" i="10"/>
  <c r="W43" i="10"/>
  <c r="T43" i="10"/>
  <c r="P44" i="10"/>
  <c r="T37" i="10"/>
  <c r="S37" i="10"/>
  <c r="W37" i="10"/>
  <c r="V42" i="10"/>
  <c r="U42" i="10"/>
  <c r="T49" i="9"/>
  <c r="S49" i="9"/>
  <c r="W49" i="9"/>
  <c r="P51" i="9"/>
  <c r="T44" i="9"/>
  <c r="S44" i="9"/>
  <c r="W44" i="9"/>
  <c r="N8" i="16"/>
  <c r="F13" i="21"/>
  <c r="G13" i="21"/>
  <c r="K13" i="21"/>
  <c r="H13" i="21"/>
  <c r="I13" i="21"/>
  <c r="J13" i="21"/>
  <c r="F17" i="24"/>
  <c r="N16" i="8"/>
  <c r="M16" i="9"/>
  <c r="N15" i="8"/>
  <c r="M15" i="9"/>
  <c r="N17" i="8"/>
  <c r="M17" i="9"/>
  <c r="L18" i="8"/>
  <c r="N14" i="8"/>
  <c r="M14" i="9"/>
  <c r="E11" i="8"/>
  <c r="F32" i="24"/>
  <c r="U44" i="9"/>
  <c r="V44" i="9"/>
  <c r="T50" i="10"/>
  <c r="P27" i="11"/>
  <c r="S50" i="10"/>
  <c r="W50" i="10"/>
  <c r="V49" i="10"/>
  <c r="U49" i="10"/>
  <c r="P45" i="10"/>
  <c r="T38" i="10"/>
  <c r="S38" i="10"/>
  <c r="W38" i="10"/>
  <c r="P51" i="10"/>
  <c r="T44" i="10"/>
  <c r="S44" i="10"/>
  <c r="W44" i="10"/>
  <c r="T50" i="9"/>
  <c r="S50" i="9"/>
  <c r="W50" i="9"/>
  <c r="P26" i="10"/>
  <c r="T51" i="9"/>
  <c r="S51" i="9"/>
  <c r="W51" i="9"/>
  <c r="P27" i="10"/>
  <c r="T25" i="10"/>
  <c r="S25" i="10"/>
  <c r="W25" i="10"/>
  <c r="U31" i="10"/>
  <c r="V31" i="10"/>
  <c r="U49" i="9"/>
  <c r="V49" i="9"/>
  <c r="U37" i="10"/>
  <c r="V37" i="10"/>
  <c r="U43" i="10"/>
  <c r="V43" i="10"/>
  <c r="T26" i="11"/>
  <c r="S26" i="11"/>
  <c r="W26" i="11"/>
  <c r="U43" i="9"/>
  <c r="V43" i="9"/>
  <c r="N18" i="8"/>
  <c r="M18" i="9"/>
  <c r="E8" i="9"/>
  <c r="B12" i="8"/>
  <c r="T54" i="9"/>
  <c r="R54" i="9"/>
  <c r="S54" i="9"/>
  <c r="U38" i="10"/>
  <c r="V38" i="10"/>
  <c r="V50" i="10"/>
  <c r="U50" i="10"/>
  <c r="S33" i="11"/>
  <c r="W33" i="11"/>
  <c r="T33" i="11"/>
  <c r="V26" i="11"/>
  <c r="U26" i="11"/>
  <c r="V44" i="10"/>
  <c r="U44" i="10"/>
  <c r="S27" i="11"/>
  <c r="W27" i="11"/>
  <c r="P34" i="11"/>
  <c r="T27" i="11"/>
  <c r="U25" i="10"/>
  <c r="V25" i="10"/>
  <c r="T27" i="10"/>
  <c r="S27" i="10"/>
  <c r="W27" i="10"/>
  <c r="P34" i="10"/>
  <c r="T26" i="10"/>
  <c r="S26" i="10"/>
  <c r="W26" i="10"/>
  <c r="P33" i="10"/>
  <c r="P52" i="10"/>
  <c r="T45" i="10"/>
  <c r="S45" i="10"/>
  <c r="W45" i="10"/>
  <c r="T32" i="10"/>
  <c r="S32" i="10"/>
  <c r="W32" i="10"/>
  <c r="U51" i="9"/>
  <c r="V51" i="9"/>
  <c r="U50" i="9"/>
  <c r="V50" i="9"/>
  <c r="T51" i="10"/>
  <c r="S51" i="10"/>
  <c r="W51" i="10"/>
  <c r="P28" i="11"/>
  <c r="O14" i="9"/>
  <c r="P55" i="9"/>
  <c r="O16" i="9"/>
  <c r="F9" i="9"/>
  <c r="P16" i="9"/>
  <c r="O17" i="9"/>
  <c r="V32" i="10"/>
  <c r="U32" i="10"/>
  <c r="S28" i="11"/>
  <c r="W28" i="11"/>
  <c r="T28" i="11"/>
  <c r="P35" i="11"/>
  <c r="O15" i="9"/>
  <c r="T52" i="10"/>
  <c r="S52" i="10"/>
  <c r="W52" i="10"/>
  <c r="P29" i="11"/>
  <c r="P41" i="10"/>
  <c r="S34" i="10"/>
  <c r="W34" i="10"/>
  <c r="T34" i="10"/>
  <c r="V27" i="11"/>
  <c r="U27" i="11"/>
  <c r="S40" i="11"/>
  <c r="W40" i="11"/>
  <c r="T40" i="11"/>
  <c r="U51" i="10"/>
  <c r="V51" i="10"/>
  <c r="P15" i="9"/>
  <c r="P14" i="9"/>
  <c r="T39" i="10"/>
  <c r="S39" i="10"/>
  <c r="W39" i="10"/>
  <c r="P40" i="10"/>
  <c r="T33" i="10"/>
  <c r="S33" i="10"/>
  <c r="W33" i="10"/>
  <c r="U27" i="10"/>
  <c r="V27" i="10"/>
  <c r="P17" i="9"/>
  <c r="U45" i="10"/>
  <c r="V45" i="10"/>
  <c r="U26" i="10"/>
  <c r="V26" i="10"/>
  <c r="S34" i="11"/>
  <c r="W34" i="11"/>
  <c r="P41" i="11"/>
  <c r="T34" i="11"/>
  <c r="U33" i="11"/>
  <c r="V33" i="11"/>
  <c r="G9" i="9"/>
  <c r="L14" i="9"/>
  <c r="G28" i="24"/>
  <c r="L17" i="9"/>
  <c r="G31" i="24"/>
  <c r="L16" i="9"/>
  <c r="G30" i="24"/>
  <c r="E9" i="9"/>
  <c r="G15" i="24"/>
  <c r="L15" i="9"/>
  <c r="G29" i="24"/>
  <c r="S41" i="11"/>
  <c r="W41" i="11"/>
  <c r="P48" i="11"/>
  <c r="T41" i="11"/>
  <c r="P47" i="10"/>
  <c r="T40" i="10"/>
  <c r="S40" i="10"/>
  <c r="W40" i="10"/>
  <c r="P48" i="10"/>
  <c r="T41" i="10"/>
  <c r="S41" i="10"/>
  <c r="W41" i="10"/>
  <c r="V34" i="11"/>
  <c r="U34" i="11"/>
  <c r="U39" i="10"/>
  <c r="V39" i="10"/>
  <c r="V40" i="11"/>
  <c r="U40" i="11"/>
  <c r="S29" i="11"/>
  <c r="W29" i="11"/>
  <c r="T29" i="11"/>
  <c r="P36" i="11"/>
  <c r="P42" i="11"/>
  <c r="T35" i="11"/>
  <c r="S35" i="11"/>
  <c r="W35" i="11"/>
  <c r="U33" i="10"/>
  <c r="V33" i="10"/>
  <c r="S47" i="11"/>
  <c r="W47" i="11"/>
  <c r="T47" i="11"/>
  <c r="V52" i="10"/>
  <c r="U52" i="10"/>
  <c r="T46" i="10"/>
  <c r="S46" i="10"/>
  <c r="W46" i="10"/>
  <c r="U34" i="10"/>
  <c r="V34" i="10"/>
  <c r="V28" i="11"/>
  <c r="U28" i="11"/>
  <c r="G17" i="24"/>
  <c r="N14" i="9"/>
  <c r="M14" i="10"/>
  <c r="N16" i="9"/>
  <c r="M16" i="10"/>
  <c r="E11" i="9"/>
  <c r="N15" i="9"/>
  <c r="M15" i="10"/>
  <c r="L18" i="9"/>
  <c r="N17" i="9"/>
  <c r="U29" i="11"/>
  <c r="V29" i="11"/>
  <c r="V47" i="11"/>
  <c r="U47" i="11"/>
  <c r="V35" i="11"/>
  <c r="U35" i="11"/>
  <c r="U41" i="10"/>
  <c r="V41" i="10"/>
  <c r="V40" i="10"/>
  <c r="U40" i="10"/>
  <c r="S48" i="11"/>
  <c r="W48" i="11"/>
  <c r="T48" i="11"/>
  <c r="P24" i="12"/>
  <c r="G32" i="24"/>
  <c r="T23" i="11"/>
  <c r="S23" i="11"/>
  <c r="W23" i="11"/>
  <c r="U41" i="11"/>
  <c r="V41" i="11"/>
  <c r="U46" i="10"/>
  <c r="V46" i="10"/>
  <c r="T23" i="12"/>
  <c r="S23" i="12"/>
  <c r="W23" i="12"/>
  <c r="P49" i="11"/>
  <c r="S42" i="11"/>
  <c r="W42" i="11"/>
  <c r="T42" i="11"/>
  <c r="T48" i="10"/>
  <c r="S48" i="10"/>
  <c r="W48" i="10"/>
  <c r="P25" i="11"/>
  <c r="T47" i="10"/>
  <c r="S47" i="10"/>
  <c r="W47" i="10"/>
  <c r="P24" i="11"/>
  <c r="P43" i="11"/>
  <c r="S36" i="11"/>
  <c r="W36" i="11"/>
  <c r="T36" i="11"/>
  <c r="E8" i="10"/>
  <c r="B12" i="9"/>
  <c r="R54" i="10"/>
  <c r="N18" i="9"/>
  <c r="M17" i="10"/>
  <c r="M18" i="10"/>
  <c r="P50" i="11"/>
  <c r="S43" i="11"/>
  <c r="W43" i="11"/>
  <c r="T43" i="11"/>
  <c r="U47" i="10"/>
  <c r="V47" i="10"/>
  <c r="S54" i="10"/>
  <c r="T54" i="10"/>
  <c r="V42" i="11"/>
  <c r="U42" i="11"/>
  <c r="P37" i="12"/>
  <c r="S30" i="12"/>
  <c r="W30" i="12"/>
  <c r="T30" i="12"/>
  <c r="U23" i="11"/>
  <c r="V23" i="11"/>
  <c r="V23" i="12"/>
  <c r="U23" i="12"/>
  <c r="V48" i="11"/>
  <c r="U48" i="11"/>
  <c r="T49" i="11"/>
  <c r="S49" i="11"/>
  <c r="W49" i="11"/>
  <c r="P25" i="12"/>
  <c r="T25" i="11"/>
  <c r="S25" i="11"/>
  <c r="W25" i="11"/>
  <c r="P32" i="11"/>
  <c r="V36" i="11"/>
  <c r="U36" i="11"/>
  <c r="S24" i="11"/>
  <c r="W24" i="11"/>
  <c r="T24" i="11"/>
  <c r="P31" i="11"/>
  <c r="V48" i="10"/>
  <c r="U48" i="10"/>
  <c r="T30" i="11"/>
  <c r="S30" i="11"/>
  <c r="W30" i="11"/>
  <c r="S24" i="12"/>
  <c r="W24" i="12"/>
  <c r="T24" i="12"/>
  <c r="P31" i="12"/>
  <c r="P14" i="10"/>
  <c r="O16" i="10"/>
  <c r="G9" i="10"/>
  <c r="P55" i="10"/>
  <c r="O17" i="10"/>
  <c r="U25" i="11"/>
  <c r="V25" i="11"/>
  <c r="P44" i="12"/>
  <c r="T37" i="12"/>
  <c r="S37" i="12"/>
  <c r="W37" i="12"/>
  <c r="V43" i="11"/>
  <c r="U43" i="11"/>
  <c r="S37" i="11"/>
  <c r="W37" i="11"/>
  <c r="T37" i="11"/>
  <c r="V24" i="11"/>
  <c r="U24" i="11"/>
  <c r="O15" i="10"/>
  <c r="P17" i="10"/>
  <c r="P15" i="10"/>
  <c r="T50" i="11"/>
  <c r="S50" i="11"/>
  <c r="W50" i="11"/>
  <c r="P26" i="12"/>
  <c r="O14" i="10"/>
  <c r="S25" i="12"/>
  <c r="W25" i="12"/>
  <c r="T25" i="12"/>
  <c r="P32" i="12"/>
  <c r="P16" i="10"/>
  <c r="V24" i="12"/>
  <c r="U24" i="12"/>
  <c r="V30" i="11"/>
  <c r="U30" i="11"/>
  <c r="S31" i="12"/>
  <c r="W31" i="12"/>
  <c r="P38" i="12"/>
  <c r="T31" i="12"/>
  <c r="P38" i="11"/>
  <c r="T31" i="11"/>
  <c r="S31" i="11"/>
  <c r="W31" i="11"/>
  <c r="P39" i="11"/>
  <c r="S32" i="11"/>
  <c r="W32" i="11"/>
  <c r="T32" i="11"/>
  <c r="U49" i="11"/>
  <c r="V49" i="11"/>
  <c r="V30" i="12"/>
  <c r="U30" i="12"/>
  <c r="F9" i="10"/>
  <c r="L15" i="10"/>
  <c r="E9" i="10"/>
  <c r="E11" i="10"/>
  <c r="L17" i="10"/>
  <c r="L16" i="10"/>
  <c r="H30" i="24"/>
  <c r="L14" i="10"/>
  <c r="H28" i="24"/>
  <c r="U31" i="12"/>
  <c r="V31" i="12"/>
  <c r="V25" i="12"/>
  <c r="U25" i="12"/>
  <c r="U37" i="11"/>
  <c r="V37" i="11"/>
  <c r="S44" i="11"/>
  <c r="W44" i="11"/>
  <c r="T44" i="11"/>
  <c r="V37" i="12"/>
  <c r="U37" i="12"/>
  <c r="V32" i="11"/>
  <c r="U32" i="11"/>
  <c r="P46" i="11"/>
  <c r="T39" i="11"/>
  <c r="S39" i="11"/>
  <c r="W39" i="11"/>
  <c r="P39" i="12"/>
  <c r="T32" i="12"/>
  <c r="S32" i="12"/>
  <c r="W32" i="12"/>
  <c r="S26" i="12"/>
  <c r="W26" i="12"/>
  <c r="T26" i="12"/>
  <c r="P33" i="12"/>
  <c r="P45" i="11"/>
  <c r="T38" i="11"/>
  <c r="S38" i="11"/>
  <c r="W38" i="11"/>
  <c r="V31" i="11"/>
  <c r="U31" i="11"/>
  <c r="S38" i="12"/>
  <c r="W38" i="12"/>
  <c r="P45" i="12"/>
  <c r="T38" i="12"/>
  <c r="V50" i="11"/>
  <c r="U50" i="11"/>
  <c r="P51" i="12"/>
  <c r="T44" i="12"/>
  <c r="S44" i="12"/>
  <c r="W44" i="12"/>
  <c r="N16" i="10"/>
  <c r="M16" i="11"/>
  <c r="E8" i="11"/>
  <c r="B12" i="10"/>
  <c r="N17" i="10"/>
  <c r="M17" i="11"/>
  <c r="H31" i="24"/>
  <c r="N15" i="10"/>
  <c r="M15" i="11"/>
  <c r="H29" i="24"/>
  <c r="H15" i="24"/>
  <c r="H17" i="24"/>
  <c r="L18" i="10"/>
  <c r="N14" i="10"/>
  <c r="M14" i="11"/>
  <c r="P52" i="11"/>
  <c r="S45" i="11"/>
  <c r="W45" i="11"/>
  <c r="T45" i="11"/>
  <c r="V32" i="12"/>
  <c r="U32" i="12"/>
  <c r="S51" i="12"/>
  <c r="W51" i="12"/>
  <c r="T51" i="12"/>
  <c r="P27" i="13"/>
  <c r="P40" i="12"/>
  <c r="T33" i="12"/>
  <c r="S33" i="12"/>
  <c r="W33" i="12"/>
  <c r="P53" i="11"/>
  <c r="S46" i="11"/>
  <c r="W46" i="11"/>
  <c r="T46" i="11"/>
  <c r="V44" i="12"/>
  <c r="U44" i="12"/>
  <c r="S45" i="12"/>
  <c r="W45" i="12"/>
  <c r="P52" i="12"/>
  <c r="T45" i="12"/>
  <c r="V38" i="11"/>
  <c r="U38" i="11"/>
  <c r="P46" i="12"/>
  <c r="S39" i="12"/>
  <c r="W39" i="12"/>
  <c r="T39" i="12"/>
  <c r="V44" i="11"/>
  <c r="U44" i="11"/>
  <c r="V38" i="12"/>
  <c r="U38" i="12"/>
  <c r="V26" i="12"/>
  <c r="U26" i="12"/>
  <c r="V39" i="11"/>
  <c r="U39" i="11"/>
  <c r="S51" i="11"/>
  <c r="W51" i="11"/>
  <c r="T51" i="11"/>
  <c r="H32" i="24"/>
  <c r="N18" i="10"/>
  <c r="M18" i="11"/>
  <c r="P53" i="12"/>
  <c r="S46" i="12"/>
  <c r="W46" i="12"/>
  <c r="T46" i="12"/>
  <c r="V45" i="12"/>
  <c r="U45" i="12"/>
  <c r="V51" i="12"/>
  <c r="U51" i="12"/>
  <c r="V46" i="11"/>
  <c r="U46" i="11"/>
  <c r="P47" i="12"/>
  <c r="T40" i="12"/>
  <c r="S40" i="12"/>
  <c r="W40" i="12"/>
  <c r="V51" i="11"/>
  <c r="U51" i="11"/>
  <c r="S53" i="11"/>
  <c r="W53" i="11"/>
  <c r="T53" i="11"/>
  <c r="P29" i="12"/>
  <c r="S27" i="13"/>
  <c r="W27" i="13"/>
  <c r="T27" i="13"/>
  <c r="P34" i="13"/>
  <c r="U45" i="11"/>
  <c r="V45" i="11"/>
  <c r="T27" i="12"/>
  <c r="S27" i="12"/>
  <c r="W27" i="12"/>
  <c r="V39" i="12"/>
  <c r="U39" i="12"/>
  <c r="S52" i="12"/>
  <c r="W52" i="12"/>
  <c r="T52" i="12"/>
  <c r="P28" i="13"/>
  <c r="V33" i="12"/>
  <c r="U33" i="12"/>
  <c r="T52" i="11"/>
  <c r="S52" i="11"/>
  <c r="W52" i="11"/>
  <c r="P28" i="12"/>
  <c r="S54" i="11"/>
  <c r="R54" i="11"/>
  <c r="T28" i="12"/>
  <c r="S28" i="12"/>
  <c r="W28" i="12"/>
  <c r="P35" i="12"/>
  <c r="V52" i="11"/>
  <c r="U52" i="11"/>
  <c r="S28" i="13"/>
  <c r="W28" i="13"/>
  <c r="P35" i="13"/>
  <c r="T28" i="13"/>
  <c r="U53" i="11"/>
  <c r="O15" i="11"/>
  <c r="V53" i="11"/>
  <c r="S47" i="12"/>
  <c r="W47" i="12"/>
  <c r="T47" i="12"/>
  <c r="P23" i="13"/>
  <c r="T53" i="12"/>
  <c r="S53" i="12"/>
  <c r="W53" i="12"/>
  <c r="P29" i="13"/>
  <c r="V27" i="13"/>
  <c r="U27" i="13"/>
  <c r="V52" i="12"/>
  <c r="U52" i="12"/>
  <c r="S34" i="12"/>
  <c r="W34" i="12"/>
  <c r="T34" i="12"/>
  <c r="S29" i="12"/>
  <c r="W29" i="12"/>
  <c r="T29" i="12"/>
  <c r="P36" i="12"/>
  <c r="V40" i="12"/>
  <c r="U40" i="12"/>
  <c r="U27" i="12"/>
  <c r="V27" i="12"/>
  <c r="P41" i="13"/>
  <c r="S34" i="13"/>
  <c r="W34" i="13"/>
  <c r="T34" i="13"/>
  <c r="T54" i="11"/>
  <c r="V46" i="12"/>
  <c r="U46" i="12"/>
  <c r="P55" i="11"/>
  <c r="P15" i="11"/>
  <c r="O17" i="11"/>
  <c r="O14" i="11"/>
  <c r="P16" i="11"/>
  <c r="V34" i="13"/>
  <c r="U34" i="13"/>
  <c r="P43" i="12"/>
  <c r="T36" i="12"/>
  <c r="S36" i="12"/>
  <c r="W36" i="12"/>
  <c r="G9" i="11"/>
  <c r="P17" i="11"/>
  <c r="V28" i="13"/>
  <c r="U28" i="13"/>
  <c r="V28" i="12"/>
  <c r="U28" i="12"/>
  <c r="P48" i="13"/>
  <c r="T41" i="13"/>
  <c r="S41" i="13"/>
  <c r="W41" i="13"/>
  <c r="V34" i="12"/>
  <c r="U34" i="12"/>
  <c r="T29" i="13"/>
  <c r="S29" i="13"/>
  <c r="W29" i="13"/>
  <c r="P36" i="13"/>
  <c r="S23" i="13"/>
  <c r="W23" i="13"/>
  <c r="T23" i="13"/>
  <c r="P30" i="13"/>
  <c r="O16" i="11"/>
  <c r="V29" i="12"/>
  <c r="U29" i="12"/>
  <c r="T41" i="12"/>
  <c r="S41" i="12"/>
  <c r="W41" i="12"/>
  <c r="V53" i="12"/>
  <c r="U53" i="12"/>
  <c r="F9" i="11"/>
  <c r="V47" i="12"/>
  <c r="U47" i="12"/>
  <c r="S35" i="13"/>
  <c r="W35" i="13"/>
  <c r="P42" i="13"/>
  <c r="T35" i="13"/>
  <c r="P42" i="12"/>
  <c r="S35" i="12"/>
  <c r="W35" i="12"/>
  <c r="T35" i="12"/>
  <c r="P14" i="11"/>
  <c r="L16" i="11"/>
  <c r="I30" i="24"/>
  <c r="E9" i="11"/>
  <c r="E11" i="11"/>
  <c r="L15" i="11"/>
  <c r="I29" i="24"/>
  <c r="L14" i="11"/>
  <c r="I28" i="24"/>
  <c r="L17" i="11"/>
  <c r="I31" i="24"/>
  <c r="P49" i="12"/>
  <c r="S42" i="12"/>
  <c r="W42" i="12"/>
  <c r="T42" i="12"/>
  <c r="T48" i="12"/>
  <c r="S48" i="12"/>
  <c r="W48" i="12"/>
  <c r="P43" i="13"/>
  <c r="S36" i="13"/>
  <c r="W36" i="13"/>
  <c r="T36" i="13"/>
  <c r="P50" i="12"/>
  <c r="S43" i="12"/>
  <c r="W43" i="12"/>
  <c r="T43" i="12"/>
  <c r="P37" i="13"/>
  <c r="S30" i="13"/>
  <c r="W30" i="13"/>
  <c r="T30" i="13"/>
  <c r="V29" i="13"/>
  <c r="U29" i="13"/>
  <c r="V41" i="13"/>
  <c r="U41" i="13"/>
  <c r="V41" i="12"/>
  <c r="U41" i="12"/>
  <c r="V36" i="12"/>
  <c r="U36" i="12"/>
  <c r="S42" i="13"/>
  <c r="W42" i="13"/>
  <c r="P49" i="13"/>
  <c r="T42" i="13"/>
  <c r="V35" i="12"/>
  <c r="U35" i="12"/>
  <c r="V35" i="13"/>
  <c r="U35" i="13"/>
  <c r="U23" i="13"/>
  <c r="V23" i="13"/>
  <c r="S48" i="13"/>
  <c r="W48" i="13"/>
  <c r="T48" i="13"/>
  <c r="P25" i="14"/>
  <c r="N16" i="11"/>
  <c r="M16" i="12"/>
  <c r="N14" i="11"/>
  <c r="M14" i="12"/>
  <c r="E8" i="12"/>
  <c r="B12" i="11"/>
  <c r="N17" i="11"/>
  <c r="M17" i="12"/>
  <c r="L18" i="11"/>
  <c r="N15" i="11"/>
  <c r="M15" i="12"/>
  <c r="I15" i="24"/>
  <c r="I17" i="24"/>
  <c r="V42" i="13"/>
  <c r="U42" i="13"/>
  <c r="V43" i="12"/>
  <c r="U43" i="12"/>
  <c r="P50" i="13"/>
  <c r="S43" i="13"/>
  <c r="W43" i="13"/>
  <c r="T43" i="13"/>
  <c r="V42" i="12"/>
  <c r="U42" i="12"/>
  <c r="V48" i="13"/>
  <c r="U48" i="13"/>
  <c r="V30" i="13"/>
  <c r="U30" i="13"/>
  <c r="S50" i="12"/>
  <c r="W50" i="12"/>
  <c r="T50" i="12"/>
  <c r="P26" i="13"/>
  <c r="S24" i="13"/>
  <c r="W24" i="13"/>
  <c r="T24" i="13"/>
  <c r="S49" i="12"/>
  <c r="W49" i="12"/>
  <c r="T49" i="12"/>
  <c r="P25" i="13"/>
  <c r="S25" i="14"/>
  <c r="W25" i="14"/>
  <c r="T25" i="14"/>
  <c r="P32" i="14"/>
  <c r="I32" i="24"/>
  <c r="P44" i="13"/>
  <c r="T37" i="13"/>
  <c r="S37" i="13"/>
  <c r="W37" i="13"/>
  <c r="V48" i="12"/>
  <c r="U48" i="12"/>
  <c r="S49" i="13"/>
  <c r="W49" i="13"/>
  <c r="T49" i="13"/>
  <c r="P26" i="14"/>
  <c r="V36" i="13"/>
  <c r="U36" i="13"/>
  <c r="M18" i="12"/>
  <c r="N18" i="11"/>
  <c r="T54" i="12"/>
  <c r="R54" i="12"/>
  <c r="S26" i="14"/>
  <c r="W26" i="14"/>
  <c r="T26" i="14"/>
  <c r="P33" i="14"/>
  <c r="P51" i="13"/>
  <c r="S44" i="13"/>
  <c r="W44" i="13"/>
  <c r="T44" i="13"/>
  <c r="V49" i="12"/>
  <c r="U49" i="12"/>
  <c r="S26" i="13"/>
  <c r="W26" i="13"/>
  <c r="T26" i="13"/>
  <c r="P33" i="13"/>
  <c r="V43" i="13"/>
  <c r="U43" i="13"/>
  <c r="V25" i="14"/>
  <c r="U25" i="14"/>
  <c r="S31" i="13"/>
  <c r="W31" i="13"/>
  <c r="T31" i="13"/>
  <c r="S50" i="13"/>
  <c r="W50" i="13"/>
  <c r="T50" i="13"/>
  <c r="P27" i="14"/>
  <c r="V49" i="13"/>
  <c r="U49" i="13"/>
  <c r="V37" i="13"/>
  <c r="U37" i="13"/>
  <c r="S25" i="13"/>
  <c r="W25" i="13"/>
  <c r="T25" i="13"/>
  <c r="P32" i="13"/>
  <c r="V50" i="12"/>
  <c r="U50" i="12"/>
  <c r="S54" i="12"/>
  <c r="P39" i="14"/>
  <c r="S32" i="14"/>
  <c r="W32" i="14"/>
  <c r="T32" i="14"/>
  <c r="V24" i="13"/>
  <c r="U24" i="13"/>
  <c r="P55" i="12"/>
  <c r="O16" i="12"/>
  <c r="O14" i="12"/>
  <c r="F9" i="12"/>
  <c r="O15" i="12"/>
  <c r="V25" i="13"/>
  <c r="U25" i="13"/>
  <c r="V50" i="13"/>
  <c r="U50" i="13"/>
  <c r="P40" i="13"/>
  <c r="T33" i="13"/>
  <c r="S33" i="13"/>
  <c r="W33" i="13"/>
  <c r="P14" i="12"/>
  <c r="S33" i="14"/>
  <c r="W33" i="14"/>
  <c r="P40" i="14"/>
  <c r="T33" i="14"/>
  <c r="P17" i="12"/>
  <c r="G9" i="12"/>
  <c r="P15" i="12"/>
  <c r="P16" i="12"/>
  <c r="V32" i="14"/>
  <c r="U32" i="14"/>
  <c r="P46" i="14"/>
  <c r="T39" i="14"/>
  <c r="S39" i="14"/>
  <c r="W39" i="14"/>
  <c r="P39" i="13"/>
  <c r="T32" i="13"/>
  <c r="S32" i="13"/>
  <c r="W32" i="13"/>
  <c r="T27" i="14"/>
  <c r="S27" i="14"/>
  <c r="W27" i="14"/>
  <c r="P34" i="14"/>
  <c r="V31" i="13"/>
  <c r="U31" i="13"/>
  <c r="V26" i="13"/>
  <c r="U26" i="13"/>
  <c r="V44" i="13"/>
  <c r="U44" i="13"/>
  <c r="V26" i="14"/>
  <c r="U26" i="14"/>
  <c r="T38" i="13"/>
  <c r="S38" i="13"/>
  <c r="W38" i="13"/>
  <c r="S51" i="13"/>
  <c r="W51" i="13"/>
  <c r="T51" i="13"/>
  <c r="P28" i="14"/>
  <c r="O17" i="12"/>
  <c r="L17" i="12"/>
  <c r="L16" i="12"/>
  <c r="L14" i="12"/>
  <c r="J28" i="24"/>
  <c r="L15" i="12"/>
  <c r="J29" i="24"/>
  <c r="E9" i="12"/>
  <c r="E11" i="12"/>
  <c r="T45" i="13"/>
  <c r="S45" i="13"/>
  <c r="W45" i="13"/>
  <c r="V39" i="14"/>
  <c r="U39" i="14"/>
  <c r="S40" i="14"/>
  <c r="W40" i="14"/>
  <c r="P47" i="14"/>
  <c r="T40" i="14"/>
  <c r="V32" i="13"/>
  <c r="U32" i="13"/>
  <c r="V33" i="14"/>
  <c r="U33" i="14"/>
  <c r="P47" i="13"/>
  <c r="S40" i="13"/>
  <c r="W40" i="13"/>
  <c r="T40" i="13"/>
  <c r="V38" i="13"/>
  <c r="U38" i="13"/>
  <c r="P41" i="14"/>
  <c r="S34" i="14"/>
  <c r="W34" i="14"/>
  <c r="T34" i="14"/>
  <c r="P53" i="14"/>
  <c r="S46" i="14"/>
  <c r="W46" i="14"/>
  <c r="T46" i="14"/>
  <c r="V51" i="13"/>
  <c r="U51" i="13"/>
  <c r="S28" i="14"/>
  <c r="W28" i="14"/>
  <c r="T28" i="14"/>
  <c r="P35" i="14"/>
  <c r="V27" i="14"/>
  <c r="U27" i="14"/>
  <c r="P46" i="13"/>
  <c r="S39" i="13"/>
  <c r="W39" i="13"/>
  <c r="T39" i="13"/>
  <c r="V33" i="13"/>
  <c r="U33" i="13"/>
  <c r="N15" i="12"/>
  <c r="M15" i="13"/>
  <c r="E8" i="13"/>
  <c r="B12" i="12"/>
  <c r="N17" i="12"/>
  <c r="M17" i="13"/>
  <c r="J31" i="24"/>
  <c r="N16" i="12"/>
  <c r="M16" i="13"/>
  <c r="J30" i="24"/>
  <c r="L18" i="12"/>
  <c r="N14" i="12"/>
  <c r="M14" i="13"/>
  <c r="J15" i="24"/>
  <c r="J17" i="24"/>
  <c r="S53" i="14"/>
  <c r="W53" i="14"/>
  <c r="T53" i="14"/>
  <c r="P29" i="15"/>
  <c r="U40" i="14"/>
  <c r="V40" i="14"/>
  <c r="T52" i="13"/>
  <c r="S52" i="13"/>
  <c r="W52" i="13"/>
  <c r="P42" i="14"/>
  <c r="T35" i="14"/>
  <c r="S35" i="14"/>
  <c r="W35" i="14"/>
  <c r="V39" i="13"/>
  <c r="U39" i="13"/>
  <c r="U34" i="14"/>
  <c r="V34" i="14"/>
  <c r="V40" i="13"/>
  <c r="U40" i="13"/>
  <c r="V45" i="13"/>
  <c r="U45" i="13"/>
  <c r="T46" i="13"/>
  <c r="S46" i="13"/>
  <c r="W46" i="13"/>
  <c r="P23" i="14"/>
  <c r="V28" i="14"/>
  <c r="U28" i="14"/>
  <c r="V46" i="14"/>
  <c r="U46" i="14"/>
  <c r="P48" i="14"/>
  <c r="S41" i="14"/>
  <c r="W41" i="14"/>
  <c r="T41" i="14"/>
  <c r="S47" i="13"/>
  <c r="W47" i="13"/>
  <c r="T47" i="13"/>
  <c r="P24" i="14"/>
  <c r="S47" i="14"/>
  <c r="W47" i="14"/>
  <c r="T47" i="14"/>
  <c r="P23" i="15"/>
  <c r="J32" i="24"/>
  <c r="M18" i="13"/>
  <c r="N18" i="12"/>
  <c r="R54" i="13"/>
  <c r="S23" i="15"/>
  <c r="W23" i="15"/>
  <c r="T23" i="15"/>
  <c r="P30" i="15"/>
  <c r="S24" i="14"/>
  <c r="W24" i="14"/>
  <c r="T24" i="14"/>
  <c r="P31" i="14"/>
  <c r="V41" i="14"/>
  <c r="U41" i="14"/>
  <c r="T23" i="14"/>
  <c r="S23" i="14"/>
  <c r="W23" i="14"/>
  <c r="P30" i="14"/>
  <c r="V35" i="14"/>
  <c r="U35" i="14"/>
  <c r="V52" i="13"/>
  <c r="U52" i="13"/>
  <c r="S54" i="13"/>
  <c r="S48" i="14"/>
  <c r="W48" i="14"/>
  <c r="T48" i="14"/>
  <c r="P24" i="15"/>
  <c r="V46" i="13"/>
  <c r="U46" i="13"/>
  <c r="T54" i="13"/>
  <c r="V53" i="14"/>
  <c r="U53" i="14"/>
  <c r="V47" i="14"/>
  <c r="U47" i="14"/>
  <c r="V47" i="13"/>
  <c r="U47" i="13"/>
  <c r="P49" i="14"/>
  <c r="S42" i="14"/>
  <c r="W42" i="14"/>
  <c r="T42" i="14"/>
  <c r="S29" i="14"/>
  <c r="W29" i="14"/>
  <c r="T29" i="14"/>
  <c r="T29" i="15"/>
  <c r="S29" i="15"/>
  <c r="W29" i="15"/>
  <c r="P36" i="15"/>
  <c r="O14" i="13"/>
  <c r="P14" i="13"/>
  <c r="P43" i="15"/>
  <c r="T36" i="15"/>
  <c r="S36" i="15"/>
  <c r="W36" i="15"/>
  <c r="U42" i="14"/>
  <c r="V42" i="14"/>
  <c r="T24" i="15"/>
  <c r="S24" i="15"/>
  <c r="W24" i="15"/>
  <c r="P31" i="15"/>
  <c r="P55" i="13"/>
  <c r="V23" i="15"/>
  <c r="U23" i="15"/>
  <c r="O15" i="13"/>
  <c r="O16" i="13"/>
  <c r="O17" i="13"/>
  <c r="V24" i="14"/>
  <c r="U24" i="14"/>
  <c r="F9" i="13"/>
  <c r="U48" i="14"/>
  <c r="V48" i="14"/>
  <c r="P17" i="13"/>
  <c r="P15" i="13"/>
  <c r="P37" i="14"/>
  <c r="T30" i="14"/>
  <c r="S30" i="14"/>
  <c r="W30" i="14"/>
  <c r="P37" i="15"/>
  <c r="S30" i="15"/>
  <c r="W30" i="15"/>
  <c r="T30" i="15"/>
  <c r="P16" i="13"/>
  <c r="V29" i="15"/>
  <c r="U29" i="15"/>
  <c r="V29" i="14"/>
  <c r="U29" i="14"/>
  <c r="S49" i="14"/>
  <c r="W49" i="14"/>
  <c r="T49" i="14"/>
  <c r="P25" i="15"/>
  <c r="T36" i="14"/>
  <c r="S36" i="14"/>
  <c r="W36" i="14"/>
  <c r="U23" i="14"/>
  <c r="V23" i="14"/>
  <c r="P38" i="14"/>
  <c r="T31" i="14"/>
  <c r="S31" i="14"/>
  <c r="W31" i="14"/>
  <c r="G9" i="13"/>
  <c r="L14" i="13"/>
  <c r="K28" i="24"/>
  <c r="L17" i="13"/>
  <c r="K31" i="24"/>
  <c r="L16" i="13"/>
  <c r="K30" i="24"/>
  <c r="E9" i="13"/>
  <c r="L15" i="13"/>
  <c r="K29" i="24"/>
  <c r="P45" i="14"/>
  <c r="S38" i="14"/>
  <c r="W38" i="14"/>
  <c r="T38" i="14"/>
  <c r="U36" i="14"/>
  <c r="V36" i="14"/>
  <c r="U30" i="15"/>
  <c r="V30" i="15"/>
  <c r="P44" i="14"/>
  <c r="S37" i="14"/>
  <c r="W37" i="14"/>
  <c r="T37" i="14"/>
  <c r="U24" i="15"/>
  <c r="V24" i="15"/>
  <c r="V36" i="15"/>
  <c r="U36" i="15"/>
  <c r="V49" i="14"/>
  <c r="U49" i="14"/>
  <c r="P44" i="15"/>
  <c r="S37" i="15"/>
  <c r="W37" i="15"/>
  <c r="T37" i="15"/>
  <c r="T43" i="14"/>
  <c r="S43" i="14"/>
  <c r="W43" i="14"/>
  <c r="V30" i="14"/>
  <c r="U30" i="14"/>
  <c r="P50" i="15"/>
  <c r="T43" i="15"/>
  <c r="S43" i="15"/>
  <c r="W43" i="15"/>
  <c r="V31" i="14"/>
  <c r="U31" i="14"/>
  <c r="T25" i="15"/>
  <c r="S25" i="15"/>
  <c r="W25" i="15"/>
  <c r="P32" i="15"/>
  <c r="P38" i="15"/>
  <c r="T31" i="15"/>
  <c r="S31" i="15"/>
  <c r="W31" i="15"/>
  <c r="V31" i="15"/>
  <c r="U31" i="15"/>
  <c r="P39" i="15"/>
  <c r="T32" i="15"/>
  <c r="S32" i="15"/>
  <c r="W32" i="15"/>
  <c r="T50" i="15"/>
  <c r="P27" i="16"/>
  <c r="S50" i="15"/>
  <c r="W50" i="15"/>
  <c r="K15" i="24"/>
  <c r="K17" i="24"/>
  <c r="E11" i="13"/>
  <c r="V43" i="14"/>
  <c r="U43" i="14"/>
  <c r="V25" i="15"/>
  <c r="U25" i="15"/>
  <c r="L18" i="13"/>
  <c r="N17" i="13"/>
  <c r="V37" i="15"/>
  <c r="U37" i="15"/>
  <c r="V38" i="14"/>
  <c r="U38" i="14"/>
  <c r="N16" i="13"/>
  <c r="M16" i="14"/>
  <c r="P45" i="15"/>
  <c r="T38" i="15"/>
  <c r="S38" i="15"/>
  <c r="W38" i="15"/>
  <c r="V43" i="15"/>
  <c r="U43" i="15"/>
  <c r="N14" i="13"/>
  <c r="M14" i="14"/>
  <c r="S50" i="14"/>
  <c r="W50" i="14"/>
  <c r="T50" i="14"/>
  <c r="P51" i="15"/>
  <c r="S44" i="15"/>
  <c r="W44" i="15"/>
  <c r="T44" i="15"/>
  <c r="V37" i="14"/>
  <c r="U37" i="14"/>
  <c r="P52" i="14"/>
  <c r="S45" i="14"/>
  <c r="W45" i="14"/>
  <c r="T45" i="14"/>
  <c r="N15" i="13"/>
  <c r="M15" i="14"/>
  <c r="P51" i="14"/>
  <c r="T44" i="14"/>
  <c r="S44" i="14"/>
  <c r="W44" i="14"/>
  <c r="E8" i="14"/>
  <c r="B12" i="13"/>
  <c r="T26" i="15"/>
  <c r="S26" i="15"/>
  <c r="W26" i="15"/>
  <c r="P33" i="15"/>
  <c r="U38" i="15"/>
  <c r="V38" i="15"/>
  <c r="V50" i="15"/>
  <c r="U50" i="15"/>
  <c r="V44" i="15"/>
  <c r="U44" i="15"/>
  <c r="M17" i="14"/>
  <c r="M18" i="14"/>
  <c r="N18" i="13"/>
  <c r="S27" i="16"/>
  <c r="W27" i="16"/>
  <c r="T27" i="16"/>
  <c r="P34" i="16"/>
  <c r="P46" i="15"/>
  <c r="T39" i="15"/>
  <c r="S39" i="15"/>
  <c r="W39" i="15"/>
  <c r="V45" i="14"/>
  <c r="U45" i="14"/>
  <c r="T51" i="15"/>
  <c r="P28" i="16"/>
  <c r="S51" i="15"/>
  <c r="W51" i="15"/>
  <c r="V50" i="14"/>
  <c r="U50" i="14"/>
  <c r="P52" i="15"/>
  <c r="T45" i="15"/>
  <c r="S45" i="15"/>
  <c r="W45" i="15"/>
  <c r="U44" i="14"/>
  <c r="V44" i="14"/>
  <c r="S51" i="14"/>
  <c r="W51" i="14"/>
  <c r="T51" i="14"/>
  <c r="P27" i="15"/>
  <c r="S52" i="14"/>
  <c r="W52" i="14"/>
  <c r="T52" i="14"/>
  <c r="P28" i="15"/>
  <c r="K32" i="24"/>
  <c r="U32" i="15"/>
  <c r="V32" i="15"/>
  <c r="T54" i="14"/>
  <c r="R54" i="14"/>
  <c r="U52" i="14"/>
  <c r="V52" i="14"/>
  <c r="V51" i="14"/>
  <c r="U51" i="14"/>
  <c r="T52" i="15"/>
  <c r="S52" i="15"/>
  <c r="W52" i="15"/>
  <c r="P29" i="16"/>
  <c r="S28" i="16"/>
  <c r="W28" i="16"/>
  <c r="T28" i="16"/>
  <c r="P35" i="16"/>
  <c r="P41" i="16"/>
  <c r="T34" i="16"/>
  <c r="S34" i="16"/>
  <c r="W34" i="16"/>
  <c r="V26" i="15"/>
  <c r="U26" i="15"/>
  <c r="V39" i="15"/>
  <c r="U39" i="15"/>
  <c r="T28" i="15"/>
  <c r="S28" i="15"/>
  <c r="W28" i="15"/>
  <c r="P35" i="15"/>
  <c r="T27" i="15"/>
  <c r="S27" i="15"/>
  <c r="W27" i="15"/>
  <c r="P34" i="15"/>
  <c r="V45" i="15"/>
  <c r="U45" i="15"/>
  <c r="V27" i="16"/>
  <c r="U27" i="16"/>
  <c r="V51" i="15"/>
  <c r="U51" i="15"/>
  <c r="T46" i="15"/>
  <c r="S46" i="15"/>
  <c r="W46" i="15"/>
  <c r="P23" i="16"/>
  <c r="P40" i="15"/>
  <c r="T33" i="15"/>
  <c r="S33" i="15"/>
  <c r="W33" i="15"/>
  <c r="S54" i="14"/>
  <c r="P55" i="14"/>
  <c r="P14" i="14"/>
  <c r="G9" i="14"/>
  <c r="O14" i="14"/>
  <c r="P15" i="14"/>
  <c r="O15" i="14"/>
  <c r="S29" i="16"/>
  <c r="W29" i="16"/>
  <c r="T29" i="16"/>
  <c r="P36" i="16"/>
  <c r="P17" i="14"/>
  <c r="P16" i="14"/>
  <c r="T23" i="16"/>
  <c r="S23" i="16"/>
  <c r="W23" i="16"/>
  <c r="P30" i="16"/>
  <c r="P42" i="15"/>
  <c r="T35" i="15"/>
  <c r="S35" i="15"/>
  <c r="W35" i="15"/>
  <c r="U34" i="16"/>
  <c r="V34" i="16"/>
  <c r="P42" i="16"/>
  <c r="T35" i="16"/>
  <c r="S35" i="16"/>
  <c r="W35" i="16"/>
  <c r="V52" i="15"/>
  <c r="U52" i="15"/>
  <c r="P47" i="15"/>
  <c r="P24" i="16"/>
  <c r="P31" i="16"/>
  <c r="T40" i="15"/>
  <c r="S40" i="15"/>
  <c r="W40" i="15"/>
  <c r="V33" i="15"/>
  <c r="U33" i="15"/>
  <c r="U46" i="15"/>
  <c r="V46" i="15"/>
  <c r="P41" i="15"/>
  <c r="S34" i="15"/>
  <c r="W34" i="15"/>
  <c r="T34" i="15"/>
  <c r="V28" i="15"/>
  <c r="U28" i="15"/>
  <c r="V27" i="15"/>
  <c r="U27" i="15"/>
  <c r="S41" i="16"/>
  <c r="W41" i="16"/>
  <c r="T41" i="16"/>
  <c r="U28" i="16"/>
  <c r="V28" i="16"/>
  <c r="F9" i="14"/>
  <c r="O17" i="14"/>
  <c r="O16" i="14"/>
  <c r="L17" i="14"/>
  <c r="E9" i="14"/>
  <c r="L15" i="24"/>
  <c r="L14" i="14"/>
  <c r="L28" i="24"/>
  <c r="L16" i="14"/>
  <c r="L30" i="24"/>
  <c r="L15" i="14"/>
  <c r="L29" i="24"/>
  <c r="T48" i="16"/>
  <c r="S48" i="16"/>
  <c r="W48" i="16"/>
  <c r="P48" i="15"/>
  <c r="T41" i="15"/>
  <c r="S41" i="15"/>
  <c r="W41" i="15"/>
  <c r="P49" i="16"/>
  <c r="S42" i="16"/>
  <c r="W42" i="16"/>
  <c r="T42" i="16"/>
  <c r="U40" i="15"/>
  <c r="V40" i="15"/>
  <c r="P49" i="15"/>
  <c r="T42" i="15"/>
  <c r="S42" i="15"/>
  <c r="W42" i="15"/>
  <c r="V29" i="16"/>
  <c r="U29" i="16"/>
  <c r="V35" i="16"/>
  <c r="U35" i="16"/>
  <c r="P37" i="16"/>
  <c r="T30" i="16"/>
  <c r="S30" i="16"/>
  <c r="W30" i="16"/>
  <c r="V41" i="16"/>
  <c r="U41" i="16"/>
  <c r="V34" i="15"/>
  <c r="U34" i="15"/>
  <c r="T47" i="15"/>
  <c r="S47" i="15"/>
  <c r="W47" i="15"/>
  <c r="V35" i="15"/>
  <c r="U35" i="15"/>
  <c r="U23" i="16"/>
  <c r="V23" i="16"/>
  <c r="P43" i="16"/>
  <c r="T36" i="16"/>
  <c r="S36" i="16"/>
  <c r="W36" i="16"/>
  <c r="E11" i="14"/>
  <c r="N14" i="14"/>
  <c r="N15" i="14"/>
  <c r="M15" i="15"/>
  <c r="N17" i="14"/>
  <c r="M17" i="15"/>
  <c r="L31" i="24"/>
  <c r="L18" i="14"/>
  <c r="N16" i="14"/>
  <c r="M16" i="15"/>
  <c r="P50" i="16"/>
  <c r="S43" i="16"/>
  <c r="W43" i="16"/>
  <c r="T43" i="16"/>
  <c r="V41" i="15"/>
  <c r="U41" i="15"/>
  <c r="V48" i="16"/>
  <c r="U48" i="16"/>
  <c r="P44" i="16"/>
  <c r="S37" i="16"/>
  <c r="W37" i="16"/>
  <c r="T37" i="16"/>
  <c r="V42" i="15"/>
  <c r="U42" i="15"/>
  <c r="S24" i="16"/>
  <c r="W24" i="16"/>
  <c r="T24" i="16"/>
  <c r="U36" i="16"/>
  <c r="V36" i="16"/>
  <c r="U30" i="16"/>
  <c r="V30" i="16"/>
  <c r="U42" i="16"/>
  <c r="V42" i="16"/>
  <c r="S48" i="15"/>
  <c r="W48" i="15"/>
  <c r="T48" i="15"/>
  <c r="P25" i="16"/>
  <c r="U47" i="15"/>
  <c r="V47" i="15"/>
  <c r="T49" i="15"/>
  <c r="S49" i="15"/>
  <c r="W49" i="15"/>
  <c r="P26" i="16"/>
  <c r="T49" i="16"/>
  <c r="S49" i="16"/>
  <c r="W49" i="16"/>
  <c r="L17" i="24"/>
  <c r="M14" i="15"/>
  <c r="M18" i="15"/>
  <c r="B12" i="14"/>
  <c r="E8" i="15"/>
  <c r="T54" i="15"/>
  <c r="L32" i="24"/>
  <c r="N18" i="14"/>
  <c r="R54" i="15"/>
  <c r="V48" i="15"/>
  <c r="U48" i="15"/>
  <c r="P38" i="16"/>
  <c r="T31" i="16"/>
  <c r="S31" i="16"/>
  <c r="W31" i="16"/>
  <c r="P51" i="16"/>
  <c r="T44" i="16"/>
  <c r="S44" i="16"/>
  <c r="W44" i="16"/>
  <c r="T26" i="16"/>
  <c r="P33" i="16"/>
  <c r="S26" i="16"/>
  <c r="W26" i="16"/>
  <c r="V49" i="16"/>
  <c r="U49" i="16"/>
  <c r="U49" i="15"/>
  <c r="V49" i="15"/>
  <c r="S54" i="15"/>
  <c r="T25" i="16"/>
  <c r="S25" i="16"/>
  <c r="W25" i="16"/>
  <c r="P32" i="16"/>
  <c r="V24" i="16"/>
  <c r="U24" i="16"/>
  <c r="V43" i="16"/>
  <c r="U43" i="16"/>
  <c r="V37" i="16"/>
  <c r="U37" i="16"/>
  <c r="S50" i="16"/>
  <c r="W50" i="16"/>
  <c r="T50" i="16"/>
  <c r="P16" i="15"/>
  <c r="P17" i="15"/>
  <c r="P55" i="15"/>
  <c r="O14" i="15"/>
  <c r="P39" i="16"/>
  <c r="T32" i="16"/>
  <c r="S32" i="16"/>
  <c r="W32" i="16"/>
  <c r="V25" i="16"/>
  <c r="U25" i="16"/>
  <c r="U44" i="16"/>
  <c r="V44" i="16"/>
  <c r="V31" i="16"/>
  <c r="U31" i="16"/>
  <c r="O17" i="15"/>
  <c r="F9" i="15"/>
  <c r="O15" i="15"/>
  <c r="O16" i="15"/>
  <c r="U26" i="16"/>
  <c r="V26" i="16"/>
  <c r="U50" i="16"/>
  <c r="V50" i="16"/>
  <c r="G9" i="15"/>
  <c r="P40" i="16"/>
  <c r="T33" i="16"/>
  <c r="S33" i="16"/>
  <c r="W33" i="16"/>
  <c r="T51" i="16"/>
  <c r="S51" i="16"/>
  <c r="W51" i="16"/>
  <c r="P45" i="16"/>
  <c r="T38" i="16"/>
  <c r="S38" i="16"/>
  <c r="W38" i="16"/>
  <c r="P15" i="15"/>
  <c r="P14" i="15"/>
  <c r="L16" i="15"/>
  <c r="M30" i="24"/>
  <c r="L15" i="15"/>
  <c r="E9" i="15"/>
  <c r="E11" i="15"/>
  <c r="L14" i="15"/>
  <c r="M28" i="24"/>
  <c r="L17" i="15"/>
  <c r="M31" i="24"/>
  <c r="V33" i="16"/>
  <c r="U33" i="16"/>
  <c r="P52" i="16"/>
  <c r="T45" i="16"/>
  <c r="S45" i="16"/>
  <c r="W45" i="16"/>
  <c r="V32" i="16"/>
  <c r="U32" i="16"/>
  <c r="V51" i="16"/>
  <c r="U51" i="16"/>
  <c r="T40" i="16"/>
  <c r="S40" i="16"/>
  <c r="W40" i="16"/>
  <c r="U38" i="16"/>
  <c r="V38" i="16"/>
  <c r="P46" i="16"/>
  <c r="T39" i="16"/>
  <c r="S39" i="16"/>
  <c r="W39" i="16"/>
  <c r="E8" i="16"/>
  <c r="B12" i="15"/>
  <c r="N15" i="15"/>
  <c r="M15" i="16"/>
  <c r="M29" i="24"/>
  <c r="M32" i="24"/>
  <c r="N16" i="15"/>
  <c r="M16" i="16"/>
  <c r="N14" i="15"/>
  <c r="M14" i="16"/>
  <c r="M15" i="24"/>
  <c r="M17" i="24"/>
  <c r="N17" i="15"/>
  <c r="M17" i="16"/>
  <c r="L18" i="15"/>
  <c r="V45" i="16"/>
  <c r="U45" i="16"/>
  <c r="T52" i="16"/>
  <c r="S52" i="16"/>
  <c r="W52" i="16"/>
  <c r="P53" i="16"/>
  <c r="S53" i="16"/>
  <c r="W53" i="16"/>
  <c r="S46" i="16"/>
  <c r="T46" i="16"/>
  <c r="V40" i="16"/>
  <c r="U40" i="16"/>
  <c r="V39" i="16"/>
  <c r="U39" i="16"/>
  <c r="S47" i="16"/>
  <c r="W47" i="16"/>
  <c r="T47" i="16"/>
  <c r="B24" i="7"/>
  <c r="N18" i="15"/>
  <c r="M18" i="16"/>
  <c r="T54" i="16"/>
  <c r="S54" i="16"/>
  <c r="W46" i="16"/>
  <c r="R54" i="16"/>
  <c r="P55" i="16"/>
  <c r="V53" i="16"/>
  <c r="U53" i="16"/>
  <c r="V47" i="16"/>
  <c r="U47" i="16"/>
  <c r="V52" i="16"/>
  <c r="U52" i="16"/>
  <c r="U46" i="16"/>
  <c r="V46" i="16"/>
  <c r="B25" i="7"/>
  <c r="B26" i="7"/>
  <c r="L15" i="16"/>
  <c r="L14" i="16"/>
  <c r="L16" i="16"/>
  <c r="L17" i="16"/>
  <c r="N31" i="24"/>
  <c r="E9" i="16"/>
  <c r="E11" i="16"/>
  <c r="B27" i="7"/>
  <c r="B12" i="16"/>
  <c r="F10" i="21"/>
  <c r="N30" i="24"/>
  <c r="O30" i="24"/>
  <c r="N28" i="24"/>
  <c r="O28" i="24"/>
  <c r="O31" i="24"/>
  <c r="N29" i="24"/>
  <c r="O29" i="24"/>
  <c r="N17" i="16"/>
  <c r="F12" i="21"/>
  <c r="N15" i="24"/>
  <c r="N14" i="16"/>
  <c r="F17" i="21"/>
  <c r="N16" i="16"/>
  <c r="F16" i="21"/>
  <c r="L18" i="16"/>
  <c r="N15" i="16"/>
  <c r="F18" i="21"/>
  <c r="B28" i="7"/>
  <c r="G18" i="21"/>
  <c r="H18" i="21"/>
  <c r="K18" i="21"/>
  <c r="I18" i="21"/>
  <c r="J18" i="21"/>
  <c r="N17" i="24"/>
  <c r="O17" i="24"/>
  <c r="F11" i="21"/>
  <c r="H12" i="21"/>
  <c r="G12" i="21"/>
  <c r="K12" i="21"/>
  <c r="J12" i="21"/>
  <c r="I12" i="21"/>
  <c r="J16" i="21"/>
  <c r="K16" i="21"/>
  <c r="I16" i="21"/>
  <c r="G16" i="21"/>
  <c r="H16" i="21"/>
  <c r="I10" i="21"/>
  <c r="H10" i="21"/>
  <c r="J10" i="21"/>
  <c r="G10" i="21"/>
  <c r="K10" i="21"/>
  <c r="H17" i="21"/>
  <c r="I17" i="21"/>
  <c r="K17" i="21"/>
  <c r="G17" i="21"/>
  <c r="J17" i="21"/>
  <c r="N32" i="24"/>
  <c r="O15" i="24"/>
  <c r="K20" i="26"/>
  <c r="K22" i="26"/>
  <c r="L22" i="26"/>
  <c r="N18" i="16"/>
  <c r="B29" i="7"/>
  <c r="G11" i="21"/>
  <c r="H11" i="21"/>
  <c r="I11" i="21"/>
  <c r="J11" i="21"/>
  <c r="K11" i="21"/>
  <c r="K16" i="26"/>
  <c r="L16" i="26"/>
  <c r="B30" i="7"/>
  <c r="B31" i="7"/>
  <c r="B32" i="7"/>
  <c r="B33" i="7"/>
  <c r="B34" i="7"/>
  <c r="B35" i="7"/>
  <c r="B36" i="7"/>
  <c r="B37" i="7"/>
  <c r="B38" i="7"/>
  <c r="B39" i="7"/>
  <c r="B40" i="7"/>
  <c r="B41" i="7"/>
  <c r="B42" i="7"/>
  <c r="B43" i="7"/>
  <c r="B44" i="7"/>
  <c r="B45" i="7"/>
  <c r="B46" i="7"/>
  <c r="B47" i="7"/>
  <c r="B48" i="7"/>
  <c r="B49" i="7"/>
  <c r="B50" i="7"/>
  <c r="B51" i="7"/>
  <c r="B52" i="7"/>
  <c r="B53" i="7"/>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3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300-000002000000}">
      <text>
        <r>
          <rPr>
            <b/>
            <sz val="9"/>
            <color indexed="81"/>
            <rFont val="Tahoma"/>
            <family val="2"/>
          </rPr>
          <t>Tragen Sie ihre Absenzen mit  einsprechendem Buchstaben für Vor- und Nachmittag ein. Siehe Legende oben links.</t>
        </r>
      </text>
    </comment>
    <comment ref="M20" authorId="1" shapeId="0" xr:uid="{00000000-0006-0000-0300-000003000000}">
      <text>
        <r>
          <rPr>
            <b/>
            <sz val="11"/>
            <color indexed="81"/>
            <rFont val="Arial"/>
            <family val="2"/>
          </rPr>
          <t>Die Eingabe ist aus Übersichtlichkeitsgründen auf maximal 25 Zeichen beschränkt. Bitte halten Sie allfällige Kommentare kurz.</t>
        </r>
      </text>
    </comment>
    <comment ref="A23" authorId="1" shapeId="0" xr:uid="{00000000-0006-0000-0300-000004000000}">
      <text>
        <r>
          <rPr>
            <b/>
            <sz val="10"/>
            <color indexed="81"/>
            <rFont val="Tahoma"/>
            <family val="2"/>
          </rPr>
          <t>Neujahrstag</t>
        </r>
        <r>
          <rPr>
            <sz val="8"/>
            <color indexed="81"/>
            <rFont val="Tahoma"/>
            <family val="2"/>
          </rPr>
          <t xml:space="preserve">
</t>
        </r>
      </text>
    </comment>
    <comment ref="A24" authorId="0" shapeId="0" xr:uid="{00000000-0006-0000-0300-000005000000}">
      <text>
        <r>
          <rPr>
            <b/>
            <sz val="9"/>
            <color indexed="81"/>
            <rFont val="Tahoma"/>
            <family val="2"/>
          </rPr>
          <t>Berchtoldstag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C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C00-000002000000}">
      <text>
        <r>
          <rPr>
            <b/>
            <sz val="9"/>
            <color indexed="81"/>
            <rFont val="Tahoma"/>
            <family val="2"/>
          </rPr>
          <t>Tragen Sie ihre Absenzen mit  einsprechendem Buchstaben für Vor- und Nachmittag ein. Siehe Legende oben links.</t>
        </r>
      </text>
    </comment>
    <comment ref="M20" authorId="1" shapeId="0" xr:uid="{00000000-0006-0000-0C00-000003000000}">
      <text>
        <r>
          <rPr>
            <b/>
            <sz val="11"/>
            <color indexed="81"/>
            <rFont val="Arial"/>
            <family val="2"/>
          </rPr>
          <t>Die Eingabe ist aus Übersichtlichkeitsgründen auf maximal 25 Zeichen beschränkt. Bitte halten Sie allfällige Kommentare kurz.</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D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D00-000002000000}">
      <text>
        <r>
          <rPr>
            <b/>
            <sz val="9"/>
            <color indexed="81"/>
            <rFont val="Tahoma"/>
            <family val="2"/>
          </rPr>
          <t>Tragen Sie ihre Absenzen mit  einsprechendem Buchstaben für Vor- und Nachmittag ein. Siehe Legende oben links.</t>
        </r>
      </text>
    </comment>
    <comment ref="M20" authorId="1" shapeId="0" xr:uid="{00000000-0006-0000-0D00-000003000000}">
      <text>
        <r>
          <rPr>
            <b/>
            <sz val="11"/>
            <color indexed="81"/>
            <rFont val="Arial"/>
            <family val="2"/>
          </rPr>
          <t>Die Eingabe ist aus Übersichtlichkeitsgründen auf maximal 25 Zeichen beschränkt. Bitte halten Sie allfällige Kommentare kurz.</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E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E00-000002000000}">
      <text>
        <r>
          <rPr>
            <b/>
            <sz val="9"/>
            <color indexed="81"/>
            <rFont val="Tahoma"/>
            <family val="2"/>
          </rPr>
          <t>Tragen Sie ihre Absenzen mit  einsprechendem Buchstaben für Vor- und Nachmittag ein. Siehe Legende oben links.</t>
        </r>
      </text>
    </comment>
    <comment ref="M20" authorId="1" shapeId="0" xr:uid="{00000000-0006-0000-0E00-000003000000}">
      <text>
        <r>
          <rPr>
            <b/>
            <sz val="11"/>
            <color indexed="81"/>
            <rFont val="Arial"/>
            <family val="2"/>
          </rPr>
          <t>Die Eingabe ist aus Übersichtlichkeitsgründen auf maximal 25 Zeichen beschränkt. Bitte halten Sie allfällige Kommentare kurz.</t>
        </r>
      </text>
    </comment>
    <comment ref="A46" authorId="0" shapeId="0" xr:uid="{00000000-0006-0000-0E00-000004000000}">
      <text>
        <r>
          <rPr>
            <b/>
            <sz val="9"/>
            <color indexed="81"/>
            <rFont val="Tahoma"/>
            <family val="2"/>
          </rPr>
          <t>Heiligabend</t>
        </r>
      </text>
    </comment>
    <comment ref="A47" authorId="0" shapeId="0" xr:uid="{00000000-0006-0000-0E00-000005000000}">
      <text>
        <r>
          <rPr>
            <b/>
            <sz val="9"/>
            <color indexed="81"/>
            <rFont val="Tahoma"/>
            <family val="2"/>
          </rPr>
          <t>1. Weihnachtstag</t>
        </r>
      </text>
    </comment>
    <comment ref="A48" authorId="0" shapeId="0" xr:uid="{00000000-0006-0000-0E00-000006000000}">
      <text>
        <r>
          <rPr>
            <b/>
            <sz val="9"/>
            <color indexed="81"/>
            <rFont val="Tahoma"/>
            <family val="2"/>
          </rPr>
          <t>2. Weihnachtstag</t>
        </r>
      </text>
    </comment>
    <comment ref="A53" authorId="0" shapeId="0" xr:uid="{00000000-0006-0000-0E00-000007000000}">
      <text>
        <r>
          <rPr>
            <b/>
            <sz val="9"/>
            <color indexed="81"/>
            <rFont val="Tahoma"/>
            <family val="2"/>
          </rPr>
          <t>Silvester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Stephan, Christian (PERS)</author>
  </authors>
  <commentList>
    <comment ref="E63" authorId="0" shapeId="0" xr:uid="{00000000-0006-0000-1100-000001000000}">
      <text>
        <r>
          <rPr>
            <b/>
            <sz val="12"/>
            <color indexed="81"/>
            <rFont val="Tahoma"/>
            <family val="2"/>
          </rPr>
          <t>Achtung bei Schaltjahr: Anpassung Formel 29.2. und 1.3.!!!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4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400-000002000000}">
      <text>
        <r>
          <rPr>
            <b/>
            <sz val="9"/>
            <color indexed="81"/>
            <rFont val="Tahoma"/>
            <family val="2"/>
          </rPr>
          <t>Tragen Sie ihre Absenzen mit  einsprechendem Buchstaben für Vor- und Nachmittag ein. Siehe Legende oben links.</t>
        </r>
      </text>
    </comment>
    <comment ref="M20" authorId="1" shapeId="0" xr:uid="{00000000-0006-0000-0400-000003000000}">
      <text>
        <r>
          <rPr>
            <b/>
            <sz val="11"/>
            <color indexed="81"/>
            <rFont val="Arial"/>
            <family val="2"/>
          </rPr>
          <t>Die Eingabe ist aus Übersichtlichkeitsgründen auf maximal 25 Zeichen beschränkt. Bitte halten Sie allfällige Kommentare kurz.</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5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500-000002000000}">
      <text>
        <r>
          <rPr>
            <b/>
            <sz val="9"/>
            <color indexed="81"/>
            <rFont val="Tahoma"/>
            <family val="2"/>
          </rPr>
          <t>Tragen Sie ihre Absenzen mit  einsprechendem Buchstaben für Vor- und Nachmittag ein. Siehe Legende oben links.</t>
        </r>
      </text>
    </comment>
    <comment ref="M20" authorId="1" shapeId="0" xr:uid="{00000000-0006-0000-0500-000003000000}">
      <text>
        <r>
          <rPr>
            <b/>
            <sz val="11"/>
            <color indexed="81"/>
            <rFont val="Arial"/>
            <family val="2"/>
          </rPr>
          <t>Die Eingabe ist aus Übersichtlichkeitsgründen auf maximal 25 Zeichen beschränkt. Bitte halten Sie allfällige Kommentare kurz.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Fankhauser, Dominik (PERS)</author>
  </authors>
  <commentList>
    <comment ref="D20" authorId="0" shapeId="0" xr:uid="{00000000-0006-0000-06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600-000002000000}">
      <text>
        <r>
          <rPr>
            <b/>
            <sz val="9"/>
            <color indexed="81"/>
            <rFont val="Tahoma"/>
            <family val="2"/>
          </rPr>
          <t>Tragen Sie ihre Absenzen mit  einsprechendem Buchstaben für Vor- und Nachmittag ein. Siehe Legende oben links.</t>
        </r>
      </text>
    </comment>
    <comment ref="M20" authorId="1" shapeId="0" xr:uid="{00000000-0006-0000-0600-000003000000}">
      <text>
        <r>
          <rPr>
            <b/>
            <sz val="11"/>
            <color indexed="81"/>
            <rFont val="Arial"/>
            <family val="2"/>
          </rPr>
          <t>Die Eingabe ist aus Übersichtlichkeitsgründen auf maximal 25 Zeichen beschränkt. Bitte halten Sie allfällige Kommentare kurz.</t>
        </r>
      </text>
    </comment>
    <comment ref="A31" authorId="2" shapeId="0" xr:uid="{00000000-0006-0000-0600-000004000000}">
      <text>
        <r>
          <rPr>
            <b/>
            <sz val="9"/>
            <color indexed="81"/>
            <rFont val="Segoe UI"/>
            <family val="2"/>
          </rPr>
          <t>Gründonnerstag</t>
        </r>
        <r>
          <rPr>
            <sz val="9"/>
            <color indexed="81"/>
            <rFont val="Segoe UI"/>
            <family val="2"/>
          </rPr>
          <t xml:space="preserve">
</t>
        </r>
      </text>
    </comment>
    <comment ref="A32" authorId="2" shapeId="0" xr:uid="{00000000-0006-0000-0600-000005000000}">
      <text>
        <r>
          <rPr>
            <b/>
            <sz val="9"/>
            <color indexed="81"/>
            <rFont val="Segoe UI"/>
            <family val="2"/>
          </rPr>
          <t>Karfreitag</t>
        </r>
        <r>
          <rPr>
            <sz val="9"/>
            <color indexed="81"/>
            <rFont val="Segoe UI"/>
            <family val="2"/>
          </rPr>
          <t xml:space="preserve">
</t>
        </r>
      </text>
    </comment>
    <comment ref="A34" authorId="2" shapeId="0" xr:uid="{00000000-0006-0000-0600-000006000000}">
      <text>
        <r>
          <rPr>
            <b/>
            <sz val="9"/>
            <color indexed="81"/>
            <rFont val="Segoe UI"/>
            <family val="2"/>
          </rPr>
          <t>Ostern</t>
        </r>
        <r>
          <rPr>
            <sz val="9"/>
            <color indexed="81"/>
            <rFont val="Segoe UI"/>
            <family val="2"/>
          </rPr>
          <t xml:space="preserve">
</t>
        </r>
      </text>
    </comment>
    <comment ref="A35" authorId="2" shapeId="0" xr:uid="{00000000-0006-0000-0600-000007000000}">
      <text>
        <r>
          <rPr>
            <b/>
            <sz val="9"/>
            <color indexed="81"/>
            <rFont val="Segoe UI"/>
            <family val="2"/>
          </rPr>
          <t>Ostermontag</t>
        </r>
        <r>
          <rPr>
            <sz val="9"/>
            <color indexed="81"/>
            <rFont val="Segoe UI"/>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Fankhauser, Dominik (PERS)</author>
  </authors>
  <commentList>
    <comment ref="D20" authorId="0" shapeId="0" xr:uid="{00000000-0006-0000-07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700-000002000000}">
      <text>
        <r>
          <rPr>
            <b/>
            <sz val="9"/>
            <color indexed="81"/>
            <rFont val="Tahoma"/>
            <family val="2"/>
          </rPr>
          <t>Tragen Sie ihre Absenzen mit  einsprechendem Buchstaben für Vor- und Nachmittag ein. Siehe Legende oben links.</t>
        </r>
      </text>
    </comment>
    <comment ref="M20" authorId="1" shapeId="0" xr:uid="{00000000-0006-0000-0700-000003000000}">
      <text>
        <r>
          <rPr>
            <b/>
            <sz val="11"/>
            <color indexed="81"/>
            <rFont val="Arial"/>
            <family val="2"/>
          </rPr>
          <t>Die Eingabe ist aus Übersichtlichkeitsgründen auf maximal 25 Zeichen beschränkt. Bitte halten Sie allfällige Kommentare kurz.</t>
        </r>
      </text>
    </comment>
    <comment ref="A43" authorId="2" shapeId="0" xr:uid="{00000000-0006-0000-0700-000004000000}">
      <text>
        <r>
          <rPr>
            <b/>
            <sz val="9"/>
            <color indexed="81"/>
            <rFont val="Segoe UI"/>
            <family val="2"/>
          </rPr>
          <t>Auffahrt</t>
        </r>
        <r>
          <rPr>
            <sz val="9"/>
            <color indexed="81"/>
            <rFont val="Segoe UI"/>
            <family val="2"/>
          </rPr>
          <t xml:space="preserve">
</t>
        </r>
      </text>
    </comment>
    <comment ref="A53" authorId="2" shapeId="0" xr:uid="{00000000-0006-0000-0700-000005000000}">
      <text>
        <r>
          <rPr>
            <b/>
            <sz val="9"/>
            <color indexed="81"/>
            <rFont val="Segoe UI"/>
            <family val="2"/>
          </rPr>
          <t>Pfingsten</t>
        </r>
        <r>
          <rPr>
            <sz val="9"/>
            <color indexed="81"/>
            <rFont val="Segoe UI"/>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Fankhauser, Dominik (PERS)</author>
  </authors>
  <commentList>
    <comment ref="D20" authorId="0" shapeId="0" xr:uid="{00000000-0006-0000-08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800-000002000000}">
      <text>
        <r>
          <rPr>
            <b/>
            <sz val="9"/>
            <color indexed="81"/>
            <rFont val="Tahoma"/>
            <family val="2"/>
          </rPr>
          <t>Tragen Sie ihre Absenzen mit  einsprechendem Buchstaben für Vor- und Nachmittag ein. Siehe Legende oben links.</t>
        </r>
      </text>
    </comment>
    <comment ref="M20" authorId="1" shapeId="0" xr:uid="{00000000-0006-0000-0800-000003000000}">
      <text>
        <r>
          <rPr>
            <b/>
            <sz val="11"/>
            <color indexed="81"/>
            <rFont val="Arial"/>
            <family val="2"/>
          </rPr>
          <t>Die Eingabe ist aus Übersichtlichkeitsgründen auf maximal 25 Zeichen beschränkt. Bitte halten Sie allfällige Kommentare kurz.</t>
        </r>
      </text>
    </comment>
    <comment ref="A23" authorId="2" shapeId="0" xr:uid="{00000000-0006-0000-0800-000004000000}">
      <text>
        <r>
          <rPr>
            <b/>
            <sz val="9"/>
            <color indexed="81"/>
            <rFont val="Segoe UI"/>
            <family val="2"/>
          </rPr>
          <t>Pfingstmontag</t>
        </r>
        <r>
          <rPr>
            <sz val="9"/>
            <color indexed="81"/>
            <rFont val="Segoe UI"/>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9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900-000002000000}">
      <text>
        <r>
          <rPr>
            <b/>
            <sz val="9"/>
            <color indexed="81"/>
            <rFont val="Tahoma"/>
            <family val="2"/>
          </rPr>
          <t>Tragen Sie ihre Absenzen mit  einsprechendem Buchstaben für Vor- und Nachmittag ein. Siehe Legende oben links.</t>
        </r>
      </text>
    </comment>
    <comment ref="M20" authorId="1" shapeId="0" xr:uid="{00000000-0006-0000-0900-000003000000}">
      <text>
        <r>
          <rPr>
            <b/>
            <sz val="11"/>
            <color indexed="81"/>
            <rFont val="Arial"/>
            <family val="2"/>
          </rPr>
          <t>Die Eingabe ist aus Übersichtlichkeitsgründen auf maximal 25 Zeichen beschränkt. Bitte halten Sie allfällige Kommentare kurz.</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Streit Lucas</author>
  </authors>
  <commentList>
    <comment ref="D20" authorId="0" shapeId="0" xr:uid="{00000000-0006-0000-0A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A00-000002000000}">
      <text>
        <r>
          <rPr>
            <b/>
            <sz val="9"/>
            <color indexed="81"/>
            <rFont val="Tahoma"/>
            <family val="2"/>
          </rPr>
          <t>Tragen Sie ihre Absenzen mit  einsprechendem Buchstaben für Vor- und Nachmittag ein. Siehe Legende oben links.</t>
        </r>
      </text>
    </comment>
    <comment ref="M20" authorId="1" shapeId="0" xr:uid="{00000000-0006-0000-0A00-000003000000}">
      <text>
        <r>
          <rPr>
            <b/>
            <sz val="11"/>
            <color indexed="81"/>
            <rFont val="Arial"/>
            <family val="2"/>
          </rPr>
          <t>Die Eingabe ist aus Übersichtlichkeitsgründen auf maximal 25 Zeichen beschränkt. Bitte halten Sie allfällige Kommentare kurz.</t>
        </r>
      </text>
    </comment>
    <comment ref="A23" authorId="2" shapeId="0" xr:uid="{00000000-0006-0000-0A00-000004000000}">
      <text>
        <r>
          <rPr>
            <b/>
            <sz val="10"/>
            <color indexed="81"/>
            <rFont val="Tahoma"/>
            <family val="2"/>
          </rPr>
          <t>1.August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Stephan, Christian (PERS)</author>
    <author>gcorradi</author>
  </authors>
  <commentList>
    <comment ref="D20" authorId="0" shapeId="0" xr:uid="{00000000-0006-0000-0B00-000001000000}">
      <text>
        <r>
          <rPr>
            <b/>
            <sz val="9"/>
            <color indexed="81"/>
            <rFont val="Tahoma"/>
            <family val="2"/>
          </rPr>
          <t>Tragen Sie hier ihre Absenzen in Stunden im Format hh:mm ein. Bitte lesen Sie die Infromationsmappe für genauere Angaben zum korrekten Bezug.</t>
        </r>
      </text>
    </comment>
    <comment ref="K20" authorId="0" shapeId="0" xr:uid="{00000000-0006-0000-0B00-000002000000}">
      <text>
        <r>
          <rPr>
            <b/>
            <sz val="9"/>
            <color indexed="81"/>
            <rFont val="Tahoma"/>
            <family val="2"/>
          </rPr>
          <t>Tragen Sie ihre Absenzen mit  einsprechendem Buchstaben für Vor- und Nachmittag ein. Siehe Legende oben links.</t>
        </r>
      </text>
    </comment>
    <comment ref="M20" authorId="1" shapeId="0" xr:uid="{00000000-0006-0000-0B00-000003000000}">
      <text>
        <r>
          <rPr>
            <b/>
            <sz val="11"/>
            <color indexed="81"/>
            <rFont val="Arial"/>
            <family val="2"/>
          </rPr>
          <t>Die Eingabe ist aus Übersichtlichkeitsgründen auf maximal 25 Zeichen beschränkt. Bitte halten Sie allfällige Kommentare kurz.</t>
        </r>
      </text>
    </comment>
  </commentList>
</comments>
</file>

<file path=xl/sharedStrings.xml><?xml version="1.0" encoding="utf-8"?>
<sst xmlns="http://schemas.openxmlformats.org/spreadsheetml/2006/main" count="1007" uniqueCount="443">
  <si>
    <t>An der Universität Bern besteht einmal jährlich die Pflicht zur Meldung der Zeitsaldi und Abwesenheitssaldi für alle Mitarbeiterinnen und Mitarbeiter.</t>
  </si>
  <si>
    <t>dezimal</t>
  </si>
  <si>
    <t>hh:mm</t>
  </si>
  <si>
    <t>Datum</t>
  </si>
  <si>
    <t>1.</t>
  </si>
  <si>
    <t>Fr</t>
  </si>
  <si>
    <t>2.</t>
  </si>
  <si>
    <t>Sa</t>
  </si>
  <si>
    <t>3.</t>
  </si>
  <si>
    <t>So</t>
  </si>
  <si>
    <t>4.</t>
  </si>
  <si>
    <t>Mo</t>
  </si>
  <si>
    <t>5.</t>
  </si>
  <si>
    <t>Di</t>
  </si>
  <si>
    <t>6.</t>
  </si>
  <si>
    <t>Mi</t>
  </si>
  <si>
    <t>7.</t>
  </si>
  <si>
    <t>Do</t>
  </si>
  <si>
    <t>8.</t>
  </si>
  <si>
    <t>9.</t>
  </si>
  <si>
    <t>10.</t>
  </si>
  <si>
    <t>11.</t>
  </si>
  <si>
    <t>12.</t>
  </si>
  <si>
    <t>13.</t>
  </si>
  <si>
    <t>14.</t>
  </si>
  <si>
    <t>15.</t>
  </si>
  <si>
    <t>16.</t>
  </si>
  <si>
    <t>17.</t>
  </si>
  <si>
    <t>18.</t>
  </si>
  <si>
    <t>19.</t>
  </si>
  <si>
    <t>20.</t>
  </si>
  <si>
    <t>21.</t>
  </si>
  <si>
    <t>22.</t>
  </si>
  <si>
    <t>23.</t>
  </si>
  <si>
    <t>24.</t>
  </si>
  <si>
    <t>25.</t>
  </si>
  <si>
    <t>26.</t>
  </si>
  <si>
    <t>27.</t>
  </si>
  <si>
    <t>28.</t>
  </si>
  <si>
    <t>29.</t>
  </si>
  <si>
    <t>30.</t>
  </si>
  <si>
    <t xml:space="preserve">Vorname: </t>
  </si>
  <si>
    <t xml:space="preserve">Name: </t>
  </si>
  <si>
    <t xml:space="preserve">Eintrittsdatum: </t>
  </si>
  <si>
    <t xml:space="preserve">Pers-Nr.: </t>
  </si>
  <si>
    <t>Total</t>
  </si>
  <si>
    <t>31.</t>
  </si>
  <si>
    <t>Alter</t>
  </si>
  <si>
    <t>Ferien normal</t>
  </si>
  <si>
    <t>Ferien Kader</t>
  </si>
  <si>
    <t>Jahr</t>
  </si>
  <si>
    <t>akt. Mt.</t>
  </si>
  <si>
    <t>VorMt(e)</t>
  </si>
  <si>
    <t>Minuten</t>
  </si>
  <si>
    <t>Stunden</t>
  </si>
  <si>
    <t>Tage</t>
  </si>
  <si>
    <t>Monat</t>
  </si>
  <si>
    <t>März</t>
  </si>
  <si>
    <t>April</t>
  </si>
  <si>
    <t>Mai</t>
  </si>
  <si>
    <t>Juni</t>
  </si>
  <si>
    <t>Juli</t>
  </si>
  <si>
    <t>August</t>
  </si>
  <si>
    <t>September</t>
  </si>
  <si>
    <t>Oktober</t>
  </si>
  <si>
    <t>November</t>
  </si>
  <si>
    <t>Dezember</t>
  </si>
  <si>
    <t>Gehaltsklasse</t>
  </si>
  <si>
    <t>Ferien
Lehrling</t>
  </si>
  <si>
    <t>Ferien Lehrling</t>
  </si>
  <si>
    <t>Hundertstel</t>
  </si>
  <si>
    <t>Krankheit</t>
  </si>
  <si>
    <t>unbedingt ausfüllen!</t>
  </si>
  <si>
    <t>Öffentliches Amt</t>
  </si>
  <si>
    <t>Umrechnungstools</t>
  </si>
  <si>
    <t>Saldo bis Dato</t>
  </si>
  <si>
    <t>Kommentar</t>
  </si>
  <si>
    <t>BG</t>
  </si>
  <si>
    <t>Tagessoll</t>
  </si>
  <si>
    <t>betriebsbedingt</t>
  </si>
  <si>
    <t>Kurzurlaub</t>
  </si>
  <si>
    <t>Weiterbildung auf Arbeitszeit</t>
  </si>
  <si>
    <t>Jahresübersicht</t>
  </si>
  <si>
    <t>Monatsblätter</t>
  </si>
  <si>
    <t>Saldo</t>
  </si>
  <si>
    <t>Unfall</t>
  </si>
  <si>
    <t>Zeitkennzahlen</t>
  </si>
  <si>
    <t>Ferien</t>
  </si>
  <si>
    <t>(hh:mm)</t>
  </si>
  <si>
    <t>Absenzen</t>
  </si>
  <si>
    <t>Versionsnummer:</t>
  </si>
  <si>
    <t>Ferienkürzung</t>
  </si>
  <si>
    <t>Persönliche Daten</t>
  </si>
  <si>
    <t xml:space="preserve">Jahrgang (4-stellig): </t>
  </si>
  <si>
    <t xml:space="preserve">Jahr: </t>
  </si>
  <si>
    <t xml:space="preserve">Bemerkungen: </t>
  </si>
  <si>
    <t>Januar</t>
  </si>
  <si>
    <t>Februar</t>
  </si>
  <si>
    <t>Deutsch</t>
  </si>
  <si>
    <t>Englisch</t>
  </si>
  <si>
    <t>Verwendet</t>
  </si>
  <si>
    <t>absences</t>
  </si>
  <si>
    <t>curr. mnth</t>
  </si>
  <si>
    <t>Anfang</t>
  </si>
  <si>
    <t>begin of the</t>
  </si>
  <si>
    <t>Arbeitsmuster</t>
  </si>
  <si>
    <t>Arbeitszeit</t>
  </si>
  <si>
    <t>labour time</t>
  </si>
  <si>
    <t xml:space="preserve">comment: </t>
  </si>
  <si>
    <t>Beschäftigungsgrad</t>
  </si>
  <si>
    <t>level of employment</t>
  </si>
  <si>
    <t>work related</t>
  </si>
  <si>
    <t>betr.</t>
  </si>
  <si>
    <t>bezahlt</t>
  </si>
  <si>
    <t>paid</t>
  </si>
  <si>
    <t>Bezug akt. Monat</t>
  </si>
  <si>
    <t>hours taken curr. month</t>
  </si>
  <si>
    <t>(Bitte das Guthaben in Stunden und Minuten eingeben.)</t>
  </si>
  <si>
    <t>(please enter in hours and minutes)</t>
  </si>
  <si>
    <t>Buchstaben</t>
  </si>
  <si>
    <t>letters</t>
  </si>
  <si>
    <t>date</t>
  </si>
  <si>
    <t>decimal</t>
  </si>
  <si>
    <t>Tue</t>
  </si>
  <si>
    <t>Differenz</t>
  </si>
  <si>
    <t>difference</t>
  </si>
  <si>
    <t>Thu</t>
  </si>
  <si>
    <t xml:space="preserve">starting date: </t>
  </si>
  <si>
    <t>Ende</t>
  </si>
  <si>
    <t>end of the</t>
  </si>
  <si>
    <t>Ferienbezug</t>
  </si>
  <si>
    <t>Fri</t>
  </si>
  <si>
    <t>für</t>
  </si>
  <si>
    <t>for</t>
  </si>
  <si>
    <t>salary class</t>
  </si>
  <si>
    <t>Gehen</t>
  </si>
  <si>
    <t>go</t>
  </si>
  <si>
    <t>geleistete</t>
  </si>
  <si>
    <t>advance</t>
  </si>
  <si>
    <t>inkl.</t>
  </si>
  <si>
    <t>incl.</t>
  </si>
  <si>
    <t>Ist</t>
  </si>
  <si>
    <t>actual</t>
  </si>
  <si>
    <t xml:space="preserve">year: </t>
  </si>
  <si>
    <t>Overview</t>
  </si>
  <si>
    <t xml:space="preserve">year of birth (4-digit): </t>
  </si>
  <si>
    <t>JAZ-Kompensation</t>
  </si>
  <si>
    <t>JAZ-compensation</t>
  </si>
  <si>
    <t>Kompensation</t>
  </si>
  <si>
    <t>compensation</t>
  </si>
  <si>
    <t>Kommen</t>
  </si>
  <si>
    <t>come</t>
  </si>
  <si>
    <t>comment</t>
  </si>
  <si>
    <t>illness</t>
  </si>
  <si>
    <t>short vacation</t>
  </si>
  <si>
    <t>Langzeitkonto</t>
  </si>
  <si>
    <t>comptime account</t>
  </si>
  <si>
    <t>Langzeitkontoguthaben</t>
  </si>
  <si>
    <t>comptime account balance</t>
  </si>
  <si>
    <t>LZK-Bezug</t>
  </si>
  <si>
    <t>hours taken</t>
  </si>
  <si>
    <t>Wed</t>
  </si>
  <si>
    <t>Militär/Zivilsch./Zivildienst</t>
  </si>
  <si>
    <t>military/civil def./civil serv.</t>
  </si>
  <si>
    <t>minutes</t>
  </si>
  <si>
    <t>Mitarbeiter/In</t>
  </si>
  <si>
    <t>employee</t>
  </si>
  <si>
    <t>Mon</t>
  </si>
  <si>
    <t>month</t>
  </si>
  <si>
    <t>Monatssoll gem. BG</t>
  </si>
  <si>
    <t>monthly due ref. to lvl of emp</t>
  </si>
  <si>
    <t>Nachmittag</t>
  </si>
  <si>
    <t>afternoon</t>
  </si>
  <si>
    <t xml:space="preserve">surname: </t>
  </si>
  <si>
    <t>nicht</t>
  </si>
  <si>
    <t>not</t>
  </si>
  <si>
    <t>public office</t>
  </si>
  <si>
    <t xml:space="preserve">pers.-no.: </t>
  </si>
  <si>
    <t>personal data</t>
  </si>
  <si>
    <t>pro Halbtag</t>
  </si>
  <si>
    <t>/ half-day</t>
  </si>
  <si>
    <t>Sat</t>
  </si>
  <si>
    <t>current balance</t>
  </si>
  <si>
    <t>Sun</t>
  </si>
  <si>
    <t>Soll</t>
  </si>
  <si>
    <t>balance due</t>
  </si>
  <si>
    <t>Speisung per 01.01.</t>
  </si>
  <si>
    <t>feeding 01.01</t>
  </si>
  <si>
    <t>hours</t>
  </si>
  <si>
    <t>Summe bis Dato</t>
  </si>
  <si>
    <t>current sum</t>
  </si>
  <si>
    <t>days</t>
  </si>
  <si>
    <t>total</t>
  </si>
  <si>
    <t>Treueprämie</t>
  </si>
  <si>
    <t>Übertrag Vorjahr</t>
  </si>
  <si>
    <t>hours left from last year</t>
  </si>
  <si>
    <t>Übertr. Vorjahr</t>
  </si>
  <si>
    <t>hrs f. last year</t>
  </si>
  <si>
    <t>calculationtool</t>
  </si>
  <si>
    <t>mandatory!</t>
  </si>
  <si>
    <t>unbezahlt</t>
  </si>
  <si>
    <t>unpaid</t>
  </si>
  <si>
    <t>accident</t>
  </si>
  <si>
    <t>Unterschrift</t>
  </si>
  <si>
    <t>signature</t>
  </si>
  <si>
    <t>Urlaub</t>
  </si>
  <si>
    <t>leave</t>
  </si>
  <si>
    <t>Vorgesetzter</t>
  </si>
  <si>
    <t>manager</t>
  </si>
  <si>
    <t>Vormittag</t>
  </si>
  <si>
    <t>last mnth(s)</t>
  </si>
  <si>
    <t xml:space="preserve">first name: </t>
  </si>
  <si>
    <t>training / education</t>
  </si>
  <si>
    <t>Weiter- bildung</t>
  </si>
  <si>
    <t>key figures</t>
  </si>
  <si>
    <t>%</t>
  </si>
  <si>
    <t>Stunden dezimal</t>
  </si>
  <si>
    <t>Stunden (hh:mm)</t>
  </si>
  <si>
    <t>Wochentag zu Beginn des Jahres</t>
  </si>
  <si>
    <t>Feiertage</t>
  </si>
  <si>
    <t>Tag</t>
  </si>
  <si>
    <t>Feiertag</t>
  </si>
  <si>
    <t>Vortag</t>
  </si>
  <si>
    <t>Variable Feiertage:</t>
  </si>
  <si>
    <t>Karfreitag</t>
  </si>
  <si>
    <t>Ostern</t>
  </si>
  <si>
    <t>Ostermontag</t>
  </si>
  <si>
    <t>Auffahrt</t>
  </si>
  <si>
    <t>Pfingsten</t>
  </si>
  <si>
    <t>Pfingstmontag</t>
  </si>
  <si>
    <t>Neujahrstag</t>
  </si>
  <si>
    <t>0</t>
  </si>
  <si>
    <t>Fixe Feiertage:</t>
  </si>
  <si>
    <t>Bercholdstag</t>
  </si>
  <si>
    <t>Nationalfeiertag</t>
  </si>
  <si>
    <t>1</t>
  </si>
  <si>
    <t>Heiliger Abend</t>
  </si>
  <si>
    <t>4.2</t>
  </si>
  <si>
    <t>Weihnachten</t>
  </si>
  <si>
    <t>Stephanstag</t>
  </si>
  <si>
    <t>Silvester</t>
  </si>
  <si>
    <t>Soll-Arbeitszeiten</t>
  </si>
  <si>
    <t>Dropdownwerte</t>
  </si>
  <si>
    <t>Sprachen</t>
  </si>
  <si>
    <t>GKs</t>
  </si>
  <si>
    <t>Wochentage</t>
  </si>
  <si>
    <t>Monate</t>
  </si>
  <si>
    <t>1-18</t>
  </si>
  <si>
    <t>English</t>
  </si>
  <si>
    <t>19-30</t>
  </si>
  <si>
    <t>LE</t>
  </si>
  <si>
    <t>Sprache/Language:</t>
  </si>
  <si>
    <t>Version:</t>
  </si>
  <si>
    <t>Anzahl</t>
  </si>
  <si>
    <t>number of</t>
  </si>
  <si>
    <t>lvl of emp.</t>
  </si>
  <si>
    <t>systeme@pers.unibe.ch</t>
  </si>
  <si>
    <t>•</t>
  </si>
  <si>
    <t>Senden Sie ihre Fragen, Kommentare und Vorschläge an:</t>
  </si>
  <si>
    <t>Wir freuen uns auf Ihre Rückmeldungen!</t>
  </si>
  <si>
    <t>NEU</t>
  </si>
  <si>
    <t xml:space="preserve"> - Die Absenzenübersicht fällt weg. Absenzen in Tagen werden neu in den einzelnen Monatsblättern erfasst.</t>
  </si>
  <si>
    <t>Pers. Nr., Eintrittsdatum, Beschäftigungsgrad (BG) und Gehaltsklasse (GK) mit Ihren persönlichen Angaben.</t>
  </si>
  <si>
    <t>Mit der Tabulatortaste können Sie einfach von Feld zu Feld springen. Die Daten werden automatisch in die nachfolgenden "Monatsblätter" übertragen</t>
  </si>
  <si>
    <t>Ein-/Austritt während des Jahres</t>
  </si>
  <si>
    <t>Nehmen Sie Ihre Arbeit im Laufe des Jahres auf, so füllen Sie die Felder BG und GK ab Eintrittsmonat aus. Sollten Sie während des Jahres austreten</t>
  </si>
  <si>
    <t>Eintritte / Anstellungsänderung mitten im Monat</t>
  </si>
  <si>
    <t>Bei Anstellungsänderungen mitten im Monat muss der BG umgerechnet werden. Unter "Umrechnung (calculation)" finden Sie eine Berechnungshilfe.</t>
  </si>
  <si>
    <t>Hier können Sie ein allfälliges Ferienguthaben, welches Sie aus Ihrer Treueprämie erhalten haben, eintragen.</t>
  </si>
  <si>
    <t>Bitte konsultieren Sie für die Berechnung das Merkblatt Ferienanspruch bei länger dauernder Abwesenheit infolge Krankheit, Unfall oder Militärdienst.</t>
  </si>
  <si>
    <t xml:space="preserve">Absenzen in Stunden erfassen Sie in Stunden und Minuten in den entsprechenden Spalten. Falls Sie einen ganzen oder halben Tag abwesend </t>
  </si>
  <si>
    <t>hier die Einträge nicht in Stunden und Minuten getätigt, sondern mit entsprechenden Buchstaben. Eine Legende finden Sie in den Monatsblättern.</t>
  </si>
  <si>
    <t>Das Arbeitsmuster wird neu in den Monatsblättern eingegeben. Es kann individuell für jeden Tag festgelegt werden. Das Arbeitsmuster ist in den</t>
  </si>
  <si>
    <t xml:space="preserve"> - Die Absenzenerfassung wurde komplett überarbeitet.</t>
  </si>
  <si>
    <t xml:space="preserve">sind, orientieren Sie sich an den Soll-Zeiten des entsprechenden Tages (unten bei der Spalte mit dem Arbeitsmuster ist die theoretische Soll-Zeit </t>
  </si>
  <si>
    <t>für einen halben Tag angegeben).</t>
  </si>
  <si>
    <t>Sätze</t>
  </si>
  <si>
    <t>bei Anstellungsbeginn mitten im Monat</t>
  </si>
  <si>
    <t>for an employment-beginn in the middle of the month</t>
  </si>
  <si>
    <t>bei fixer Teilzeitarbeit</t>
  </si>
  <si>
    <t>for a part time job with regulated working time</t>
  </si>
  <si>
    <t>bei variabler Teilzeitarbeit</t>
  </si>
  <si>
    <t>for a variable part time job</t>
  </si>
  <si>
    <t>bei Wechsel der Anstellung mitten im Monat</t>
  </si>
  <si>
    <t>for an employment-change in the middle of the month</t>
  </si>
  <si>
    <t>Bei der Erfassung von dezimalen Werten ("Industriestunden") können im Zeitmanagement-Tool geringe Rundungsdifferenzen auftreten.</t>
  </si>
  <si>
    <t xml:space="preserve"> </t>
  </si>
  <si>
    <t>bezogene</t>
  </si>
  <si>
    <t>taken</t>
  </si>
  <si>
    <t>freie</t>
  </si>
  <si>
    <t>free</t>
  </si>
  <si>
    <t>(1 d = 8.4 h)</t>
  </si>
  <si>
    <t>(8.4 h = 1 d)</t>
  </si>
  <si>
    <t>(1 = 8:24 h:mm)</t>
  </si>
  <si>
    <t>(8:24 h:mm = 1 d)</t>
  </si>
  <si>
    <t>Umrechnung</t>
  </si>
  <si>
    <t>calculation</t>
  </si>
  <si>
    <t>translation</t>
  </si>
  <si>
    <t>Berechnung</t>
  </si>
  <si>
    <t>average</t>
  </si>
  <si>
    <t>daily work-time</t>
  </si>
  <si>
    <t>alt / neu</t>
  </si>
  <si>
    <t>old / new</t>
  </si>
  <si>
    <t>zu leistende</t>
  </si>
  <si>
    <t>of effective</t>
  </si>
  <si>
    <t>Arbeitstage</t>
  </si>
  <si>
    <t>work days</t>
  </si>
  <si>
    <t>Halbtage</t>
  </si>
  <si>
    <t>half-days</t>
  </si>
  <si>
    <t>Woche</t>
  </si>
  <si>
    <t>week</t>
  </si>
  <si>
    <t>pro</t>
  </si>
  <si>
    <t>per</t>
  </si>
  <si>
    <t>Eintrittsmonat</t>
  </si>
  <si>
    <t>month of entry</t>
  </si>
  <si>
    <t>mit</t>
  </si>
  <si>
    <t>with</t>
  </si>
  <si>
    <t>Wechsel</t>
  </si>
  <si>
    <t>change</t>
  </si>
  <si>
    <t>im</t>
  </si>
  <si>
    <t>in this</t>
  </si>
  <si>
    <t>unfallbedingten längeren Abwesenheiten in Stunden und Minuten einzutragen. Die Ferienkürzungen werden in den einzelnen Monatsblättern erfasst.</t>
  </si>
  <si>
    <t>Absenzen in Tagen werden in den endsprechenden Spalten für Vor- und Nachmittag eingetragen. Anders als bei den Absenzen in Stunden werden</t>
  </si>
  <si>
    <t>Hilfe_Info Sätze</t>
  </si>
  <si>
    <t>Bitte lesen Sie diese Informationen, bevor Sie die Absenzenerfassung nutzen!</t>
  </si>
  <si>
    <t>NEW</t>
  </si>
  <si>
    <t>Änderung</t>
  </si>
  <si>
    <t>Alteration in</t>
  </si>
  <si>
    <t>Commencement/termination of employment during the year</t>
  </si>
  <si>
    <t>Commencement or change in employment conditions mid-month</t>
  </si>
  <si>
    <t>(Dieser Betrag wird automatisch berechnet.)</t>
  </si>
  <si>
    <t>Die einzutragenden Überträge sind aus folgenden Felder der AE 2012 abzulesen:</t>
  </si>
  <si>
    <t xml:space="preserve"> - Neu gibt es eine Arbeitsmappe für Persönliche Daten und Übertrage.</t>
  </si>
  <si>
    <t>können Sie die verbleibenden Monate bis Jahresende auf 0 setzen. Damit endet die Erfassung im Austrittsmonat.</t>
  </si>
  <si>
    <t>Ändern sich während des Jahres der BG oder die GK, können Sie dies ebenfalls im betreffenden Monat anpassen.</t>
  </si>
  <si>
    <t xml:space="preserve">Klicken Sie auf der unteren Bildlaufleiste auf "Persönliche Daten (pers. data)" und ergänzen Sie die grau hinterlegten Zellen Vorname, Name, Jahrgang, </t>
  </si>
  <si>
    <t>durchschnittl.</t>
  </si>
  <si>
    <t>Übertrag in das nächte Jahr</t>
  </si>
  <si>
    <t>hours to transfer to the next year</t>
  </si>
  <si>
    <t>reduction of holiday</t>
  </si>
  <si>
    <t>holiday taken</t>
  </si>
  <si>
    <t>holiday</t>
  </si>
  <si>
    <t>current holiday balance</t>
  </si>
  <si>
    <t>(Calculated automatically)</t>
  </si>
  <si>
    <t xml:space="preserve"> - The Record of Absences has been completely revised.</t>
  </si>
  <si>
    <t xml:space="preserve"> - There is a new file for personal information and transferred data.</t>
  </si>
  <si>
    <t xml:space="preserve"> - The Overview of Absences has been abolished. Days absent are now recorded on the individual monthly tables.</t>
  </si>
  <si>
    <t xml:space="preserve"> - The working hours template is now incorporated into the monthly tables and as a new feature can be individually adjusted from day to day.</t>
  </si>
  <si>
    <t>Click on the tab “Persönliche Daten (pers. data)” on the scroll bar at the bottom of the table and complete the shaded grey fields with the following</t>
  </si>
  <si>
    <t>Use the tabulator key to move from one field to another. The data will be transferred automatically to the monthly tables, and your holiday entitlement</t>
  </si>
  <si>
    <t>and planned working time calculated. Trainees should enter the code ‘LE’ in the field ‘salary classification’ (holiday entitlement 32 days).</t>
  </si>
  <si>
    <t xml:space="preserve">information: first name, family name, date of birth, personnel number, entry date, employment level (BG) and salary classification (GK). </t>
  </si>
  <si>
    <t>If employment is commenced during the course of the year, complete the fields level of employment (BG) and Salary classification (GK) from the month</t>
  </si>
  <si>
    <t>of entry. If employment is terminated during the year, enter a "0" for the remaining months. The record then ends with the last month of employment.</t>
  </si>
  <si>
    <t xml:space="preserve">When there is a change in employment during the month, the level of employment (BG) must be recalculated. Use “Umrechnung (Calculation)”.  </t>
  </si>
  <si>
    <t>If the BG or GK changes during the year, these can be recorded in the corresponding month in the "Persönliche Daten (pers. Data)".</t>
  </si>
  <si>
    <t>This is an overview of your unused holiday entitlement, holiday taken and reduction of holiday.</t>
  </si>
  <si>
    <t>Enter here holiday entitlement earned as a result of long-service.</t>
  </si>
  <si>
    <t>loyalty premium</t>
  </si>
  <si>
    <t>This is an overview of your absences for the whole year.</t>
  </si>
  <si>
    <t>Absences in days should be entered in the corresponding fields for morning and afternoon. Unlike the absences in hours,entries are not made in hours</t>
  </si>
  <si>
    <t>absences taken in hours and minutes.</t>
  </si>
  <si>
    <t>Die Absenzenerfassung errechnet die dadurch bezogenen Absenzen automatisch in Stunden und Minuten um.</t>
  </si>
  <si>
    <t>and minutes but by using the corresponding letter. A key to these is found on the monthly tables. The record of absences automatically calculates</t>
  </si>
  <si>
    <t xml:space="preserve">A new feature is the working hours template. An individual entry can be made for each day. The working hours template is incorporated in the standard </t>
  </si>
  <si>
    <t>settings and not in the print area. Further information can be found:</t>
  </si>
  <si>
    <t>In the case of lengthy absence consult:</t>
  </si>
  <si>
    <t xml:space="preserve">This is an overview of your reduction of holiday, entered manually. Holiday reduction as a result of unpaid leave, lengthy absences due to illness or </t>
  </si>
  <si>
    <t>accident should be entered in hours and minutes. Holiday reductions are entered on the individual monthly tables.</t>
  </si>
  <si>
    <t>Please read this informations before using the Record of Absences!</t>
  </si>
  <si>
    <t>Angaben zur Anstellung</t>
  </si>
  <si>
    <t>employment details</t>
  </si>
  <si>
    <t>Summe der Prozentsätze aller Teilanstellungen entspricht nicht dem gesamten durschnittlichen Beschäftigungsgrad!</t>
  </si>
  <si>
    <t>Sum of all part-employments are not equal the average level of employment!</t>
  </si>
  <si>
    <t>working hours template</t>
  </si>
  <si>
    <t>working hours templ.</t>
  </si>
  <si>
    <t>Absences in hours should be entered in hours and minutes in the appropriate fields. In the case of a full or half-day absence, take into account the</t>
  </si>
  <si>
    <t xml:space="preserve">hours template) </t>
  </si>
  <si>
    <t xml:space="preserve">planned working time for the corresponding day. (The theoretical time to be worked for one half day is found below the column with the working </t>
  </si>
  <si>
    <t>Mindestbezug an Freien Tagen nicht eingehalten!</t>
  </si>
  <si>
    <t>Questions, comments and suggestions should be sent to</t>
  </si>
  <si>
    <t>Sprache/Dropdown:</t>
  </si>
  <si>
    <t>Aus</t>
  </si>
  <si>
    <t>An</t>
  </si>
  <si>
    <t>Dropdown</t>
  </si>
  <si>
    <t>Min. prescribed deduction</t>
  </si>
  <si>
    <t>Holidays taken</t>
  </si>
  <si>
    <t>Bezogene Ferien</t>
  </si>
  <si>
    <t>Holiday: Min. deduction not (yet) O.K.</t>
  </si>
  <si>
    <t>Required minimum holiday deduction</t>
  </si>
  <si>
    <t xml:space="preserve"> - Das Arbeitsmuster wir neu ebenfalls in den Monatsblättern erfasst und kann von Tag zu Tag individuell eingestellt werden.</t>
  </si>
  <si>
    <t>Where you find the information in the absence record 2012:</t>
  </si>
  <si>
    <t>work. rel.</t>
  </si>
  <si>
    <t>Ferienguthaben</t>
  </si>
  <si>
    <t>monthly sheets</t>
  </si>
  <si>
    <t>December</t>
  </si>
  <si>
    <t>February</t>
  </si>
  <si>
    <t>hundredth</t>
  </si>
  <si>
    <t>January</t>
  </si>
  <si>
    <t>July</t>
  </si>
  <si>
    <t>June</t>
  </si>
  <si>
    <t>May</t>
  </si>
  <si>
    <t>March</t>
  </si>
  <si>
    <t>October</t>
  </si>
  <si>
    <t>morning</t>
  </si>
  <si>
    <t>Ab 2013 müssen mindestens 20 freie Tage pro Kalenderjahr bezogen werden  (Art. 149 PV). Wird dieser Mindestbezug nicht eingehalten, verfallen die zu wenig bezogenen Tage am Ende des Kalenderjahres entschädigungslos. Sie können nicht mehr wie bisher auf das Ferienguthaben des Folgejahres übertragen werden.</t>
  </si>
  <si>
    <t>balance</t>
  </si>
  <si>
    <t>As off 2013, at least 20 days off per calendar year must be taken. If these minimum requirements are not met, the difference expires at the end of the calendar year without compensation (Art. 149 PV). Those days cannot be carried over to the following year.</t>
  </si>
  <si>
    <t>Feriensaldo zu Gunsten des Mitarbeiter auf 0:00 aufgerundet!</t>
  </si>
  <si>
    <t>Unzulässiger Ferienbezug!</t>
  </si>
  <si>
    <t>Holiday taken not in accordance with regulations!</t>
  </si>
  <si>
    <t>Holiday balance rounded up to 0:00 in favour of employee!</t>
  </si>
  <si>
    <t>(Deutsch oder/or English)</t>
  </si>
  <si>
    <t>und Ihr Ferienanspruch und Soll-Arbeitszeiten berechnet. Lernende verwenden im Feld Gehaltsklasse "LE" (Ferienanspruch 32 Tage).</t>
  </si>
  <si>
    <t>Hier sehen Sie eine Übersicht über Ihr Ferienguthaben, Ihre bezogenen Ferien und Ferienkürzungen.</t>
  </si>
  <si>
    <t>Hier sehen Sie eine Übersicht Ihrer Absenzen über das ganze Jahr.</t>
  </si>
  <si>
    <t xml:space="preserve">Hier sehen Sie eine Übersicht Ihrer manuell eingetragenen Ferienkürzungen. Ferienkürzungen sind bei unbezahltem Urlaub oder krankheits- resp. </t>
  </si>
  <si>
    <t>Standarteinstellungen nicht im Druckbereich. Weitere Informationen:</t>
  </si>
  <si>
    <t>Einhaltung des Mindestbezugs an Ferien</t>
  </si>
  <si>
    <t>Vorgeschriebener Mindestbezug</t>
  </si>
  <si>
    <t>f</t>
  </si>
  <si>
    <t>m</t>
  </si>
  <si>
    <t>z</t>
  </si>
  <si>
    <t>u</t>
  </si>
  <si>
    <t>b</t>
  </si>
  <si>
    <t>Mutter- und Vaterschaftsurlaub</t>
  </si>
  <si>
    <t>parental leave</t>
  </si>
  <si>
    <t>Geben Sie den Feriensaldo aus dem Vorjahr gemäss Besprechung mit Ihrem Vorgesetzten ein.</t>
  </si>
  <si>
    <t>Enter last years holiday balance as agreed with your supervisor.</t>
  </si>
  <si>
    <t>Kürzung der Ferien (Wissensdatenbank Personalrecht)</t>
  </si>
  <si>
    <t>Erklärung Arbeitsmuster</t>
  </si>
  <si>
    <t>Aufteilung in mehrere Teilanstellungen (hh:mm)</t>
  </si>
  <si>
    <t>Split among several contracts (hh:mm)</t>
  </si>
  <si>
    <t>Hier können Sie die "Zeitkennzahlen per 31.12." zum Erfassen im Zeitmanagement-Tool direkt ablesen.</t>
  </si>
  <si>
    <t>Here you can see all your absences as of 31.12. which are relevant for the Time Management Tool.</t>
  </si>
  <si>
    <t>Im Tabellenblatt "Zeitkennzahlen (key figures)" finden Sie den Zusammenzug der Zeitkennzahlen.</t>
  </si>
  <si>
    <t>Der Stichtag ist jeweils der 31.12. des Jahres. Die Meldung muss anfangs Januar durch die in Ihrer Organisationseinheit verantwortliche Person erfolgen.</t>
  </si>
  <si>
    <t xml:space="preserve">In the worksheet "Zeitkennzahlen (key figures)" you will find a summary of the key figures. It is a requirement of the University of Bern that all </t>
  </si>
  <si>
    <t>employees submit an annual report of time worked and/or absences. The relevant date is 31.12. each year and the information must be registered</t>
  </si>
  <si>
    <t>by the begin of January by the member of staff responsible in each organisational unit.</t>
  </si>
  <si>
    <t>AE v1_01 20.08.2019</t>
  </si>
  <si>
    <t>Christina</t>
  </si>
  <si>
    <t>Wapp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</si>
</sst>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Red]0.00"/>
    <numFmt numFmtId="165" formatCode="0##"/>
    <numFmt numFmtId="166" formatCode="h:mm"/>
    <numFmt numFmtId="167" formatCode="d/\ mmmm\ yyyy"/>
    <numFmt numFmtId="168" formatCode="yyyy"/>
    <numFmt numFmtId="169" formatCode="0.00_ ;[Red]\-0.00\ "/>
    <numFmt numFmtId="170" formatCode="0.0_ ;[Red]\-0.0\ "/>
    <numFmt numFmtId="171" formatCode="[h]:mm"/>
    <numFmt numFmtId="172" formatCode="0.0"/>
    <numFmt numFmtId="173" formatCode="[$-807]d/\ mmmm\ yyyy;@"/>
    <numFmt numFmtId="174" formatCode="dd/\ mm/yyyy"/>
  </numFmts>
  <fonts count="52" x14ac:knownFonts="1">
    <font>
      <sz val="10"/>
      <name val="Arial"/>
    </font>
    <font>
      <sz val="10"/>
      <name val="Arial"/>
      <family val="2"/>
    </font>
    <font>
      <b/>
      <sz val="12"/>
      <name val="Arial"/>
      <family val="2"/>
    </font>
    <font>
      <sz val="11"/>
      <name val="Arial"/>
      <family val="2"/>
    </font>
    <font>
      <b/>
      <sz val="11"/>
      <name val="Arial"/>
      <family val="2"/>
    </font>
    <font>
      <b/>
      <sz val="10"/>
      <name val="Arial"/>
      <family val="2"/>
    </font>
    <font>
      <sz val="12"/>
      <name val="Arial"/>
      <family val="2"/>
    </font>
    <font>
      <sz val="14"/>
      <name val="Arial"/>
      <family val="2"/>
    </font>
    <font>
      <sz val="11"/>
      <color indexed="55"/>
      <name val="Arial"/>
      <family val="2"/>
    </font>
    <font>
      <sz val="11"/>
      <color indexed="22"/>
      <name val="Arial"/>
      <family val="2"/>
    </font>
    <font>
      <sz val="10"/>
      <name val="Arial"/>
      <family val="2"/>
    </font>
    <font>
      <sz val="8"/>
      <color indexed="81"/>
      <name val="Tahoma"/>
      <family val="2"/>
    </font>
    <font>
      <b/>
      <sz val="10"/>
      <color indexed="81"/>
      <name val="Tahoma"/>
      <family val="2"/>
    </font>
    <font>
      <sz val="11"/>
      <color indexed="9"/>
      <name val="Arial"/>
      <family val="2"/>
    </font>
    <font>
      <b/>
      <sz val="14"/>
      <name val="Arial"/>
      <family val="2"/>
    </font>
    <font>
      <sz val="10"/>
      <color indexed="9"/>
      <name val="Arial"/>
      <family val="2"/>
    </font>
    <font>
      <sz val="11"/>
      <color indexed="8"/>
      <name val="Arial"/>
      <family val="2"/>
    </font>
    <font>
      <sz val="13"/>
      <name val="Arial"/>
      <family val="2"/>
    </font>
    <font>
      <sz val="12"/>
      <name val="Arial"/>
      <family val="2"/>
    </font>
    <font>
      <sz val="8"/>
      <name val="Arial"/>
      <family val="2"/>
    </font>
    <font>
      <b/>
      <sz val="8"/>
      <name val="Arial"/>
      <family val="2"/>
    </font>
    <font>
      <sz val="8"/>
      <name val="Arial"/>
      <family val="2"/>
    </font>
    <font>
      <b/>
      <sz val="11"/>
      <color indexed="81"/>
      <name val="Arial"/>
      <family val="2"/>
    </font>
    <font>
      <sz val="11"/>
      <color indexed="23"/>
      <name val="Arial"/>
      <family val="2"/>
    </font>
    <font>
      <sz val="11"/>
      <color theme="0" tint="-0.499984740745262"/>
      <name val="Arial"/>
      <family val="2"/>
    </font>
    <font>
      <sz val="10"/>
      <color rgb="FFFF0000"/>
      <name val="Arial"/>
      <family val="2"/>
    </font>
    <font>
      <sz val="10"/>
      <color theme="0"/>
      <name val="Arial"/>
      <family val="2"/>
    </font>
    <font>
      <b/>
      <sz val="10"/>
      <color theme="0" tint="-0.34998626667073579"/>
      <name val="Arial"/>
      <family val="2"/>
    </font>
    <font>
      <b/>
      <sz val="9"/>
      <color indexed="81"/>
      <name val="Tahoma"/>
      <family val="2"/>
    </font>
    <font>
      <sz val="10"/>
      <color theme="0" tint="-0.34998626667073579"/>
      <name val="Arial"/>
      <family val="2"/>
    </font>
    <font>
      <b/>
      <sz val="12"/>
      <color indexed="81"/>
      <name val="Tahoma"/>
      <family val="2"/>
    </font>
    <font>
      <sz val="11"/>
      <color theme="0"/>
      <name val="Arial"/>
      <family val="2"/>
    </font>
    <font>
      <sz val="11"/>
      <color theme="0" tint="-0.14999847407452621"/>
      <name val="Arial"/>
      <family val="2"/>
    </font>
    <font>
      <b/>
      <sz val="10"/>
      <color theme="0" tint="-0.14999847407452621"/>
      <name val="Arial"/>
      <family val="2"/>
    </font>
    <font>
      <sz val="10"/>
      <color theme="0" tint="-0.14999847407452621"/>
      <name val="Arial"/>
      <family val="2"/>
    </font>
    <font>
      <b/>
      <sz val="10"/>
      <color theme="0" tint="-0.249977111117893"/>
      <name val="Arial"/>
      <family val="2"/>
    </font>
    <font>
      <b/>
      <sz val="12"/>
      <color indexed="10"/>
      <name val="Arial"/>
      <family val="2"/>
    </font>
    <font>
      <u/>
      <sz val="10"/>
      <color theme="10"/>
      <name val="Arial"/>
      <family val="2"/>
    </font>
    <font>
      <b/>
      <sz val="10"/>
      <color rgb="FFFF0000"/>
      <name val="Arial"/>
      <family val="2"/>
    </font>
    <font>
      <sz val="7"/>
      <name val="Arial"/>
      <family val="2"/>
    </font>
    <font>
      <sz val="10"/>
      <color rgb="FFFF0000"/>
      <name val="Calibri"/>
      <family val="2"/>
    </font>
    <font>
      <sz val="11"/>
      <color rgb="FFFF0000"/>
      <name val="Arial"/>
      <family val="2"/>
    </font>
    <font>
      <sz val="8"/>
      <color theme="0"/>
      <name val="Arial"/>
      <family val="2"/>
    </font>
    <font>
      <sz val="12"/>
      <name val="Calibri"/>
      <family val="2"/>
    </font>
    <font>
      <b/>
      <sz val="11"/>
      <color rgb="FFFF0000"/>
      <name val="Arial"/>
      <family val="2"/>
    </font>
    <font>
      <b/>
      <sz val="11"/>
      <color theme="0"/>
      <name val="Arial"/>
      <family val="2"/>
    </font>
    <font>
      <b/>
      <i/>
      <sz val="10"/>
      <color rgb="FFFF0000"/>
      <name val="Arial"/>
      <family val="2"/>
    </font>
    <font>
      <b/>
      <sz val="8"/>
      <color rgb="FFFF0000"/>
      <name val="Arial"/>
      <family val="2"/>
    </font>
    <font>
      <b/>
      <sz val="10"/>
      <color theme="0"/>
      <name val="Arial"/>
      <family val="2"/>
    </font>
    <font>
      <b/>
      <sz val="10"/>
      <color theme="3" tint="0.79998168889431442"/>
      <name val="Arial"/>
      <family val="2"/>
    </font>
    <font>
      <sz val="9"/>
      <color indexed="81"/>
      <name val="Segoe UI"/>
      <family val="2"/>
    </font>
    <font>
      <b/>
      <sz val="9"/>
      <color indexed="81"/>
      <name val="Segoe UI"/>
      <family val="2"/>
    </font>
  </fonts>
  <fills count="1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lightHorizontal">
        <fgColor theme="0" tint="-0.14996795556505021"/>
        <bgColor theme="0"/>
      </patternFill>
    </fill>
    <fill>
      <patternFill patternType="solid">
        <fgColor theme="6" tint="0.39997558519241921"/>
        <bgColor indexed="64"/>
      </patternFill>
    </fill>
    <fill>
      <patternFill patternType="solid">
        <fgColor rgb="FF00B0F0"/>
        <bgColor indexed="64"/>
      </patternFill>
    </fill>
  </fills>
  <borders count="82">
    <border>
      <left/>
      <right/>
      <top/>
      <bottom/>
      <diagonal/>
    </border>
    <border>
      <left/>
      <right/>
      <top/>
      <bottom style="thin">
        <color indexed="64"/>
      </bottom>
      <diagonal/>
    </border>
    <border>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dotted">
        <color indexed="64"/>
      </left>
      <right style="double">
        <color indexed="64"/>
      </right>
      <top style="double">
        <color indexed="64"/>
      </top>
      <bottom/>
      <diagonal/>
    </border>
    <border>
      <left style="dotted">
        <color indexed="64"/>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dotted">
        <color indexed="64"/>
      </left>
      <right style="double">
        <color indexed="64"/>
      </right>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double">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top style="thin">
        <color indexed="64"/>
      </top>
      <bottom/>
      <diagonal/>
    </border>
    <border>
      <left/>
      <right style="dotted">
        <color indexed="64"/>
      </right>
      <top style="double">
        <color indexed="64"/>
      </top>
      <bottom/>
      <diagonal/>
    </border>
    <border>
      <left/>
      <right style="dotted">
        <color indexed="64"/>
      </right>
      <top/>
      <bottom/>
      <diagonal/>
    </border>
    <border>
      <left/>
      <right style="dotted">
        <color indexed="64"/>
      </right>
      <top/>
      <bottom style="double">
        <color indexed="64"/>
      </bottom>
      <diagonal/>
    </border>
    <border>
      <left style="thin">
        <color indexed="64"/>
      </left>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style="thin">
        <color indexed="64"/>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auto="1"/>
      </right>
      <top style="thin">
        <color auto="1"/>
      </top>
      <bottom style="thin">
        <color auto="1"/>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bottom style="thin">
        <color indexed="64"/>
      </bottom>
      <diagonal/>
    </border>
    <border>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6795556505021"/>
      </bottom>
      <diagonal/>
    </border>
    <border>
      <left style="thin">
        <color theme="0" tint="-0.14999847407452621"/>
      </left>
      <right style="thin">
        <color theme="0" tint="-0.14999847407452621"/>
      </right>
      <top style="thin">
        <color theme="0" tint="-0.1499984740745262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double">
        <color indexed="64"/>
      </left>
      <right style="double">
        <color indexed="64"/>
      </right>
      <top style="thin">
        <color indexed="64"/>
      </top>
      <bottom style="thin">
        <color indexed="64"/>
      </bottom>
      <diagonal/>
    </border>
    <border>
      <left/>
      <right/>
      <top style="double">
        <color indexed="64"/>
      </top>
      <bottom style="double">
        <color indexed="64"/>
      </bottom>
      <diagonal/>
    </border>
    <border>
      <left style="thin">
        <color theme="0" tint="-0.14999847407452621"/>
      </left>
      <right/>
      <top style="thin">
        <color theme="0" tint="-0.14996795556505021"/>
      </top>
      <bottom style="thin">
        <color theme="0" tint="-0.14999847407452621"/>
      </bottom>
      <diagonal/>
    </border>
    <border>
      <left/>
      <right style="thin">
        <color theme="0" tint="-0.14999847407452621"/>
      </right>
      <top style="thin">
        <color theme="0" tint="-0.14996795556505021"/>
      </top>
      <bottom style="thin">
        <color theme="0" tint="-0.14999847407452621"/>
      </bottom>
      <diagonal/>
    </border>
  </borders>
  <cellStyleXfs count="3">
    <xf numFmtId="0" fontId="0" fillId="0" borderId="0"/>
    <xf numFmtId="9" fontId="1" fillId="0" borderId="0" applyFont="0" applyFill="0" applyBorder="0" applyAlignment="0" applyProtection="0"/>
    <xf numFmtId="0" fontId="37" fillId="0" borderId="0" applyNumberFormat="0" applyFill="0" applyBorder="0" applyAlignment="0" applyProtection="0">
      <alignment vertical="top"/>
      <protection locked="0"/>
    </xf>
  </cellStyleXfs>
  <cellXfs count="741">
    <xf numFmtId="0" fontId="0" fillId="0" borderId="0" xfId="0"/>
    <xf numFmtId="14" fontId="0" fillId="0" borderId="0" xfId="0" applyNumberFormat="1"/>
    <xf numFmtId="0" fontId="7" fillId="0" borderId="0" xfId="0" applyFont="1" applyAlignment="1">
      <alignment vertical="center"/>
    </xf>
    <xf numFmtId="0" fontId="7" fillId="0" borderId="0" xfId="0" applyFont="1" applyBorder="1" applyAlignment="1">
      <alignment vertical="center"/>
    </xf>
    <xf numFmtId="0" fontId="0" fillId="0" borderId="0" xfId="0" applyBorder="1"/>
    <xf numFmtId="0" fontId="3" fillId="0" borderId="0" xfId="0" applyNumberFormat="1" applyFont="1" applyFill="1" applyAlignment="1" applyProtection="1"/>
    <xf numFmtId="49" fontId="4" fillId="0" borderId="0" xfId="0" applyNumberFormat="1" applyFont="1" applyFill="1" applyAlignment="1" applyProtection="1">
      <alignment horizontal="right"/>
    </xf>
    <xf numFmtId="164" fontId="3" fillId="0" borderId="0" xfId="0" applyNumberFormat="1" applyFont="1" applyFill="1" applyAlignment="1" applyProtection="1"/>
    <xf numFmtId="164" fontId="4" fillId="0" borderId="0" xfId="0" applyNumberFormat="1" applyFont="1" applyFill="1" applyAlignment="1" applyProtection="1">
      <alignment horizontal="right"/>
    </xf>
    <xf numFmtId="1" fontId="3" fillId="0" borderId="0" xfId="0" applyNumberFormat="1" applyFont="1" applyFill="1" applyAlignment="1" applyProtection="1">
      <alignment horizontal="center"/>
    </xf>
    <xf numFmtId="168" fontId="3" fillId="0" borderId="0" xfId="0" applyNumberFormat="1" applyFont="1" applyFill="1" applyAlignment="1" applyProtection="1"/>
    <xf numFmtId="0" fontId="3" fillId="0" borderId="0" xfId="0" applyFont="1" applyFill="1" applyAlignment="1" applyProtection="1"/>
    <xf numFmtId="49" fontId="3" fillId="0" borderId="1" xfId="0" applyNumberFormat="1" applyFont="1" applyFill="1" applyBorder="1" applyAlignment="1" applyProtection="1"/>
    <xf numFmtId="0" fontId="3" fillId="0" borderId="1" xfId="0" applyFont="1" applyFill="1" applyBorder="1" applyAlignment="1" applyProtection="1"/>
    <xf numFmtId="164" fontId="3" fillId="0" borderId="1" xfId="0" applyNumberFormat="1" applyFont="1" applyFill="1" applyBorder="1" applyAlignment="1" applyProtection="1"/>
    <xf numFmtId="1" fontId="3" fillId="0" borderId="1" xfId="0" applyNumberFormat="1" applyFont="1" applyFill="1" applyBorder="1" applyAlignment="1" applyProtection="1">
      <alignment horizontal="center"/>
    </xf>
    <xf numFmtId="0" fontId="3" fillId="0" borderId="0" xfId="0" applyFont="1" applyFill="1" applyBorder="1" applyAlignment="1" applyProtection="1"/>
    <xf numFmtId="49" fontId="3" fillId="0" borderId="0" xfId="0" applyNumberFormat="1" applyFont="1" applyFill="1" applyAlignment="1" applyProtection="1"/>
    <xf numFmtId="0" fontId="3" fillId="0" borderId="0" xfId="0" applyNumberFormat="1" applyFont="1" applyFill="1" applyAlignment="1" applyProtection="1">
      <alignment horizontal="right"/>
    </xf>
    <xf numFmtId="1" fontId="4" fillId="0" borderId="0" xfId="0" applyNumberFormat="1" applyFont="1" applyFill="1" applyAlignment="1" applyProtection="1">
      <alignment horizontal="right"/>
    </xf>
    <xf numFmtId="164" fontId="3" fillId="0" borderId="0" xfId="0" applyNumberFormat="1" applyFont="1" applyFill="1" applyBorder="1" applyAlignment="1" applyProtection="1"/>
    <xf numFmtId="164" fontId="3" fillId="0" borderId="0" xfId="0" applyNumberFormat="1" applyFont="1" applyFill="1" applyAlignment="1" applyProtection="1">
      <alignment horizontal="right"/>
    </xf>
    <xf numFmtId="49" fontId="3" fillId="0" borderId="0" xfId="0" applyNumberFormat="1" applyFont="1" applyFill="1" applyAlignment="1" applyProtection="1">
      <alignment horizontal="right"/>
    </xf>
    <xf numFmtId="0" fontId="3" fillId="0" borderId="0" xfId="0" applyFont="1" applyFill="1" applyAlignment="1" applyProtection="1">
      <alignment horizontal="right"/>
    </xf>
    <xf numFmtId="165" fontId="3" fillId="0" borderId="0" xfId="0" applyNumberFormat="1" applyFont="1" applyFill="1" applyAlignment="1" applyProtection="1">
      <alignment horizontal="right"/>
    </xf>
    <xf numFmtId="14" fontId="3" fillId="0" borderId="0" xfId="0" applyNumberFormat="1" applyFont="1" applyFill="1" applyAlignment="1" applyProtection="1"/>
    <xf numFmtId="0" fontId="2" fillId="0" borderId="0" xfId="0" applyFont="1" applyFill="1" applyAlignment="1" applyProtection="1"/>
    <xf numFmtId="49" fontId="3" fillId="2" borderId="3"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xf>
    <xf numFmtId="170" fontId="3" fillId="0" borderId="0" xfId="0" applyNumberFormat="1" applyFont="1" applyFill="1" applyBorder="1" applyAlignment="1" applyProtection="1"/>
    <xf numFmtId="0" fontId="9" fillId="2" borderId="0" xfId="0" applyFont="1" applyFill="1" applyAlignment="1" applyProtection="1"/>
    <xf numFmtId="171" fontId="3" fillId="0" borderId="11" xfId="0" applyNumberFormat="1" applyFont="1" applyFill="1" applyBorder="1" applyAlignment="1" applyProtection="1"/>
    <xf numFmtId="0" fontId="3" fillId="0" borderId="8" xfId="0" applyFont="1" applyFill="1" applyBorder="1" applyAlignment="1" applyProtection="1"/>
    <xf numFmtId="0" fontId="3" fillId="0" borderId="0" xfId="0" applyFont="1" applyFill="1" applyBorder="1" applyAlignment="1" applyProtection="1">
      <alignment horizontal="centerContinuous"/>
    </xf>
    <xf numFmtId="0" fontId="13" fillId="0" borderId="0" xfId="0" applyFont="1" applyFill="1" applyAlignment="1" applyProtection="1"/>
    <xf numFmtId="171" fontId="3" fillId="0" borderId="12" xfId="0" applyNumberFormat="1" applyFont="1" applyFill="1" applyBorder="1" applyAlignment="1" applyProtection="1"/>
    <xf numFmtId="49" fontId="3" fillId="0" borderId="8" xfId="0" applyNumberFormat="1" applyFont="1" applyFill="1" applyBorder="1" applyAlignment="1" applyProtection="1"/>
    <xf numFmtId="49" fontId="3" fillId="0" borderId="0" xfId="0" applyNumberFormat="1" applyFont="1" applyFill="1" applyBorder="1" applyAlignment="1" applyProtection="1"/>
    <xf numFmtId="0" fontId="3" fillId="0" borderId="14" xfId="0" applyFont="1" applyFill="1" applyBorder="1" applyAlignment="1" applyProtection="1"/>
    <xf numFmtId="0" fontId="8" fillId="0" borderId="0" xfId="0" applyFont="1" applyFill="1" applyAlignment="1" applyProtection="1"/>
    <xf numFmtId="0" fontId="14" fillId="0" borderId="0" xfId="0" applyFont="1" applyAlignment="1">
      <alignment vertical="center"/>
    </xf>
    <xf numFmtId="171" fontId="15" fillId="0" borderId="0" xfId="0" applyNumberFormat="1" applyFont="1"/>
    <xf numFmtId="49" fontId="17" fillId="0" borderId="0" xfId="0" applyNumberFormat="1" applyFont="1" applyFill="1" applyBorder="1" applyAlignment="1" applyProtection="1">
      <alignment vertical="center"/>
    </xf>
    <xf numFmtId="0" fontId="3" fillId="0" borderId="0" xfId="0" applyFont="1" applyFill="1" applyAlignment="1" applyProtection="1">
      <alignment vertical="center"/>
    </xf>
    <xf numFmtId="164" fontId="3" fillId="0" borderId="0" xfId="0" applyNumberFormat="1" applyFont="1" applyFill="1" applyAlignment="1" applyProtection="1">
      <alignment vertical="center"/>
    </xf>
    <xf numFmtId="164" fontId="17" fillId="0" borderId="0" xfId="0" applyNumberFormat="1" applyFont="1" applyFill="1" applyBorder="1" applyAlignment="1" applyProtection="1">
      <alignment horizontal="left" vertical="center"/>
    </xf>
    <xf numFmtId="0" fontId="3" fillId="0" borderId="0" xfId="0" applyNumberFormat="1" applyFont="1" applyFill="1" applyAlignment="1" applyProtection="1">
      <alignment vertical="center"/>
    </xf>
    <xf numFmtId="0" fontId="3" fillId="0" borderId="0" xfId="0" applyNumberFormat="1" applyFont="1" applyFill="1" applyBorder="1" applyAlignment="1" applyProtection="1"/>
    <xf numFmtId="1" fontId="3" fillId="0" borderId="0" xfId="0" applyNumberFormat="1" applyFont="1" applyFill="1" applyBorder="1" applyAlignment="1" applyProtection="1">
      <alignment horizontal="center"/>
    </xf>
    <xf numFmtId="1" fontId="3" fillId="0" borderId="0" xfId="0" applyNumberFormat="1" applyFont="1" applyFill="1" applyAlignment="1" applyProtection="1">
      <alignment horizontal="right"/>
    </xf>
    <xf numFmtId="0" fontId="18" fillId="3" borderId="0" xfId="0" applyFont="1" applyFill="1" applyBorder="1" applyProtection="1">
      <protection locked="0"/>
    </xf>
    <xf numFmtId="9" fontId="18" fillId="3" borderId="0" xfId="1" applyFont="1" applyFill="1" applyBorder="1" applyProtection="1">
      <protection locked="0"/>
    </xf>
    <xf numFmtId="0" fontId="0" fillId="0" borderId="0" xfId="0" applyBorder="1" applyProtection="1"/>
    <xf numFmtId="0" fontId="2" fillId="0" borderId="0" xfId="0" applyFont="1" applyBorder="1" applyProtection="1"/>
    <xf numFmtId="0" fontId="21" fillId="0" borderId="0" xfId="0" applyFont="1" applyBorder="1" applyProtection="1"/>
    <xf numFmtId="0" fontId="20" fillId="0" borderId="0" xfId="0" applyFont="1" applyBorder="1" applyProtection="1"/>
    <xf numFmtId="1" fontId="21" fillId="0" borderId="0" xfId="0" applyNumberFormat="1" applyFont="1" applyBorder="1" applyAlignment="1" applyProtection="1">
      <alignment horizontal="left"/>
    </xf>
    <xf numFmtId="0" fontId="6" fillId="0" borderId="0" xfId="0" applyNumberFormat="1" applyFont="1" applyFill="1" applyBorder="1" applyAlignment="1" applyProtection="1">
      <alignment horizontal="right"/>
    </xf>
    <xf numFmtId="0" fontId="0" fillId="0" borderId="0" xfId="0" applyProtection="1"/>
    <xf numFmtId="0" fontId="0" fillId="0" borderId="0" xfId="0" applyFill="1" applyBorder="1" applyProtection="1"/>
    <xf numFmtId="171" fontId="0" fillId="0" borderId="0" xfId="0" applyNumberFormat="1" applyFill="1" applyBorder="1" applyProtection="1"/>
    <xf numFmtId="0" fontId="7" fillId="0" borderId="0" xfId="0" applyFont="1" applyAlignment="1" applyProtection="1">
      <alignment vertical="center"/>
    </xf>
    <xf numFmtId="0" fontId="14" fillId="0" borderId="0" xfId="0" applyFont="1" applyFill="1" applyBorder="1" applyAlignment="1" applyProtection="1">
      <alignment vertical="center"/>
    </xf>
    <xf numFmtId="0" fontId="2" fillId="0" borderId="0" xfId="0" applyFont="1" applyFill="1" applyBorder="1" applyAlignment="1" applyProtection="1">
      <alignment horizontal="right"/>
    </xf>
    <xf numFmtId="0" fontId="0" fillId="0" borderId="0" xfId="0" applyFill="1" applyBorder="1" applyAlignment="1" applyProtection="1">
      <alignment horizontal="right"/>
    </xf>
    <xf numFmtId="171" fontId="15" fillId="0" borderId="0" xfId="0" applyNumberFormat="1" applyFont="1" applyProtection="1"/>
    <xf numFmtId="169" fontId="4" fillId="0" borderId="0" xfId="0" applyNumberFormat="1" applyFont="1" applyFill="1" applyBorder="1" applyAlignment="1" applyProtection="1"/>
    <xf numFmtId="0" fontId="2" fillId="0" borderId="15" xfId="0" applyFont="1" applyBorder="1" applyAlignment="1">
      <alignment horizontal="right"/>
    </xf>
    <xf numFmtId="0" fontId="2" fillId="0" borderId="16" xfId="0" applyFont="1" applyBorder="1" applyAlignment="1">
      <alignment horizontal="right"/>
    </xf>
    <xf numFmtId="0" fontId="0" fillId="0" borderId="17" xfId="0" applyBorder="1" applyAlignment="1">
      <alignment horizontal="right"/>
    </xf>
    <xf numFmtId="0" fontId="0" fillId="0" borderId="5" xfId="0" applyBorder="1" applyAlignment="1">
      <alignment horizontal="right"/>
    </xf>
    <xf numFmtId="0" fontId="6" fillId="3" borderId="18" xfId="0" applyFont="1" applyFill="1" applyBorder="1" applyAlignment="1" applyProtection="1">
      <alignment horizontal="right"/>
      <protection locked="0"/>
    </xf>
    <xf numFmtId="2" fontId="6" fillId="0" borderId="6" xfId="0" applyNumberFormat="1" applyFont="1" applyBorder="1" applyAlignment="1">
      <alignment horizontal="right"/>
    </xf>
    <xf numFmtId="171" fontId="6" fillId="0" borderId="6" xfId="0" applyNumberFormat="1" applyFont="1" applyBorder="1" applyAlignment="1">
      <alignment horizontal="right"/>
    </xf>
    <xf numFmtId="171" fontId="6" fillId="3" borderId="18" xfId="0" applyNumberFormat="1" applyFont="1" applyFill="1" applyBorder="1" applyAlignment="1" applyProtection="1">
      <alignment horizontal="right"/>
      <protection locked="0"/>
    </xf>
    <xf numFmtId="0" fontId="6" fillId="3" borderId="18" xfId="0" applyNumberFormat="1" applyFont="1" applyFill="1" applyBorder="1" applyAlignment="1" applyProtection="1">
      <alignment horizontal="right"/>
      <protection locked="0"/>
    </xf>
    <xf numFmtId="171" fontId="6" fillId="0" borderId="0" xfId="0" applyNumberFormat="1" applyFont="1" applyBorder="1" applyAlignment="1" applyProtection="1">
      <alignment horizontal="right"/>
    </xf>
    <xf numFmtId="0" fontId="6" fillId="0" borderId="7" xfId="0" applyFont="1" applyBorder="1"/>
    <xf numFmtId="0" fontId="10" fillId="0" borderId="8" xfId="0" applyFont="1" applyBorder="1"/>
    <xf numFmtId="0" fontId="0" fillId="0" borderId="8" xfId="0" applyBorder="1"/>
    <xf numFmtId="0" fontId="18" fillId="3" borderId="8" xfId="0" applyFont="1" applyFill="1" applyBorder="1" applyProtection="1">
      <protection locked="0"/>
    </xf>
    <xf numFmtId="0" fontId="18" fillId="0" borderId="19" xfId="0" applyFont="1" applyFill="1" applyBorder="1" applyProtection="1"/>
    <xf numFmtId="0" fontId="6" fillId="0" borderId="4" xfId="0" applyFont="1" applyBorder="1"/>
    <xf numFmtId="0" fontId="10" fillId="0" borderId="0" xfId="0" applyFont="1" applyBorder="1"/>
    <xf numFmtId="0" fontId="18" fillId="3" borderId="20" xfId="0" applyFont="1" applyFill="1" applyBorder="1" applyProtection="1">
      <protection locked="0"/>
    </xf>
    <xf numFmtId="9" fontId="18" fillId="3" borderId="20" xfId="1" applyFont="1" applyFill="1" applyBorder="1" applyProtection="1">
      <protection locked="0"/>
    </xf>
    <xf numFmtId="0" fontId="6" fillId="0" borderId="21" xfId="0" applyFont="1" applyBorder="1"/>
    <xf numFmtId="0" fontId="10" fillId="0" borderId="22" xfId="0" applyFont="1" applyBorder="1"/>
    <xf numFmtId="0" fontId="0" fillId="0" borderId="22" xfId="0" applyBorder="1"/>
    <xf numFmtId="9" fontId="18" fillId="0" borderId="22" xfId="1" applyFont="1" applyFill="1" applyBorder="1" applyProtection="1"/>
    <xf numFmtId="9" fontId="18" fillId="5" borderId="23" xfId="1" applyFont="1" applyFill="1" applyBorder="1" applyProtection="1"/>
    <xf numFmtId="0" fontId="3" fillId="0" borderId="0" xfId="0" applyNumberFormat="1" applyFont="1" applyFill="1" applyAlignment="1" applyProtection="1">
      <alignment horizontal="left"/>
    </xf>
    <xf numFmtId="171" fontId="3" fillId="0" borderId="24" xfId="0" applyNumberFormat="1" applyFont="1" applyFill="1" applyBorder="1" applyAlignment="1" applyProtection="1"/>
    <xf numFmtId="171" fontId="4" fillId="0" borderId="0" xfId="0" applyNumberFormat="1" applyFont="1" applyFill="1" applyAlignment="1" applyProtection="1"/>
    <xf numFmtId="0" fontId="0" fillId="0" borderId="0" xfId="0" applyAlignment="1">
      <alignment horizontal="left"/>
    </xf>
    <xf numFmtId="171" fontId="23" fillId="0" borderId="30" xfId="0" applyNumberFormat="1" applyFont="1" applyFill="1" applyBorder="1" applyAlignment="1" applyProtection="1">
      <protection locked="0"/>
    </xf>
    <xf numFmtId="171" fontId="23" fillId="0" borderId="31" xfId="0" applyNumberFormat="1" applyFont="1" applyFill="1" applyBorder="1" applyAlignment="1" applyProtection="1">
      <protection locked="0"/>
    </xf>
    <xf numFmtId="171" fontId="23" fillId="0" borderId="25" xfId="0" applyNumberFormat="1" applyFont="1" applyFill="1" applyBorder="1" applyAlignment="1" applyProtection="1">
      <protection locked="0"/>
    </xf>
    <xf numFmtId="171" fontId="23" fillId="0" borderId="2" xfId="0" applyNumberFormat="1" applyFont="1" applyFill="1" applyBorder="1" applyAlignment="1" applyProtection="1">
      <protection locked="0"/>
    </xf>
    <xf numFmtId="0" fontId="13" fillId="0" borderId="0" xfId="0" applyFont="1" applyFill="1" applyBorder="1" applyAlignment="1" applyProtection="1"/>
    <xf numFmtId="172" fontId="3" fillId="0" borderId="0" xfId="0" applyNumberFormat="1" applyFont="1" applyFill="1" applyAlignment="1" applyProtection="1">
      <alignment horizontal="right"/>
    </xf>
    <xf numFmtId="172" fontId="4" fillId="0" borderId="0" xfId="0" applyNumberFormat="1" applyFont="1" applyFill="1" applyAlignment="1" applyProtection="1">
      <alignment horizontal="right"/>
    </xf>
    <xf numFmtId="49" fontId="3" fillId="0" borderId="3" xfId="0" applyNumberFormat="1" applyFont="1" applyFill="1" applyBorder="1" applyAlignment="1" applyProtection="1">
      <alignment horizontal="center"/>
    </xf>
    <xf numFmtId="49" fontId="23" fillId="2" borderId="35" xfId="0" applyNumberFormat="1" applyFont="1" applyFill="1" applyBorder="1" applyAlignment="1" applyProtection="1">
      <alignment horizontal="center"/>
    </xf>
    <xf numFmtId="0" fontId="23" fillId="0" borderId="36" xfId="0" applyFont="1" applyFill="1" applyBorder="1" applyAlignment="1" applyProtection="1">
      <alignment horizontal="center"/>
    </xf>
    <xf numFmtId="49" fontId="3" fillId="0" borderId="14" xfId="0" applyNumberFormat="1" applyFont="1" applyFill="1" applyBorder="1" applyAlignment="1" applyProtection="1">
      <alignment horizontal="center"/>
    </xf>
    <xf numFmtId="171" fontId="8" fillId="0" borderId="29" xfId="0" applyNumberFormat="1" applyFont="1" applyFill="1" applyBorder="1" applyAlignment="1" applyProtection="1">
      <protection locked="0"/>
    </xf>
    <xf numFmtId="171" fontId="8" fillId="0" borderId="27" xfId="0" applyNumberFormat="1" applyFont="1" applyFill="1" applyBorder="1" applyAlignment="1" applyProtection="1">
      <protection locked="0"/>
    </xf>
    <xf numFmtId="171" fontId="8" fillId="0" borderId="28" xfId="0" applyNumberFormat="1" applyFont="1" applyFill="1" applyBorder="1" applyAlignment="1" applyProtection="1">
      <protection locked="0"/>
    </xf>
    <xf numFmtId="171" fontId="3" fillId="0" borderId="29" xfId="0" applyNumberFormat="1" applyFont="1" applyFill="1" applyBorder="1" applyAlignment="1" applyProtection="1">
      <protection locked="0"/>
    </xf>
    <xf numFmtId="171" fontId="3" fillId="0" borderId="28" xfId="0" applyNumberFormat="1" applyFont="1" applyFill="1" applyBorder="1" applyAlignment="1" applyProtection="1">
      <protection locked="0"/>
    </xf>
    <xf numFmtId="171" fontId="3" fillId="0" borderId="27" xfId="0" applyNumberFormat="1" applyFont="1" applyFill="1" applyBorder="1" applyAlignment="1" applyProtection="1">
      <protection locked="0"/>
    </xf>
    <xf numFmtId="0" fontId="14" fillId="0" borderId="0" xfId="0" applyFont="1" applyProtection="1"/>
    <xf numFmtId="0" fontId="6" fillId="0" borderId="7" xfId="0" applyNumberFormat="1" applyFont="1" applyFill="1" applyBorder="1" applyAlignment="1" applyProtection="1">
      <alignment horizontal="left"/>
    </xf>
    <xf numFmtId="171" fontId="6" fillId="0" borderId="8" xfId="0" applyNumberFormat="1" applyFont="1" applyBorder="1" applyAlignment="1" applyProtection="1">
      <alignment horizontal="right"/>
    </xf>
    <xf numFmtId="0" fontId="0" fillId="0" borderId="8" xfId="0" applyBorder="1" applyProtection="1"/>
    <xf numFmtId="0" fontId="18" fillId="3" borderId="37" xfId="0" applyFont="1" applyFill="1" applyBorder="1" applyProtection="1">
      <protection locked="0"/>
    </xf>
    <xf numFmtId="0" fontId="18" fillId="0" borderId="9" xfId="0" applyFont="1" applyBorder="1" applyProtection="1"/>
    <xf numFmtId="0" fontId="6" fillId="0" borderId="4" xfId="0" applyNumberFormat="1" applyFont="1" applyFill="1" applyBorder="1" applyAlignment="1" applyProtection="1">
      <alignment horizontal="left"/>
    </xf>
    <xf numFmtId="0" fontId="18" fillId="3" borderId="38" xfId="0" applyFont="1" applyFill="1" applyBorder="1" applyProtection="1">
      <protection locked="0"/>
    </xf>
    <xf numFmtId="0" fontId="18" fillId="0" borderId="5" xfId="0" applyFont="1" applyBorder="1" applyProtection="1"/>
    <xf numFmtId="0" fontId="18" fillId="0" borderId="38" xfId="0" applyFont="1" applyFill="1" applyBorder="1" applyProtection="1"/>
    <xf numFmtId="171" fontId="18" fillId="5" borderId="5" xfId="0" applyNumberFormat="1" applyFont="1" applyFill="1" applyBorder="1" applyProtection="1"/>
    <xf numFmtId="0" fontId="6" fillId="0" borderId="21" xfId="0" applyNumberFormat="1" applyFont="1" applyFill="1" applyBorder="1" applyAlignment="1" applyProtection="1">
      <alignment horizontal="left"/>
    </xf>
    <xf numFmtId="171" fontId="6" fillId="0" borderId="22" xfId="0" applyNumberFormat="1" applyFont="1" applyBorder="1" applyAlignment="1" applyProtection="1">
      <alignment horizontal="right"/>
    </xf>
    <xf numFmtId="0" fontId="0" fillId="0" borderId="22" xfId="0" applyBorder="1" applyProtection="1"/>
    <xf numFmtId="0" fontId="18" fillId="0" borderId="39" xfId="0" applyFont="1" applyBorder="1" applyProtection="1"/>
    <xf numFmtId="171" fontId="18" fillId="5" borderId="6" xfId="0" applyNumberFormat="1" applyFont="1" applyFill="1" applyBorder="1" applyProtection="1"/>
    <xf numFmtId="0" fontId="18" fillId="3" borderId="19" xfId="0" applyFont="1" applyFill="1" applyBorder="1" applyProtection="1">
      <protection locked="0"/>
    </xf>
    <xf numFmtId="0" fontId="3" fillId="0" borderId="41" xfId="0" applyFont="1" applyFill="1" applyBorder="1" applyAlignment="1" applyProtection="1">
      <alignment shrinkToFit="1"/>
      <protection locked="0"/>
    </xf>
    <xf numFmtId="0" fontId="3" fillId="0" borderId="4" xfId="0" applyFont="1" applyFill="1" applyBorder="1" applyAlignment="1" applyProtection="1"/>
    <xf numFmtId="0" fontId="3" fillId="0" borderId="41" xfId="0" applyFont="1" applyFill="1" applyBorder="1" applyAlignment="1" applyProtection="1">
      <protection locked="0"/>
    </xf>
    <xf numFmtId="164" fontId="3" fillId="0" borderId="0" xfId="0" applyNumberFormat="1" applyFont="1" applyFill="1" applyAlignment="1" applyProtection="1">
      <alignment vertical="center"/>
      <protection locked="0"/>
    </xf>
    <xf numFmtId="164" fontId="3" fillId="0" borderId="0" xfId="0" applyNumberFormat="1" applyFont="1" applyFill="1" applyBorder="1" applyAlignment="1" applyProtection="1">
      <alignment vertical="center"/>
    </xf>
    <xf numFmtId="0" fontId="0" fillId="0" borderId="0" xfId="0" applyFill="1"/>
    <xf numFmtId="0" fontId="1" fillId="0" borderId="0" xfId="0" applyFont="1" applyFill="1" applyBorder="1"/>
    <xf numFmtId="0" fontId="3" fillId="0" borderId="0" xfId="0" applyFont="1" applyFill="1" applyBorder="1" applyAlignment="1" applyProtection="1">
      <alignment vertical="center"/>
    </xf>
    <xf numFmtId="164" fontId="3" fillId="6" borderId="0" xfId="0" applyNumberFormat="1" applyFont="1" applyFill="1" applyAlignment="1" applyProtection="1">
      <alignment vertical="center"/>
      <protection locked="0"/>
    </xf>
    <xf numFmtId="0" fontId="1" fillId="0" borderId="0" xfId="0" applyFont="1" applyBorder="1"/>
    <xf numFmtId="0" fontId="3" fillId="0" borderId="0" xfId="0" applyNumberFormat="1" applyFont="1" applyFill="1" applyBorder="1" applyAlignment="1" applyProtection="1">
      <alignment vertical="center"/>
    </xf>
    <xf numFmtId="0" fontId="0" fillId="0" borderId="27" xfId="0" applyBorder="1"/>
    <xf numFmtId="164" fontId="3" fillId="0" borderId="0" xfId="0" applyNumberFormat="1" applyFont="1" applyFill="1" applyBorder="1" applyAlignment="1" applyProtection="1">
      <alignment vertical="center"/>
      <protection locked="0"/>
    </xf>
    <xf numFmtId="0" fontId="3" fillId="0" borderId="40" xfId="0" applyFont="1" applyFill="1" applyBorder="1" applyAlignment="1" applyProtection="1">
      <alignment horizontal="center"/>
    </xf>
    <xf numFmtId="171" fontId="3" fillId="0" borderId="3" xfId="0" applyNumberFormat="1" applyFont="1" applyFill="1" applyBorder="1" applyAlignment="1" applyProtection="1">
      <protection locked="0"/>
    </xf>
    <xf numFmtId="171" fontId="3" fillId="0" borderId="44" xfId="0" applyNumberFormat="1" applyFont="1" applyFill="1" applyBorder="1" applyAlignment="1" applyProtection="1">
      <protection locked="0"/>
    </xf>
    <xf numFmtId="171" fontId="3" fillId="0" borderId="15" xfId="0" applyNumberFormat="1" applyFont="1" applyFill="1" applyBorder="1" applyAlignment="1" applyProtection="1"/>
    <xf numFmtId="171" fontId="3" fillId="0" borderId="45" xfId="0" applyNumberFormat="1" applyFont="1" applyFill="1" applyBorder="1" applyAlignment="1" applyProtection="1"/>
    <xf numFmtId="0" fontId="0" fillId="0" borderId="0" xfId="0" applyFill="1" applyProtection="1"/>
    <xf numFmtId="0" fontId="3" fillId="0" borderId="13" xfId="0" applyFont="1" applyFill="1" applyBorder="1" applyAlignment="1" applyProtection="1">
      <alignment horizontal="center"/>
    </xf>
    <xf numFmtId="171" fontId="23" fillId="0" borderId="35" xfId="0" applyNumberFormat="1" applyFont="1" applyFill="1" applyBorder="1" applyAlignment="1" applyProtection="1">
      <protection locked="0"/>
    </xf>
    <xf numFmtId="171" fontId="23" fillId="0" borderId="47" xfId="0" applyNumberFormat="1" applyFont="1" applyFill="1" applyBorder="1" applyAlignment="1" applyProtection="1">
      <protection locked="0"/>
    </xf>
    <xf numFmtId="171" fontId="23" fillId="0" borderId="14" xfId="0" applyNumberFormat="1" applyFont="1" applyFill="1" applyBorder="1" applyAlignment="1" applyProtection="1">
      <protection locked="0"/>
    </xf>
    <xf numFmtId="171" fontId="23" fillId="0" borderId="46" xfId="0" applyNumberFormat="1" applyFont="1" applyFill="1" applyBorder="1" applyAlignment="1" applyProtection="1">
      <protection locked="0"/>
    </xf>
    <xf numFmtId="0" fontId="3" fillId="2" borderId="40" xfId="0" applyFont="1" applyFill="1" applyBorder="1" applyAlignment="1" applyProtection="1">
      <alignment horizontal="center"/>
    </xf>
    <xf numFmtId="0" fontId="2" fillId="0" borderId="0" xfId="0" applyFont="1" applyFill="1" applyBorder="1" applyAlignment="1" applyProtection="1"/>
    <xf numFmtId="0" fontId="8" fillId="0" borderId="0" xfId="0" applyFont="1" applyFill="1" applyBorder="1" applyAlignment="1" applyProtection="1"/>
    <xf numFmtId="0" fontId="3" fillId="0" borderId="13" xfId="0" applyFont="1" applyFill="1" applyBorder="1" applyAlignment="1" applyProtection="1"/>
    <xf numFmtId="171" fontId="3" fillId="0" borderId="3" xfId="0" applyNumberFormat="1" applyFont="1" applyFill="1" applyBorder="1" applyAlignment="1" applyProtection="1">
      <alignment vertical="center"/>
      <protection locked="0"/>
    </xf>
    <xf numFmtId="171" fontId="8" fillId="0" borderId="44" xfId="0" applyNumberFormat="1" applyFont="1" applyFill="1" applyBorder="1" applyAlignment="1" applyProtection="1">
      <protection locked="0"/>
    </xf>
    <xf numFmtId="171" fontId="3" fillId="0" borderId="15" xfId="0" applyNumberFormat="1" applyFont="1" applyFill="1" applyBorder="1" applyAlignment="1" applyProtection="1">
      <alignment vertical="center"/>
    </xf>
    <xf numFmtId="0" fontId="5" fillId="0" borderId="0" xfId="0" applyFont="1" applyAlignment="1">
      <alignment horizontal="left"/>
    </xf>
    <xf numFmtId="171" fontId="3" fillId="0" borderId="0" xfId="0" applyNumberFormat="1" applyFont="1" applyFill="1" applyAlignment="1" applyProtection="1"/>
    <xf numFmtId="171" fontId="4" fillId="0" borderId="2" xfId="0" applyNumberFormat="1" applyFont="1" applyFill="1" applyBorder="1" applyAlignment="1" applyProtection="1"/>
    <xf numFmtId="171" fontId="5" fillId="0" borderId="0" xfId="0" applyNumberFormat="1" applyFont="1" applyBorder="1" applyAlignment="1" applyProtection="1">
      <alignment horizontal="right"/>
    </xf>
    <xf numFmtId="0" fontId="21" fillId="0" borderId="0" xfId="0" applyFont="1" applyBorder="1" applyAlignment="1" applyProtection="1">
      <alignment horizontal="left"/>
    </xf>
    <xf numFmtId="164" fontId="3" fillId="0" borderId="0" xfId="0" applyNumberFormat="1" applyFont="1" applyFill="1" applyAlignment="1" applyProtection="1">
      <alignment horizontal="left" vertical="center"/>
    </xf>
    <xf numFmtId="164" fontId="3" fillId="0" borderId="0" xfId="0" applyNumberFormat="1" applyFont="1" applyFill="1" applyAlignment="1" applyProtection="1">
      <alignment horizontal="right" vertical="center"/>
      <protection locked="0"/>
    </xf>
    <xf numFmtId="0" fontId="6" fillId="6" borderId="0" xfId="0" applyFont="1" applyFill="1" applyAlignment="1" applyProtection="1">
      <protection locked="0"/>
    </xf>
    <xf numFmtId="0" fontId="0" fillId="9" borderId="7" xfId="0" applyFill="1" applyBorder="1" applyProtection="1"/>
    <xf numFmtId="0" fontId="0" fillId="9" borderId="8" xfId="0" applyFill="1" applyBorder="1" applyProtection="1"/>
    <xf numFmtId="0" fontId="0" fillId="9" borderId="42" xfId="0" applyFill="1" applyBorder="1" applyProtection="1"/>
    <xf numFmtId="0" fontId="0" fillId="9" borderId="1" xfId="0" applyFill="1" applyBorder="1" applyProtection="1"/>
    <xf numFmtId="10" fontId="0" fillId="10" borderId="27" xfId="0" applyNumberFormat="1" applyFill="1" applyBorder="1" applyAlignment="1" applyProtection="1">
      <alignment horizontal="center"/>
      <protection locked="0"/>
    </xf>
    <xf numFmtId="10" fontId="0" fillId="10" borderId="44" xfId="0" applyNumberFormat="1" applyFill="1" applyBorder="1" applyAlignment="1" applyProtection="1">
      <alignment horizontal="center"/>
      <protection locked="0"/>
    </xf>
    <xf numFmtId="171" fontId="5" fillId="7" borderId="0" xfId="0" applyNumberFormat="1" applyFont="1" applyFill="1" applyBorder="1" applyAlignment="1">
      <alignment horizontal="center"/>
    </xf>
    <xf numFmtId="171" fontId="5" fillId="8" borderId="0" xfId="0" applyNumberFormat="1" applyFont="1" applyFill="1" applyBorder="1" applyAlignment="1">
      <alignment horizontal="center"/>
    </xf>
    <xf numFmtId="171" fontId="5" fillId="7" borderId="22" xfId="0" applyNumberFormat="1" applyFont="1" applyFill="1" applyBorder="1" applyAlignment="1">
      <alignment horizontal="center"/>
    </xf>
    <xf numFmtId="172" fontId="27" fillId="7" borderId="60" xfId="0" applyNumberFormat="1" applyFont="1" applyFill="1" applyBorder="1" applyAlignment="1">
      <alignment horizontal="center"/>
    </xf>
    <xf numFmtId="172" fontId="27" fillId="8" borderId="60" xfId="0" applyNumberFormat="1" applyFont="1" applyFill="1" applyBorder="1" applyAlignment="1">
      <alignment horizontal="center"/>
    </xf>
    <xf numFmtId="172" fontId="27" fillId="7" borderId="61" xfId="0" applyNumberFormat="1" applyFont="1" applyFill="1" applyBorder="1" applyAlignment="1">
      <alignment horizontal="center"/>
    </xf>
    <xf numFmtId="49" fontId="4" fillId="0" borderId="0" xfId="0" applyNumberFormat="1" applyFont="1" applyFill="1" applyAlignment="1" applyProtection="1">
      <alignment horizontal="right"/>
    </xf>
    <xf numFmtId="167" fontId="3" fillId="0" borderId="0" xfId="0" applyNumberFormat="1" applyFont="1" applyFill="1" applyBorder="1" applyAlignment="1" applyProtection="1">
      <alignment horizontal="left"/>
    </xf>
    <xf numFmtId="171" fontId="4" fillId="0" borderId="0" xfId="0" applyNumberFormat="1" applyFont="1" applyFill="1" applyBorder="1" applyAlignment="1" applyProtection="1"/>
    <xf numFmtId="171" fontId="23" fillId="0" borderId="26" xfId="0" applyNumberFormat="1" applyFont="1" applyFill="1" applyBorder="1" applyAlignment="1" applyProtection="1">
      <protection locked="0"/>
    </xf>
    <xf numFmtId="171" fontId="3" fillId="0" borderId="26" xfId="0" applyNumberFormat="1" applyFont="1" applyFill="1" applyBorder="1" applyAlignment="1" applyProtection="1">
      <protection locked="0"/>
    </xf>
    <xf numFmtId="0" fontId="24" fillId="0" borderId="26" xfId="0" applyFont="1" applyFill="1" applyBorder="1" applyAlignment="1" applyProtection="1">
      <alignment horizontal="center"/>
    </xf>
    <xf numFmtId="0" fontId="3" fillId="0" borderId="26" xfId="0" applyFont="1" applyFill="1" applyBorder="1" applyAlignment="1" applyProtection="1">
      <alignment horizontal="center"/>
    </xf>
    <xf numFmtId="0" fontId="16" fillId="0" borderId="26" xfId="0" applyFont="1" applyFill="1" applyBorder="1" applyAlignment="1" applyProtection="1">
      <alignment horizontal="center"/>
    </xf>
    <xf numFmtId="14" fontId="3" fillId="0" borderId="26" xfId="0" applyNumberFormat="1" applyFont="1" applyFill="1" applyBorder="1" applyAlignment="1" applyProtection="1">
      <alignment horizontal="center"/>
    </xf>
    <xf numFmtId="171" fontId="3" fillId="0" borderId="4" xfId="0" applyNumberFormat="1" applyFont="1" applyFill="1" applyBorder="1" applyAlignment="1" applyProtection="1"/>
    <xf numFmtId="2" fontId="3" fillId="0" borderId="4" xfId="0" applyNumberFormat="1" applyFont="1" applyFill="1" applyBorder="1" applyAlignment="1" applyProtection="1"/>
    <xf numFmtId="171" fontId="3" fillId="0" borderId="8" xfId="0" applyNumberFormat="1" applyFont="1" applyFill="1" applyBorder="1" applyAlignment="1" applyProtection="1">
      <protection locked="0"/>
    </xf>
    <xf numFmtId="2" fontId="3" fillId="0" borderId="0" xfId="0" applyNumberFormat="1" applyFont="1" applyFill="1" applyBorder="1" applyAlignment="1" applyProtection="1">
      <protection locked="0"/>
    </xf>
    <xf numFmtId="0" fontId="5" fillId="0" borderId="0" xfId="0" applyFont="1"/>
    <xf numFmtId="0" fontId="5" fillId="11" borderId="0" xfId="0" applyFont="1" applyFill="1"/>
    <xf numFmtId="0" fontId="3" fillId="0" borderId="0" xfId="0" applyFont="1" applyFill="1" applyAlignment="1" applyProtection="1">
      <alignment horizontal="center"/>
    </xf>
    <xf numFmtId="166" fontId="13" fillId="2" borderId="0" xfId="0" applyNumberFormat="1" applyFont="1" applyFill="1" applyBorder="1" applyAlignment="1" applyProtection="1"/>
    <xf numFmtId="0" fontId="3" fillId="0" borderId="28" xfId="0" applyFont="1" applyFill="1" applyBorder="1" applyAlignment="1" applyProtection="1"/>
    <xf numFmtId="0" fontId="3" fillId="0" borderId="0" xfId="0" applyFont="1" applyFill="1" applyAlignment="1" applyProtection="1">
      <alignment horizontal="right"/>
    </xf>
    <xf numFmtId="0" fontId="4" fillId="0" borderId="0" xfId="0" applyFont="1" applyFill="1" applyAlignment="1" applyProtection="1">
      <alignment horizontal="right"/>
    </xf>
    <xf numFmtId="171" fontId="3" fillId="0" borderId="0" xfId="0" applyNumberFormat="1" applyFont="1" applyFill="1" applyBorder="1" applyAlignment="1" applyProtection="1">
      <alignment horizontal="right"/>
    </xf>
    <xf numFmtId="171" fontId="3" fillId="0" borderId="0" xfId="0" applyNumberFormat="1" applyFont="1" applyFill="1" applyAlignment="1" applyProtection="1">
      <alignment horizontal="center"/>
    </xf>
    <xf numFmtId="171" fontId="3" fillId="0" borderId="2" xfId="0" applyNumberFormat="1" applyFont="1" applyFill="1" applyBorder="1" applyAlignment="1" applyProtection="1">
      <alignment horizontal="center"/>
    </xf>
    <xf numFmtId="49" fontId="5" fillId="0" borderId="36" xfId="0" applyNumberFormat="1" applyFont="1" applyBorder="1" applyAlignment="1">
      <alignment horizontal="center"/>
    </xf>
    <xf numFmtId="49" fontId="5" fillId="0" borderId="49" xfId="0" applyNumberFormat="1" applyFont="1" applyBorder="1" applyAlignment="1">
      <alignment horizontal="center"/>
    </xf>
    <xf numFmtId="49" fontId="5" fillId="0" borderId="40" xfId="0" applyNumberFormat="1" applyFont="1" applyFill="1" applyBorder="1" applyAlignment="1">
      <alignment horizontal="left"/>
    </xf>
    <xf numFmtId="49" fontId="5" fillId="0" borderId="29" xfId="0" applyNumberFormat="1" applyFont="1" applyFill="1" applyBorder="1" applyAlignment="1">
      <alignment horizontal="left"/>
    </xf>
    <xf numFmtId="0" fontId="5" fillId="0" borderId="40" xfId="0" applyNumberFormat="1" applyFont="1" applyBorder="1" applyAlignment="1"/>
    <xf numFmtId="49" fontId="0" fillId="0" borderId="29" xfId="0" applyNumberFormat="1" applyBorder="1" applyAlignment="1"/>
    <xf numFmtId="0" fontId="1" fillId="0" borderId="40" xfId="0" applyFont="1" applyFill="1" applyBorder="1" applyAlignment="1">
      <alignment horizontal="left"/>
    </xf>
    <xf numFmtId="49" fontId="1" fillId="0" borderId="29" xfId="0" applyNumberFormat="1" applyFont="1" applyFill="1" applyBorder="1" applyAlignment="1">
      <alignment horizontal="left"/>
    </xf>
    <xf numFmtId="49" fontId="1" fillId="0" borderId="40" xfId="0" applyNumberFormat="1" applyFont="1" applyFill="1" applyBorder="1" applyAlignment="1">
      <alignment horizontal="left"/>
    </xf>
    <xf numFmtId="0" fontId="1" fillId="0" borderId="40" xfId="0" applyNumberFormat="1" applyFont="1" applyFill="1" applyBorder="1" applyAlignment="1"/>
    <xf numFmtId="49" fontId="1" fillId="0" borderId="29" xfId="0" applyNumberFormat="1" applyFont="1" applyFill="1" applyBorder="1" applyAlignment="1"/>
    <xf numFmtId="0" fontId="1" fillId="0" borderId="60" xfId="0" applyNumberFormat="1" applyFont="1" applyFill="1" applyBorder="1" applyAlignment="1">
      <alignment horizontal="left"/>
    </xf>
    <xf numFmtId="0" fontId="1" fillId="0" borderId="29" xfId="0" applyFont="1" applyFill="1" applyBorder="1"/>
    <xf numFmtId="0" fontId="0" fillId="0" borderId="40" xfId="0" applyBorder="1"/>
    <xf numFmtId="0" fontId="1" fillId="0" borderId="29" xfId="0" applyFont="1" applyFill="1" applyBorder="1" applyAlignment="1">
      <alignment horizontal="left"/>
    </xf>
    <xf numFmtId="49" fontId="1" fillId="0" borderId="40" xfId="0" applyNumberFormat="1" applyFont="1" applyFill="1" applyBorder="1" applyAlignment="1" applyProtection="1"/>
    <xf numFmtId="49" fontId="1" fillId="0" borderId="29" xfId="0" applyNumberFormat="1" applyFont="1" applyFill="1" applyBorder="1" applyAlignment="1" applyProtection="1"/>
    <xf numFmtId="0" fontId="1" fillId="0" borderId="60" xfId="0" applyFont="1" applyFill="1" applyBorder="1"/>
    <xf numFmtId="0" fontId="1" fillId="0" borderId="40" xfId="0" applyFont="1" applyFill="1" applyBorder="1"/>
    <xf numFmtId="0" fontId="0" fillId="0" borderId="29" xfId="0" applyBorder="1"/>
    <xf numFmtId="0" fontId="1" fillId="0" borderId="40" xfId="0" applyFont="1" applyFill="1" applyBorder="1" applyAlignment="1"/>
    <xf numFmtId="0" fontId="1" fillId="0" borderId="29" xfId="0" applyFont="1" applyFill="1" applyBorder="1" applyAlignment="1"/>
    <xf numFmtId="49" fontId="1" fillId="0" borderId="0" xfId="0" applyNumberFormat="1" applyFont="1" applyFill="1" applyBorder="1" applyAlignment="1">
      <alignment horizontal="left"/>
    </xf>
    <xf numFmtId="0" fontId="1" fillId="0" borderId="40" xfId="0" applyFont="1" applyBorder="1"/>
    <xf numFmtId="0" fontId="1" fillId="0" borderId="28" xfId="0" applyFont="1" applyBorder="1"/>
    <xf numFmtId="49" fontId="1" fillId="0" borderId="51" xfId="0" applyNumberFormat="1" applyFont="1" applyFill="1" applyBorder="1" applyAlignment="1">
      <alignment horizontal="left"/>
    </xf>
    <xf numFmtId="0" fontId="1" fillId="0" borderId="50" xfId="0" applyFont="1" applyFill="1" applyBorder="1" applyAlignment="1">
      <alignment horizontal="left"/>
    </xf>
    <xf numFmtId="0" fontId="1" fillId="0" borderId="0" xfId="0" applyFont="1"/>
    <xf numFmtId="49" fontId="1" fillId="0" borderId="40" xfId="0" applyNumberFormat="1" applyFont="1" applyFill="1" applyBorder="1" applyAlignment="1" applyProtection="1">
      <alignment horizontal="left"/>
    </xf>
    <xf numFmtId="49" fontId="1" fillId="0" borderId="1" xfId="0" applyNumberFormat="1" applyFont="1" applyFill="1" applyBorder="1" applyAlignment="1">
      <alignment horizontal="left"/>
    </xf>
    <xf numFmtId="49" fontId="0" fillId="0" borderId="51" xfId="0" applyNumberFormat="1" applyBorder="1" applyAlignment="1"/>
    <xf numFmtId="49" fontId="1" fillId="0" borderId="28" xfId="0" applyNumberFormat="1" applyFont="1" applyFill="1" applyBorder="1" applyAlignment="1">
      <alignment horizontal="left"/>
    </xf>
    <xf numFmtId="49" fontId="0" fillId="0" borderId="29" xfId="0" applyNumberFormat="1" applyFill="1" applyBorder="1" applyAlignment="1">
      <alignment horizontal="center"/>
    </xf>
    <xf numFmtId="0" fontId="0" fillId="0" borderId="31" xfId="0" applyBorder="1"/>
    <xf numFmtId="49" fontId="4" fillId="0" borderId="0" xfId="0" applyNumberFormat="1" applyFont="1" applyFill="1" applyAlignment="1" applyProtection="1">
      <alignment horizontal="right"/>
    </xf>
    <xf numFmtId="164" fontId="3" fillId="0" borderId="0" xfId="0" applyNumberFormat="1" applyFont="1" applyFill="1" applyBorder="1" applyAlignment="1" applyProtection="1">
      <alignment vertical="center"/>
      <protection locked="0"/>
    </xf>
    <xf numFmtId="0" fontId="4" fillId="0" borderId="0" xfId="0" applyFont="1" applyFill="1" applyBorder="1" applyAlignment="1" applyProtection="1">
      <alignment horizontal="center"/>
    </xf>
    <xf numFmtId="0" fontId="4" fillId="0" borderId="0" xfId="0" applyFont="1" applyFill="1" applyBorder="1" applyAlignment="1" applyProtection="1"/>
    <xf numFmtId="0" fontId="3" fillId="0" borderId="0" xfId="0" applyNumberFormat="1" applyFont="1" applyFill="1" applyBorder="1" applyAlignment="1" applyProtection="1">
      <alignment horizontal="left"/>
    </xf>
    <xf numFmtId="0" fontId="3" fillId="0" borderId="0" xfId="0" applyNumberFormat="1" applyFont="1" applyFill="1" applyAlignment="1" applyProtection="1">
      <alignment horizontal="left"/>
    </xf>
    <xf numFmtId="167" fontId="3" fillId="0" borderId="0" xfId="0" applyNumberFormat="1" applyFont="1" applyFill="1" applyBorder="1" applyAlignment="1" applyProtection="1">
      <alignment horizontal="left"/>
    </xf>
    <xf numFmtId="0" fontId="0" fillId="6" borderId="0" xfId="0" applyFill="1"/>
    <xf numFmtId="0" fontId="4" fillId="0" borderId="0" xfId="0" applyNumberFormat="1" applyFont="1" applyFill="1" applyAlignment="1" applyProtection="1">
      <alignment horizontal="right"/>
    </xf>
    <xf numFmtId="0" fontId="4" fillId="0" borderId="0" xfId="0" applyNumberFormat="1" applyFont="1" applyFill="1" applyAlignment="1" applyProtection="1">
      <alignment horizontal="right"/>
    </xf>
    <xf numFmtId="174" fontId="3" fillId="0" borderId="0" xfId="0" applyNumberFormat="1" applyFont="1" applyFill="1" applyBorder="1" applyAlignment="1" applyProtection="1">
      <alignment horizontal="left"/>
    </xf>
    <xf numFmtId="1" fontId="3" fillId="0" borderId="0" xfId="0" applyNumberFormat="1" applyFont="1" applyFill="1" applyBorder="1" applyAlignment="1" applyProtection="1">
      <alignment horizontal="right"/>
    </xf>
    <xf numFmtId="171" fontId="3" fillId="0" borderId="0" xfId="0" applyNumberFormat="1" applyFont="1" applyFill="1" applyBorder="1" applyAlignment="1" applyProtection="1"/>
    <xf numFmtId="0" fontId="4" fillId="0" borderId="0" xfId="0" applyFont="1" applyFill="1" applyAlignment="1" applyProtection="1"/>
    <xf numFmtId="0" fontId="4" fillId="0" borderId="0" xfId="0" applyNumberFormat="1" applyFont="1" applyFill="1" applyAlignment="1" applyProtection="1"/>
    <xf numFmtId="0" fontId="0" fillId="0" borderId="0" xfId="0" applyAlignment="1">
      <alignment horizontal="right"/>
    </xf>
    <xf numFmtId="0" fontId="5" fillId="0" borderId="27" xfId="0" applyFont="1" applyBorder="1" applyAlignment="1">
      <alignment wrapText="1"/>
    </xf>
    <xf numFmtId="171" fontId="1" fillId="0" borderId="27" xfId="0" applyNumberFormat="1" applyFont="1" applyBorder="1" applyAlignment="1">
      <alignment horizontal="right"/>
    </xf>
    <xf numFmtId="1" fontId="5" fillId="0" borderId="0" xfId="0" applyNumberFormat="1" applyFont="1" applyFill="1"/>
    <xf numFmtId="0" fontId="23" fillId="0" borderId="26" xfId="0" applyFont="1" applyFill="1" applyBorder="1" applyAlignment="1" applyProtection="1">
      <alignment horizontal="center"/>
    </xf>
    <xf numFmtId="166" fontId="13" fillId="2" borderId="26" xfId="0" applyNumberFormat="1" applyFont="1" applyFill="1" applyBorder="1" applyAlignment="1" applyProtection="1"/>
    <xf numFmtId="0" fontId="3" fillId="0" borderId="26" xfId="0" applyFont="1" applyFill="1" applyBorder="1" applyAlignment="1" applyProtection="1">
      <alignment shrinkToFit="1"/>
      <protection locked="0"/>
    </xf>
    <xf numFmtId="0" fontId="3" fillId="0" borderId="26" xfId="0" applyFont="1" applyFill="1" applyBorder="1" applyAlignment="1" applyProtection="1"/>
    <xf numFmtId="171" fontId="5" fillId="0" borderId="4" xfId="0" applyNumberFormat="1" applyFont="1" applyBorder="1" applyAlignment="1" applyProtection="1">
      <alignment horizontal="right"/>
    </xf>
    <xf numFmtId="0" fontId="3" fillId="2" borderId="26" xfId="0" applyFont="1" applyFill="1" applyBorder="1" applyAlignment="1" applyProtection="1">
      <alignment horizontal="center"/>
    </xf>
    <xf numFmtId="171" fontId="1" fillId="0" borderId="0" xfId="0" applyNumberFormat="1" applyFont="1" applyBorder="1" applyAlignment="1">
      <alignment horizontal="right"/>
    </xf>
    <xf numFmtId="0" fontId="1" fillId="11" borderId="27" xfId="0" applyFont="1" applyFill="1" applyBorder="1"/>
    <xf numFmtId="0" fontId="25" fillId="0" borderId="60" xfId="0" applyFont="1" applyBorder="1" applyAlignment="1"/>
    <xf numFmtId="0" fontId="1" fillId="0" borderId="27" xfId="0" applyFont="1" applyBorder="1" applyAlignment="1"/>
    <xf numFmtId="0" fontId="25" fillId="0" borderId="0" xfId="0" applyFont="1" applyBorder="1" applyAlignment="1"/>
    <xf numFmtId="0" fontId="0" fillId="8" borderId="0" xfId="0" applyFill="1" applyBorder="1"/>
    <xf numFmtId="0" fontId="5" fillId="8" borderId="0" xfId="0" applyFont="1" applyFill="1" applyBorder="1"/>
    <xf numFmtId="0" fontId="1" fillId="8" borderId="0" xfId="0" applyFont="1" applyFill="1" applyBorder="1"/>
    <xf numFmtId="0" fontId="1" fillId="0" borderId="27" xfId="0" applyFont="1" applyBorder="1"/>
    <xf numFmtId="0" fontId="0" fillId="0" borderId="28" xfId="0" applyBorder="1"/>
    <xf numFmtId="0" fontId="1" fillId="0" borderId="27" xfId="0" applyFont="1" applyBorder="1" applyAlignment="1">
      <alignment horizontal="center"/>
    </xf>
    <xf numFmtId="0" fontId="1" fillId="0" borderId="29" xfId="0" applyFont="1" applyBorder="1" applyAlignment="1">
      <alignment horizontal="center"/>
    </xf>
    <xf numFmtId="49" fontId="1" fillId="11" borderId="27" xfId="0" applyNumberFormat="1" applyFont="1" applyFill="1" applyBorder="1" applyAlignment="1" applyProtection="1">
      <alignment horizontal="center"/>
    </xf>
    <xf numFmtId="0" fontId="0" fillId="0" borderId="29" xfId="0" applyNumberFormat="1" applyBorder="1" applyAlignment="1">
      <alignment horizontal="center"/>
    </xf>
    <xf numFmtId="49" fontId="1" fillId="6" borderId="40" xfId="0" applyNumberFormat="1" applyFont="1" applyFill="1" applyBorder="1" applyAlignment="1">
      <alignment horizontal="left"/>
    </xf>
    <xf numFmtId="49" fontId="1" fillId="6" borderId="28" xfId="0" applyNumberFormat="1" applyFont="1" applyFill="1" applyBorder="1" applyAlignment="1">
      <alignment horizontal="left"/>
    </xf>
    <xf numFmtId="49" fontId="29" fillId="0" borderId="27" xfId="0" applyNumberFormat="1" applyFont="1" applyBorder="1" applyAlignment="1">
      <alignment horizontal="center"/>
    </xf>
    <xf numFmtId="49" fontId="29" fillId="0" borderId="29" xfId="0" applyNumberFormat="1" applyFont="1" applyBorder="1" applyAlignment="1">
      <alignment horizontal="center"/>
    </xf>
    <xf numFmtId="0" fontId="0" fillId="0" borderId="0" xfId="0" applyNumberFormat="1"/>
    <xf numFmtId="49" fontId="1" fillId="8" borderId="0" xfId="0" applyNumberFormat="1" applyFont="1" applyFill="1" applyBorder="1" applyAlignment="1">
      <alignment horizontal="left"/>
    </xf>
    <xf numFmtId="49" fontId="1" fillId="8" borderId="0" xfId="0" applyNumberFormat="1" applyFont="1" applyFill="1" applyBorder="1" applyAlignment="1">
      <alignment horizontal="center"/>
    </xf>
    <xf numFmtId="0" fontId="1" fillId="0" borderId="27" xfId="0" applyNumberFormat="1" applyFont="1" applyBorder="1" applyAlignment="1">
      <alignment horizontal="center"/>
    </xf>
    <xf numFmtId="49" fontId="0" fillId="0" borderId="29" xfId="0" applyNumberFormat="1" applyBorder="1" applyAlignment="1">
      <alignment horizontal="center"/>
    </xf>
    <xf numFmtId="49" fontId="1" fillId="6" borderId="29" xfId="0" applyNumberFormat="1" applyFont="1" applyFill="1" applyBorder="1" applyAlignment="1">
      <alignment horizontal="left"/>
    </xf>
    <xf numFmtId="49" fontId="0" fillId="8" borderId="0" xfId="0" applyNumberFormat="1" applyFill="1" applyBorder="1"/>
    <xf numFmtId="49" fontId="1" fillId="0" borderId="29" xfId="0" applyNumberFormat="1" applyFont="1" applyBorder="1" applyAlignment="1">
      <alignment horizontal="center"/>
    </xf>
    <xf numFmtId="49" fontId="1" fillId="0" borderId="27" xfId="0" applyNumberFormat="1" applyFont="1" applyBorder="1" applyAlignment="1">
      <alignment horizontal="center"/>
    </xf>
    <xf numFmtId="49" fontId="1"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49" fontId="1" fillId="0" borderId="0" xfId="0" applyNumberFormat="1" applyFont="1" applyBorder="1" applyAlignment="1">
      <alignment horizontal="center"/>
    </xf>
    <xf numFmtId="0" fontId="0" fillId="0" borderId="0" xfId="0" applyNumberFormat="1" applyBorder="1"/>
    <xf numFmtId="171" fontId="3" fillId="6" borderId="3" xfId="0" applyNumberFormat="1" applyFont="1" applyFill="1" applyBorder="1" applyAlignment="1" applyProtection="1">
      <protection locked="0"/>
    </xf>
    <xf numFmtId="171" fontId="3" fillId="6" borderId="27" xfId="0" applyNumberFormat="1" applyFont="1" applyFill="1" applyBorder="1" applyAlignment="1" applyProtection="1">
      <protection locked="0"/>
    </xf>
    <xf numFmtId="171" fontId="3" fillId="6" borderId="28" xfId="0" applyNumberFormat="1" applyFont="1" applyFill="1" applyBorder="1" applyAlignment="1" applyProtection="1">
      <protection locked="0"/>
    </xf>
    <xf numFmtId="171" fontId="3" fillId="6" borderId="44" xfId="0" applyNumberFormat="1" applyFont="1" applyFill="1" applyBorder="1" applyAlignment="1" applyProtection="1">
      <protection locked="0"/>
    </xf>
    <xf numFmtId="0" fontId="31" fillId="8" borderId="0" xfId="0" applyFont="1" applyFill="1" applyAlignment="1" applyProtection="1"/>
    <xf numFmtId="171" fontId="3" fillId="6" borderId="29" xfId="0" applyNumberFormat="1" applyFont="1" applyFill="1" applyBorder="1" applyAlignment="1" applyProtection="1">
      <protection locked="0"/>
    </xf>
    <xf numFmtId="0" fontId="31" fillId="0" borderId="0" xfId="0" applyFont="1" applyFill="1" applyAlignment="1" applyProtection="1"/>
    <xf numFmtId="171" fontId="3" fillId="6" borderId="40" xfId="0" applyNumberFormat="1" applyFont="1" applyFill="1" applyBorder="1" applyAlignment="1" applyProtection="1">
      <protection locked="0"/>
    </xf>
    <xf numFmtId="0" fontId="24" fillId="2" borderId="26" xfId="0" applyFont="1" applyFill="1" applyBorder="1" applyAlignment="1" applyProtection="1">
      <alignment horizontal="center"/>
    </xf>
    <xf numFmtId="0" fontId="4" fillId="8" borderId="40" xfId="0" applyFont="1" applyFill="1" applyBorder="1" applyAlignment="1" applyProtection="1">
      <alignment horizontal="center"/>
    </xf>
    <xf numFmtId="0" fontId="4" fillId="0" borderId="40" xfId="0" applyFont="1" applyFill="1" applyBorder="1" applyAlignment="1" applyProtection="1">
      <alignment horizontal="center"/>
    </xf>
    <xf numFmtId="0" fontId="31" fillId="0" borderId="0" xfId="0" applyFont="1" applyFill="1" applyBorder="1" applyAlignment="1" applyProtection="1"/>
    <xf numFmtId="171" fontId="3" fillId="6" borderId="25" xfId="0" applyNumberFormat="1" applyFont="1" applyFill="1" applyBorder="1" applyAlignment="1" applyProtection="1">
      <protection locked="0"/>
    </xf>
    <xf numFmtId="171" fontId="3" fillId="2" borderId="3" xfId="0" applyNumberFormat="1" applyFont="1" applyFill="1" applyBorder="1" applyAlignment="1" applyProtection="1">
      <protection locked="0"/>
    </xf>
    <xf numFmtId="171" fontId="3" fillId="2" borderId="27" xfId="0" applyNumberFormat="1" applyFont="1" applyFill="1" applyBorder="1" applyAlignment="1" applyProtection="1">
      <protection locked="0"/>
    </xf>
    <xf numFmtId="171" fontId="3" fillId="2" borderId="28" xfId="0" applyNumberFormat="1" applyFont="1" applyFill="1" applyBorder="1" applyAlignment="1" applyProtection="1">
      <protection locked="0"/>
    </xf>
    <xf numFmtId="171" fontId="3" fillId="2" borderId="40" xfId="0" applyNumberFormat="1" applyFont="1" applyFill="1" applyBorder="1" applyAlignment="1" applyProtection="1">
      <protection locked="0"/>
    </xf>
    <xf numFmtId="0" fontId="3" fillId="0" borderId="4" xfId="0" applyFont="1" applyFill="1" applyBorder="1" applyAlignment="1" applyProtection="1">
      <alignment shrinkToFit="1"/>
      <protection locked="0"/>
    </xf>
    <xf numFmtId="171" fontId="5" fillId="0" borderId="4" xfId="0" applyNumberFormat="1" applyFont="1" applyFill="1" applyBorder="1" applyAlignment="1" applyProtection="1">
      <alignment horizontal="right"/>
    </xf>
    <xf numFmtId="171" fontId="3" fillId="0" borderId="4" xfId="0" applyNumberFormat="1" applyFont="1" applyFill="1" applyBorder="1" applyAlignment="1" applyProtection="1">
      <protection locked="0"/>
    </xf>
    <xf numFmtId="171" fontId="8" fillId="0" borderId="4" xfId="0" applyNumberFormat="1" applyFont="1" applyFill="1" applyBorder="1" applyAlignment="1" applyProtection="1">
      <protection locked="0"/>
    </xf>
    <xf numFmtId="171" fontId="8" fillId="0" borderId="3" xfId="0" applyNumberFormat="1" applyFont="1" applyFill="1" applyBorder="1" applyAlignment="1" applyProtection="1">
      <protection locked="0"/>
    </xf>
    <xf numFmtId="171" fontId="3" fillId="6" borderId="3" xfId="0" applyNumberFormat="1" applyFont="1" applyFill="1" applyBorder="1" applyAlignment="1" applyProtection="1">
      <alignment vertical="center"/>
      <protection locked="0"/>
    </xf>
    <xf numFmtId="171" fontId="3" fillId="12" borderId="3" xfId="0" applyNumberFormat="1" applyFont="1" applyFill="1" applyBorder="1" applyAlignment="1" applyProtection="1">
      <alignment vertical="center"/>
      <protection locked="0"/>
    </xf>
    <xf numFmtId="171" fontId="3" fillId="12" borderId="29" xfId="0" applyNumberFormat="1" applyFont="1" applyFill="1" applyBorder="1" applyAlignment="1" applyProtection="1">
      <protection locked="0"/>
    </xf>
    <xf numFmtId="171" fontId="3" fillId="12" borderId="28" xfId="0" applyNumberFormat="1" applyFont="1" applyFill="1" applyBorder="1" applyAlignment="1" applyProtection="1">
      <protection locked="0"/>
    </xf>
    <xf numFmtId="171" fontId="3" fillId="12" borderId="27" xfId="0" applyNumberFormat="1" applyFont="1" applyFill="1" applyBorder="1" applyAlignment="1" applyProtection="1">
      <protection locked="0"/>
    </xf>
    <xf numFmtId="171" fontId="3" fillId="12" borderId="44" xfId="0" applyNumberFormat="1" applyFont="1" applyFill="1" applyBorder="1" applyAlignment="1" applyProtection="1">
      <protection locked="0"/>
    </xf>
    <xf numFmtId="171" fontId="3" fillId="0" borderId="14" xfId="0" applyNumberFormat="1" applyFont="1" applyFill="1" applyBorder="1" applyAlignment="1" applyProtection="1">
      <alignment vertical="center"/>
      <protection locked="0"/>
    </xf>
    <xf numFmtId="171" fontId="3" fillId="0" borderId="25" xfId="0" applyNumberFormat="1" applyFont="1" applyFill="1" applyBorder="1" applyAlignment="1" applyProtection="1">
      <protection locked="0"/>
    </xf>
    <xf numFmtId="171" fontId="3" fillId="0" borderId="2" xfId="0" applyNumberFormat="1" applyFont="1" applyFill="1" applyBorder="1" applyAlignment="1" applyProtection="1">
      <protection locked="0"/>
    </xf>
    <xf numFmtId="171" fontId="3" fillId="0" borderId="46" xfId="0" applyNumberFormat="1" applyFont="1" applyFill="1" applyBorder="1" applyAlignment="1" applyProtection="1">
      <protection locked="0"/>
    </xf>
    <xf numFmtId="164" fontId="3" fillId="6" borderId="0" xfId="0" applyNumberFormat="1" applyFont="1" applyFill="1" applyAlignment="1" applyProtection="1">
      <alignment vertical="center"/>
    </xf>
    <xf numFmtId="0" fontId="0" fillId="6" borderId="0" xfId="0" applyFill="1" applyAlignment="1"/>
    <xf numFmtId="49" fontId="32" fillId="2" borderId="3" xfId="0" applyNumberFormat="1" applyFont="1" applyFill="1" applyBorder="1" applyAlignment="1" applyProtection="1">
      <alignment horizontal="center"/>
    </xf>
    <xf numFmtId="0" fontId="32" fillId="0" borderId="40" xfId="0" applyFont="1" applyFill="1" applyBorder="1" applyAlignment="1" applyProtection="1">
      <alignment horizontal="center"/>
    </xf>
    <xf numFmtId="49" fontId="32" fillId="0" borderId="3" xfId="0" applyNumberFormat="1" applyFont="1" applyFill="1" applyBorder="1" applyAlignment="1" applyProtection="1">
      <alignment horizontal="center"/>
    </xf>
    <xf numFmtId="0" fontId="5" fillId="9" borderId="40" xfId="0" applyFont="1" applyFill="1" applyBorder="1" applyAlignment="1" applyProtection="1">
      <alignment horizontal="center"/>
    </xf>
    <xf numFmtId="0" fontId="5" fillId="9" borderId="28" xfId="0" applyFont="1" applyFill="1" applyBorder="1" applyAlignment="1" applyProtection="1">
      <alignment horizontal="center"/>
    </xf>
    <xf numFmtId="0" fontId="0" fillId="10" borderId="0" xfId="0" applyFill="1"/>
    <xf numFmtId="0" fontId="0" fillId="0" borderId="0" xfId="0" applyFill="1" applyBorder="1"/>
    <xf numFmtId="0" fontId="3" fillId="0" borderId="22" xfId="0" applyFont="1" applyFill="1" applyBorder="1" applyAlignment="1" applyProtection="1"/>
    <xf numFmtId="1" fontId="3" fillId="6" borderId="15" xfId="0" applyNumberFormat="1" applyFont="1" applyFill="1" applyBorder="1" applyAlignment="1" applyProtection="1">
      <alignment horizontal="center"/>
      <protection locked="0"/>
    </xf>
    <xf numFmtId="1" fontId="3" fillId="6" borderId="45" xfId="0" applyNumberFormat="1" applyFont="1" applyFill="1" applyBorder="1" applyAlignment="1" applyProtection="1">
      <alignment horizontal="center"/>
      <protection locked="0"/>
    </xf>
    <xf numFmtId="1" fontId="3" fillId="6" borderId="55" xfId="0" applyNumberFormat="1" applyFont="1" applyFill="1" applyBorder="1" applyAlignment="1" applyProtection="1">
      <alignment horizontal="center"/>
      <protection locked="0"/>
    </xf>
    <xf numFmtId="1" fontId="3" fillId="6" borderId="57" xfId="0" applyNumberFormat="1" applyFont="1" applyFill="1" applyBorder="1" applyAlignment="1" applyProtection="1">
      <alignment horizontal="center"/>
      <protection locked="0"/>
    </xf>
    <xf numFmtId="1" fontId="3" fillId="6" borderId="41" xfId="0" applyNumberFormat="1" applyFont="1" applyFill="1" applyBorder="1" applyAlignment="1" applyProtection="1">
      <alignment horizontal="center"/>
      <protection locked="0"/>
    </xf>
    <xf numFmtId="1" fontId="3" fillId="6" borderId="44" xfId="0" applyNumberFormat="1" applyFont="1" applyFill="1" applyBorder="1" applyAlignment="1" applyProtection="1">
      <alignment horizontal="center"/>
      <protection locked="0"/>
    </xf>
    <xf numFmtId="1" fontId="3" fillId="6" borderId="48" xfId="0" applyNumberFormat="1" applyFont="1" applyFill="1" applyBorder="1" applyAlignment="1" applyProtection="1">
      <alignment horizontal="center"/>
      <protection locked="0"/>
    </xf>
    <xf numFmtId="1" fontId="3" fillId="6" borderId="46" xfId="0" applyNumberFormat="1" applyFont="1" applyFill="1" applyBorder="1" applyAlignment="1" applyProtection="1">
      <alignment horizontal="center"/>
      <protection locked="0"/>
    </xf>
    <xf numFmtId="0" fontId="5" fillId="0" borderId="36" xfId="0" applyFont="1" applyBorder="1"/>
    <xf numFmtId="0" fontId="1" fillId="0" borderId="31" xfId="0" applyFont="1" applyBorder="1"/>
    <xf numFmtId="0" fontId="0" fillId="0" borderId="49" xfId="0" applyBorder="1"/>
    <xf numFmtId="0" fontId="1" fillId="6" borderId="27" xfId="0" applyFont="1" applyFill="1" applyBorder="1"/>
    <xf numFmtId="0" fontId="0" fillId="11" borderId="27" xfId="0" applyFill="1" applyBorder="1"/>
    <xf numFmtId="0" fontId="0" fillId="6" borderId="0" xfId="0" applyFill="1" applyBorder="1" applyProtection="1">
      <protection locked="0"/>
    </xf>
    <xf numFmtId="0" fontId="33" fillId="0" borderId="70" xfId="0" applyFont="1" applyBorder="1" applyAlignment="1">
      <alignment horizontal="left"/>
    </xf>
    <xf numFmtId="0" fontId="34" fillId="0" borderId="71" xfId="0" applyFont="1" applyBorder="1"/>
    <xf numFmtId="0" fontId="34" fillId="0" borderId="72" xfId="0" applyFont="1" applyBorder="1"/>
    <xf numFmtId="49" fontId="34" fillId="0" borderId="73" xfId="0" applyNumberFormat="1" applyFont="1" applyFill="1" applyBorder="1" applyAlignment="1">
      <alignment horizontal="left"/>
    </xf>
    <xf numFmtId="0" fontId="34" fillId="0" borderId="73" xfId="0" applyFont="1" applyBorder="1"/>
    <xf numFmtId="0" fontId="34" fillId="0" borderId="73" xfId="0" applyFont="1" applyBorder="1" applyAlignment="1"/>
    <xf numFmtId="49" fontId="34" fillId="0" borderId="74" xfId="0" applyNumberFormat="1" applyFont="1" applyFill="1" applyBorder="1" applyAlignment="1">
      <alignment horizontal="left"/>
    </xf>
    <xf numFmtId="0" fontId="34" fillId="0" borderId="74" xfId="0" applyFont="1" applyBorder="1"/>
    <xf numFmtId="49" fontId="34" fillId="0" borderId="74" xfId="0" applyNumberFormat="1" applyFont="1" applyBorder="1"/>
    <xf numFmtId="0" fontId="34" fillId="0" borderId="0" xfId="0" applyFont="1" applyBorder="1"/>
    <xf numFmtId="0" fontId="34" fillId="0" borderId="74" xfId="0" applyFont="1" applyFill="1" applyBorder="1"/>
    <xf numFmtId="49" fontId="34" fillId="0" borderId="0" xfId="0" applyNumberFormat="1" applyFont="1" applyBorder="1"/>
    <xf numFmtId="49" fontId="34" fillId="0" borderId="75" xfId="0" applyNumberFormat="1" applyFont="1" applyBorder="1"/>
    <xf numFmtId="49" fontId="34" fillId="0" borderId="76" xfId="0" applyNumberFormat="1" applyFont="1" applyFill="1" applyBorder="1" applyAlignment="1">
      <alignment horizontal="left"/>
    </xf>
    <xf numFmtId="0" fontId="34" fillId="0" borderId="77" xfId="0" applyFont="1" applyBorder="1"/>
    <xf numFmtId="0" fontId="0" fillId="6" borderId="22" xfId="0" applyFill="1" applyBorder="1" applyAlignment="1" applyProtection="1">
      <alignment horizontal="right"/>
      <protection locked="0"/>
    </xf>
    <xf numFmtId="0" fontId="0" fillId="6" borderId="6" xfId="0" applyFill="1" applyBorder="1" applyAlignment="1" applyProtection="1">
      <alignment horizontal="right"/>
      <protection locked="0"/>
    </xf>
    <xf numFmtId="1" fontId="3" fillId="6" borderId="67" xfId="0" applyNumberFormat="1" applyFont="1" applyFill="1" applyBorder="1" applyAlignment="1" applyProtection="1">
      <alignment horizontal="center"/>
      <protection locked="0"/>
    </xf>
    <xf numFmtId="1" fontId="3" fillId="6" borderId="78" xfId="0" applyNumberFormat="1" applyFont="1" applyFill="1" applyBorder="1" applyAlignment="1" applyProtection="1">
      <alignment horizontal="center"/>
      <protection locked="0"/>
    </xf>
    <xf numFmtId="1" fontId="3" fillId="6" borderId="34"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1" fontId="3" fillId="0" borderId="22" xfId="0" applyNumberFormat="1" applyFont="1" applyFill="1" applyBorder="1" applyAlignment="1" applyProtection="1">
      <alignment horizontal="center"/>
      <protection locked="0"/>
    </xf>
    <xf numFmtId="1" fontId="3" fillId="0" borderId="78" xfId="0" applyNumberFormat="1" applyFont="1" applyFill="1" applyBorder="1" applyAlignment="1" applyProtection="1">
      <alignment horizontal="center"/>
      <protection locked="0"/>
    </xf>
    <xf numFmtId="1" fontId="3" fillId="0" borderId="66" xfId="0" applyNumberFormat="1" applyFont="1" applyFill="1" applyBorder="1" applyAlignment="1" applyProtection="1">
      <alignment horizontal="center"/>
      <protection locked="0"/>
    </xf>
    <xf numFmtId="1" fontId="3" fillId="0" borderId="79" xfId="0" applyNumberFormat="1" applyFont="1" applyFill="1" applyBorder="1" applyAlignment="1" applyProtection="1">
      <alignment horizontal="center"/>
      <protection locked="0"/>
    </xf>
    <xf numFmtId="1" fontId="3" fillId="6" borderId="66" xfId="0" applyNumberFormat="1" applyFont="1" applyFill="1" applyBorder="1" applyAlignment="1" applyProtection="1">
      <alignment horizontal="center"/>
      <protection locked="0"/>
    </xf>
    <xf numFmtId="1" fontId="3" fillId="6" borderId="33" xfId="0" applyNumberFormat="1" applyFont="1" applyFill="1" applyBorder="1" applyAlignment="1" applyProtection="1">
      <alignment horizontal="center"/>
      <protection locked="0"/>
    </xf>
    <xf numFmtId="171" fontId="3" fillId="0" borderId="3" xfId="0" applyNumberFormat="1" applyFont="1" applyFill="1" applyBorder="1" applyAlignment="1" applyProtection="1">
      <alignment horizontal="center"/>
      <protection locked="0"/>
    </xf>
    <xf numFmtId="171" fontId="3" fillId="0" borderId="65" xfId="0" applyNumberFormat="1" applyFont="1" applyFill="1" applyBorder="1" applyAlignment="1" applyProtection="1">
      <alignment horizontal="center"/>
      <protection locked="0"/>
    </xf>
    <xf numFmtId="171" fontId="3" fillId="6" borderId="3" xfId="0" applyNumberFormat="1" applyFont="1" applyFill="1" applyBorder="1" applyAlignment="1" applyProtection="1">
      <alignment horizontal="center"/>
      <protection locked="0"/>
    </xf>
    <xf numFmtId="171" fontId="3" fillId="6" borderId="65" xfId="0" applyNumberFormat="1" applyFont="1" applyFill="1" applyBorder="1" applyAlignment="1" applyProtection="1">
      <alignment horizontal="center"/>
      <protection locked="0"/>
    </xf>
    <xf numFmtId="171" fontId="3" fillId="6" borderId="35" xfId="0" applyNumberFormat="1" applyFont="1" applyFill="1" applyBorder="1" applyAlignment="1" applyProtection="1">
      <alignment horizontal="center"/>
      <protection locked="0"/>
    </xf>
    <xf numFmtId="171" fontId="3" fillId="6" borderId="32" xfId="0" applyNumberFormat="1" applyFont="1" applyFill="1" applyBorder="1" applyAlignment="1" applyProtection="1">
      <alignment horizontal="center"/>
      <protection locked="0"/>
    </xf>
    <xf numFmtId="171" fontId="3" fillId="6" borderId="29" xfId="0" applyNumberFormat="1" applyFont="1" applyFill="1" applyBorder="1" applyAlignment="1" applyProtection="1">
      <alignment horizontal="center"/>
      <protection locked="0"/>
    </xf>
    <xf numFmtId="171" fontId="3" fillId="0" borderId="29" xfId="0" applyNumberFormat="1" applyFont="1" applyFill="1" applyBorder="1" applyAlignment="1" applyProtection="1">
      <alignment horizontal="center"/>
      <protection locked="0"/>
    </xf>
    <xf numFmtId="171" fontId="3" fillId="0" borderId="49" xfId="0" applyNumberFormat="1" applyFont="1" applyFill="1" applyBorder="1" applyAlignment="1" applyProtection="1">
      <alignment horizontal="center"/>
      <protection locked="0"/>
    </xf>
    <xf numFmtId="171" fontId="3" fillId="0" borderId="32" xfId="0" applyNumberFormat="1" applyFont="1" applyFill="1" applyBorder="1" applyAlignment="1" applyProtection="1">
      <alignment horizontal="center"/>
      <protection locked="0"/>
    </xf>
    <xf numFmtId="171" fontId="3" fillId="6" borderId="49" xfId="0" applyNumberFormat="1" applyFont="1" applyFill="1" applyBorder="1" applyAlignment="1" applyProtection="1">
      <alignment horizontal="center"/>
      <protection locked="0"/>
    </xf>
    <xf numFmtId="171" fontId="3" fillId="0" borderId="14" xfId="0" applyNumberFormat="1" applyFont="1" applyFill="1" applyBorder="1" applyAlignment="1" applyProtection="1">
      <alignment horizontal="center"/>
      <protection locked="0"/>
    </xf>
    <xf numFmtId="171" fontId="3" fillId="0" borderId="68" xfId="0" applyNumberFormat="1" applyFont="1" applyFill="1" applyBorder="1" applyAlignment="1" applyProtection="1">
      <alignment horizontal="center"/>
      <protection locked="0"/>
    </xf>
    <xf numFmtId="171" fontId="3" fillId="6" borderId="69" xfId="0" applyNumberFormat="1" applyFont="1" applyFill="1" applyBorder="1" applyAlignment="1" applyProtection="1">
      <alignment horizontal="center"/>
      <protection locked="0"/>
    </xf>
    <xf numFmtId="171" fontId="3" fillId="6" borderId="68" xfId="0" applyNumberFormat="1" applyFont="1" applyFill="1" applyBorder="1" applyAlignment="1" applyProtection="1">
      <alignment horizontal="center"/>
      <protection locked="0"/>
    </xf>
    <xf numFmtId="171" fontId="3" fillId="6" borderId="14" xfId="0" applyNumberFormat="1" applyFont="1" applyFill="1" applyBorder="1" applyAlignment="1" applyProtection="1">
      <alignment horizontal="center"/>
      <protection locked="0"/>
    </xf>
    <xf numFmtId="0" fontId="5" fillId="0" borderId="0" xfId="0" applyFont="1" applyAlignment="1">
      <alignment horizontal="right"/>
    </xf>
    <xf numFmtId="0" fontId="1" fillId="6" borderId="0" xfId="0" applyFont="1" applyFill="1" applyProtection="1">
      <protection locked="0"/>
    </xf>
    <xf numFmtId="0" fontId="0" fillId="0" borderId="0" xfId="0" applyBorder="1" applyAlignment="1" applyProtection="1">
      <alignment wrapText="1"/>
    </xf>
    <xf numFmtId="0" fontId="25" fillId="0" borderId="0" xfId="0" applyFont="1"/>
    <xf numFmtId="0" fontId="38" fillId="0" borderId="0" xfId="0" applyFont="1"/>
    <xf numFmtId="0" fontId="1" fillId="0" borderId="0" xfId="0" applyFont="1" applyFill="1" applyBorder="1" applyAlignment="1">
      <alignment horizontal="left"/>
    </xf>
    <xf numFmtId="0" fontId="1" fillId="0" borderId="0" xfId="0" applyNumberFormat="1" applyFont="1" applyFill="1" applyBorder="1" applyAlignment="1"/>
    <xf numFmtId="0" fontId="0" fillId="0" borderId="0" xfId="0" applyNumberFormat="1" applyFill="1" applyBorder="1"/>
    <xf numFmtId="0" fontId="1" fillId="0" borderId="40" xfId="0" applyFont="1" applyBorder="1" applyAlignment="1">
      <alignment horizontal="left"/>
    </xf>
    <xf numFmtId="0" fontId="0" fillId="0" borderId="28" xfId="0" applyBorder="1" applyAlignment="1">
      <alignment horizontal="left"/>
    </xf>
    <xf numFmtId="0" fontId="0" fillId="14" borderId="0" xfId="0" applyNumberFormat="1" applyFill="1" applyBorder="1"/>
    <xf numFmtId="0" fontId="1" fillId="0" borderId="28" xfId="0" applyFont="1" applyBorder="1" applyAlignment="1">
      <alignment horizontal="left"/>
    </xf>
    <xf numFmtId="0" fontId="1" fillId="0" borderId="36" xfId="0" applyFont="1" applyFill="1" applyBorder="1" applyAlignment="1">
      <alignment horizontal="left"/>
    </xf>
    <xf numFmtId="49" fontId="1" fillId="0" borderId="31" xfId="0" applyNumberFormat="1" applyFont="1" applyFill="1" applyBorder="1" applyAlignment="1">
      <alignment horizontal="left"/>
    </xf>
    <xf numFmtId="0" fontId="1" fillId="0" borderId="36" xfId="0" applyNumberFormat="1" applyFont="1" applyFill="1" applyBorder="1" applyAlignment="1"/>
    <xf numFmtId="49" fontId="0" fillId="0" borderId="31" xfId="0" applyNumberFormat="1" applyFill="1" applyBorder="1" applyAlignment="1">
      <alignment horizontal="center"/>
    </xf>
    <xf numFmtId="49" fontId="1" fillId="0" borderId="31" xfId="0" applyNumberFormat="1" applyFont="1" applyFill="1" applyBorder="1" applyAlignment="1">
      <alignment horizontal="center"/>
    </xf>
    <xf numFmtId="49" fontId="1" fillId="0" borderId="49" xfId="0" applyNumberFormat="1" applyFont="1" applyFill="1" applyBorder="1" applyAlignment="1">
      <alignment horizontal="center"/>
    </xf>
    <xf numFmtId="0" fontId="26" fillId="8" borderId="0" xfId="0" applyFont="1" applyFill="1" applyBorder="1" applyProtection="1"/>
    <xf numFmtId="0" fontId="0" fillId="8" borderId="0" xfId="0" applyFill="1" applyBorder="1" applyProtection="1"/>
    <xf numFmtId="0" fontId="0" fillId="8" borderId="0" xfId="0" applyFill="1"/>
    <xf numFmtId="0" fontId="20" fillId="0" borderId="0" xfId="0" applyNumberFormat="1" applyFont="1" applyAlignment="1" applyProtection="1">
      <alignment vertical="center"/>
    </xf>
    <xf numFmtId="0" fontId="1" fillId="0" borderId="40" xfId="0" applyFont="1" applyBorder="1" applyProtection="1"/>
    <xf numFmtId="49" fontId="0" fillId="0" borderId="28" xfId="0" applyNumberFormat="1" applyFill="1" applyBorder="1" applyAlignment="1">
      <alignment horizontal="center"/>
    </xf>
    <xf numFmtId="49" fontId="1" fillId="0" borderId="28" xfId="0" applyNumberFormat="1" applyFont="1" applyFill="1" applyBorder="1" applyAlignment="1">
      <alignment horizontal="center"/>
    </xf>
    <xf numFmtId="49" fontId="1" fillId="0" borderId="29" xfId="0" applyNumberFormat="1" applyFont="1" applyFill="1" applyBorder="1" applyAlignment="1">
      <alignment horizontal="center"/>
    </xf>
    <xf numFmtId="0" fontId="1" fillId="0" borderId="40" xfId="0" applyFont="1" applyFill="1" applyBorder="1" applyAlignment="1">
      <alignment horizontal="left"/>
    </xf>
    <xf numFmtId="0" fontId="1" fillId="0" borderId="29" xfId="0" applyFont="1" applyFill="1" applyBorder="1" applyAlignment="1">
      <alignment horizontal="left"/>
    </xf>
    <xf numFmtId="0" fontId="1" fillId="0" borderId="0" xfId="0" applyFont="1" applyFill="1" applyAlignment="1">
      <alignment vertical="center"/>
    </xf>
    <xf numFmtId="0" fontId="1" fillId="0" borderId="0" xfId="0" applyFont="1" applyAlignment="1">
      <alignment vertical="center"/>
    </xf>
    <xf numFmtId="171" fontId="6" fillId="0" borderId="0" xfId="0" applyNumberFormat="1" applyFont="1" applyFill="1" applyBorder="1" applyAlignment="1" applyProtection="1">
      <alignment horizontal="right"/>
    </xf>
    <xf numFmtId="0" fontId="7" fillId="0" borderId="0" xfId="0" applyFont="1" applyFill="1" applyAlignment="1" applyProtection="1">
      <alignment vertical="center"/>
    </xf>
    <xf numFmtId="0" fontId="14" fillId="0" borderId="0" xfId="0" applyFont="1" applyFill="1"/>
    <xf numFmtId="0" fontId="0" fillId="0" borderId="36" xfId="0" applyBorder="1" applyAlignment="1">
      <alignment horizontal="right"/>
    </xf>
    <xf numFmtId="0" fontId="0" fillId="0" borderId="32" xfId="0" applyBorder="1"/>
    <xf numFmtId="0" fontId="10" fillId="0" borderId="22" xfId="0" applyFont="1" applyFill="1" applyBorder="1"/>
    <xf numFmtId="0" fontId="1" fillId="0" borderId="40" xfId="0" applyFont="1" applyFill="1" applyBorder="1" applyAlignment="1">
      <alignment horizontal="left"/>
    </xf>
    <xf numFmtId="0" fontId="0" fillId="0" borderId="27" xfId="0" applyFill="1" applyBorder="1"/>
    <xf numFmtId="0" fontId="0" fillId="6" borderId="0" xfId="0" applyFill="1" applyBorder="1" applyAlignment="1" applyProtection="1">
      <alignment horizontal="left"/>
      <protection locked="0"/>
    </xf>
    <xf numFmtId="0" fontId="5" fillId="0" borderId="7" xfId="0" applyFont="1" applyBorder="1" applyProtection="1"/>
    <xf numFmtId="0" fontId="5" fillId="0" borderId="8" xfId="0" applyFont="1" applyBorder="1" applyAlignment="1" applyProtection="1">
      <alignment horizontal="right"/>
    </xf>
    <xf numFmtId="0" fontId="0" fillId="0" borderId="9" xfId="0" applyBorder="1" applyProtection="1"/>
    <xf numFmtId="0" fontId="0" fillId="0" borderId="4" xfId="0" applyBorder="1" applyProtection="1"/>
    <xf numFmtId="0" fontId="5" fillId="0" borderId="0" xfId="0" applyFont="1" applyBorder="1" applyAlignment="1" applyProtection="1">
      <alignment horizontal="right"/>
    </xf>
    <xf numFmtId="0" fontId="0" fillId="0" borderId="0" xfId="0" applyFill="1" applyBorder="1" applyAlignment="1" applyProtection="1">
      <alignment horizontal="left"/>
    </xf>
    <xf numFmtId="0" fontId="0" fillId="0" borderId="0" xfId="0" applyBorder="1" applyAlignment="1" applyProtection="1">
      <alignment horizontal="right"/>
    </xf>
    <xf numFmtId="0" fontId="0" fillId="0" borderId="5" xfId="0" applyBorder="1" applyProtection="1"/>
    <xf numFmtId="0" fontId="0" fillId="0" borderId="0" xfId="0" applyFill="1" applyBorder="1" applyAlignment="1" applyProtection="1"/>
    <xf numFmtId="0" fontId="0" fillId="0" borderId="7" xfId="0" applyBorder="1" applyProtection="1"/>
    <xf numFmtId="0" fontId="0" fillId="0" borderId="10" xfId="0" applyBorder="1" applyProtection="1"/>
    <xf numFmtId="0" fontId="0" fillId="0" borderId="5" xfId="0" applyBorder="1" applyAlignment="1" applyProtection="1">
      <alignment horizontal="right"/>
    </xf>
    <xf numFmtId="0" fontId="5" fillId="0" borderId="5" xfId="0" applyFont="1" applyBorder="1" applyAlignment="1" applyProtection="1">
      <alignment horizontal="center"/>
    </xf>
    <xf numFmtId="0" fontId="0" fillId="0" borderId="5" xfId="0" applyFill="1" applyBorder="1" applyProtection="1"/>
    <xf numFmtId="0" fontId="0" fillId="0" borderId="5" xfId="0" applyBorder="1" applyAlignment="1" applyProtection="1">
      <alignment horizontal="center"/>
    </xf>
    <xf numFmtId="0" fontId="0" fillId="0" borderId="21" xfId="0" applyBorder="1" applyProtection="1"/>
    <xf numFmtId="0" fontId="0" fillId="0" borderId="22" xfId="0" applyFill="1" applyBorder="1" applyAlignment="1" applyProtection="1">
      <alignment horizontal="right"/>
    </xf>
    <xf numFmtId="0" fontId="0" fillId="0" borderId="6" xfId="0" applyFill="1" applyBorder="1" applyAlignment="1" applyProtection="1">
      <alignment horizontal="right"/>
    </xf>
    <xf numFmtId="0" fontId="0" fillId="0" borderId="6" xfId="0" applyBorder="1" applyProtection="1"/>
    <xf numFmtId="0" fontId="5" fillId="0" borderId="8" xfId="0" applyFont="1" applyBorder="1" applyAlignment="1" applyProtection="1">
      <alignment horizontal="center"/>
    </xf>
    <xf numFmtId="0" fontId="0" fillId="0" borderId="26" xfId="0" applyBorder="1" applyProtection="1"/>
    <xf numFmtId="0" fontId="5" fillId="0" borderId="26" xfId="0" applyFont="1" applyBorder="1" applyAlignment="1" applyProtection="1">
      <alignment horizontal="center"/>
    </xf>
    <xf numFmtId="0" fontId="5" fillId="0" borderId="4" xfId="0" applyFont="1" applyBorder="1" applyProtection="1"/>
    <xf numFmtId="171" fontId="0" fillId="0" borderId="67" xfId="0" applyNumberFormat="1" applyBorder="1" applyProtection="1"/>
    <xf numFmtId="0" fontId="0" fillId="0" borderId="33" xfId="0" applyBorder="1" applyProtection="1"/>
    <xf numFmtId="0" fontId="0" fillId="0" borderId="31" xfId="0" applyBorder="1" applyProtection="1"/>
    <xf numFmtId="171" fontId="0" fillId="0" borderId="31" xfId="0" applyNumberFormat="1" applyBorder="1" applyProtection="1"/>
    <xf numFmtId="171" fontId="0" fillId="0" borderId="34" xfId="0" applyNumberFormat="1" applyBorder="1" applyProtection="1"/>
    <xf numFmtId="171" fontId="0" fillId="0" borderId="1" xfId="0" applyNumberFormat="1" applyBorder="1" applyProtection="1"/>
    <xf numFmtId="171" fontId="0" fillId="0" borderId="0" xfId="0" applyNumberFormat="1" applyBorder="1" applyProtection="1"/>
    <xf numFmtId="0" fontId="5" fillId="0" borderId="48" xfId="0" applyFont="1" applyBorder="1" applyProtection="1"/>
    <xf numFmtId="0" fontId="0" fillId="0" borderId="2" xfId="0" applyBorder="1" applyProtection="1"/>
    <xf numFmtId="171" fontId="0" fillId="0" borderId="2" xfId="0" applyNumberFormat="1" applyBorder="1" applyProtection="1"/>
    <xf numFmtId="171" fontId="0" fillId="0" borderId="66" xfId="0" applyNumberFormat="1" applyBorder="1" applyProtection="1"/>
    <xf numFmtId="0" fontId="0" fillId="7" borderId="4" xfId="0" applyFill="1" applyBorder="1" applyProtection="1"/>
    <xf numFmtId="0" fontId="0" fillId="7" borderId="0" xfId="0" applyFill="1" applyBorder="1" applyProtection="1"/>
    <xf numFmtId="171" fontId="5" fillId="7" borderId="26" xfId="0" applyNumberFormat="1" applyFont="1" applyFill="1" applyBorder="1" applyAlignment="1" applyProtection="1">
      <alignment horizontal="right"/>
    </xf>
    <xf numFmtId="171" fontId="5" fillId="0" borderId="26" xfId="0" applyNumberFormat="1" applyFont="1" applyBorder="1" applyAlignment="1" applyProtection="1">
      <alignment horizontal="right"/>
    </xf>
    <xf numFmtId="0" fontId="1" fillId="0" borderId="0" xfId="0" applyFont="1" applyProtection="1"/>
    <xf numFmtId="171" fontId="0" fillId="13" borderId="0" xfId="0" applyNumberFormat="1" applyFill="1" applyBorder="1" applyProtection="1"/>
    <xf numFmtId="0" fontId="1" fillId="0" borderId="8" xfId="0" applyFont="1" applyFill="1" applyBorder="1" applyAlignment="1" applyProtection="1">
      <alignment horizontal="right"/>
    </xf>
    <xf numFmtId="0" fontId="5" fillId="0" borderId="8" xfId="0" applyFont="1" applyFill="1" applyBorder="1" applyAlignment="1" applyProtection="1">
      <alignment horizontal="right"/>
    </xf>
    <xf numFmtId="171" fontId="0" fillId="0" borderId="8" xfId="0" applyNumberFormat="1" applyFill="1" applyBorder="1" applyProtection="1"/>
    <xf numFmtId="0" fontId="0" fillId="0" borderId="8" xfId="0" applyFill="1" applyBorder="1" applyProtection="1"/>
    <xf numFmtId="0" fontId="5" fillId="0" borderId="0" xfId="0" applyFont="1" applyFill="1" applyBorder="1" applyAlignment="1" applyProtection="1">
      <alignment horizontal="right"/>
    </xf>
    <xf numFmtId="14" fontId="0" fillId="0" borderId="0" xfId="0" applyNumberFormat="1" applyFill="1" applyBorder="1" applyAlignment="1" applyProtection="1">
      <alignment horizontal="left"/>
    </xf>
    <xf numFmtId="0" fontId="0" fillId="0" borderId="26" xfId="0" applyBorder="1" applyAlignment="1" applyProtection="1">
      <alignment horizontal="center"/>
    </xf>
    <xf numFmtId="0" fontId="25" fillId="0" borderId="0" xfId="0" applyFont="1" applyFill="1" applyProtection="1"/>
    <xf numFmtId="0" fontId="5" fillId="0" borderId="7" xfId="0" applyFont="1" applyBorder="1" applyAlignment="1" applyProtection="1">
      <alignment horizontal="left"/>
    </xf>
    <xf numFmtId="0" fontId="19" fillId="0" borderId="8" xfId="0" applyFont="1" applyBorder="1" applyProtection="1"/>
    <xf numFmtId="0" fontId="5" fillId="0" borderId="8" xfId="0" applyFont="1" applyBorder="1" applyProtection="1"/>
    <xf numFmtId="0" fontId="39" fillId="0" borderId="0" xfId="0" applyFont="1" applyBorder="1" applyAlignment="1" applyProtection="1">
      <alignment vertical="top"/>
    </xf>
    <xf numFmtId="0" fontId="5" fillId="0" borderId="0" xfId="0" applyFont="1" applyBorder="1" applyProtection="1"/>
    <xf numFmtId="0" fontId="19" fillId="0" borderId="0" xfId="0" applyFont="1" applyBorder="1" applyProtection="1"/>
    <xf numFmtId="0" fontId="39" fillId="0" borderId="0" xfId="0" applyFont="1" applyAlignment="1" applyProtection="1">
      <alignment horizontal="right" vertical="top"/>
    </xf>
    <xf numFmtId="0" fontId="0" fillId="0" borderId="0" xfId="0" applyAlignment="1" applyProtection="1">
      <alignment horizontal="right" vertical="top"/>
    </xf>
    <xf numFmtId="0" fontId="5" fillId="0" borderId="0" xfId="0" applyFont="1" applyProtection="1"/>
    <xf numFmtId="0" fontId="0" fillId="0" borderId="0" xfId="0" applyAlignment="1">
      <alignment horizontal="left"/>
    </xf>
    <xf numFmtId="0" fontId="25" fillId="0" borderId="0" xfId="0" applyFont="1" applyAlignment="1">
      <alignment horizontal="left"/>
    </xf>
    <xf numFmtId="0" fontId="40" fillId="0" borderId="0" xfId="0" applyFont="1" applyAlignment="1">
      <alignment horizontal="right"/>
    </xf>
    <xf numFmtId="0" fontId="25" fillId="0" borderId="0" xfId="0" applyFont="1" applyFill="1"/>
    <xf numFmtId="0" fontId="1" fillId="0" borderId="40" xfId="0" applyFont="1" applyFill="1" applyBorder="1" applyAlignment="1">
      <alignment horizontal="left"/>
    </xf>
    <xf numFmtId="0" fontId="41" fillId="0" borderId="0" xfId="0" applyFont="1" applyFill="1" applyAlignment="1" applyProtection="1"/>
    <xf numFmtId="0" fontId="41" fillId="0" borderId="0" xfId="0" applyFont="1" applyFill="1" applyBorder="1" applyAlignment="1" applyProtection="1"/>
    <xf numFmtId="0" fontId="0" fillId="0" borderId="0" xfId="0" applyAlignment="1"/>
    <xf numFmtId="0" fontId="38" fillId="0" borderId="0" xfId="0" applyFont="1" applyBorder="1" applyProtection="1"/>
    <xf numFmtId="0" fontId="1" fillId="0" borderId="50" xfId="0" applyFont="1" applyBorder="1" applyProtection="1"/>
    <xf numFmtId="49" fontId="0" fillId="0" borderId="1" xfId="0" applyNumberFormat="1" applyFill="1" applyBorder="1" applyAlignment="1">
      <alignment horizontal="center"/>
    </xf>
    <xf numFmtId="49" fontId="1" fillId="0" borderId="1" xfId="0" applyNumberFormat="1" applyFont="1" applyFill="1" applyBorder="1" applyAlignment="1">
      <alignment horizontal="center"/>
    </xf>
    <xf numFmtId="0" fontId="1" fillId="0" borderId="50" xfId="0" applyNumberFormat="1" applyFont="1" applyFill="1" applyBorder="1" applyAlignment="1"/>
    <xf numFmtId="49" fontId="1" fillId="0" borderId="51" xfId="0" applyNumberFormat="1" applyFont="1" applyFill="1" applyBorder="1" applyAlignment="1">
      <alignment horizontal="center"/>
    </xf>
    <xf numFmtId="0" fontId="42" fillId="0" borderId="0" xfId="0" applyFont="1" applyFill="1" applyBorder="1" applyProtection="1"/>
    <xf numFmtId="171" fontId="5" fillId="0" borderId="60" xfId="0" applyNumberFormat="1" applyFont="1" applyFill="1" applyBorder="1" applyAlignment="1">
      <alignment horizontal="center"/>
    </xf>
    <xf numFmtId="171" fontId="5" fillId="0" borderId="56" xfId="0" applyNumberFormat="1" applyFont="1" applyFill="1" applyBorder="1" applyAlignment="1">
      <alignment horizontal="center"/>
    </xf>
    <xf numFmtId="171" fontId="5" fillId="7" borderId="60" xfId="0" applyNumberFormat="1" applyFont="1" applyFill="1" applyBorder="1" applyAlignment="1">
      <alignment horizontal="center"/>
    </xf>
    <xf numFmtId="171" fontId="5" fillId="7" borderId="56" xfId="0" applyNumberFormat="1" applyFont="1" applyFill="1" applyBorder="1" applyAlignment="1">
      <alignment horizontal="center"/>
    </xf>
    <xf numFmtId="171" fontId="5" fillId="8" borderId="60" xfId="0" applyNumberFormat="1" applyFont="1" applyFill="1" applyBorder="1" applyAlignment="1">
      <alignment horizontal="center"/>
    </xf>
    <xf numFmtId="171" fontId="5" fillId="8" borderId="56" xfId="0" applyNumberFormat="1" applyFont="1" applyFill="1" applyBorder="1" applyAlignment="1">
      <alignment horizontal="center"/>
    </xf>
    <xf numFmtId="171" fontId="5" fillId="7" borderId="61" xfId="0" applyNumberFormat="1" applyFont="1" applyFill="1" applyBorder="1" applyAlignment="1">
      <alignment horizontal="center"/>
    </xf>
    <xf numFmtId="171" fontId="5" fillId="7" borderId="64" xfId="0" applyNumberFormat="1" applyFont="1" applyFill="1" applyBorder="1" applyAlignment="1">
      <alignment horizontal="center"/>
    </xf>
    <xf numFmtId="0" fontId="43" fillId="0" borderId="0" xfId="0" applyFont="1" applyAlignment="1">
      <alignment vertical="center"/>
    </xf>
    <xf numFmtId="0" fontId="1" fillId="0" borderId="40" xfId="0" applyFont="1" applyFill="1" applyBorder="1" applyProtection="1"/>
    <xf numFmtId="49" fontId="1" fillId="0" borderId="27" xfId="0" applyNumberFormat="1" applyFont="1" applyFill="1" applyBorder="1" applyAlignment="1">
      <alignment horizontal="center"/>
    </xf>
    <xf numFmtId="0" fontId="34" fillId="0" borderId="80" xfId="0" applyFont="1" applyBorder="1" applyAlignment="1"/>
    <xf numFmtId="0" fontId="34" fillId="0" borderId="81" xfId="0" applyFont="1" applyBorder="1" applyAlignment="1"/>
    <xf numFmtId="0" fontId="1" fillId="0" borderId="0" xfId="0" applyFont="1" applyBorder="1" applyAlignment="1" applyProtection="1">
      <alignment horizontal="right"/>
    </xf>
    <xf numFmtId="0" fontId="0" fillId="0" borderId="22" xfId="0" applyBorder="1" applyAlignment="1" applyProtection="1">
      <alignment horizontal="right"/>
    </xf>
    <xf numFmtId="0" fontId="38" fillId="0" borderId="22" xfId="0" applyFont="1" applyFill="1" applyBorder="1" applyProtection="1"/>
    <xf numFmtId="0" fontId="1" fillId="0" borderId="40" xfId="0" applyNumberFormat="1" applyFont="1" applyFill="1" applyBorder="1" applyAlignment="1">
      <alignment horizontal="left"/>
    </xf>
    <xf numFmtId="0" fontId="1" fillId="0" borderId="36" xfId="0" applyNumberFormat="1" applyFont="1" applyFill="1" applyBorder="1" applyAlignment="1">
      <alignment horizontal="left"/>
    </xf>
    <xf numFmtId="0" fontId="1" fillId="0" borderId="60" xfId="0" applyFont="1" applyBorder="1" applyProtection="1"/>
    <xf numFmtId="0" fontId="0" fillId="0" borderId="40"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1" fillId="0" borderId="40" xfId="0" applyFont="1" applyBorder="1" applyAlignment="1">
      <alignment horizontal="left"/>
    </xf>
    <xf numFmtId="0" fontId="1" fillId="0" borderId="40" xfId="0" applyFont="1" applyFill="1" applyBorder="1" applyAlignment="1">
      <alignment horizontal="left"/>
    </xf>
    <xf numFmtId="0" fontId="0" fillId="0" borderId="27" xfId="0" applyBorder="1" applyAlignment="1">
      <alignment horizontal="left"/>
    </xf>
    <xf numFmtId="0" fontId="1" fillId="0" borderId="28" xfId="0" applyFont="1" applyFill="1" applyBorder="1" applyAlignment="1">
      <alignment horizontal="left"/>
    </xf>
    <xf numFmtId="0" fontId="1" fillId="0" borderId="27" xfId="0" applyFont="1" applyBorder="1" applyAlignment="1">
      <alignment horizontal="left"/>
    </xf>
    <xf numFmtId="171" fontId="3" fillId="6" borderId="0" xfId="0" applyNumberFormat="1" applyFont="1" applyFill="1" applyAlignment="1" applyProtection="1">
      <alignment horizontal="center"/>
      <protection locked="0"/>
    </xf>
    <xf numFmtId="0" fontId="5" fillId="0" borderId="0" xfId="0" applyFont="1" applyFill="1" applyBorder="1" applyProtection="1"/>
    <xf numFmtId="171" fontId="1" fillId="0" borderId="0" xfId="0" applyNumberFormat="1" applyFont="1" applyBorder="1" applyProtection="1"/>
    <xf numFmtId="0" fontId="3" fillId="0" borderId="26" xfId="0" applyFont="1" applyFill="1" applyBorder="1" applyAlignment="1"/>
    <xf numFmtId="0" fontId="4" fillId="0" borderId="26" xfId="0" applyFont="1" applyFill="1" applyBorder="1" applyAlignment="1" applyProtection="1">
      <alignment horizontal="center" wrapText="1"/>
    </xf>
    <xf numFmtId="0" fontId="3" fillId="0" borderId="26" xfId="0" applyFont="1" applyFill="1" applyBorder="1" applyAlignment="1" applyProtection="1">
      <alignment horizontal="center" wrapText="1"/>
    </xf>
    <xf numFmtId="0" fontId="4" fillId="0" borderId="26" xfId="0" applyFont="1" applyFill="1" applyBorder="1" applyAlignment="1" applyProtection="1">
      <alignment horizontal="centerContinuous"/>
    </xf>
    <xf numFmtId="0" fontId="4" fillId="0" borderId="26" xfId="0" applyFont="1" applyFill="1" applyBorder="1" applyAlignment="1" applyProtection="1"/>
    <xf numFmtId="49" fontId="3" fillId="0" borderId="0" xfId="0" applyNumberFormat="1" applyFont="1" applyFill="1" applyBorder="1" applyAlignment="1" applyProtection="1">
      <alignment vertical="center"/>
    </xf>
    <xf numFmtId="164" fontId="3" fillId="0" borderId="0" xfId="0" applyNumberFormat="1" applyFont="1" applyFill="1" applyBorder="1" applyAlignment="1" applyProtection="1">
      <alignment horizontal="left" vertical="center"/>
    </xf>
    <xf numFmtId="0" fontId="3" fillId="0" borderId="0" xfId="0" applyFont="1" applyProtection="1"/>
    <xf numFmtId="0" fontId="3" fillId="0" borderId="0" xfId="0" applyFont="1" applyFill="1" applyBorder="1" applyProtection="1"/>
    <xf numFmtId="0" fontId="44" fillId="0" borderId="0" xfId="0" applyFont="1" applyFill="1" applyAlignment="1" applyProtection="1"/>
    <xf numFmtId="0" fontId="45" fillId="0" borderId="0" xfId="0" applyFont="1" applyFill="1" applyAlignment="1" applyProtection="1"/>
    <xf numFmtId="171" fontId="1" fillId="0" borderId="8" xfId="0" applyNumberFormat="1" applyFont="1" applyFill="1" applyBorder="1" applyProtection="1"/>
    <xf numFmtId="171" fontId="0" fillId="7" borderId="0" xfId="0" applyNumberFormat="1" applyFill="1" applyBorder="1" applyAlignment="1" applyProtection="1">
      <alignment horizontal="right"/>
    </xf>
    <xf numFmtId="171" fontId="0" fillId="0" borderId="0" xfId="0" applyNumberFormat="1" applyBorder="1" applyAlignment="1" applyProtection="1">
      <alignment horizontal="right"/>
    </xf>
    <xf numFmtId="171" fontId="5" fillId="0" borderId="2" xfId="0" applyNumberFormat="1" applyFont="1" applyBorder="1" applyAlignment="1" applyProtection="1">
      <alignment horizontal="right"/>
    </xf>
    <xf numFmtId="171" fontId="3" fillId="0" borderId="0" xfId="0" applyNumberFormat="1" applyFont="1" applyProtection="1"/>
    <xf numFmtId="171" fontId="1" fillId="7" borderId="0" xfId="0" applyNumberFormat="1" applyFont="1" applyFill="1" applyBorder="1" applyAlignment="1" applyProtection="1">
      <alignment horizontal="right"/>
    </xf>
    <xf numFmtId="0" fontId="19" fillId="0" borderId="0" xfId="0" applyFont="1" applyBorder="1" applyAlignment="1" applyProtection="1">
      <alignment vertical="top"/>
    </xf>
    <xf numFmtId="0" fontId="19" fillId="0" borderId="5" xfId="0" applyFont="1" applyBorder="1" applyAlignment="1" applyProtection="1">
      <alignment vertical="top"/>
    </xf>
    <xf numFmtId="0" fontId="0" fillId="0" borderId="28" xfId="0" applyBorder="1" applyAlignment="1">
      <alignment horizontal="left"/>
    </xf>
    <xf numFmtId="0" fontId="0" fillId="0" borderId="29" xfId="0" applyBorder="1" applyAlignment="1">
      <alignment horizontal="left"/>
    </xf>
    <xf numFmtId="0" fontId="1" fillId="0" borderId="40" xfId="0" applyFont="1" applyBorder="1" applyAlignment="1">
      <alignment horizontal="left"/>
    </xf>
    <xf numFmtId="0" fontId="1" fillId="0" borderId="28" xfId="0" applyFont="1" applyBorder="1" applyAlignment="1">
      <alignment horizontal="left"/>
    </xf>
    <xf numFmtId="0" fontId="1" fillId="0" borderId="40" xfId="0" applyFont="1" applyFill="1" applyBorder="1" applyAlignment="1">
      <alignment horizontal="left"/>
    </xf>
    <xf numFmtId="0" fontId="1" fillId="0" borderId="29" xfId="0" applyFont="1" applyFill="1" applyBorder="1" applyAlignment="1">
      <alignment horizontal="left"/>
    </xf>
    <xf numFmtId="0" fontId="1" fillId="0" borderId="27" xfId="0" applyFont="1" applyFill="1" applyBorder="1" applyAlignment="1">
      <alignment horizontal="left"/>
    </xf>
    <xf numFmtId="0" fontId="3" fillId="3" borderId="0" xfId="0" applyNumberFormat="1" applyFont="1" applyFill="1" applyBorder="1" applyAlignment="1" applyProtection="1">
      <alignment horizontal="left" vertical="center"/>
      <protection locked="0"/>
    </xf>
    <xf numFmtId="0" fontId="3" fillId="0" borderId="0" xfId="0" applyNumberFormat="1" applyFont="1" applyFill="1" applyBorder="1" applyAlignment="1" applyProtection="1">
      <alignment horizontal="left" vertical="center"/>
    </xf>
    <xf numFmtId="0" fontId="3" fillId="6" borderId="0" xfId="0" applyNumberFormat="1" applyFont="1" applyFill="1" applyBorder="1" applyAlignment="1" applyProtection="1">
      <alignment vertical="center"/>
      <protection locked="0"/>
    </xf>
    <xf numFmtId="0" fontId="3" fillId="0" borderId="0" xfId="0" applyNumberFormat="1" applyFont="1" applyProtection="1"/>
    <xf numFmtId="0" fontId="3" fillId="0" borderId="0" xfId="0" applyNumberFormat="1" applyFont="1" applyFill="1" applyAlignment="1" applyProtection="1">
      <alignment horizontal="left" vertical="center"/>
    </xf>
    <xf numFmtId="0" fontId="3" fillId="6" borderId="0" xfId="0" applyNumberFormat="1" applyFont="1" applyFill="1" applyAlignment="1" applyProtection="1">
      <alignment horizontal="center"/>
    </xf>
    <xf numFmtId="0" fontId="3" fillId="6" borderId="0" xfId="0" applyNumberFormat="1" applyFont="1" applyFill="1" applyAlignment="1" applyProtection="1">
      <alignment vertical="center"/>
      <protection locked="0"/>
    </xf>
    <xf numFmtId="49" fontId="1" fillId="0" borderId="27" xfId="0" applyNumberFormat="1" applyFont="1" applyFill="1" applyBorder="1" applyAlignment="1">
      <alignment horizontal="left"/>
    </xf>
    <xf numFmtId="0" fontId="5" fillId="0" borderId="1" xfId="0" applyFont="1" applyFill="1" applyBorder="1" applyAlignment="1">
      <alignment horizontal="left"/>
    </xf>
    <xf numFmtId="0" fontId="1" fillId="0" borderId="1" xfId="0" applyNumberFormat="1" applyFont="1" applyFill="1" applyBorder="1" applyAlignment="1">
      <alignment horizontal="left"/>
    </xf>
    <xf numFmtId="0" fontId="1" fillId="0" borderId="36" xfId="0" applyFont="1" applyFill="1" applyBorder="1" applyAlignment="1" applyProtection="1">
      <alignment horizontal="left"/>
    </xf>
    <xf numFmtId="0" fontId="1" fillId="0" borderId="31" xfId="0" applyFont="1" applyFill="1" applyBorder="1" applyAlignment="1" applyProtection="1">
      <alignment horizontal="left"/>
    </xf>
    <xf numFmtId="0" fontId="0" fillId="0" borderId="31" xfId="0" applyBorder="1" applyAlignment="1">
      <alignment horizontal="left"/>
    </xf>
    <xf numFmtId="0" fontId="1" fillId="0" borderId="40" xfId="0" applyFont="1" applyFill="1" applyBorder="1" applyAlignment="1" applyProtection="1">
      <alignment horizontal="left"/>
    </xf>
    <xf numFmtId="0" fontId="1" fillId="0" borderId="28" xfId="0" applyFont="1" applyFill="1" applyBorder="1" applyAlignment="1" applyProtection="1">
      <alignment horizontal="left"/>
    </xf>
    <xf numFmtId="0" fontId="1" fillId="0" borderId="36" xfId="0" applyFont="1" applyBorder="1" applyAlignment="1">
      <alignment horizontal="left"/>
    </xf>
    <xf numFmtId="0" fontId="0" fillId="0" borderId="49" xfId="0" applyBorder="1" applyAlignment="1">
      <alignment horizontal="left"/>
    </xf>
    <xf numFmtId="0" fontId="47" fillId="0" borderId="0" xfId="0" applyNumberFormat="1" applyFont="1" applyBorder="1" applyAlignment="1" applyProtection="1">
      <alignment vertical="top"/>
    </xf>
    <xf numFmtId="0" fontId="0" fillId="0" borderId="0" xfId="0" applyAlignment="1"/>
    <xf numFmtId="49" fontId="26" fillId="0" borderId="9" xfId="0" applyNumberFormat="1" applyFont="1" applyBorder="1" applyProtection="1"/>
    <xf numFmtId="0" fontId="26" fillId="0" borderId="5" xfId="0" applyFont="1" applyBorder="1" applyProtection="1"/>
    <xf numFmtId="0" fontId="26" fillId="0" borderId="6" xfId="0" applyFont="1" applyBorder="1" applyProtection="1"/>
    <xf numFmtId="49" fontId="26" fillId="0" borderId="0" xfId="0" applyNumberFormat="1" applyFont="1" applyAlignment="1"/>
    <xf numFmtId="0" fontId="19" fillId="0" borderId="0" xfId="0" applyFont="1" applyBorder="1" applyAlignment="1" applyProtection="1">
      <alignment vertical="center"/>
    </xf>
    <xf numFmtId="171" fontId="0" fillId="13" borderId="0" xfId="0" applyNumberFormat="1" applyFill="1" applyBorder="1" applyProtection="1">
      <protection locked="0"/>
    </xf>
    <xf numFmtId="171" fontId="0" fillId="0" borderId="0" xfId="0" applyNumberFormat="1" applyFill="1" applyBorder="1" applyProtection="1">
      <protection locked="0"/>
    </xf>
    <xf numFmtId="171" fontId="1" fillId="6" borderId="0" xfId="0" applyNumberFormat="1" applyFont="1" applyFill="1" applyBorder="1" applyProtection="1">
      <protection locked="0"/>
    </xf>
    <xf numFmtId="2" fontId="31" fillId="0" borderId="14" xfId="0" applyNumberFormat="1" applyFont="1" applyFill="1" applyBorder="1" applyAlignment="1" applyProtection="1"/>
    <xf numFmtId="2" fontId="31" fillId="0" borderId="13" xfId="0" applyNumberFormat="1" applyFont="1" applyFill="1" applyBorder="1" applyAlignment="1" applyProtection="1"/>
    <xf numFmtId="2" fontId="31" fillId="0" borderId="46" xfId="0" applyNumberFormat="1" applyFont="1" applyFill="1" applyBorder="1" applyAlignment="1" applyProtection="1"/>
    <xf numFmtId="0" fontId="35" fillId="9" borderId="29" xfId="0" applyFont="1" applyFill="1" applyBorder="1" applyAlignment="1" applyProtection="1">
      <alignment horizontal="center"/>
    </xf>
    <xf numFmtId="2" fontId="48" fillId="8" borderId="49" xfId="0" applyNumberFormat="1" applyFont="1" applyFill="1" applyBorder="1" applyAlignment="1">
      <alignment horizontal="center"/>
    </xf>
    <xf numFmtId="2" fontId="49" fillId="7" borderId="62" xfId="0" applyNumberFormat="1" applyFont="1" applyFill="1" applyBorder="1" applyAlignment="1">
      <alignment horizontal="center"/>
    </xf>
    <xf numFmtId="2" fontId="48" fillId="8" borderId="62" xfId="0" applyNumberFormat="1" applyFont="1" applyFill="1" applyBorder="1" applyAlignment="1">
      <alignment horizontal="center"/>
    </xf>
    <xf numFmtId="2" fontId="49" fillId="7" borderId="63" xfId="0" applyNumberFormat="1" applyFont="1" applyFill="1" applyBorder="1" applyAlignment="1">
      <alignment horizontal="center"/>
    </xf>
    <xf numFmtId="2" fontId="31" fillId="0" borderId="25" xfId="0" applyNumberFormat="1" applyFont="1" applyFill="1" applyBorder="1" applyAlignment="1" applyProtection="1"/>
    <xf numFmtId="2" fontId="31" fillId="0" borderId="2" xfId="0" applyNumberFormat="1" applyFont="1" applyFill="1" applyBorder="1" applyAlignment="1" applyProtection="1"/>
    <xf numFmtId="2" fontId="31" fillId="0" borderId="48" xfId="0" applyNumberFormat="1" applyFont="1" applyFill="1" applyBorder="1" applyAlignment="1" applyProtection="1"/>
    <xf numFmtId="2" fontId="31" fillId="0" borderId="48" xfId="0" applyNumberFormat="1" applyFont="1" applyFill="1" applyBorder="1" applyAlignment="1" applyProtection="1">
      <alignment vertical="center"/>
    </xf>
    <xf numFmtId="2" fontId="31" fillId="0" borderId="14" xfId="0" applyNumberFormat="1" applyFont="1" applyFill="1" applyBorder="1" applyAlignment="1" applyProtection="1">
      <alignment vertical="center"/>
    </xf>
    <xf numFmtId="0" fontId="37" fillId="0" borderId="0" xfId="2" applyAlignment="1" applyProtection="1"/>
    <xf numFmtId="0" fontId="0" fillId="0" borderId="0" xfId="0" applyAlignment="1">
      <alignment horizontal="left"/>
    </xf>
    <xf numFmtId="0" fontId="1" fillId="0" borderId="0" xfId="0" applyFont="1" applyAlignment="1">
      <alignment horizontal="left"/>
    </xf>
    <xf numFmtId="0" fontId="5" fillId="0" borderId="0" xfId="0" applyFont="1" applyAlignment="1">
      <alignment horizontal="left"/>
    </xf>
    <xf numFmtId="0" fontId="36" fillId="0" borderId="0" xfId="0" applyFont="1" applyAlignment="1">
      <alignment horizontal="center" vertical="center" wrapText="1"/>
    </xf>
    <xf numFmtId="0" fontId="37" fillId="0" borderId="0" xfId="2" applyAlignment="1" applyProtection="1">
      <alignment horizontal="left"/>
    </xf>
    <xf numFmtId="0" fontId="0" fillId="0" borderId="0" xfId="0" applyAlignment="1">
      <alignment horizontal="center"/>
    </xf>
    <xf numFmtId="0" fontId="5" fillId="0" borderId="0" xfId="0" applyFont="1" applyAlignment="1">
      <alignment horizontal="right"/>
    </xf>
    <xf numFmtId="0" fontId="19" fillId="0" borderId="0" xfId="0" applyFont="1" applyAlignment="1">
      <alignment horizontal="center" vertical="top"/>
    </xf>
    <xf numFmtId="0" fontId="25" fillId="0" borderId="0" xfId="0" applyFont="1" applyAlignment="1">
      <alignment horizontal="left"/>
    </xf>
    <xf numFmtId="0" fontId="46" fillId="0" borderId="0" xfId="0" applyFont="1" applyAlignment="1" applyProtection="1">
      <alignment horizontal="left" vertical="top" wrapText="1"/>
    </xf>
    <xf numFmtId="0" fontId="5" fillId="0" borderId="4" xfId="0" applyFont="1" applyBorder="1" applyAlignment="1" applyProtection="1">
      <alignment horizontal="left"/>
    </xf>
    <xf numFmtId="0" fontId="5" fillId="0" borderId="0" xfId="0" applyFont="1" applyBorder="1" applyAlignment="1" applyProtection="1">
      <alignment horizontal="left"/>
    </xf>
    <xf numFmtId="0" fontId="1" fillId="6" borderId="0" xfId="0" applyFont="1" applyFill="1" applyBorder="1" applyAlignment="1" applyProtection="1">
      <alignment horizontal="left"/>
      <protection locked="0"/>
    </xf>
    <xf numFmtId="0" fontId="0" fillId="6" borderId="0" xfId="0" applyFill="1" applyBorder="1" applyAlignment="1" applyProtection="1">
      <alignment horizontal="left"/>
      <protection locked="0"/>
    </xf>
    <xf numFmtId="14" fontId="0" fillId="6" borderId="0" xfId="0" applyNumberFormat="1" applyFill="1" applyBorder="1" applyAlignment="1" applyProtection="1">
      <alignment horizontal="left"/>
      <protection locked="0"/>
    </xf>
    <xf numFmtId="0" fontId="1" fillId="6" borderId="8" xfId="0" applyFont="1" applyFill="1" applyBorder="1" applyAlignment="1" applyProtection="1">
      <alignment horizontal="left" vertical="top" wrapText="1"/>
      <protection locked="0"/>
    </xf>
    <xf numFmtId="0" fontId="1" fillId="6" borderId="0" xfId="0" applyFont="1" applyFill="1" applyBorder="1" applyAlignment="1" applyProtection="1">
      <alignment horizontal="left" vertical="top" wrapText="1"/>
      <protection locked="0"/>
    </xf>
    <xf numFmtId="0" fontId="1" fillId="0" borderId="0" xfId="0" applyFont="1" applyFill="1" applyBorder="1" applyAlignment="1" applyProtection="1">
      <alignment horizontal="left"/>
    </xf>
    <xf numFmtId="0" fontId="0" fillId="0" borderId="0" xfId="0" applyFill="1" applyBorder="1" applyAlignment="1" applyProtection="1">
      <alignment horizontal="left"/>
    </xf>
    <xf numFmtId="14" fontId="0" fillId="0" borderId="0" xfId="0" applyNumberFormat="1" applyFill="1" applyBorder="1" applyAlignment="1" applyProtection="1">
      <alignment horizontal="left"/>
    </xf>
    <xf numFmtId="0" fontId="0" fillId="0" borderId="0" xfId="0" applyFill="1" applyBorder="1" applyAlignment="1" applyProtection="1">
      <alignment horizontal="left" vertical="top"/>
    </xf>
    <xf numFmtId="0" fontId="0" fillId="0" borderId="22" xfId="0" applyFill="1" applyBorder="1" applyAlignment="1" applyProtection="1">
      <alignment horizontal="left" vertical="top"/>
    </xf>
    <xf numFmtId="0" fontId="3" fillId="0" borderId="52" xfId="0" applyFont="1" applyFill="1" applyBorder="1" applyAlignment="1" applyProtection="1">
      <alignment horizontal="center"/>
    </xf>
    <xf numFmtId="0" fontId="3" fillId="0" borderId="16" xfId="0" applyFont="1" applyFill="1" applyBorder="1" applyAlignment="1" applyProtection="1">
      <alignment horizontal="center"/>
    </xf>
    <xf numFmtId="46" fontId="3" fillId="0" borderId="48" xfId="0" applyNumberFormat="1" applyFont="1" applyFill="1" applyBorder="1" applyAlignment="1" applyProtection="1">
      <alignment horizontal="center"/>
    </xf>
    <xf numFmtId="46" fontId="3" fillId="0" borderId="68" xfId="0" applyNumberFormat="1" applyFont="1" applyFill="1" applyBorder="1" applyAlignment="1" applyProtection="1">
      <alignment horizontal="center"/>
    </xf>
    <xf numFmtId="14" fontId="3" fillId="6" borderId="52" xfId="0" applyNumberFormat="1" applyFont="1" applyFill="1" applyBorder="1" applyAlignment="1" applyProtection="1">
      <alignment horizontal="center"/>
    </xf>
    <xf numFmtId="14" fontId="3" fillId="6" borderId="53" xfId="0" applyNumberFormat="1" applyFont="1" applyFill="1" applyBorder="1" applyAlignment="1" applyProtection="1">
      <alignment horizontal="center"/>
    </xf>
    <xf numFmtId="0" fontId="4" fillId="6" borderId="52" xfId="0" applyFont="1" applyFill="1" applyBorder="1" applyAlignment="1" applyProtection="1">
      <alignment horizontal="center"/>
      <protection locked="0"/>
    </xf>
    <xf numFmtId="0" fontId="4" fillId="6" borderId="16" xfId="0" applyFont="1" applyFill="1" applyBorder="1" applyAlignment="1" applyProtection="1">
      <alignment horizontal="center"/>
      <protection locked="0"/>
    </xf>
    <xf numFmtId="0" fontId="4" fillId="6" borderId="52" xfId="0" applyFont="1" applyFill="1" applyBorder="1" applyAlignment="1" applyProtection="1">
      <alignment horizontal="center"/>
    </xf>
    <xf numFmtId="0" fontId="4" fillId="6" borderId="16" xfId="0" applyFont="1" applyFill="1" applyBorder="1" applyAlignment="1" applyProtection="1">
      <alignment horizontal="center"/>
    </xf>
    <xf numFmtId="0" fontId="4" fillId="0" borderId="35" xfId="0" applyFont="1" applyFill="1" applyBorder="1" applyAlignment="1" applyProtection="1">
      <alignment horizontal="center" vertical="center" wrapText="1"/>
    </xf>
    <xf numFmtId="0" fontId="4" fillId="0" borderId="18" xfId="0" applyFont="1" applyFill="1" applyBorder="1" applyAlignment="1" applyProtection="1">
      <alignment horizontal="center" vertical="center" wrapText="1"/>
    </xf>
    <xf numFmtId="0" fontId="4" fillId="0" borderId="47" xfId="0" applyFont="1" applyFill="1" applyBorder="1" applyAlignment="1" applyProtection="1">
      <alignment horizontal="center" vertical="center" wrapText="1"/>
    </xf>
    <xf numFmtId="0" fontId="4" fillId="0" borderId="64" xfId="0" applyFont="1" applyFill="1" applyBorder="1" applyAlignment="1" applyProtection="1">
      <alignment horizontal="center" vertical="center" wrapText="1"/>
    </xf>
    <xf numFmtId="0" fontId="4" fillId="0" borderId="0" xfId="0" applyNumberFormat="1" applyFont="1" applyFill="1" applyAlignment="1" applyProtection="1">
      <alignment horizontal="right"/>
    </xf>
    <xf numFmtId="0" fontId="4" fillId="0" borderId="56" xfId="0" applyFont="1" applyFill="1" applyBorder="1" applyAlignment="1" applyProtection="1">
      <alignment horizontal="center" vertical="center" wrapText="1"/>
    </xf>
    <xf numFmtId="0" fontId="3" fillId="0" borderId="57" xfId="0" applyFont="1" applyBorder="1" applyAlignment="1" applyProtection="1">
      <alignment horizontal="center" vertical="center" wrapText="1"/>
    </xf>
    <xf numFmtId="0" fontId="4" fillId="0" borderId="41" xfId="0" applyNumberFormat="1" applyFont="1" applyFill="1" applyBorder="1" applyAlignment="1" applyProtection="1">
      <alignment horizontal="center"/>
    </xf>
    <xf numFmtId="0" fontId="4" fillId="0" borderId="65" xfId="0" applyNumberFormat="1" applyFont="1" applyFill="1" applyBorder="1" applyAlignment="1" applyProtection="1">
      <alignment horizontal="center"/>
    </xf>
    <xf numFmtId="0" fontId="3" fillId="0" borderId="0" xfId="0" applyNumberFormat="1" applyFont="1" applyFill="1" applyAlignment="1" applyProtection="1">
      <alignment horizontal="left"/>
    </xf>
    <xf numFmtId="0" fontId="3" fillId="0" borderId="0" xfId="0" applyNumberFormat="1" applyFont="1" applyFill="1" applyBorder="1" applyAlignment="1" applyProtection="1">
      <alignment horizontal="left"/>
    </xf>
    <xf numFmtId="0" fontId="4" fillId="6" borderId="52" xfId="0" applyNumberFormat="1" applyFont="1" applyFill="1" applyBorder="1" applyAlignment="1" applyProtection="1">
      <alignment horizontal="center" vertical="center" wrapText="1"/>
    </xf>
    <xf numFmtId="0" fontId="3" fillId="6" borderId="53" xfId="0" applyFont="1" applyFill="1" applyBorder="1" applyAlignment="1"/>
    <xf numFmtId="0" fontId="3" fillId="6" borderId="16" xfId="0" applyFont="1" applyFill="1" applyBorder="1" applyAlignment="1"/>
    <xf numFmtId="0" fontId="4" fillId="0" borderId="54" xfId="0" applyFont="1" applyFill="1" applyBorder="1" applyAlignment="1" applyProtection="1">
      <alignment horizontal="center" vertical="center" wrapText="1"/>
    </xf>
    <xf numFmtId="0" fontId="4" fillId="0" borderId="43" xfId="0" applyFont="1" applyBorder="1" applyAlignment="1" applyProtection="1">
      <alignment horizontal="center" vertical="center" wrapText="1"/>
    </xf>
    <xf numFmtId="0" fontId="4" fillId="0" borderId="35" xfId="0" applyFont="1" applyFill="1" applyBorder="1" applyAlignment="1" applyProtection="1">
      <alignment horizontal="center" vertical="center"/>
    </xf>
    <xf numFmtId="0" fontId="4" fillId="0" borderId="55" xfId="0" applyFont="1" applyFill="1" applyBorder="1" applyAlignment="1" applyProtection="1">
      <alignment horizontal="center" vertical="center"/>
    </xf>
    <xf numFmtId="0" fontId="4" fillId="8" borderId="36" xfId="0" applyFont="1" applyFill="1" applyBorder="1" applyAlignment="1" applyProtection="1">
      <alignment horizontal="center"/>
    </xf>
    <xf numFmtId="0" fontId="4" fillId="8" borderId="31" xfId="0" applyFont="1" applyFill="1" applyBorder="1" applyAlignment="1" applyProtection="1">
      <alignment horizontal="center"/>
    </xf>
    <xf numFmtId="0" fontId="4" fillId="8" borderId="49" xfId="0" applyFont="1" applyFill="1" applyBorder="1" applyAlignment="1" applyProtection="1">
      <alignment horizontal="center"/>
    </xf>
    <xf numFmtId="0" fontId="3" fillId="0" borderId="28" xfId="0" applyFont="1" applyFill="1" applyBorder="1" applyAlignment="1" applyProtection="1">
      <alignment horizontal="left"/>
    </xf>
    <xf numFmtId="0" fontId="3" fillId="0" borderId="29" xfId="0" applyFont="1" applyFill="1" applyBorder="1" applyAlignment="1" applyProtection="1">
      <alignment horizontal="left"/>
    </xf>
    <xf numFmtId="0" fontId="3" fillId="0" borderId="0" xfId="0" applyFont="1" applyFill="1" applyBorder="1" applyAlignment="1" applyProtection="1">
      <alignment horizontal="left"/>
    </xf>
    <xf numFmtId="0" fontId="3" fillId="0" borderId="62" xfId="0" applyFont="1" applyFill="1" applyBorder="1" applyAlignment="1" applyProtection="1">
      <alignment horizontal="left"/>
    </xf>
    <xf numFmtId="0" fontId="4" fillId="0" borderId="30" xfId="0" applyFont="1" applyFill="1" applyBorder="1" applyAlignment="1" applyProtection="1">
      <alignment horizontal="center" vertical="center" wrapText="1"/>
    </xf>
    <xf numFmtId="0" fontId="4" fillId="0" borderId="43" xfId="0" applyFont="1" applyFill="1" applyBorder="1" applyAlignment="1" applyProtection="1">
      <alignment horizontal="center" vertical="center" wrapText="1"/>
    </xf>
    <xf numFmtId="0" fontId="3" fillId="0" borderId="43" xfId="0" applyFont="1" applyBorder="1" applyAlignment="1" applyProtection="1">
      <alignment horizontal="center" vertical="center" wrapText="1"/>
    </xf>
    <xf numFmtId="0" fontId="3" fillId="0" borderId="43" xfId="0" applyFont="1" applyBorder="1" applyAlignment="1">
      <alignment vertical="center"/>
    </xf>
    <xf numFmtId="0" fontId="4" fillId="0" borderId="41" xfId="0" applyFont="1" applyFill="1" applyBorder="1" applyAlignment="1" applyProtection="1">
      <alignment horizontal="center"/>
    </xf>
    <xf numFmtId="0" fontId="4" fillId="0" borderId="28" xfId="0" applyFont="1" applyFill="1" applyBorder="1" applyAlignment="1" applyProtection="1">
      <alignment horizontal="center"/>
    </xf>
    <xf numFmtId="0" fontId="4" fillId="0" borderId="35" xfId="0" applyFont="1" applyFill="1" applyBorder="1" applyAlignment="1" applyProtection="1">
      <alignment horizontal="center" vertical="center" wrapText="1"/>
      <protection locked="0"/>
    </xf>
    <xf numFmtId="0" fontId="4" fillId="0" borderId="55"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10" fillId="8" borderId="4" xfId="0" applyFont="1" applyFill="1" applyBorder="1" applyAlignment="1"/>
    <xf numFmtId="0" fontId="10" fillId="8" borderId="0" xfId="0" applyFont="1" applyFill="1" applyBorder="1" applyAlignment="1"/>
    <xf numFmtId="0" fontId="10" fillId="7" borderId="4" xfId="0" applyFont="1" applyFill="1" applyBorder="1" applyAlignment="1"/>
    <xf numFmtId="0" fontId="10" fillId="7" borderId="0" xfId="0" applyFont="1" applyFill="1" applyBorder="1" applyAlignment="1"/>
    <xf numFmtId="0" fontId="5" fillId="9" borderId="58" xfId="0" applyFont="1" applyFill="1" applyBorder="1" applyAlignment="1" applyProtection="1">
      <alignment horizontal="center"/>
    </xf>
    <xf numFmtId="0" fontId="5" fillId="9" borderId="8" xfId="0" applyFont="1" applyFill="1" applyBorder="1" applyAlignment="1" applyProtection="1">
      <alignment horizontal="center"/>
    </xf>
    <xf numFmtId="0" fontId="5" fillId="9" borderId="59" xfId="0" applyFont="1" applyFill="1" applyBorder="1" applyAlignment="1" applyProtection="1">
      <alignment horizontal="center"/>
    </xf>
    <xf numFmtId="0" fontId="38" fillId="0" borderId="4" xfId="0" applyFont="1" applyBorder="1" applyAlignment="1" applyProtection="1">
      <alignment horizontal="left" vertical="top" wrapText="1"/>
    </xf>
    <xf numFmtId="0" fontId="20" fillId="0" borderId="0" xfId="0" applyFont="1" applyBorder="1" applyAlignment="1" applyProtection="1">
      <alignment horizontal="right"/>
    </xf>
    <xf numFmtId="0" fontId="10" fillId="7" borderId="21" xfId="0" applyFont="1" applyFill="1" applyBorder="1" applyAlignment="1"/>
    <xf numFmtId="0" fontId="10" fillId="7" borderId="22" xfId="0" applyFont="1" applyFill="1" applyBorder="1" applyAlignment="1"/>
    <xf numFmtId="0" fontId="5" fillId="9" borderId="12" xfId="0" applyFont="1" applyFill="1" applyBorder="1" applyAlignment="1" applyProtection="1">
      <alignment horizontal="center"/>
    </xf>
    <xf numFmtId="0" fontId="5" fillId="9" borderId="53" xfId="0" applyFont="1" applyFill="1" applyBorder="1" applyAlignment="1" applyProtection="1">
      <alignment horizontal="center"/>
    </xf>
    <xf numFmtId="0" fontId="5" fillId="9" borderId="16" xfId="0" applyFont="1" applyFill="1" applyBorder="1" applyAlignment="1" applyProtection="1">
      <alignment horizontal="center"/>
    </xf>
    <xf numFmtId="0" fontId="0" fillId="0" borderId="0" xfId="0" applyBorder="1" applyAlignment="1" applyProtection="1">
      <alignment horizontal="left" wrapText="1"/>
    </xf>
    <xf numFmtId="0" fontId="1" fillId="0" borderId="0" xfId="0" applyFont="1" applyBorder="1" applyAlignment="1" applyProtection="1">
      <alignment horizontal="left" wrapText="1"/>
    </xf>
    <xf numFmtId="0" fontId="21" fillId="0" borderId="0" xfId="0" applyFont="1" applyBorder="1" applyAlignment="1" applyProtection="1">
      <alignment horizontal="left"/>
    </xf>
    <xf numFmtId="0" fontId="0" fillId="0" borderId="0" xfId="0" applyAlignment="1"/>
    <xf numFmtId="0" fontId="19" fillId="0" borderId="0" xfId="0" applyNumberFormat="1" applyFont="1" applyBorder="1" applyAlignment="1" applyProtection="1">
      <alignment horizontal="left"/>
    </xf>
    <xf numFmtId="0" fontId="0" fillId="0" borderId="0" xfId="0" applyNumberFormat="1" applyAlignment="1"/>
    <xf numFmtId="173" fontId="21" fillId="0" borderId="0" xfId="0" applyNumberFormat="1" applyFont="1" applyBorder="1" applyAlignment="1" applyProtection="1">
      <alignment horizontal="left"/>
    </xf>
    <xf numFmtId="0" fontId="2" fillId="0" borderId="58" xfId="0" applyFont="1" applyBorder="1" applyAlignment="1">
      <alignment horizontal="center"/>
    </xf>
    <xf numFmtId="0" fontId="2" fillId="0" borderId="9" xfId="0" applyFont="1" applyBorder="1" applyAlignment="1">
      <alignment horizontal="center"/>
    </xf>
    <xf numFmtId="171" fontId="6" fillId="0" borderId="61" xfId="0" applyNumberFormat="1" applyFont="1" applyBorder="1" applyAlignment="1">
      <alignment horizontal="center"/>
    </xf>
    <xf numFmtId="171" fontId="6" fillId="0" borderId="6" xfId="0" applyNumberFormat="1" applyFont="1" applyBorder="1" applyAlignment="1">
      <alignment horizontal="center"/>
    </xf>
    <xf numFmtId="0" fontId="1" fillId="0" borderId="27" xfId="0" applyNumberFormat="1" applyFont="1" applyFill="1" applyBorder="1" applyAlignment="1">
      <alignment horizontal="left"/>
    </xf>
    <xf numFmtId="0" fontId="1" fillId="0" borderId="40" xfId="0" applyFont="1" applyBorder="1" applyAlignment="1">
      <alignment horizontal="left"/>
    </xf>
    <xf numFmtId="0" fontId="1" fillId="0" borderId="28" xfId="0" applyFont="1" applyBorder="1" applyAlignment="1">
      <alignment horizontal="left"/>
    </xf>
    <xf numFmtId="0" fontId="0" fillId="0" borderId="40" xfId="0" applyBorder="1" applyAlignment="1">
      <alignment horizontal="left"/>
    </xf>
    <xf numFmtId="0" fontId="0" fillId="0" borderId="28" xfId="0" applyBorder="1" applyAlignment="1">
      <alignment horizontal="left"/>
    </xf>
    <xf numFmtId="0" fontId="1" fillId="11" borderId="40" xfId="0" applyFont="1" applyFill="1" applyBorder="1" applyAlignment="1">
      <alignment horizontal="center"/>
    </xf>
    <xf numFmtId="0" fontId="1" fillId="11" borderId="29" xfId="0" applyFont="1" applyFill="1" applyBorder="1" applyAlignment="1">
      <alignment horizontal="center"/>
    </xf>
    <xf numFmtId="0" fontId="5" fillId="0" borderId="40" xfId="0" applyFont="1" applyBorder="1" applyAlignment="1">
      <alignment horizontal="center"/>
    </xf>
    <xf numFmtId="0" fontId="5" fillId="0" borderId="29" xfId="0" applyFont="1" applyBorder="1" applyAlignment="1">
      <alignment horizontal="center"/>
    </xf>
    <xf numFmtId="0" fontId="5" fillId="4" borderId="40"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49" fontId="1" fillId="6" borderId="27" xfId="0" applyNumberFormat="1" applyFont="1" applyFill="1" applyBorder="1" applyAlignment="1">
      <alignment horizontal="left"/>
    </xf>
    <xf numFmtId="49" fontId="1" fillId="8" borderId="0" xfId="0" applyNumberFormat="1" applyFont="1" applyFill="1" applyBorder="1" applyAlignment="1">
      <alignment horizontal="center"/>
    </xf>
    <xf numFmtId="49" fontId="0" fillId="8" borderId="0" xfId="0" applyNumberFormat="1" applyFill="1" applyBorder="1" applyAlignment="1">
      <alignment horizontal="center"/>
    </xf>
    <xf numFmtId="0" fontId="5" fillId="0" borderId="27" xfId="0" applyFont="1" applyBorder="1" applyAlignment="1">
      <alignment horizontal="left"/>
    </xf>
    <xf numFmtId="0" fontId="5" fillId="6" borderId="27" xfId="0" applyFont="1" applyFill="1" applyBorder="1" applyAlignment="1">
      <alignment horizontal="left"/>
    </xf>
    <xf numFmtId="0" fontId="5" fillId="0" borderId="50" xfId="0" applyFont="1" applyBorder="1" applyAlignment="1">
      <alignment horizontal="left"/>
    </xf>
    <xf numFmtId="0" fontId="5" fillId="0" borderId="1" xfId="0" applyFont="1" applyBorder="1" applyAlignment="1">
      <alignment horizontal="left"/>
    </xf>
    <xf numFmtId="0" fontId="5" fillId="0" borderId="51" xfId="0" applyFont="1" applyBorder="1" applyAlignment="1">
      <alignment horizontal="left"/>
    </xf>
    <xf numFmtId="49" fontId="1" fillId="6" borderId="40" xfId="0" applyNumberFormat="1" applyFont="1" applyFill="1" applyBorder="1" applyAlignment="1">
      <alignment horizontal="left"/>
    </xf>
    <xf numFmtId="49" fontId="1" fillId="6" borderId="29" xfId="0" applyNumberFormat="1" applyFont="1" applyFill="1" applyBorder="1" applyAlignment="1">
      <alignment horizontal="left"/>
    </xf>
    <xf numFmtId="0" fontId="0" fillId="0" borderId="29" xfId="0" applyBorder="1" applyAlignment="1">
      <alignment horizontal="left"/>
    </xf>
    <xf numFmtId="0" fontId="5" fillId="0" borderId="40" xfId="0" applyFont="1" applyBorder="1" applyAlignment="1" applyProtection="1">
      <alignment horizontal="left"/>
    </xf>
    <xf numFmtId="0" fontId="5" fillId="0" borderId="28" xfId="0" applyFont="1" applyBorder="1" applyAlignment="1" applyProtection="1">
      <alignment horizontal="left"/>
    </xf>
    <xf numFmtId="0" fontId="5" fillId="0" borderId="29" xfId="0" applyFont="1" applyBorder="1" applyAlignment="1" applyProtection="1">
      <alignment horizontal="left"/>
    </xf>
    <xf numFmtId="0" fontId="1" fillId="0" borderId="40"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29" xfId="0" applyFont="1" applyBorder="1" applyAlignment="1">
      <alignment horizontal="left"/>
    </xf>
    <xf numFmtId="0" fontId="1" fillId="0" borderId="40" xfId="0" applyFont="1" applyFill="1" applyBorder="1" applyAlignment="1" applyProtection="1">
      <alignment horizontal="left"/>
    </xf>
    <xf numFmtId="0" fontId="1" fillId="0" borderId="28" xfId="0" applyFont="1" applyFill="1" applyBorder="1" applyAlignment="1" applyProtection="1">
      <alignment horizontal="left"/>
    </xf>
    <xf numFmtId="0" fontId="0" fillId="0" borderId="27" xfId="0" applyBorder="1" applyAlignment="1">
      <alignment horizontal="left"/>
    </xf>
    <xf numFmtId="49" fontId="1" fillId="0" borderId="40" xfId="0" applyNumberFormat="1" applyFont="1" applyFill="1" applyBorder="1" applyAlignment="1">
      <alignment horizontal="right"/>
    </xf>
    <xf numFmtId="49" fontId="1" fillId="0" borderId="28" xfId="0" applyNumberFormat="1" applyFont="1" applyFill="1" applyBorder="1" applyAlignment="1">
      <alignment horizontal="right"/>
    </xf>
    <xf numFmtId="0" fontId="1" fillId="0" borderId="40" xfId="0" applyFont="1" applyFill="1" applyBorder="1" applyAlignment="1">
      <alignment horizontal="left"/>
    </xf>
    <xf numFmtId="0" fontId="1" fillId="0" borderId="29" xfId="0" applyFont="1" applyFill="1" applyBorder="1" applyAlignment="1">
      <alignment horizontal="left"/>
    </xf>
    <xf numFmtId="49" fontId="5" fillId="0" borderId="27" xfId="0" applyNumberFormat="1" applyFont="1" applyBorder="1" applyAlignment="1">
      <alignment horizontal="left"/>
    </xf>
    <xf numFmtId="0" fontId="5" fillId="0" borderId="43" xfId="0" applyNumberFormat="1" applyFont="1" applyFill="1" applyBorder="1" applyAlignment="1">
      <alignment horizontal="left"/>
    </xf>
    <xf numFmtId="0" fontId="1" fillId="0" borderId="27" xfId="0" applyFont="1" applyFill="1" applyBorder="1" applyAlignment="1">
      <alignment horizontal="left"/>
    </xf>
    <xf numFmtId="0" fontId="5" fillId="0" borderId="40" xfId="0" applyFont="1" applyFill="1" applyBorder="1" applyAlignment="1">
      <alignment horizontal="left"/>
    </xf>
    <xf numFmtId="0" fontId="5" fillId="0" borderId="28" xfId="0" applyFont="1" applyFill="1" applyBorder="1" applyAlignment="1">
      <alignment horizontal="left"/>
    </xf>
    <xf numFmtId="0" fontId="5" fillId="0" borderId="1" xfId="0" applyFont="1" applyFill="1" applyBorder="1" applyAlignment="1">
      <alignment horizontal="left"/>
    </xf>
    <xf numFmtId="0" fontId="5" fillId="0" borderId="51" xfId="0" applyFont="1" applyFill="1" applyBorder="1" applyAlignment="1">
      <alignment horizontal="left"/>
    </xf>
    <xf numFmtId="49" fontId="5" fillId="0" borderId="40" xfId="0" applyNumberFormat="1" applyFont="1" applyFill="1" applyBorder="1" applyAlignment="1">
      <alignment horizontal="left"/>
    </xf>
    <xf numFmtId="49" fontId="5" fillId="0" borderId="28" xfId="0" applyNumberFormat="1" applyFont="1" applyFill="1" applyBorder="1" applyAlignment="1">
      <alignment horizontal="left"/>
    </xf>
    <xf numFmtId="49" fontId="5" fillId="0" borderId="29" xfId="0" applyNumberFormat="1" applyFont="1" applyFill="1" applyBorder="1" applyAlignment="1">
      <alignment horizontal="left"/>
    </xf>
  </cellXfs>
  <cellStyles count="3">
    <cellStyle name="Hyperlink" xfId="2" builtinId="8"/>
    <cellStyle name="Normal" xfId="0" builtinId="0"/>
    <cellStyle name="Per cent" xfId="1" builtinId="5"/>
  </cellStyles>
  <dxfs count="90">
    <dxf>
      <font>
        <color theme="0"/>
      </font>
      <fill>
        <patternFill>
          <bgColor theme="0"/>
        </patternFill>
      </fill>
      <border>
        <left/>
        <right/>
        <top/>
        <bottom/>
        <vertical/>
        <horizontal/>
      </border>
    </dxf>
    <dxf>
      <font>
        <color theme="0"/>
      </font>
      <fill>
        <patternFill patternType="none">
          <bgColor auto="1"/>
        </patternFill>
      </fill>
      <border>
        <left/>
        <right/>
        <top/>
        <bottom/>
        <vertical/>
        <horizontal/>
      </border>
    </dxf>
    <dxf>
      <font>
        <condense val="0"/>
        <extend val="0"/>
        <color indexed="10"/>
      </font>
    </dxf>
    <dxf>
      <font>
        <condense val="0"/>
        <extend val="0"/>
        <color indexed="10"/>
      </font>
    </dxf>
    <dxf>
      <font>
        <condense val="0"/>
        <extend val="0"/>
        <color indexed="1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fill>
        <patternFill patternType="none">
          <bgColor auto="1"/>
        </patternFill>
      </fill>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fill>
        <patternFill patternType="none">
          <bgColor auto="1"/>
        </patternFill>
      </fill>
    </dxf>
    <dxf>
      <font>
        <color theme="0" tint="-0.149967955565050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patternType="lightHorizontal">
          <fgColor theme="0" tint="-0.14996795556505021"/>
          <bgColor theme="0"/>
        </patternFill>
      </fill>
    </dxf>
    <dxf>
      <font>
        <color theme="0" tint="-0.14996795556505021"/>
      </font>
    </dxf>
    <dxf>
      <fill>
        <patternFill patternType="none">
          <bgColor auto="1"/>
        </patternFill>
      </fill>
    </dxf>
    <dxf>
      <fill>
        <patternFill patternType="none">
          <bgColor auto="1"/>
        </patternFill>
      </fill>
    </dxf>
    <dxf>
      <font>
        <color theme="0" tint="-0.1499679555650502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447675</xdr:colOff>
      <xdr:row>0</xdr:row>
      <xdr:rowOff>104775</xdr:rowOff>
    </xdr:from>
    <xdr:to>
      <xdr:col>11</xdr:col>
      <xdr:colOff>542925</xdr:colOff>
      <xdr:row>8</xdr:row>
      <xdr:rowOff>19050</xdr:rowOff>
    </xdr:to>
    <xdr:pic>
      <xdr:nvPicPr>
        <xdr:cNvPr id="2" name="Picture 73" descr="ub_16pt_cmyk">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91325" y="104775"/>
          <a:ext cx="1619250" cy="1247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ysteme@pers.unibe.ch" TargetMode="External"/><Relationship Id="rId2" Type="http://schemas.openxmlformats.org/officeDocument/2006/relationships/hyperlink" Target="http://www.fin.be.ch/fin/de/index/personal/personalrecht/wdb.artikel.PV.146.html" TargetMode="External"/><Relationship Id="rId1" Type="http://schemas.openxmlformats.org/officeDocument/2006/relationships/hyperlink" Target="http://intern.unibe.ch/unibe/uniintern/content/e1883/e1884/e309986/e310219/e532862/ErklaerungArbeitsmuster_ger.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
  <sheetViews>
    <sheetView showGridLines="0" topLeftCell="A30" zoomScaleNormal="100" workbookViewId="0">
      <selection activeCell="D8" sqref="D8"/>
    </sheetView>
  </sheetViews>
  <sheetFormatPr baseColWidth="10" defaultRowHeight="13" x14ac:dyDescent="0.15"/>
  <cols>
    <col min="1" max="1" width="3.6640625" customWidth="1"/>
  </cols>
  <sheetData>
    <row r="1" spans="1:12" x14ac:dyDescent="0.15">
      <c r="A1" s="600"/>
      <c r="B1" s="600"/>
      <c r="C1" s="600"/>
      <c r="D1" s="600"/>
      <c r="E1" s="600"/>
      <c r="F1" s="600"/>
      <c r="G1" s="600"/>
      <c r="H1" s="600"/>
      <c r="I1" s="600"/>
    </row>
    <row r="2" spans="1:12" x14ac:dyDescent="0.15">
      <c r="A2" s="600"/>
      <c r="B2" s="600"/>
      <c r="C2" s="600"/>
      <c r="D2" s="600"/>
      <c r="E2" s="600"/>
      <c r="F2" s="600"/>
      <c r="G2" s="600"/>
      <c r="H2" s="600"/>
      <c r="I2" s="600"/>
    </row>
    <row r="3" spans="1:12" x14ac:dyDescent="0.15">
      <c r="A3" s="600"/>
      <c r="B3" s="600"/>
      <c r="C3" s="600"/>
      <c r="D3" s="600"/>
      <c r="E3" s="600"/>
      <c r="F3" s="600"/>
      <c r="G3" s="600"/>
      <c r="H3" s="600"/>
      <c r="I3" s="600"/>
    </row>
    <row r="4" spans="1:12" x14ac:dyDescent="0.15">
      <c r="A4" s="600"/>
      <c r="B4" s="600"/>
      <c r="C4" s="600"/>
      <c r="D4" s="600"/>
      <c r="E4" s="600"/>
      <c r="F4" s="600"/>
      <c r="G4" s="600"/>
      <c r="H4" s="600"/>
      <c r="I4" s="600"/>
    </row>
    <row r="5" spans="1:12" ht="16" x14ac:dyDescent="0.15">
      <c r="A5" s="603" t="str">
        <f>Para1!J227</f>
        <v>Please read this informations before using the Record of Absences!</v>
      </c>
      <c r="B5" s="603"/>
      <c r="C5" s="603"/>
      <c r="D5" s="603"/>
      <c r="E5" s="603"/>
      <c r="F5" s="603"/>
      <c r="G5" s="603"/>
      <c r="H5" s="603"/>
      <c r="I5" s="603"/>
    </row>
    <row r="6" spans="1:12" x14ac:dyDescent="0.15">
      <c r="A6" s="600"/>
      <c r="B6" s="600"/>
      <c r="C6" s="600"/>
      <c r="D6" s="600"/>
      <c r="E6" s="600"/>
      <c r="F6" s="600"/>
      <c r="G6" s="600"/>
      <c r="H6" s="600"/>
      <c r="I6" s="600"/>
    </row>
    <row r="7" spans="1:12" x14ac:dyDescent="0.15">
      <c r="A7" s="600"/>
      <c r="B7" s="600"/>
      <c r="C7" s="600"/>
      <c r="D7" s="600"/>
      <c r="E7" s="600"/>
      <c r="F7" s="600"/>
      <c r="G7" s="600"/>
      <c r="H7" s="600"/>
      <c r="I7" s="600"/>
    </row>
    <row r="8" spans="1:12" x14ac:dyDescent="0.15">
      <c r="A8" s="606" t="s">
        <v>251</v>
      </c>
      <c r="B8" s="606"/>
      <c r="C8" s="606"/>
      <c r="D8" s="393" t="s">
        <v>248</v>
      </c>
      <c r="E8" s="607" t="s">
        <v>412</v>
      </c>
      <c r="F8" s="607"/>
      <c r="G8" s="577"/>
      <c r="H8" s="581" t="str">
        <f>Para1!B269</f>
        <v>Deutsch</v>
      </c>
      <c r="I8" s="577"/>
    </row>
    <row r="9" spans="1:12" x14ac:dyDescent="0.15">
      <c r="A9" s="577"/>
      <c r="B9" s="577"/>
      <c r="C9" s="577"/>
      <c r="D9" s="577"/>
      <c r="E9" s="577"/>
      <c r="F9" s="577"/>
      <c r="G9" s="577"/>
      <c r="H9" s="581" t="str">
        <f>Para1!B270</f>
        <v>English</v>
      </c>
      <c r="I9" s="577"/>
    </row>
    <row r="10" spans="1:12" x14ac:dyDescent="0.15">
      <c r="A10" s="605"/>
      <c r="B10" s="605"/>
      <c r="C10" s="392" t="s">
        <v>252</v>
      </c>
      <c r="D10" s="600" t="str">
        <f>Para1!G2</f>
        <v>AE v1_01 20.08.2019</v>
      </c>
      <c r="E10" s="600"/>
      <c r="F10" s="605"/>
      <c r="G10" s="605"/>
      <c r="H10" s="605"/>
      <c r="I10" s="605"/>
      <c r="J10" s="605"/>
      <c r="K10" t="str">
        <f>Para1!F131</f>
        <v xml:space="preserve">year: </v>
      </c>
      <c r="L10" s="94">
        <f>Para1!C2</f>
        <v>2020</v>
      </c>
    </row>
    <row r="11" spans="1:12" x14ac:dyDescent="0.15">
      <c r="A11" s="600"/>
      <c r="B11" s="600"/>
      <c r="C11" s="600"/>
      <c r="D11" s="600"/>
      <c r="E11" s="600"/>
      <c r="F11" s="600"/>
      <c r="G11" s="600"/>
      <c r="H11" s="600"/>
      <c r="I11" s="600"/>
      <c r="J11" s="600"/>
      <c r="K11" s="600"/>
      <c r="L11" s="600"/>
    </row>
    <row r="12" spans="1:12" x14ac:dyDescent="0.15">
      <c r="A12" s="600"/>
      <c r="B12" s="600"/>
      <c r="C12" s="600"/>
      <c r="D12" s="600"/>
      <c r="E12" s="600"/>
      <c r="F12" s="600"/>
      <c r="G12" s="600"/>
      <c r="H12" s="600"/>
      <c r="I12" s="600"/>
      <c r="J12" s="600"/>
      <c r="K12" s="600"/>
      <c r="L12" s="600"/>
    </row>
    <row r="13" spans="1:12" x14ac:dyDescent="0.15">
      <c r="A13" s="600" t="str">
        <f>Para1!J228</f>
        <v>Questions, comments and suggestions should be sent to</v>
      </c>
      <c r="B13" s="600"/>
      <c r="C13" s="600"/>
      <c r="D13" s="600"/>
      <c r="E13" s="600"/>
      <c r="F13" s="604" t="s">
        <v>256</v>
      </c>
      <c r="G13" s="604"/>
      <c r="H13" s="600" t="str">
        <f>Para1!J229</f>
        <v xml:space="preserve"> </v>
      </c>
      <c r="I13" s="600"/>
      <c r="J13" s="600"/>
      <c r="K13" s="600"/>
      <c r="L13" s="600"/>
    </row>
    <row r="14" spans="1:12" hidden="1" x14ac:dyDescent="0.15">
      <c r="A14" s="600"/>
      <c r="B14" s="600"/>
      <c r="C14" s="600"/>
      <c r="D14" s="600"/>
      <c r="E14" s="600"/>
      <c r="F14" s="600"/>
      <c r="G14" s="600"/>
      <c r="H14" s="600"/>
      <c r="I14" s="600"/>
      <c r="J14" s="600"/>
      <c r="K14" s="600"/>
      <c r="L14" s="600"/>
    </row>
    <row r="15" spans="1:12" hidden="1" x14ac:dyDescent="0.15">
      <c r="A15" s="600"/>
      <c r="B15" s="600"/>
      <c r="C15" s="600"/>
      <c r="D15" s="600"/>
      <c r="E15" s="600"/>
      <c r="F15" s="600"/>
      <c r="G15" s="600"/>
      <c r="H15" s="600"/>
      <c r="I15" s="600"/>
      <c r="J15" s="600"/>
      <c r="K15" s="600"/>
      <c r="L15" s="600"/>
    </row>
    <row r="16" spans="1:12" hidden="1" x14ac:dyDescent="0.15">
      <c r="A16" s="395" t="s">
        <v>257</v>
      </c>
      <c r="B16" s="396" t="str">
        <f>Para1!F160</f>
        <v>NEW</v>
      </c>
      <c r="C16" s="600"/>
      <c r="D16" s="600"/>
      <c r="E16" s="600"/>
      <c r="F16" s="600"/>
      <c r="G16" s="600"/>
      <c r="H16" s="600"/>
      <c r="I16" s="600"/>
      <c r="J16" s="600"/>
      <c r="K16" s="600"/>
      <c r="L16" s="600"/>
    </row>
    <row r="17" spans="1:15" hidden="1" x14ac:dyDescent="0.15">
      <c r="A17" s="395"/>
      <c r="B17" s="608" t="str">
        <f>Para1!J230</f>
        <v xml:space="preserve"> - The Record of Absences has been completely revised.</v>
      </c>
      <c r="C17" s="608"/>
      <c r="D17" s="608"/>
      <c r="E17" s="608"/>
      <c r="F17" s="608"/>
      <c r="G17" s="608"/>
      <c r="H17" s="608"/>
      <c r="I17" s="608"/>
      <c r="J17" s="608"/>
      <c r="K17" s="608"/>
      <c r="L17" s="608"/>
      <c r="O17" s="134"/>
    </row>
    <row r="18" spans="1:15" ht="14" hidden="1" x14ac:dyDescent="0.2">
      <c r="A18" s="490"/>
      <c r="B18" s="608" t="str">
        <f>Para1!J231</f>
        <v xml:space="preserve"> - There is a new file for personal information and transferred data.</v>
      </c>
      <c r="C18" s="608"/>
      <c r="D18" s="608"/>
      <c r="E18" s="608"/>
      <c r="F18" s="608"/>
      <c r="G18" s="608"/>
      <c r="H18" s="608"/>
      <c r="I18" s="608"/>
      <c r="J18" s="608"/>
      <c r="K18" s="608"/>
      <c r="L18" s="608"/>
      <c r="M18" s="134"/>
      <c r="O18" s="491"/>
    </row>
    <row r="19" spans="1:15" hidden="1" x14ac:dyDescent="0.15">
      <c r="A19" s="395"/>
      <c r="B19" s="608" t="str">
        <f>Para1!J232</f>
        <v xml:space="preserve"> - The Overview of Absences has been abolished. Days absent are now recorded on the individual monthly tables.</v>
      </c>
      <c r="C19" s="608"/>
      <c r="D19" s="608"/>
      <c r="E19" s="608"/>
      <c r="F19" s="608"/>
      <c r="G19" s="608"/>
      <c r="H19" s="608"/>
      <c r="I19" s="608"/>
      <c r="J19" s="608"/>
      <c r="K19" s="608"/>
      <c r="L19" s="608"/>
    </row>
    <row r="20" spans="1:15" hidden="1" x14ac:dyDescent="0.15">
      <c r="A20" s="395"/>
      <c r="B20" s="608" t="str">
        <f>Para1!J233</f>
        <v xml:space="preserve"> - The working hours template is now incorporated into the monthly tables and as a new feature can be individually adjusted from day to day.</v>
      </c>
      <c r="C20" s="608"/>
      <c r="D20" s="608"/>
      <c r="E20" s="608"/>
      <c r="F20" s="608"/>
      <c r="G20" s="608"/>
      <c r="H20" s="608"/>
      <c r="I20" s="608"/>
      <c r="J20" s="608"/>
      <c r="K20" s="608"/>
      <c r="L20" s="608"/>
    </row>
    <row r="21" spans="1:15" x14ac:dyDescent="0.15">
      <c r="A21" s="395"/>
      <c r="B21" s="489"/>
      <c r="C21" s="489"/>
      <c r="D21" s="489"/>
      <c r="E21" s="489"/>
      <c r="F21" s="489"/>
      <c r="G21" s="489"/>
      <c r="H21" s="489"/>
      <c r="I21" s="489"/>
      <c r="J21" s="489"/>
      <c r="K21" s="489"/>
      <c r="L21" s="489"/>
    </row>
    <row r="22" spans="1:15" x14ac:dyDescent="0.15">
      <c r="A22" s="602" t="str">
        <f>Para1!F166</f>
        <v>personal data</v>
      </c>
      <c r="B22" s="602"/>
      <c r="C22" s="602"/>
      <c r="D22" s="489"/>
      <c r="E22" s="489"/>
      <c r="F22" s="489"/>
      <c r="G22" s="489"/>
      <c r="H22" s="489"/>
      <c r="I22" s="489"/>
      <c r="J22" s="489"/>
      <c r="K22" s="489"/>
      <c r="L22" s="489"/>
    </row>
    <row r="23" spans="1:15" x14ac:dyDescent="0.15">
      <c r="A23" s="193" t="s">
        <v>257</v>
      </c>
      <c r="B23" s="602" t="str">
        <f>Para1!F166</f>
        <v>personal data</v>
      </c>
      <c r="C23" s="602"/>
      <c r="D23" s="600"/>
      <c r="E23" s="600"/>
      <c r="F23" s="600"/>
      <c r="G23" s="600"/>
      <c r="H23" s="600"/>
      <c r="I23" s="600"/>
      <c r="J23" s="600"/>
      <c r="K23" s="600"/>
      <c r="L23" s="600"/>
    </row>
    <row r="24" spans="1:15" x14ac:dyDescent="0.15">
      <c r="B24" s="600" t="str">
        <f>Para1!J234</f>
        <v>Click on the tab “Persönliche Daten (pers. data)” on the scroll bar at the bottom of the table and complete the shaded grey fields with the following</v>
      </c>
      <c r="C24" s="600"/>
      <c r="D24" s="600"/>
      <c r="E24" s="600"/>
      <c r="F24" s="600"/>
      <c r="G24" s="600"/>
      <c r="H24" s="600"/>
      <c r="I24" s="600"/>
      <c r="J24" s="600"/>
      <c r="K24" s="600"/>
      <c r="L24" s="600"/>
    </row>
    <row r="25" spans="1:15" x14ac:dyDescent="0.15">
      <c r="B25" s="600" t="str">
        <f>Para1!J235</f>
        <v xml:space="preserve">information: first name, family name, date of birth, personnel number, entry date, employment level (BG) and salary classification (GK). </v>
      </c>
      <c r="C25" s="600"/>
      <c r="D25" s="600"/>
      <c r="E25" s="600"/>
      <c r="F25" s="600"/>
      <c r="G25" s="600"/>
      <c r="H25" s="600"/>
      <c r="I25" s="600"/>
      <c r="J25" s="600"/>
      <c r="K25" s="600"/>
      <c r="L25" s="600"/>
    </row>
    <row r="26" spans="1:15" x14ac:dyDescent="0.15">
      <c r="B26" s="600" t="str">
        <f>Para1!J236</f>
        <v>Use the tabulator key to move from one field to another. The data will be transferred automatically to the monthly tables, and your holiday entitlement</v>
      </c>
      <c r="C26" s="600"/>
      <c r="D26" s="600"/>
      <c r="E26" s="600"/>
      <c r="F26" s="600"/>
      <c r="G26" s="600"/>
      <c r="H26" s="600"/>
      <c r="I26" s="600"/>
      <c r="J26" s="600"/>
      <c r="K26" s="600"/>
      <c r="L26" s="600"/>
    </row>
    <row r="27" spans="1:15" x14ac:dyDescent="0.15">
      <c r="B27" s="600" t="str">
        <f>Para1!J237</f>
        <v>and planned working time calculated. Trainees should enter the code ‘LE’ in the field ‘salary classification’ (holiday entitlement 32 days).</v>
      </c>
      <c r="C27" s="600"/>
      <c r="D27" s="600"/>
      <c r="E27" s="600"/>
      <c r="F27" s="600"/>
      <c r="G27" s="600"/>
      <c r="H27" s="600"/>
      <c r="I27" s="600"/>
      <c r="J27" s="600"/>
      <c r="K27" s="600"/>
      <c r="L27" s="600"/>
    </row>
    <row r="28" spans="1:15" x14ac:dyDescent="0.15">
      <c r="B28" s="602" t="str">
        <f>Para1!J238</f>
        <v>Commencement/termination of employment during the year</v>
      </c>
      <c r="C28" s="602"/>
      <c r="D28" s="602"/>
      <c r="E28" s="602"/>
      <c r="F28" s="602"/>
      <c r="G28" s="602"/>
      <c r="H28" s="602"/>
      <c r="I28" s="602"/>
      <c r="J28" s="602"/>
      <c r="K28" s="602"/>
      <c r="L28" s="602"/>
    </row>
    <row r="29" spans="1:15" x14ac:dyDescent="0.15">
      <c r="B29" s="600" t="str">
        <f>Para1!J239</f>
        <v>If employment is commenced during the course of the year, complete the fields level of employment (BG) and Salary classification (GK) from the month</v>
      </c>
      <c r="C29" s="600"/>
      <c r="D29" s="600"/>
      <c r="E29" s="600"/>
      <c r="F29" s="600"/>
      <c r="G29" s="600"/>
      <c r="H29" s="600"/>
      <c r="I29" s="600"/>
      <c r="J29" s="600"/>
      <c r="K29" s="600"/>
      <c r="L29" s="600"/>
    </row>
    <row r="30" spans="1:15" x14ac:dyDescent="0.15">
      <c r="B30" s="600" t="str">
        <f>Para1!J240</f>
        <v>of entry. If employment is terminated during the year, enter a "0" for the remaining months. The record then ends with the last month of employment.</v>
      </c>
      <c r="C30" s="600"/>
      <c r="D30" s="600"/>
      <c r="E30" s="600"/>
      <c r="F30" s="600"/>
      <c r="G30" s="600"/>
      <c r="H30" s="600"/>
      <c r="I30" s="600"/>
      <c r="J30" s="600"/>
      <c r="K30" s="600"/>
      <c r="L30" s="600"/>
    </row>
    <row r="31" spans="1:15" x14ac:dyDescent="0.15">
      <c r="B31" s="602" t="str">
        <f>Para1!J241</f>
        <v>Commencement or change in employment conditions mid-month</v>
      </c>
      <c r="C31" s="602"/>
      <c r="D31" s="602"/>
      <c r="E31" s="602"/>
      <c r="F31" s="602"/>
      <c r="G31" s="602"/>
      <c r="H31" s="602"/>
      <c r="I31" s="602"/>
      <c r="J31" s="602"/>
      <c r="K31" s="602"/>
      <c r="L31" s="602"/>
    </row>
    <row r="32" spans="1:15" x14ac:dyDescent="0.15">
      <c r="B32" s="600" t="str">
        <f>Para1!J242</f>
        <v xml:space="preserve">When there is a change in employment during the month, the level of employment (BG) must be recalculated. Use “Umrechnung (Calculation)”.  </v>
      </c>
      <c r="C32" s="600"/>
      <c r="D32" s="600"/>
      <c r="E32" s="600"/>
      <c r="F32" s="600"/>
      <c r="G32" s="600"/>
      <c r="H32" s="600"/>
      <c r="I32" s="600"/>
      <c r="J32" s="600"/>
      <c r="K32" s="600"/>
      <c r="L32" s="600"/>
    </row>
    <row r="33" spans="1:13" x14ac:dyDescent="0.15">
      <c r="B33" s="193" t="str">
        <f>Para1!F87&amp;" "&amp;Para1!F97&amp;" / "&amp;Para1!F123</f>
        <v>Alteration in level of employment / salary class</v>
      </c>
      <c r="F33" s="600"/>
      <c r="G33" s="600"/>
      <c r="H33" s="600"/>
      <c r="I33" s="600"/>
      <c r="J33" s="600"/>
      <c r="K33" s="600"/>
      <c r="L33" s="600"/>
    </row>
    <row r="34" spans="1:13" x14ac:dyDescent="0.15">
      <c r="B34" s="600" t="str">
        <f>Para1!J243</f>
        <v>If the BG or GK changes during the year, these can be recorded in the corresponding month in the "Persönliche Daten (pers. Data)".</v>
      </c>
      <c r="C34" s="600"/>
      <c r="D34" s="600"/>
      <c r="E34" s="600"/>
      <c r="F34" s="600"/>
      <c r="G34" s="600"/>
      <c r="H34" s="600"/>
      <c r="I34" s="600"/>
      <c r="J34" s="600"/>
      <c r="K34" s="600"/>
      <c r="L34" s="600"/>
    </row>
    <row r="35" spans="1:13" x14ac:dyDescent="0.15">
      <c r="A35" s="193" t="s">
        <v>257</v>
      </c>
      <c r="B35" s="602" t="str">
        <f>Para1!F184&amp;": "&amp;Para1!F117</f>
        <v>hours left from last year: holiday</v>
      </c>
      <c r="C35" s="602"/>
      <c r="D35" s="602"/>
      <c r="E35" s="602"/>
      <c r="F35" s="602"/>
      <c r="G35" s="602"/>
      <c r="H35" s="602"/>
      <c r="I35" s="602"/>
      <c r="J35" s="602"/>
      <c r="K35" s="602"/>
      <c r="L35" s="602"/>
    </row>
    <row r="36" spans="1:13" x14ac:dyDescent="0.15">
      <c r="B36" s="601" t="str">
        <f>Para1!J244</f>
        <v>Enter last years holiday balance as agreed with your supervisor.</v>
      </c>
      <c r="C36" s="601"/>
      <c r="D36" s="601"/>
      <c r="E36" s="601"/>
      <c r="F36" s="601"/>
      <c r="G36" s="601"/>
      <c r="H36" s="601"/>
      <c r="I36" s="601"/>
      <c r="J36" s="601"/>
      <c r="K36" s="601"/>
      <c r="L36" s="601"/>
    </row>
    <row r="37" spans="1:13" x14ac:dyDescent="0.15">
      <c r="B37" s="601" t="str">
        <f>Para1!J245</f>
        <v xml:space="preserve"> </v>
      </c>
      <c r="C37" s="601"/>
      <c r="D37" s="601"/>
      <c r="E37" s="601"/>
      <c r="F37" s="601"/>
      <c r="G37" s="601"/>
      <c r="H37" s="601"/>
      <c r="I37" s="601"/>
      <c r="J37" s="601"/>
      <c r="K37" s="601"/>
      <c r="L37" s="601"/>
    </row>
    <row r="38" spans="1:13" x14ac:dyDescent="0.15">
      <c r="A38" s="488"/>
      <c r="B38" s="488"/>
      <c r="C38" s="488"/>
      <c r="D38" s="488"/>
      <c r="E38" s="488"/>
      <c r="F38" s="488"/>
      <c r="G38" s="488"/>
      <c r="H38" s="488"/>
      <c r="I38" s="488"/>
      <c r="J38" s="488"/>
      <c r="K38" s="488"/>
      <c r="L38" s="488"/>
    </row>
    <row r="39" spans="1:13" x14ac:dyDescent="0.15">
      <c r="A39" s="193" t="str">
        <f>Para1!F132</f>
        <v>Overview</v>
      </c>
      <c r="B39" s="193"/>
      <c r="D39" s="600"/>
      <c r="E39" s="600"/>
      <c r="F39" s="600"/>
      <c r="G39" s="600"/>
      <c r="H39" s="600"/>
      <c r="I39" s="600"/>
      <c r="J39" s="600"/>
      <c r="K39" s="600"/>
      <c r="L39" s="600"/>
    </row>
    <row r="40" spans="1:13" x14ac:dyDescent="0.15">
      <c r="A40" s="193" t="s">
        <v>257</v>
      </c>
      <c r="B40" s="193" t="str">
        <f>Para1!F117</f>
        <v>holiday</v>
      </c>
      <c r="C40" s="600"/>
      <c r="D40" s="600"/>
      <c r="E40" s="600"/>
      <c r="F40" s="600"/>
      <c r="G40" s="600"/>
      <c r="H40" s="600"/>
      <c r="I40" s="600"/>
      <c r="J40" s="600"/>
      <c r="K40" s="600"/>
      <c r="L40" s="600"/>
    </row>
    <row r="41" spans="1:13" x14ac:dyDescent="0.15">
      <c r="B41" s="600" t="str">
        <f>Para1!J246</f>
        <v>This is an overview of your unused holiday entitlement, holiday taken and reduction of holiday.</v>
      </c>
      <c r="C41" s="600"/>
      <c r="D41" s="600"/>
      <c r="E41" s="600"/>
      <c r="F41" s="600"/>
      <c r="G41" s="600"/>
      <c r="H41" s="600"/>
      <c r="I41" s="600"/>
      <c r="J41" s="600"/>
      <c r="K41" s="600"/>
      <c r="L41" s="600"/>
    </row>
    <row r="42" spans="1:13" x14ac:dyDescent="0.15">
      <c r="B42" s="193" t="str">
        <f>Para1!F182</f>
        <v>loyalty premium</v>
      </c>
      <c r="D42" s="600"/>
      <c r="E42" s="600"/>
      <c r="F42" s="600"/>
      <c r="G42" s="600"/>
      <c r="H42" s="600"/>
      <c r="I42" s="600"/>
      <c r="J42" s="600"/>
      <c r="K42" s="600"/>
      <c r="L42" s="600"/>
    </row>
    <row r="43" spans="1:13" x14ac:dyDescent="0.15">
      <c r="B43" s="600" t="str">
        <f>Para1!J247</f>
        <v>Enter here holiday entitlement earned as a result of long-service.</v>
      </c>
      <c r="C43" s="600"/>
      <c r="D43" s="600"/>
      <c r="E43" s="600"/>
      <c r="F43" s="600"/>
      <c r="G43" s="600"/>
      <c r="H43" s="600"/>
      <c r="I43" s="600"/>
      <c r="J43" s="600"/>
      <c r="K43" s="600"/>
      <c r="L43" s="600"/>
    </row>
    <row r="44" spans="1:13" x14ac:dyDescent="0.15">
      <c r="B44" s="193" t="str">
        <f>Para1!F119</f>
        <v>reduction of holiday</v>
      </c>
      <c r="D44" s="600"/>
      <c r="E44" s="600"/>
      <c r="F44" s="600"/>
      <c r="G44" s="600"/>
      <c r="H44" s="600"/>
      <c r="I44" s="600"/>
      <c r="J44" s="600"/>
      <c r="K44" s="600"/>
      <c r="L44" s="600"/>
    </row>
    <row r="45" spans="1:13" x14ac:dyDescent="0.15">
      <c r="B45" s="600" t="str">
        <f>Para1!J248</f>
        <v xml:space="preserve">This is an overview of your reduction of holiday, entered manually. Holiday reduction as a result of unpaid leave, lengthy absences due to illness or </v>
      </c>
      <c r="C45" s="600"/>
      <c r="D45" s="600"/>
      <c r="E45" s="600"/>
      <c r="F45" s="600"/>
      <c r="G45" s="600"/>
      <c r="H45" s="600"/>
      <c r="I45" s="600"/>
      <c r="J45" s="600"/>
      <c r="K45" s="600"/>
      <c r="L45" s="600"/>
    </row>
    <row r="46" spans="1:13" x14ac:dyDescent="0.15">
      <c r="B46" s="600" t="str">
        <f>Para1!J249</f>
        <v>accident should be entered in hours and minutes. Holiday reductions are entered on the individual monthly tables.</v>
      </c>
      <c r="C46" s="600"/>
      <c r="D46" s="600"/>
      <c r="E46" s="600"/>
      <c r="F46" s="600"/>
      <c r="G46" s="600"/>
      <c r="H46" s="600"/>
      <c r="I46" s="600"/>
      <c r="J46" s="600"/>
      <c r="K46" s="600"/>
      <c r="L46" s="600"/>
    </row>
    <row r="47" spans="1:13" x14ac:dyDescent="0.15">
      <c r="B47" s="600" t="str">
        <f>Para1!J250</f>
        <v>In the case of lengthy absence consult:</v>
      </c>
      <c r="C47" s="600"/>
      <c r="D47" s="600"/>
      <c r="E47" s="599" t="s">
        <v>429</v>
      </c>
      <c r="F47" s="599"/>
      <c r="G47" s="599"/>
      <c r="H47" s="599"/>
      <c r="I47" s="599"/>
      <c r="J47" s="599"/>
      <c r="K47" s="599"/>
      <c r="L47" s="599"/>
      <c r="M47" s="599"/>
    </row>
    <row r="48" spans="1:13" x14ac:dyDescent="0.15">
      <c r="A48" s="193" t="s">
        <v>257</v>
      </c>
      <c r="B48" s="193" t="str">
        <f>Para1!F83</f>
        <v>absences</v>
      </c>
      <c r="C48" s="600"/>
      <c r="D48" s="600"/>
      <c r="E48" s="600"/>
      <c r="F48" s="600"/>
      <c r="G48" s="600"/>
      <c r="H48" s="600"/>
      <c r="I48" s="600"/>
      <c r="J48" s="600"/>
      <c r="K48" s="600"/>
      <c r="L48" s="600"/>
    </row>
    <row r="49" spans="1:13" x14ac:dyDescent="0.15">
      <c r="B49" s="600" t="str">
        <f>Para1!J251</f>
        <v>This is an overview of your absences for the whole year.</v>
      </c>
      <c r="C49" s="600"/>
      <c r="D49" s="600"/>
      <c r="E49" s="600"/>
      <c r="F49" s="600"/>
      <c r="G49" s="600"/>
      <c r="H49" s="600"/>
      <c r="I49" s="600"/>
      <c r="J49" s="600"/>
      <c r="K49" s="600"/>
      <c r="L49" s="600"/>
    </row>
    <row r="50" spans="1:13" x14ac:dyDescent="0.15">
      <c r="A50" s="600"/>
      <c r="B50" s="600"/>
      <c r="C50" s="600"/>
      <c r="D50" s="600"/>
      <c r="E50" s="600"/>
      <c r="F50" s="600"/>
      <c r="G50" s="600"/>
      <c r="H50" s="600"/>
      <c r="I50" s="600"/>
      <c r="J50" s="600"/>
      <c r="K50" s="600"/>
      <c r="L50" s="600"/>
    </row>
    <row r="51" spans="1:13" x14ac:dyDescent="0.15">
      <c r="A51" s="602" t="str">
        <f>Para1!F155</f>
        <v>monthly sheets</v>
      </c>
      <c r="B51" s="602"/>
      <c r="C51" s="600"/>
      <c r="D51" s="600"/>
      <c r="E51" s="600"/>
      <c r="F51" s="600"/>
      <c r="G51" s="600"/>
      <c r="H51" s="600"/>
      <c r="I51" s="600"/>
      <c r="J51" s="600"/>
      <c r="K51" s="600"/>
      <c r="L51" s="600"/>
    </row>
    <row r="52" spans="1:13" x14ac:dyDescent="0.15">
      <c r="A52" s="193" t="s">
        <v>257</v>
      </c>
      <c r="B52" s="602" t="str">
        <f>Para1!F83&amp;" in "&amp;Para1!F176</f>
        <v>absences in hours</v>
      </c>
      <c r="C52" s="602"/>
      <c r="D52" s="600"/>
      <c r="E52" s="600"/>
      <c r="F52" s="600"/>
      <c r="G52" s="600"/>
      <c r="H52" s="600"/>
      <c r="I52" s="600"/>
      <c r="J52" s="600"/>
      <c r="K52" s="600"/>
      <c r="L52" s="600"/>
    </row>
    <row r="53" spans="1:13" x14ac:dyDescent="0.15">
      <c r="B53" s="600" t="str">
        <f>Para1!J252</f>
        <v>Absences in hours should be entered in hours and minutes in the appropriate fields. In the case of a full or half-day absence, take into account the</v>
      </c>
      <c r="C53" s="600"/>
      <c r="D53" s="600"/>
      <c r="E53" s="600"/>
      <c r="F53" s="600"/>
      <c r="G53" s="600"/>
      <c r="H53" s="600"/>
      <c r="I53" s="600"/>
      <c r="J53" s="600"/>
      <c r="K53" s="600"/>
      <c r="L53" s="600"/>
    </row>
    <row r="54" spans="1:13" x14ac:dyDescent="0.15">
      <c r="B54" s="601" t="str">
        <f>Para1!J253</f>
        <v xml:space="preserve">planned working time for the corresponding day. (The theoretical time to be worked for one half day is found below the column with the working </v>
      </c>
      <c r="C54" s="600"/>
      <c r="D54" s="600"/>
      <c r="E54" s="600"/>
      <c r="F54" s="600"/>
      <c r="G54" s="600"/>
      <c r="H54" s="600"/>
      <c r="I54" s="600"/>
      <c r="J54" s="600"/>
      <c r="K54" s="600"/>
      <c r="L54" s="600"/>
    </row>
    <row r="55" spans="1:13" x14ac:dyDescent="0.15">
      <c r="B55" s="601" t="str">
        <f>Para1!J254</f>
        <v xml:space="preserve">hours template) </v>
      </c>
      <c r="C55" s="600"/>
      <c r="D55" s="600"/>
      <c r="E55" s="600"/>
      <c r="F55" s="600"/>
      <c r="G55" s="600"/>
      <c r="H55" s="600"/>
      <c r="I55" s="600"/>
      <c r="J55" s="600"/>
      <c r="K55" s="600"/>
      <c r="L55" s="600"/>
    </row>
    <row r="56" spans="1:13" x14ac:dyDescent="0.15">
      <c r="A56" s="193" t="s">
        <v>257</v>
      </c>
      <c r="B56" s="602" t="str">
        <f>Para1!F83&amp;" in "&amp;Para1!F178</f>
        <v>absences in days</v>
      </c>
      <c r="C56" s="602"/>
      <c r="D56" s="600"/>
      <c r="E56" s="600"/>
      <c r="F56" s="600"/>
      <c r="G56" s="600"/>
      <c r="H56" s="600"/>
      <c r="I56" s="600"/>
      <c r="J56" s="600"/>
      <c r="K56" s="600"/>
      <c r="L56" s="600"/>
    </row>
    <row r="57" spans="1:13" x14ac:dyDescent="0.15">
      <c r="B57" s="600" t="str">
        <f>Para1!J255</f>
        <v>Absences in days should be entered in the corresponding fields for morning and afternoon. Unlike the absences in hours,entries are not made in hours</v>
      </c>
      <c r="C57" s="600"/>
      <c r="D57" s="600"/>
      <c r="E57" s="600"/>
      <c r="F57" s="600"/>
      <c r="G57" s="600"/>
      <c r="H57" s="600"/>
      <c r="I57" s="600"/>
      <c r="J57" s="600"/>
      <c r="K57" s="600"/>
      <c r="L57" s="600"/>
    </row>
    <row r="58" spans="1:13" x14ac:dyDescent="0.15">
      <c r="B58" s="600" t="str">
        <f>Para1!J256</f>
        <v>and minutes but by using the corresponding letter. A key to these is found on the monthly tables. The record of absences automatically calculates</v>
      </c>
      <c r="C58" s="600"/>
      <c r="D58" s="600"/>
      <c r="E58" s="600"/>
      <c r="F58" s="600"/>
      <c r="G58" s="600"/>
      <c r="H58" s="600"/>
      <c r="I58" s="600"/>
      <c r="J58" s="600"/>
      <c r="K58" s="600"/>
      <c r="L58" s="600"/>
    </row>
    <row r="59" spans="1:13" x14ac:dyDescent="0.15">
      <c r="B59" s="600" t="str">
        <f>Para1!J257</f>
        <v>absences taken in hours and minutes.</v>
      </c>
      <c r="C59" s="600"/>
      <c r="D59" s="600"/>
      <c r="E59" s="600"/>
      <c r="F59" s="600"/>
      <c r="G59" s="600"/>
      <c r="H59" s="600"/>
      <c r="I59" s="600"/>
      <c r="J59" s="600"/>
      <c r="K59" s="600"/>
      <c r="L59" s="600"/>
    </row>
    <row r="60" spans="1:13" x14ac:dyDescent="0.15">
      <c r="A60" s="193" t="s">
        <v>257</v>
      </c>
      <c r="B60" s="160" t="str">
        <f>Para1!F91</f>
        <v>working hours template</v>
      </c>
      <c r="C60" s="160"/>
      <c r="D60" s="600"/>
      <c r="E60" s="600"/>
      <c r="F60" s="600"/>
      <c r="G60" s="600"/>
      <c r="H60" s="600"/>
      <c r="I60" s="600"/>
      <c r="J60" s="600"/>
      <c r="K60" s="600"/>
      <c r="L60" s="600"/>
    </row>
    <row r="61" spans="1:13" x14ac:dyDescent="0.15">
      <c r="B61" s="600" t="str">
        <f>Para1!J258</f>
        <v xml:space="preserve">A new feature is the working hours template. An individual entry can be made for each day. The working hours template is incorporated in the standard </v>
      </c>
      <c r="C61" s="600"/>
      <c r="D61" s="600"/>
      <c r="E61" s="600"/>
      <c r="F61" s="600"/>
      <c r="G61" s="600"/>
      <c r="H61" s="600"/>
      <c r="I61" s="600"/>
      <c r="J61" s="600"/>
      <c r="K61" s="600"/>
      <c r="L61" s="600"/>
      <c r="M61" s="134"/>
    </row>
    <row r="62" spans="1:13" x14ac:dyDescent="0.15">
      <c r="B62" s="495" t="str">
        <f>Para1!J259</f>
        <v>settings and not in the print area. Further information can be found:</v>
      </c>
      <c r="C62" s="495"/>
      <c r="D62" s="495"/>
      <c r="E62" s="495"/>
      <c r="F62" s="495"/>
      <c r="G62" s="604" t="s">
        <v>430</v>
      </c>
      <c r="H62" s="604"/>
      <c r="I62" s="604"/>
      <c r="J62" s="604"/>
      <c r="K62" s="604"/>
      <c r="L62" s="604"/>
      <c r="M62" s="134"/>
    </row>
    <row r="63" spans="1:13" x14ac:dyDescent="0.15">
      <c r="A63" s="600"/>
      <c r="B63" s="600"/>
      <c r="C63" s="600"/>
      <c r="D63" s="600"/>
      <c r="E63" s="600"/>
      <c r="F63" s="600"/>
      <c r="G63" s="600"/>
      <c r="H63" s="600"/>
      <c r="I63" s="600"/>
      <c r="J63" s="600"/>
      <c r="K63" s="600"/>
      <c r="L63" s="600"/>
      <c r="M63" s="134"/>
    </row>
    <row r="64" spans="1:13" x14ac:dyDescent="0.15">
      <c r="A64" s="602" t="str">
        <f>Para1!F201</f>
        <v>key figures</v>
      </c>
      <c r="B64" s="602"/>
      <c r="C64" s="600"/>
      <c r="D64" s="600"/>
      <c r="E64" s="600"/>
      <c r="F64" s="600"/>
      <c r="G64" s="600"/>
      <c r="H64" s="600"/>
      <c r="I64" s="600"/>
      <c r="J64" s="600"/>
      <c r="K64" s="600"/>
      <c r="L64" s="600"/>
      <c r="M64" s="134"/>
    </row>
    <row r="65" spans="2:13" x14ac:dyDescent="0.15">
      <c r="B65" s="600" t="str">
        <f>Para1!J260</f>
        <v xml:space="preserve">In the worksheet "Zeitkennzahlen (key figures)" you will find a summary of the key figures. It is a requirement of the University of Bern that all </v>
      </c>
      <c r="C65" s="600"/>
      <c r="D65" s="600"/>
      <c r="E65" s="600"/>
      <c r="F65" s="600"/>
      <c r="G65" s="600"/>
      <c r="H65" s="600"/>
      <c r="I65" s="600"/>
      <c r="J65" s="600"/>
      <c r="K65" s="600"/>
      <c r="L65" s="600"/>
      <c r="M65" s="134"/>
    </row>
    <row r="66" spans="2:13" x14ac:dyDescent="0.15">
      <c r="B66" s="600" t="str">
        <f>Para1!J261</f>
        <v>employees submit an annual report of time worked and/or absences. The relevant date is 31.12. each year and the information must be registered</v>
      </c>
      <c r="C66" s="600"/>
      <c r="D66" s="600"/>
      <c r="E66" s="600"/>
      <c r="F66" s="600"/>
      <c r="G66" s="600"/>
      <c r="H66" s="600"/>
      <c r="I66" s="600"/>
      <c r="J66" s="600"/>
      <c r="K66" s="600"/>
      <c r="L66" s="600"/>
    </row>
    <row r="67" spans="2:13" x14ac:dyDescent="0.15">
      <c r="B67" s="600" t="str">
        <f>Para1!J262</f>
        <v>by the begin of January by the member of staff responsible in each organisational unit.</v>
      </c>
      <c r="C67" s="600"/>
      <c r="D67" s="600"/>
      <c r="E67" s="600"/>
      <c r="F67" s="600"/>
      <c r="G67" s="600"/>
      <c r="H67" s="600"/>
      <c r="I67" s="600"/>
      <c r="J67" s="600"/>
      <c r="K67" s="600"/>
      <c r="L67" s="600"/>
    </row>
    <row r="68" spans="2:13" x14ac:dyDescent="0.15">
      <c r="B68" s="600"/>
      <c r="C68" s="600"/>
      <c r="D68" s="600"/>
      <c r="E68" s="600"/>
      <c r="F68" s="600"/>
      <c r="G68" s="604"/>
      <c r="H68" s="604"/>
      <c r="I68" s="604"/>
      <c r="J68" s="604"/>
      <c r="K68" s="604"/>
      <c r="L68" s="604"/>
    </row>
  </sheetData>
  <sheetProtection algorithmName="SHA-512" hashValue="g6BvviAjM4BYd1X4Ks+533UZnRkeA9Z/rt443Elk4Y4ZDkqXCwt/C78R16LGFimp2g4MPFIz65Vuw0i3z6oZpQ==" saltValue="fwRrpFzVNtlAYEtVN//OHw==" spinCount="100000" sheet="1" objects="1" scenarios="1"/>
  <mergeCells count="76">
    <mergeCell ref="C16:L16"/>
    <mergeCell ref="D23:L23"/>
    <mergeCell ref="E8:F8"/>
    <mergeCell ref="B28:L28"/>
    <mergeCell ref="B17:L17"/>
    <mergeCell ref="B19:L19"/>
    <mergeCell ref="B20:L20"/>
    <mergeCell ref="B24:L24"/>
    <mergeCell ref="B25:L25"/>
    <mergeCell ref="B18:L18"/>
    <mergeCell ref="A22:C22"/>
    <mergeCell ref="B47:D47"/>
    <mergeCell ref="B34:L34"/>
    <mergeCell ref="B41:L41"/>
    <mergeCell ref="B57:L57"/>
    <mergeCell ref="B53:L53"/>
    <mergeCell ref="C40:L40"/>
    <mergeCell ref="B52:C52"/>
    <mergeCell ref="A51:B51"/>
    <mergeCell ref="C48:L48"/>
    <mergeCell ref="B49:L49"/>
    <mergeCell ref="A50:L50"/>
    <mergeCell ref="C51:L51"/>
    <mergeCell ref="D52:L52"/>
    <mergeCell ref="B45:L45"/>
    <mergeCell ref="B46:L46"/>
    <mergeCell ref="D44:L44"/>
    <mergeCell ref="B58:L58"/>
    <mergeCell ref="D60:L60"/>
    <mergeCell ref="B59:L59"/>
    <mergeCell ref="B54:L54"/>
    <mergeCell ref="B56:C56"/>
    <mergeCell ref="D56:L56"/>
    <mergeCell ref="B55:L55"/>
    <mergeCell ref="B61:L61"/>
    <mergeCell ref="A64:B64"/>
    <mergeCell ref="C64:L64"/>
    <mergeCell ref="A63:L63"/>
    <mergeCell ref="G62:L62"/>
    <mergeCell ref="B68:F68"/>
    <mergeCell ref="G68:L68"/>
    <mergeCell ref="B67:L67"/>
    <mergeCell ref="B65:L65"/>
    <mergeCell ref="B66:L66"/>
    <mergeCell ref="A3:I3"/>
    <mergeCell ref="A2:I2"/>
    <mergeCell ref="A1:I1"/>
    <mergeCell ref="A14:L14"/>
    <mergeCell ref="D10:E10"/>
    <mergeCell ref="A5:I5"/>
    <mergeCell ref="A13:E13"/>
    <mergeCell ref="F13:G13"/>
    <mergeCell ref="H13:L13"/>
    <mergeCell ref="A11:L11"/>
    <mergeCell ref="A12:L12"/>
    <mergeCell ref="F10:J10"/>
    <mergeCell ref="A10:B10"/>
    <mergeCell ref="A7:I7"/>
    <mergeCell ref="A6:I6"/>
    <mergeCell ref="A8:C8"/>
    <mergeCell ref="B43:L43"/>
    <mergeCell ref="D42:L42"/>
    <mergeCell ref="B36:L36"/>
    <mergeCell ref="A4:I4"/>
    <mergeCell ref="B29:L29"/>
    <mergeCell ref="B30:L30"/>
    <mergeCell ref="B32:L32"/>
    <mergeCell ref="D39:L39"/>
    <mergeCell ref="B31:L31"/>
    <mergeCell ref="B37:L37"/>
    <mergeCell ref="B35:L35"/>
    <mergeCell ref="F33:L33"/>
    <mergeCell ref="B26:L26"/>
    <mergeCell ref="B27:L27"/>
    <mergeCell ref="B23:C23"/>
    <mergeCell ref="A15:L15"/>
  </mergeCells>
  <dataValidations count="1">
    <dataValidation type="list" allowBlank="1" showInputMessage="1" showErrorMessage="1" sqref="D8" xr:uid="{00000000-0002-0000-0000-000000000000}">
      <formula1>$H$8:$H$9</formula1>
    </dataValidation>
  </dataValidations>
  <hyperlinks>
    <hyperlink ref="F13" display="systeme@pers.unibe.ch" xr:uid="{00000000-0004-0000-0000-000000000000}"/>
    <hyperlink ref="G62:L62" r:id="rId1" display="Erklärung Arbeitsmuster" xr:uid="{00000000-0004-0000-0000-000001000000}"/>
    <hyperlink ref="E47:L47" r:id="rId2" display="Merkblatt Ferienanspruch bei länger dauernder Abwesenheit infolge Krankheit, Unfall oder Miltärdienst" xr:uid="{00000000-0004-0000-0000-000002000000}"/>
    <hyperlink ref="F13:G13" r:id="rId3" display="systeme@pers.unibe.ch" xr:uid="{00000000-0004-0000-0000-000003000000}"/>
  </hyperlinks>
  <pageMargins left="0.7" right="0.7" top="0.78740157499999996" bottom="0.78740157499999996" header="0.3" footer="0.3"/>
  <pageSetup paperSize="9" orientation="landscape" r:id="rId4"/>
  <headerFooter>
    <oddFooter>&amp;L&amp;Z&amp;F&amp;RSeite &amp;P/&amp;N</oddFooter>
  </headerFooter>
  <rowBreaks count="1" manualBreakCount="1">
    <brk id="43" max="16383" man="1"/>
  </rowBreaks>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pageSetUpPr fitToPage="1"/>
  </sheetPr>
  <dimension ref="A1:Z61"/>
  <sheetViews>
    <sheetView showGridLines="0"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6"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c r="Z1" s="10"/>
    </row>
    <row r="2" spans="1:26" ht="6" customHeight="1" x14ac:dyDescent="0.15">
      <c r="D2" s="7"/>
      <c r="E2" s="7"/>
      <c r="F2" s="7"/>
      <c r="G2" s="7"/>
      <c r="H2" s="11"/>
      <c r="I2" s="7"/>
      <c r="J2" s="7"/>
      <c r="K2" s="7"/>
      <c r="L2" s="7"/>
      <c r="M2" s="5"/>
      <c r="N2" s="5"/>
    </row>
    <row r="3" spans="1:26" x14ac:dyDescent="0.15">
      <c r="A3" s="636" t="str">
        <f>Para1!F165</f>
        <v xml:space="preserve">pers.-no.: </v>
      </c>
      <c r="B3" s="636"/>
      <c r="C3" s="237"/>
      <c r="D3" s="241">
        <f>'Jahresübersicht (Overview)'!C4</f>
        <v>0</v>
      </c>
      <c r="E3" s="7"/>
      <c r="F3" s="8" t="str">
        <f>Para1!F97&amp;": "</f>
        <v xml:space="preserve">level of employment: </v>
      </c>
      <c r="G3" s="29">
        <f>'Jahresübersicht (Overview)'!I8</f>
        <v>0</v>
      </c>
      <c r="H3" s="11" t="s">
        <v>215</v>
      </c>
      <c r="I3" s="58"/>
      <c r="J3" s="237"/>
      <c r="K3" s="246" t="str">
        <f>Para1!F113</f>
        <v xml:space="preserve">starting date: </v>
      </c>
      <c r="L3" s="247">
        <f>'Jahresübersicht (Overview)'!$G$4</f>
        <v>42596</v>
      </c>
      <c r="M3" s="243"/>
      <c r="N3" s="243"/>
    </row>
    <row r="4" spans="1:26" ht="6" customHeight="1" x14ac:dyDescent="0.15">
      <c r="A4" s="12"/>
      <c r="B4" s="13"/>
      <c r="C4" s="13"/>
      <c r="D4" s="14"/>
      <c r="E4" s="14"/>
      <c r="F4" s="14"/>
      <c r="G4" s="14"/>
      <c r="H4" s="14"/>
      <c r="I4" s="15"/>
      <c r="J4" s="15"/>
      <c r="K4" s="15"/>
      <c r="L4" s="15"/>
      <c r="M4" s="13"/>
      <c r="N4" s="13"/>
    </row>
    <row r="5" spans="1:26" ht="6" customHeight="1" x14ac:dyDescent="0.15">
      <c r="D5" s="7"/>
      <c r="E5" s="7"/>
      <c r="F5" s="7"/>
      <c r="G5" s="7"/>
      <c r="H5" s="7"/>
      <c r="I5" s="9"/>
      <c r="J5" s="9"/>
      <c r="K5" s="9"/>
      <c r="L5" s="9"/>
    </row>
    <row r="6" spans="1:26" ht="15" customHeight="1" x14ac:dyDescent="0.15">
      <c r="D6" s="7"/>
      <c r="E6" s="21"/>
      <c r="F6" s="7"/>
      <c r="G6" s="7"/>
      <c r="H6" s="7"/>
      <c r="I6" s="9"/>
      <c r="J6" s="9"/>
      <c r="K6" s="9"/>
      <c r="L6" s="9"/>
    </row>
    <row r="7" spans="1:26"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c r="O7" s="7"/>
      <c r="P7" s="7"/>
      <c r="Q7" s="5"/>
      <c r="R7" s="5"/>
    </row>
    <row r="8" spans="1:26" ht="15" customHeight="1" x14ac:dyDescent="0.15">
      <c r="D8" s="198" t="str">
        <f>Para1!B171&amp;" "&amp;Para1!B88&amp;" "&amp;Para1!B154</f>
        <v>Saldo Anfang Monat</v>
      </c>
      <c r="E8" s="201">
        <f>Juni!E11</f>
        <v>3.645833333333333</v>
      </c>
      <c r="H8" s="11"/>
      <c r="I8" s="21" t="str">
        <f>Para1!F141</f>
        <v>illness</v>
      </c>
      <c r="J8" s="242"/>
      <c r="K8" s="5"/>
      <c r="L8" s="161">
        <f>D54</f>
        <v>0</v>
      </c>
      <c r="M8" s="161">
        <f>Juni!N8</f>
        <v>0</v>
      </c>
      <c r="N8" s="93">
        <f t="shared" ref="N8:N13" si="0">SUM(L8:M8)</f>
        <v>0</v>
      </c>
    </row>
    <row r="9" spans="1:26"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Juni!N9</f>
        <v>0</v>
      </c>
      <c r="N9" s="93">
        <f t="shared" si="0"/>
        <v>0</v>
      </c>
    </row>
    <row r="10" spans="1:26" ht="15" customHeight="1" x14ac:dyDescent="0.15">
      <c r="D10" s="198" t="str">
        <f>"./ ."&amp;Para1!F119</f>
        <v>./ .reduction of holiday</v>
      </c>
      <c r="E10" s="530">
        <v>0</v>
      </c>
      <c r="H10" s="11"/>
      <c r="I10" s="21"/>
      <c r="J10" s="641" t="str">
        <f>Para1!F161&amp;" "&amp;Para1!F100</f>
        <v>not work. rel.</v>
      </c>
      <c r="K10" s="641"/>
      <c r="L10" s="161">
        <f>F54</f>
        <v>0</v>
      </c>
      <c r="M10" s="161">
        <f>Juni!N10</f>
        <v>0</v>
      </c>
      <c r="N10" s="93">
        <f t="shared" si="0"/>
        <v>0</v>
      </c>
    </row>
    <row r="11" spans="1:26" ht="15" customHeight="1" thickBot="1" x14ac:dyDescent="0.2">
      <c r="B11" s="251"/>
      <c r="C11" s="251"/>
      <c r="D11" s="246" t="str">
        <f>Para1!F171&amp;" "&amp;Para1!F115&amp;" "&amp;Para1!F154</f>
        <v>balance end of the month</v>
      </c>
      <c r="E11" s="202">
        <f>$E$8-$E$9-$E$10</f>
        <v>3.645833333333333</v>
      </c>
      <c r="H11" s="11"/>
      <c r="I11" s="49" t="str">
        <f>Para1!F142</f>
        <v>short vacation</v>
      </c>
      <c r="J11" s="5"/>
      <c r="K11" s="5"/>
      <c r="L11" s="161">
        <f>G54</f>
        <v>0</v>
      </c>
      <c r="M11" s="161">
        <f>Juni!N11</f>
        <v>0</v>
      </c>
      <c r="N11" s="93">
        <f t="shared" si="0"/>
        <v>0</v>
      </c>
    </row>
    <row r="12" spans="1:26" ht="15" customHeight="1" thickTop="1" x14ac:dyDescent="0.15">
      <c r="B12" s="542" t="str">
        <f>IF((E11*24+(4.2*'Persönliche Daten (pers. data)'!O8/100))&lt;0,Para1!J224,IF(E11&gt;0,"",Para1!J223))</f>
        <v/>
      </c>
      <c r="D12" s="11"/>
      <c r="H12" s="11"/>
      <c r="I12" s="24" t="str">
        <f>Para1!F198</f>
        <v>training / education</v>
      </c>
      <c r="J12" s="5"/>
      <c r="K12" s="5"/>
      <c r="L12" s="161">
        <f>H54</f>
        <v>0</v>
      </c>
      <c r="M12" s="161">
        <f>Juni!N12</f>
        <v>0</v>
      </c>
      <c r="N12" s="93">
        <f t="shared" si="0"/>
        <v>0</v>
      </c>
    </row>
    <row r="13" spans="1:26"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Juni!N13</f>
        <v>0</v>
      </c>
      <c r="N13" s="93">
        <f t="shared" si="0"/>
        <v>0</v>
      </c>
    </row>
    <row r="14" spans="1:26"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Juni!N14</f>
        <v>0</v>
      </c>
      <c r="N14" s="93">
        <f>SUM(L14:M14)</f>
        <v>0</v>
      </c>
      <c r="O14" s="299" t="e">
        <f>INDEX(U23:U53,MATCH("b",U23:U53,0))</f>
        <v>#N/A</v>
      </c>
      <c r="P14" s="299" t="e">
        <f>INDEX(V23:V53,MATCH("b",V23:V53,0))</f>
        <v>#N/A</v>
      </c>
    </row>
    <row r="15" spans="1:26"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Juni!N15</f>
        <v>0</v>
      </c>
      <c r="N15" s="93">
        <f>SUM(L15:M15)</f>
        <v>0</v>
      </c>
      <c r="O15" s="299" t="e">
        <f>INDEX(U23:U53,MATCH("u",U23:U53,0))</f>
        <v>#N/A</v>
      </c>
      <c r="P15" s="299" t="e">
        <f>INDEX(V23:V53,MATCH("u",V23:V53,0))</f>
        <v>#N/A</v>
      </c>
    </row>
    <row r="16" spans="1:26"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Juni!N16</f>
        <v>0</v>
      </c>
      <c r="N16" s="93">
        <f>SUM(L16:M16)</f>
        <v>0</v>
      </c>
      <c r="O16" s="299" t="e">
        <f>INDEX(U23:U53,MATCH("m",U23:U53,0))</f>
        <v>#N/A</v>
      </c>
      <c r="P16" s="299" t="e">
        <f>INDEX(V23:V53,MATCH("m",V23:V53,0))</f>
        <v>#N/A</v>
      </c>
    </row>
    <row r="17" spans="1:23" ht="15" customHeight="1" x14ac:dyDescent="0.15">
      <c r="B17" s="303" t="s">
        <v>424</v>
      </c>
      <c r="C17" s="655" t="str">
        <f>Para1!F192&amp;" "&amp;Para1!F101</f>
        <v>leave paid</v>
      </c>
      <c r="D17" s="655"/>
      <c r="E17" s="656"/>
      <c r="G17" s="182"/>
      <c r="H17" s="11"/>
      <c r="I17" s="21" t="str">
        <f>Para1!F150</f>
        <v>military/civil def./civil serv.</v>
      </c>
      <c r="J17" s="58"/>
      <c r="K17" s="58"/>
      <c r="L17" s="249">
        <f>COUNTIF($K$23:$L$53,"z")*$P$55-IF(ISNA(O17),0,(($S$54+$T$54)/100*$G$3)/48)-IF(ISNA(P17),0,(($S$54+$T$54)/100*$G$3)/48)</f>
        <v>0</v>
      </c>
      <c r="M17" s="161">
        <f>Juni!N17</f>
        <v>0</v>
      </c>
      <c r="N17" s="93">
        <f>SUM(L17:M17)</f>
        <v>0</v>
      </c>
      <c r="O17" s="299" t="e">
        <f>INDEX(U23:U53,MATCH("z",U23:U53,0))</f>
        <v>#N/A</v>
      </c>
      <c r="P17" s="299" t="e">
        <f>INDEX(V23:V53,MATCH("z",V23:V53,0))</f>
        <v>#N/A</v>
      </c>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x14ac:dyDescent="0.2">
      <c r="A19" s="25" t="str">
        <f>Para1!F104</f>
        <v>(please enter in hours and minutes)</v>
      </c>
      <c r="B19" s="7"/>
      <c r="C19" s="7"/>
      <c r="D19" s="7"/>
      <c r="E19" s="7"/>
      <c r="F19" s="7"/>
      <c r="G19" s="7"/>
      <c r="H19" s="7"/>
      <c r="I19" s="9"/>
      <c r="J19" s="9"/>
      <c r="K19" s="9"/>
      <c r="L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x14ac:dyDescent="0.15">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x14ac:dyDescent="0.2">
      <c r="A22" s="639" t="str">
        <f>Para1!F106</f>
        <v>date</v>
      </c>
      <c r="B22" s="640"/>
      <c r="C22" s="536"/>
      <c r="D22" s="649"/>
      <c r="E22" s="660"/>
      <c r="F22" s="658"/>
      <c r="G22" s="659"/>
      <c r="H22" s="647"/>
      <c r="I22" s="638"/>
      <c r="J22" s="257"/>
      <c r="K22" s="668"/>
      <c r="L22" s="666"/>
      <c r="M22" s="196"/>
      <c r="P22" s="633"/>
      <c r="Q22" s="635"/>
    </row>
    <row r="23" spans="1:23" ht="17" customHeight="1" thickTop="1" x14ac:dyDescent="0.15">
      <c r="A23" s="102" t="s">
        <v>4</v>
      </c>
      <c r="B23" s="153" t="str">
        <f>IF(Juni!B52=Para1!$F$153,Para1!$F$109,IF(Juni!B52=Para1!$F$109,Para1!$F$148,IF(Juni!B52=Para1!$F$148,Para1!$F$111,IF(Juni!B52=Para1!$F$111,Para1!$F$120,IF(Juni!B52=Para1!$F$120,Para1!$F$170,IF(Juni!B52=Para1!$F$170,Para1!$F$173,Para1!$F$153))))))</f>
        <v>Wed</v>
      </c>
      <c r="C23" s="185"/>
      <c r="D23" s="315"/>
      <c r="E23" s="298"/>
      <c r="F23" s="295"/>
      <c r="G23" s="294"/>
      <c r="H23" s="294"/>
      <c r="I23" s="296"/>
      <c r="J23" s="310"/>
      <c r="K23" s="378"/>
      <c r="L23" s="379"/>
      <c r="M23" s="131"/>
      <c r="N23" s="197"/>
      <c r="O23" s="299"/>
      <c r="P23" s="366">
        <f>Juni!P46</f>
        <v>1</v>
      </c>
      <c r="Q23" s="366">
        <f>Juni!Q46</f>
        <v>1</v>
      </c>
      <c r="R23" s="299" t="str">
        <f>IF(VLOOKUP(A23,Para1!$B$67:$E$72,2,FALSE)="7.",VLOOKUP(A23,Para1!$B$67:$E$72,3,FALSE),"")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x14ac:dyDescent="0.15">
      <c r="A24" s="102" t="s">
        <v>6</v>
      </c>
      <c r="B24" s="153" t="str">
        <f>IF(B23=Para1!$F$153,Para1!$F$109,IF(B23=Para1!$F$109,Para1!$F$148,IF(B23=Para1!$F$148,Para1!$F$111,IF(B23=Para1!$F$111,Para1!$F$120,IF(B23=Para1!$F$120,Para1!$F$170,IF(B23=Para1!$F$170,Para1!$F$173,Para1!$F$153))))))</f>
        <v>Thu</v>
      </c>
      <c r="C24" s="186"/>
      <c r="D24" s="315"/>
      <c r="E24" s="298"/>
      <c r="F24" s="295"/>
      <c r="G24" s="294"/>
      <c r="H24" s="294"/>
      <c r="I24" s="296"/>
      <c r="J24" s="310"/>
      <c r="K24" s="378"/>
      <c r="L24" s="379"/>
      <c r="M24" s="131"/>
      <c r="N24" s="197"/>
      <c r="O24" s="299"/>
      <c r="P24" s="366">
        <f>Juni!P47</f>
        <v>1</v>
      </c>
      <c r="Q24" s="366">
        <f>Juni!Q47</f>
        <v>1</v>
      </c>
      <c r="R24" s="299" t="e">
        <f>IF(VLOOKUP(A24,Para1!$B$67:$E$72,2,FALSE)="7.",VLOOKUP(A24,Para1!$B$67:$E$72,3,FALSE),"")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s="39" customFormat="1" ht="17" customHeight="1" x14ac:dyDescent="0.15">
      <c r="A25" s="102" t="s">
        <v>8</v>
      </c>
      <c r="B25" s="153" t="str">
        <f>IF(B24=Para1!$F$153,Para1!$F$109,IF(B24=Para1!$F$109,Para1!$F$148,IF(B24=Para1!$F$148,Para1!$F$111,IF(B24=Para1!$F$111,Para1!$F$120,IF(B24=Para1!$F$120,Para1!$F$170,IF(B24=Para1!$F$170,Para1!$F$173,Para1!$F$153))))))</f>
        <v>Fri</v>
      </c>
      <c r="C25" s="186"/>
      <c r="D25" s="315"/>
      <c r="E25" s="298"/>
      <c r="F25" s="295"/>
      <c r="G25" s="294"/>
      <c r="H25" s="294"/>
      <c r="I25" s="296"/>
      <c r="J25" s="310"/>
      <c r="K25" s="378"/>
      <c r="L25" s="379"/>
      <c r="M25" s="129"/>
      <c r="N25" s="197"/>
      <c r="O25" s="299"/>
      <c r="P25" s="366">
        <f>Juni!P48</f>
        <v>1</v>
      </c>
      <c r="Q25" s="366">
        <f>Juni!Q48</f>
        <v>1</v>
      </c>
      <c r="R25" s="299" t="e">
        <f>IF(VLOOKUP(A25,Para1!$B$67:$E$72,2,FALSE)="7.",VLOOKUP(A25,Para1!$B$67:$E$72,3,FALSE),"")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s="39" customFormat="1" ht="17" customHeight="1" x14ac:dyDescent="0.15">
      <c r="A26" s="102" t="s">
        <v>10</v>
      </c>
      <c r="B26" s="153" t="str">
        <f>IF(B25=Para1!$F$153,Para1!$F$109,IF(B25=Para1!$F$109,Para1!$F$148,IF(B25=Para1!$F$148,Para1!$F$111,IF(B25=Para1!$F$111,Para1!$F$120,IF(B25=Para1!$F$120,Para1!$F$170,IF(B25=Para1!$F$170,Para1!$F$173,Para1!$F$153))))))</f>
        <v>Sat</v>
      </c>
      <c r="C26" s="186"/>
      <c r="D26" s="315"/>
      <c r="E26" s="298"/>
      <c r="F26" s="295"/>
      <c r="G26" s="294"/>
      <c r="H26" s="294"/>
      <c r="I26" s="296"/>
      <c r="J26" s="310"/>
      <c r="K26" s="378"/>
      <c r="L26" s="379"/>
      <c r="M26" s="129"/>
      <c r="N26" s="197"/>
      <c r="O26" s="299"/>
      <c r="P26" s="366">
        <f>Juni!P49</f>
        <v>0</v>
      </c>
      <c r="Q26" s="366">
        <f>Juni!Q49</f>
        <v>0</v>
      </c>
      <c r="R26" s="299" t="e">
        <f>IF(VLOOKUP(A26,Para1!$B$67:$E$72,2,FALSE)="7.",VLOOKUP(A26,Para1!$B$67:$E$72,3,FALSE),"")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x14ac:dyDescent="0.15">
      <c r="A27" s="102" t="s">
        <v>12</v>
      </c>
      <c r="B27" s="153" t="str">
        <f>IF(B26=Para1!$F$153,Para1!$F$109,IF(B26=Para1!$F$109,Para1!$F$148,IF(B26=Para1!$F$148,Para1!$F$111,IF(B26=Para1!$F$111,Para1!$F$120,IF(B26=Para1!$F$120,Para1!$F$170,IF(B26=Para1!$F$170,Para1!$F$173,Para1!$F$153))))))</f>
        <v>Sun</v>
      </c>
      <c r="C27" s="186"/>
      <c r="D27" s="315"/>
      <c r="E27" s="298"/>
      <c r="F27" s="295"/>
      <c r="G27" s="294"/>
      <c r="H27" s="294"/>
      <c r="I27" s="296"/>
      <c r="J27" s="310"/>
      <c r="K27" s="378"/>
      <c r="L27" s="379"/>
      <c r="M27" s="129"/>
      <c r="N27" s="197"/>
      <c r="O27" s="299"/>
      <c r="P27" s="366">
        <f>Juni!P50</f>
        <v>0</v>
      </c>
      <c r="Q27" s="366">
        <f>Juni!Q50</f>
        <v>0</v>
      </c>
      <c r="R27" s="299" t="e">
        <f>IF(VLOOKUP(A27,Para1!$B$67:$E$72,2,FALSE)="7.",VLOOKUP(A27,Para1!$B$67:$E$72,3,FALSE),"")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x14ac:dyDescent="0.15">
      <c r="A28" s="102" t="s">
        <v>14</v>
      </c>
      <c r="B28" s="153" t="str">
        <f>IF(B27=Para1!$F$153,Para1!$F$109,IF(B27=Para1!$F$109,Para1!$F$148,IF(B27=Para1!$F$148,Para1!$F$111,IF(B27=Para1!$F$111,Para1!$F$120,IF(B27=Para1!$F$120,Para1!$F$170,IF(B27=Para1!$F$170,Para1!$F$173,Para1!$F$153))))))</f>
        <v>Mon</v>
      </c>
      <c r="C28" s="186"/>
      <c r="D28" s="315"/>
      <c r="E28" s="298"/>
      <c r="F28" s="295"/>
      <c r="G28" s="294"/>
      <c r="H28" s="294"/>
      <c r="I28" s="296"/>
      <c r="J28" s="310"/>
      <c r="K28" s="378"/>
      <c r="L28" s="379"/>
      <c r="M28" s="129"/>
      <c r="N28" s="197"/>
      <c r="O28" s="299"/>
      <c r="P28" s="366">
        <f>Juni!P51</f>
        <v>1</v>
      </c>
      <c r="Q28" s="366">
        <f>Juni!Q51</f>
        <v>1</v>
      </c>
      <c r="R28" s="299" t="e">
        <f>IF(VLOOKUP(A28,Para1!$B$67:$E$72,2,FALSE)="7.",VLOOKUP(A28,Para1!$B$67:$E$72,3,FALSE),"")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x14ac:dyDescent="0.15">
      <c r="A29" s="102" t="s">
        <v>16</v>
      </c>
      <c r="B29" s="153" t="str">
        <f>IF(B28=Para1!$F$153,Para1!$F$109,IF(B28=Para1!$F$109,Para1!$F$148,IF(B28=Para1!$F$148,Para1!$F$111,IF(B28=Para1!$F$111,Para1!$F$120,IF(B28=Para1!$F$120,Para1!$F$170,IF(B28=Para1!$F$170,Para1!$F$173,Para1!$F$153))))))</f>
        <v>Tue</v>
      </c>
      <c r="C29" s="185"/>
      <c r="D29" s="315"/>
      <c r="E29" s="298"/>
      <c r="F29" s="295"/>
      <c r="G29" s="294"/>
      <c r="H29" s="294"/>
      <c r="I29" s="296"/>
      <c r="J29" s="310"/>
      <c r="K29" s="378"/>
      <c r="L29" s="379"/>
      <c r="M29" s="129"/>
      <c r="N29" s="197"/>
      <c r="O29" s="299"/>
      <c r="P29" s="366">
        <f>Juni!P52</f>
        <v>1</v>
      </c>
      <c r="Q29" s="366">
        <f>Juni!Q52</f>
        <v>1</v>
      </c>
      <c r="R29" s="299" t="e">
        <f>IF(VLOOKUP(A29,Para1!$B$67:$E$72,2,FALSE)="7.",VLOOKUP(A29,Para1!$B$67:$E$72,3,FALSE),"")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x14ac:dyDescent="0.15">
      <c r="A30" s="102" t="s">
        <v>18</v>
      </c>
      <c r="B30" s="153" t="str">
        <f>IF(B29=Para1!$F$153,Para1!$F$109,IF(B29=Para1!$F$109,Para1!$F$148,IF(B29=Para1!$F$148,Para1!$F$111,IF(B29=Para1!$F$111,Para1!$F$120,IF(B29=Para1!$F$120,Para1!$F$170,IF(B29=Para1!$F$170,Para1!$F$173,Para1!$F$153))))))</f>
        <v>Wed</v>
      </c>
      <c r="C30" s="185"/>
      <c r="D30" s="315"/>
      <c r="E30" s="298"/>
      <c r="F30" s="295"/>
      <c r="G30" s="294"/>
      <c r="H30" s="294"/>
      <c r="I30" s="296"/>
      <c r="J30" s="310"/>
      <c r="K30" s="378"/>
      <c r="L30" s="379"/>
      <c r="M30" s="129"/>
      <c r="N30" s="197"/>
      <c r="O30" s="299"/>
      <c r="P30" s="367">
        <f>P23</f>
        <v>1</v>
      </c>
      <c r="Q30" s="367">
        <f>Q23</f>
        <v>1</v>
      </c>
      <c r="R30" s="299" t="e">
        <f>IF(VLOOKUP(A30,Para1!$B$67:$E$72,2,FALSE)="7.",VLOOKUP(A30,Para1!$B$67:$E$72,3,FALSE),"")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x14ac:dyDescent="0.15">
      <c r="A31" s="102" t="s">
        <v>19</v>
      </c>
      <c r="B31" s="153" t="str">
        <f>IF(B30=Para1!$F$153,Para1!$F$109,IF(B30=Para1!$F$109,Para1!$F$148,IF(B30=Para1!$F$148,Para1!$F$111,IF(B30=Para1!$F$111,Para1!$F$120,IF(B30=Para1!$F$120,Para1!$F$170,IF(B30=Para1!$F$170,Para1!$F$173,Para1!$F$153))))))</f>
        <v>Thu</v>
      </c>
      <c r="C31" s="186"/>
      <c r="D31" s="315"/>
      <c r="E31" s="298"/>
      <c r="F31" s="295"/>
      <c r="G31" s="294"/>
      <c r="H31" s="294"/>
      <c r="I31" s="296"/>
      <c r="J31" s="310"/>
      <c r="K31" s="378"/>
      <c r="L31" s="379"/>
      <c r="M31" s="129"/>
      <c r="N31" s="197"/>
      <c r="O31" s="299"/>
      <c r="P31" s="367">
        <f t="shared" ref="P31:Q36" si="6">P24</f>
        <v>1</v>
      </c>
      <c r="Q31" s="367">
        <f t="shared" si="6"/>
        <v>1</v>
      </c>
      <c r="R31" s="299" t="e">
        <f>IF(VLOOKUP(A31,Para1!$B$67:$E$72,2,FALSE)="7.",VLOOKUP(A31,Para1!$B$67:$E$72,3,FALSE),"")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s="39" customFormat="1" ht="17" customHeight="1" x14ac:dyDescent="0.15">
      <c r="A32" s="102" t="s">
        <v>20</v>
      </c>
      <c r="B32" s="153" t="str">
        <f>IF(B31=Para1!$F$153,Para1!$F$109,IF(B31=Para1!$F$109,Para1!$F$148,IF(B31=Para1!$F$148,Para1!$F$111,IF(B31=Para1!$F$111,Para1!$F$120,IF(B31=Para1!$F$120,Para1!$F$170,IF(B31=Para1!$F$170,Para1!$F$173,Para1!$F$153))))))</f>
        <v>Fri</v>
      </c>
      <c r="C32" s="186"/>
      <c r="D32" s="315"/>
      <c r="E32" s="298"/>
      <c r="F32" s="295"/>
      <c r="G32" s="294"/>
      <c r="H32" s="294"/>
      <c r="I32" s="296"/>
      <c r="J32" s="310"/>
      <c r="K32" s="378"/>
      <c r="L32" s="379"/>
      <c r="M32" s="129"/>
      <c r="N32" s="197"/>
      <c r="O32" s="299"/>
      <c r="P32" s="367">
        <f t="shared" si="6"/>
        <v>1</v>
      </c>
      <c r="Q32" s="367">
        <f t="shared" si="6"/>
        <v>1</v>
      </c>
      <c r="R32" s="299" t="str">
        <f>IF(VLOOKUP(A32,Para1!$B$67:$E$72,2,FALSE)="7.",VLOOKUP(A32,Para1!$B$67:$E$72,3,FALSE),"")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s="39" customFormat="1" ht="17" customHeight="1" x14ac:dyDescent="0.15">
      <c r="A33" s="102" t="s">
        <v>21</v>
      </c>
      <c r="B33" s="153" t="str">
        <f>IF(B32=Para1!$F$153,Para1!$F$109,IF(B32=Para1!$F$109,Para1!$F$148,IF(B32=Para1!$F$148,Para1!$F$111,IF(B32=Para1!$F$111,Para1!$F$120,IF(B32=Para1!$F$120,Para1!$F$170,IF(B32=Para1!$F$170,Para1!$F$173,Para1!$F$153))))))</f>
        <v>Sat</v>
      </c>
      <c r="C33" s="186"/>
      <c r="D33" s="315"/>
      <c r="E33" s="298"/>
      <c r="F33" s="295"/>
      <c r="G33" s="294"/>
      <c r="H33" s="294"/>
      <c r="I33" s="296"/>
      <c r="J33" s="310"/>
      <c r="K33" s="378"/>
      <c r="L33" s="379"/>
      <c r="M33" s="129"/>
      <c r="N33" s="197"/>
      <c r="O33" s="299"/>
      <c r="P33" s="367">
        <f t="shared" si="6"/>
        <v>0</v>
      </c>
      <c r="Q33" s="367">
        <f t="shared" si="6"/>
        <v>0</v>
      </c>
      <c r="R33" s="299" t="e">
        <f>IF(VLOOKUP(A33,Para1!$B$67:$E$72,2,FALSE)="7.",VLOOKUP(A33,Para1!$B$67:$E$72,3,FALSE),"")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6.5" customHeight="1" x14ac:dyDescent="0.15">
      <c r="A34" s="102" t="s">
        <v>22</v>
      </c>
      <c r="B34" s="153" t="str">
        <f>IF(B33=Para1!$F$153,Para1!$F$109,IF(B33=Para1!$F$109,Para1!$F$148,IF(B33=Para1!$F$148,Para1!$F$111,IF(B33=Para1!$F$111,Para1!$F$120,IF(B33=Para1!$F$120,Para1!$F$170,IF(B33=Para1!$F$170,Para1!$F$173,Para1!$F$153))))))</f>
        <v>Sun</v>
      </c>
      <c r="C34" s="186"/>
      <c r="D34" s="315"/>
      <c r="E34" s="298"/>
      <c r="F34" s="295"/>
      <c r="G34" s="294"/>
      <c r="H34" s="294"/>
      <c r="I34" s="296"/>
      <c r="J34" s="310"/>
      <c r="K34" s="378"/>
      <c r="L34" s="379"/>
      <c r="M34" s="129"/>
      <c r="N34" s="197"/>
      <c r="O34" s="299"/>
      <c r="P34" s="367">
        <f t="shared" si="6"/>
        <v>0</v>
      </c>
      <c r="Q34" s="367">
        <f t="shared" si="6"/>
        <v>0</v>
      </c>
      <c r="R34" s="299" t="str">
        <f>IF(VLOOKUP(A34,Para1!$B$67:$E$72,2,FALSE)="7.",VLOOKUP(A34,Para1!$B$67:$E$72,3,FALSE),"")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x14ac:dyDescent="0.15">
      <c r="A35" s="102" t="s">
        <v>23</v>
      </c>
      <c r="B35" s="153" t="str">
        <f>IF(B34=Para1!$F$153,Para1!$F$109,IF(B34=Para1!$F$109,Para1!$F$148,IF(B34=Para1!$F$148,Para1!$F$111,IF(B34=Para1!$F$111,Para1!$F$120,IF(B34=Para1!$F$120,Para1!$F$170,IF(B34=Para1!$F$170,Para1!$F$173,Para1!$F$153))))))</f>
        <v>Mon</v>
      </c>
      <c r="C35" s="186"/>
      <c r="D35" s="315"/>
      <c r="E35" s="298"/>
      <c r="F35" s="295"/>
      <c r="G35" s="294"/>
      <c r="H35" s="294"/>
      <c r="I35" s="296"/>
      <c r="J35" s="310"/>
      <c r="K35" s="378"/>
      <c r="L35" s="379"/>
      <c r="M35" s="129"/>
      <c r="N35" s="197"/>
      <c r="O35" s="299"/>
      <c r="P35" s="367">
        <f t="shared" si="6"/>
        <v>1</v>
      </c>
      <c r="Q35" s="367">
        <f t="shared" si="6"/>
        <v>1</v>
      </c>
      <c r="R35" s="299" t="str">
        <f>IF(VLOOKUP(A35,Para1!$B$67:$E$72,2,FALSE)="7.",VLOOKUP(A35,Para1!$B$67:$E$72,3,FALSE),"")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x14ac:dyDescent="0.15">
      <c r="A36" s="102" t="s">
        <v>24</v>
      </c>
      <c r="B36" s="153" t="str">
        <f>IF(B35=Para1!$F$153,Para1!$F$109,IF(B35=Para1!$F$109,Para1!$F$148,IF(B35=Para1!$F$148,Para1!$F$111,IF(B35=Para1!$F$111,Para1!$F$120,IF(B35=Para1!$F$120,Para1!$F$170,IF(B35=Para1!$F$170,Para1!$F$173,Para1!$F$153))))))</f>
        <v>Tue</v>
      </c>
      <c r="C36" s="185"/>
      <c r="D36" s="315"/>
      <c r="E36" s="298"/>
      <c r="F36" s="295"/>
      <c r="G36" s="294"/>
      <c r="H36" s="294"/>
      <c r="I36" s="296"/>
      <c r="J36" s="310"/>
      <c r="K36" s="378"/>
      <c r="L36" s="379"/>
      <c r="M36" s="129"/>
      <c r="N36" s="197"/>
      <c r="O36" s="299"/>
      <c r="P36" s="367">
        <f t="shared" si="6"/>
        <v>1</v>
      </c>
      <c r="Q36" s="367">
        <f t="shared" si="6"/>
        <v>1</v>
      </c>
      <c r="R36" s="299" t="e">
        <f>IF(VLOOKUP(A36,Para1!$B$67:$E$72,2,FALSE)="7.",VLOOKUP(A36,Para1!$B$67:$E$72,3,FALSE),"")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x14ac:dyDescent="0.15">
      <c r="A37" s="102" t="s">
        <v>25</v>
      </c>
      <c r="B37" s="153" t="str">
        <f>IF(B36=Para1!$F$153,Para1!$F$109,IF(B36=Para1!$F$109,Para1!$F$148,IF(B36=Para1!$F$148,Para1!$F$111,IF(B36=Para1!$F$111,Para1!$F$120,IF(B36=Para1!$F$120,Para1!$F$170,IF(B36=Para1!$F$170,Para1!$F$173,Para1!$F$153))))))</f>
        <v>Wed</v>
      </c>
      <c r="C37" s="185"/>
      <c r="D37" s="315"/>
      <c r="E37" s="298"/>
      <c r="F37" s="295"/>
      <c r="G37" s="294"/>
      <c r="H37" s="294"/>
      <c r="I37" s="296"/>
      <c r="J37" s="310"/>
      <c r="K37" s="378"/>
      <c r="L37" s="379"/>
      <c r="M37" s="129"/>
      <c r="N37" s="197"/>
      <c r="O37" s="299"/>
      <c r="P37" s="367">
        <f>P30</f>
        <v>1</v>
      </c>
      <c r="Q37" s="367">
        <f>Q30</f>
        <v>1</v>
      </c>
      <c r="R37" s="299" t="e">
        <f>IF(VLOOKUP(A37,Para1!$B$67:$E$72,2,FALSE)="7.",VLOOKUP(A37,Para1!$B$67:$E$72,3,FALSE),"")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x14ac:dyDescent="0.15">
      <c r="A38" s="102" t="s">
        <v>26</v>
      </c>
      <c r="B38" s="153" t="str">
        <f>IF(B37=Para1!$F$153,Para1!$F$109,IF(B37=Para1!$F$109,Para1!$F$148,IF(B37=Para1!$F$148,Para1!$F$111,IF(B37=Para1!$F$111,Para1!$F$120,IF(B37=Para1!$F$120,Para1!$F$170,IF(B37=Para1!$F$170,Para1!$F$173,Para1!$F$153))))))</f>
        <v>Thu</v>
      </c>
      <c r="C38" s="186"/>
      <c r="D38" s="315"/>
      <c r="E38" s="298"/>
      <c r="F38" s="295"/>
      <c r="G38" s="294"/>
      <c r="H38" s="294"/>
      <c r="I38" s="296"/>
      <c r="J38" s="310"/>
      <c r="K38" s="378"/>
      <c r="L38" s="379"/>
      <c r="M38" s="129"/>
      <c r="N38" s="197"/>
      <c r="O38" s="299"/>
      <c r="P38" s="367">
        <f t="shared" ref="P38:Q43" si="7">P31</f>
        <v>1</v>
      </c>
      <c r="Q38" s="367">
        <f t="shared" si="7"/>
        <v>1</v>
      </c>
      <c r="R38" s="299" t="e">
        <f>IF(VLOOKUP(A38,Para1!$B$67:$E$72,2,FALSE)="7.",VLOOKUP(A38,Para1!$B$67:$E$72,3,FALSE),"")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s="39" customFormat="1" ht="17" customHeight="1" x14ac:dyDescent="0.15">
      <c r="A39" s="102" t="s">
        <v>27</v>
      </c>
      <c r="B39" s="153" t="str">
        <f>IF(B38=Para1!$F$153,Para1!$F$109,IF(B38=Para1!$F$109,Para1!$F$148,IF(B38=Para1!$F$148,Para1!$F$111,IF(B38=Para1!$F$111,Para1!$F$120,IF(B38=Para1!$F$120,Para1!$F$170,IF(B38=Para1!$F$170,Para1!$F$173,Para1!$F$153))))))</f>
        <v>Fri</v>
      </c>
      <c r="C39" s="186"/>
      <c r="D39" s="315"/>
      <c r="E39" s="298"/>
      <c r="F39" s="295"/>
      <c r="G39" s="294"/>
      <c r="H39" s="294"/>
      <c r="I39" s="296"/>
      <c r="J39" s="310"/>
      <c r="K39" s="378"/>
      <c r="L39" s="379"/>
      <c r="M39" s="129"/>
      <c r="N39" s="197"/>
      <c r="O39" s="299"/>
      <c r="P39" s="367">
        <f t="shared" si="7"/>
        <v>1</v>
      </c>
      <c r="Q39" s="367">
        <f t="shared" si="7"/>
        <v>1</v>
      </c>
      <c r="R39" s="299" t="e">
        <f>IF(VLOOKUP(A39,Para1!$B$67:$E$72,2,FALSE)="7.",VLOOKUP(A39,Para1!$B$67:$E$72,3,FALSE),"")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s="39" customFormat="1" ht="17" customHeight="1" x14ac:dyDescent="0.15">
      <c r="A40" s="102" t="s">
        <v>28</v>
      </c>
      <c r="B40" s="153" t="str">
        <f>IF(B39=Para1!$F$153,Para1!$F$109,IF(B39=Para1!$F$109,Para1!$F$148,IF(B39=Para1!$F$148,Para1!$F$111,IF(B39=Para1!$F$111,Para1!$F$120,IF(B39=Para1!$F$120,Para1!$F$170,IF(B39=Para1!$F$170,Para1!$F$173,Para1!$F$153))))))</f>
        <v>Sat</v>
      </c>
      <c r="C40" s="186"/>
      <c r="D40" s="315"/>
      <c r="E40" s="298"/>
      <c r="F40" s="295"/>
      <c r="G40" s="294"/>
      <c r="H40" s="294"/>
      <c r="I40" s="296"/>
      <c r="J40" s="310"/>
      <c r="K40" s="378"/>
      <c r="L40" s="379"/>
      <c r="M40" s="129"/>
      <c r="N40" s="197"/>
      <c r="O40" s="299"/>
      <c r="P40" s="367">
        <f t="shared" si="7"/>
        <v>0</v>
      </c>
      <c r="Q40" s="367">
        <f t="shared" si="7"/>
        <v>0</v>
      </c>
      <c r="R40" s="299" t="e">
        <f>IF(VLOOKUP(A40,Para1!$B$67:$E$72,2,FALSE)="7.",VLOOKUP(A40,Para1!$B$67:$E$72,3,FALSE),"")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x14ac:dyDescent="0.15">
      <c r="A41" s="102" t="s">
        <v>29</v>
      </c>
      <c r="B41" s="153" t="str">
        <f>IF(B40=Para1!$F$153,Para1!$F$109,IF(B40=Para1!$F$109,Para1!$F$148,IF(B40=Para1!$F$148,Para1!$F$111,IF(B40=Para1!$F$111,Para1!$F$120,IF(B40=Para1!$F$120,Para1!$F$170,IF(B40=Para1!$F$170,Para1!$F$173,Para1!$F$153))))))</f>
        <v>Sun</v>
      </c>
      <c r="C41" s="186"/>
      <c r="D41" s="315"/>
      <c r="E41" s="298"/>
      <c r="F41" s="295"/>
      <c r="G41" s="294"/>
      <c r="H41" s="294"/>
      <c r="I41" s="296"/>
      <c r="J41" s="310"/>
      <c r="K41" s="378"/>
      <c r="L41" s="379"/>
      <c r="M41" s="129"/>
      <c r="N41" s="197"/>
      <c r="O41" s="299"/>
      <c r="P41" s="367">
        <f t="shared" si="7"/>
        <v>0</v>
      </c>
      <c r="Q41" s="367">
        <f t="shared" si="7"/>
        <v>0</v>
      </c>
      <c r="R41" s="299" t="e">
        <f>IF(VLOOKUP(A41,Para1!$B$67:$E$72,2,FALSE)="7.",VLOOKUP(A41,Para1!$B$67:$E$72,3,FALSE),"")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x14ac:dyDescent="0.15">
      <c r="A42" s="102" t="s">
        <v>30</v>
      </c>
      <c r="B42" s="153" t="str">
        <f>IF(B41=Para1!$F$153,Para1!$F$109,IF(B41=Para1!$F$109,Para1!$F$148,IF(B41=Para1!$F$148,Para1!$F$111,IF(B41=Para1!$F$111,Para1!$F$120,IF(B41=Para1!$F$120,Para1!$F$170,IF(B41=Para1!$F$170,Para1!$F$173,Para1!$F$153))))))</f>
        <v>Mon</v>
      </c>
      <c r="C42" s="186"/>
      <c r="D42" s="315"/>
      <c r="E42" s="298"/>
      <c r="F42" s="295"/>
      <c r="G42" s="294"/>
      <c r="H42" s="294"/>
      <c r="I42" s="296"/>
      <c r="J42" s="310"/>
      <c r="K42" s="378"/>
      <c r="L42" s="379"/>
      <c r="M42" s="129"/>
      <c r="N42" s="197"/>
      <c r="O42" s="299"/>
      <c r="P42" s="367">
        <f t="shared" si="7"/>
        <v>1</v>
      </c>
      <c r="Q42" s="367">
        <f t="shared" si="7"/>
        <v>1</v>
      </c>
      <c r="R42" s="299" t="e">
        <f>IF(VLOOKUP(A42,Para1!$B$67:$E$72,2,FALSE)="7.",VLOOKUP(A42,Para1!$B$67:$E$72,3,FALSE),"")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x14ac:dyDescent="0.15">
      <c r="A43" s="102" t="s">
        <v>31</v>
      </c>
      <c r="B43" s="153" t="str">
        <f>IF(B42=Para1!$F$153,Para1!$F$109,IF(B42=Para1!$F$109,Para1!$F$148,IF(B42=Para1!$F$148,Para1!$F$111,IF(B42=Para1!$F$111,Para1!$F$120,IF(B42=Para1!$F$120,Para1!$F$170,IF(B42=Para1!$F$170,Para1!$F$173,Para1!$F$153))))))</f>
        <v>Tue</v>
      </c>
      <c r="C43" s="185"/>
      <c r="D43" s="315"/>
      <c r="E43" s="298"/>
      <c r="F43" s="295"/>
      <c r="G43" s="294"/>
      <c r="H43" s="294"/>
      <c r="I43" s="296"/>
      <c r="J43" s="310"/>
      <c r="K43" s="378"/>
      <c r="L43" s="379"/>
      <c r="M43" s="129"/>
      <c r="N43" s="197"/>
      <c r="O43" s="299"/>
      <c r="P43" s="367">
        <f t="shared" si="7"/>
        <v>1</v>
      </c>
      <c r="Q43" s="367">
        <f t="shared" si="7"/>
        <v>1</v>
      </c>
      <c r="R43" s="299" t="str">
        <f>IF(VLOOKUP(A43,Para1!$B$67:$E$72,2,FALSE)="7.",VLOOKUP(A43,Para1!$B$67:$E$72,3,FALSE),"")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x14ac:dyDescent="0.15">
      <c r="A44" s="102" t="s">
        <v>32</v>
      </c>
      <c r="B44" s="153" t="str">
        <f>IF(B43=Para1!$F$153,Para1!$F$109,IF(B43=Para1!$F$109,Para1!$F$148,IF(B43=Para1!$F$148,Para1!$F$111,IF(B43=Para1!$F$111,Para1!$F$120,IF(B43=Para1!$F$120,Para1!$F$170,IF(B43=Para1!$F$170,Para1!$F$173,Para1!$F$153))))))</f>
        <v>Wed</v>
      </c>
      <c r="C44" s="185"/>
      <c r="D44" s="315"/>
      <c r="E44" s="298"/>
      <c r="F44" s="295"/>
      <c r="G44" s="294"/>
      <c r="H44" s="294"/>
      <c r="I44" s="296"/>
      <c r="J44" s="310"/>
      <c r="K44" s="378"/>
      <c r="L44" s="379"/>
      <c r="M44" s="129"/>
      <c r="N44" s="197"/>
      <c r="O44" s="299"/>
      <c r="P44" s="367">
        <f>P37</f>
        <v>1</v>
      </c>
      <c r="Q44" s="367">
        <f>Q37</f>
        <v>1</v>
      </c>
      <c r="R44" s="299" t="e">
        <f>IF(VLOOKUP(A44,Para1!$B$67:$E$72,2,FALSE)="7.",VLOOKUP(A44,Para1!$B$67:$E$72,3,FALSE),"")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x14ac:dyDescent="0.15">
      <c r="A45" s="102" t="s">
        <v>33</v>
      </c>
      <c r="B45" s="153" t="str">
        <f>IF(B44=Para1!$F$153,Para1!$F$109,IF(B44=Para1!$F$109,Para1!$F$148,IF(B44=Para1!$F$148,Para1!$F$111,IF(B44=Para1!$F$111,Para1!$F$120,IF(B44=Para1!$F$120,Para1!$F$170,IF(B44=Para1!$F$170,Para1!$F$173,Para1!$F$153))))))</f>
        <v>Thu</v>
      </c>
      <c r="C45" s="186"/>
      <c r="D45" s="315"/>
      <c r="E45" s="298"/>
      <c r="F45" s="295"/>
      <c r="G45" s="294"/>
      <c r="H45" s="294"/>
      <c r="I45" s="296"/>
      <c r="J45" s="310"/>
      <c r="K45" s="378"/>
      <c r="L45" s="379"/>
      <c r="M45" s="129"/>
      <c r="N45" s="197"/>
      <c r="O45" s="299"/>
      <c r="P45" s="367">
        <f t="shared" ref="P45:Q50" si="8">P38</f>
        <v>1</v>
      </c>
      <c r="Q45" s="367">
        <f t="shared" si="8"/>
        <v>1</v>
      </c>
      <c r="R45" s="299" t="e">
        <f>IF(VLOOKUP(A45,Para1!$B$67:$E$72,2,FALSE)="7.",VLOOKUP(A45,Para1!$B$67:$E$72,3,FALSE),"")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s="39" customFormat="1" ht="17" customHeight="1" x14ac:dyDescent="0.15">
      <c r="A46" s="102" t="s">
        <v>34</v>
      </c>
      <c r="B46" s="153" t="str">
        <f>IF(B45=Para1!$F$153,Para1!$F$109,IF(B45=Para1!$F$109,Para1!$F$148,IF(B45=Para1!$F$148,Para1!$F$111,IF(B45=Para1!$F$111,Para1!$F$120,IF(B45=Para1!$F$120,Para1!$F$170,IF(B45=Para1!$F$170,Para1!$F$173,Para1!$F$153))))))</f>
        <v>Fri</v>
      </c>
      <c r="C46" s="186"/>
      <c r="D46" s="315"/>
      <c r="E46" s="298"/>
      <c r="F46" s="295"/>
      <c r="G46" s="294"/>
      <c r="H46" s="294"/>
      <c r="I46" s="296"/>
      <c r="J46" s="310"/>
      <c r="K46" s="378"/>
      <c r="L46" s="379"/>
      <c r="M46" s="129"/>
      <c r="N46" s="197"/>
      <c r="O46" s="299"/>
      <c r="P46" s="367">
        <f t="shared" si="8"/>
        <v>1</v>
      </c>
      <c r="Q46" s="367">
        <f t="shared" si="8"/>
        <v>1</v>
      </c>
      <c r="R46" s="299" t="e">
        <f>IF(VLOOKUP(A46,Para1!$B$67:$E$72,2,FALSE)="7.",VLOOKUP(A46,Para1!$B$67:$E$72,3,FALSE),"")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s="39" customFormat="1" ht="17" customHeight="1" x14ac:dyDescent="0.15">
      <c r="A47" s="102" t="s">
        <v>35</v>
      </c>
      <c r="B47" s="153" t="str">
        <f>IF(B46=Para1!$F$153,Para1!$F$109,IF(B46=Para1!$F$109,Para1!$F$148,IF(B46=Para1!$F$148,Para1!$F$111,IF(B46=Para1!$F$111,Para1!$F$120,IF(B46=Para1!$F$120,Para1!$F$170,IF(B46=Para1!$F$170,Para1!$F$173,Para1!$F$153))))))</f>
        <v>Sat</v>
      </c>
      <c r="C47" s="186"/>
      <c r="D47" s="315"/>
      <c r="E47" s="298"/>
      <c r="F47" s="295"/>
      <c r="G47" s="294"/>
      <c r="H47" s="294"/>
      <c r="I47" s="296"/>
      <c r="J47" s="310"/>
      <c r="K47" s="378"/>
      <c r="L47" s="379"/>
      <c r="M47" s="129"/>
      <c r="N47" s="197"/>
      <c r="O47" s="299"/>
      <c r="P47" s="367">
        <f t="shared" si="8"/>
        <v>0</v>
      </c>
      <c r="Q47" s="367">
        <f t="shared" si="8"/>
        <v>0</v>
      </c>
      <c r="R47" s="299" t="e">
        <f>IF(VLOOKUP(A47,Para1!$B$67:$E$72,2,FALSE)="7.",VLOOKUP(A47,Para1!$B$67:$E$72,3,FALSE),"")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x14ac:dyDescent="0.15">
      <c r="A48" s="102" t="s">
        <v>36</v>
      </c>
      <c r="B48" s="153" t="str">
        <f>IF(B47=Para1!$F$153,Para1!$F$109,IF(B47=Para1!$F$109,Para1!$F$148,IF(B47=Para1!$F$148,Para1!$F$111,IF(B47=Para1!$F$111,Para1!$F$120,IF(B47=Para1!$F$120,Para1!$F$170,IF(B47=Para1!$F$170,Para1!$F$173,Para1!$F$153))))))</f>
        <v>Sun</v>
      </c>
      <c r="C48" s="186"/>
      <c r="D48" s="315"/>
      <c r="E48" s="298"/>
      <c r="F48" s="295"/>
      <c r="G48" s="294"/>
      <c r="H48" s="294"/>
      <c r="I48" s="296"/>
      <c r="J48" s="310"/>
      <c r="K48" s="378"/>
      <c r="L48" s="379"/>
      <c r="M48" s="129"/>
      <c r="N48" s="197"/>
      <c r="O48" s="299"/>
      <c r="P48" s="367">
        <f t="shared" si="8"/>
        <v>0</v>
      </c>
      <c r="Q48" s="367">
        <f t="shared" si="8"/>
        <v>0</v>
      </c>
      <c r="R48" s="299" t="e">
        <f>IF(VLOOKUP(A48,Para1!$B$67:$E$72,2,FALSE)="7.",VLOOKUP(A48,Para1!$B$67:$E$72,3,FALSE),"")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ht="17" customHeight="1" x14ac:dyDescent="0.15">
      <c r="A49" s="102" t="s">
        <v>37</v>
      </c>
      <c r="B49" s="153" t="str">
        <f>IF(B48=Para1!$F$153,Para1!$F$109,IF(B48=Para1!$F$109,Para1!$F$148,IF(B48=Para1!$F$148,Para1!$F$111,IF(B48=Para1!$F$111,Para1!$F$120,IF(B48=Para1!$F$120,Para1!$F$170,IF(B48=Para1!$F$170,Para1!$F$173,Para1!$F$153))))))</f>
        <v>Mon</v>
      </c>
      <c r="C49" s="186"/>
      <c r="D49" s="315"/>
      <c r="E49" s="298"/>
      <c r="F49" s="295"/>
      <c r="G49" s="294"/>
      <c r="H49" s="294"/>
      <c r="I49" s="296"/>
      <c r="J49" s="310"/>
      <c r="K49" s="378"/>
      <c r="L49" s="379"/>
      <c r="M49" s="129"/>
      <c r="N49" s="197"/>
      <c r="O49" s="299"/>
      <c r="P49" s="367">
        <f t="shared" si="8"/>
        <v>1</v>
      </c>
      <c r="Q49" s="367">
        <f t="shared" si="8"/>
        <v>1</v>
      </c>
      <c r="R49" s="299" t="e">
        <f>IF(VLOOKUP(A49,Para1!$B$67:$E$72,2,FALSE)="7.",VLOOKUP(A49,Para1!$B$67:$E$72,3,FALSE),"")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ht="16.5" customHeight="1" x14ac:dyDescent="0.15">
      <c r="A50" s="102" t="s">
        <v>38</v>
      </c>
      <c r="B50" s="153" t="str">
        <f>IF(B49=Para1!$F$153,Para1!$F$109,IF(B49=Para1!$F$109,Para1!$F$148,IF(B49=Para1!$F$148,Para1!$F$111,IF(B49=Para1!$F$111,Para1!$F$120,IF(B49=Para1!$F$120,Para1!$F$170,IF(B49=Para1!$F$170,Para1!$F$173,Para1!$F$153))))))</f>
        <v>Tue</v>
      </c>
      <c r="C50" s="185"/>
      <c r="D50" s="315"/>
      <c r="E50" s="298"/>
      <c r="F50" s="295"/>
      <c r="G50" s="294"/>
      <c r="H50" s="294"/>
      <c r="I50" s="296"/>
      <c r="J50" s="310"/>
      <c r="K50" s="378"/>
      <c r="L50" s="379"/>
      <c r="M50" s="129"/>
      <c r="N50" s="197"/>
      <c r="O50" s="299"/>
      <c r="P50" s="368">
        <f>P43</f>
        <v>1</v>
      </c>
      <c r="Q50" s="368">
        <f t="shared" si="8"/>
        <v>1</v>
      </c>
      <c r="R50" s="299" t="e">
        <f>IF(VLOOKUP(A50,Para1!$B$67:$E$72,2,FALSE)="7.",VLOOKUP(A50,Para1!$B$67:$E$72,3,FALSE),"")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ht="16.5" customHeight="1" x14ac:dyDescent="0.15">
      <c r="A51" s="102" t="s">
        <v>39</v>
      </c>
      <c r="B51" s="153" t="str">
        <f>IF(B50=Para1!$F$153,Para1!$F$109,IF(B50=Para1!$F$109,Para1!$F$148,IF(B50=Para1!$F$148,Para1!$F$111,IF(B50=Para1!$F$111,Para1!$F$120,IF(B50=Para1!$F$120,Para1!$F$170,IF(B50=Para1!$F$170,Para1!$F$173,Para1!$F$153))))))</f>
        <v>Wed</v>
      </c>
      <c r="C51" s="185"/>
      <c r="D51" s="315"/>
      <c r="E51" s="298"/>
      <c r="F51" s="295"/>
      <c r="G51" s="294"/>
      <c r="H51" s="294"/>
      <c r="I51" s="296"/>
      <c r="J51" s="310"/>
      <c r="K51" s="378"/>
      <c r="L51" s="379"/>
      <c r="M51" s="129"/>
      <c r="N51" s="197"/>
      <c r="O51" s="299"/>
      <c r="P51" s="339">
        <f>P44</f>
        <v>1</v>
      </c>
      <c r="Q51" s="367">
        <f>Q44</f>
        <v>1</v>
      </c>
      <c r="R51" s="299" t="e">
        <f>IF(VLOOKUP(A51,Para1!$B$67:$E$72,2,FALSE)="7.",VLOOKUP(A51,Para1!$B$67:$E$72,3,FALSE),"")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6.5" customHeight="1" x14ac:dyDescent="0.15">
      <c r="A52" s="102" t="s">
        <v>40</v>
      </c>
      <c r="B52" s="153" t="str">
        <f>IF(B51=Para1!$F$153,Para1!$F$109,IF(B51=Para1!$F$109,Para1!$F$148,IF(B51=Para1!$F$148,Para1!$F$111,IF(B51=Para1!$F$111,Para1!$F$120,IF(B51=Para1!$F$120,Para1!$F$170,IF(B51=Para1!$F$170,Para1!$F$173,Para1!$F$153))))))</f>
        <v>Thu</v>
      </c>
      <c r="C52" s="186"/>
      <c r="D52" s="315"/>
      <c r="E52" s="298"/>
      <c r="F52" s="295"/>
      <c r="G52" s="294"/>
      <c r="H52" s="294"/>
      <c r="I52" s="296"/>
      <c r="J52" s="310"/>
      <c r="K52" s="378"/>
      <c r="L52" s="379"/>
      <c r="M52" s="129"/>
      <c r="N52" s="197"/>
      <c r="O52" s="299"/>
      <c r="P52" s="339">
        <f t="shared" ref="P52:Q53" si="9">P45</f>
        <v>1</v>
      </c>
      <c r="Q52" s="367">
        <f t="shared" si="9"/>
        <v>1</v>
      </c>
      <c r="R52" s="299" t="e">
        <f>IF(VLOOKUP(A52,Para1!$B$67:$E$72,2,FALSE)="7.",VLOOKUP(A52,Para1!$B$67:$E$72,3,FALSE),"")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s="39" customFormat="1" ht="17" customHeight="1" thickBot="1" x14ac:dyDescent="0.2">
      <c r="A53" s="102" t="s">
        <v>46</v>
      </c>
      <c r="B53" s="153" t="str">
        <f>IF(B52=Para1!$F$153,Para1!$F$109,IF(B52=Para1!$F$109,Para1!$F$148,IF(B52=Para1!$F$148,Para1!$F$111,IF(B52=Para1!$F$111,Para1!$F$120,IF(B52=Para1!$F$120,Para1!$F$170,IF(B52=Para1!$F$170,Para1!$F$173,Para1!$F$153))))))</f>
        <v>Fri</v>
      </c>
      <c r="C53" s="186"/>
      <c r="D53" s="315"/>
      <c r="E53" s="298"/>
      <c r="F53" s="295"/>
      <c r="G53" s="294"/>
      <c r="H53" s="294"/>
      <c r="I53" s="296"/>
      <c r="J53" s="310"/>
      <c r="K53" s="391"/>
      <c r="L53" s="390"/>
      <c r="M53" s="129"/>
      <c r="N53" s="197"/>
      <c r="O53" s="299"/>
      <c r="P53" s="341">
        <f t="shared" si="9"/>
        <v>1</v>
      </c>
      <c r="Q53" s="374">
        <f>Q46</f>
        <v>1</v>
      </c>
      <c r="R53" s="299" t="str">
        <f>IF(VLOOKUP(A53,Para1!$B$67:$E$72,2,FALSE)="7.",VLOOKUP(A53,Para1!$B$67:$E$72,3,FALSE),"")</f>
        <v/>
      </c>
      <c r="S53" s="299" t="str">
        <f>IF((P53+Q53)=0,"",IF(ISNA(R53),"",IF(R53="","",VLOOKUP(R53,Para1!$D$67:$G$79,3,FALSE)*(IF(P53+Q53=1,0.5,1)))))</f>
        <v/>
      </c>
      <c r="T53" s="299">
        <f>IF(P53+Q53=0,"",IF(ISNA(August!R23),"",IF(August!R23="","",VLOOKUP(August!R23,Para1!$D$67:$G$79,4,FALSE)*(IF(P53+Q53=1,0.5,1)))))</f>
        <v>1</v>
      </c>
      <c r="U53" s="299">
        <f t="shared" si="3"/>
        <v>0</v>
      </c>
      <c r="V53" s="299">
        <f t="shared" si="4"/>
        <v>0</v>
      </c>
      <c r="W53" s="299">
        <f t="shared" si="5"/>
        <v>0</v>
      </c>
    </row>
    <row r="54" spans="1:25" ht="15" thickTop="1" x14ac:dyDescent="0.15">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1</v>
      </c>
    </row>
    <row r="55" spans="1:25" ht="15" thickBot="1" x14ac:dyDescent="0.2">
      <c r="A55" s="37"/>
      <c r="B55" s="33"/>
      <c r="C55" s="33"/>
      <c r="D55" s="597">
        <f t="shared" ref="D55:I55" si="11">D54*24</f>
        <v>0</v>
      </c>
      <c r="E55" s="594">
        <f t="shared" si="11"/>
        <v>0</v>
      </c>
      <c r="F55" s="587">
        <f t="shared" si="11"/>
        <v>0</v>
      </c>
      <c r="G55" s="587">
        <f t="shared" si="11"/>
        <v>0</v>
      </c>
      <c r="H55" s="587">
        <f t="shared" si="11"/>
        <v>0</v>
      </c>
      <c r="I55" s="588">
        <f t="shared" si="11"/>
        <v>0</v>
      </c>
      <c r="J55" s="260"/>
      <c r="M55" s="163" t="str">
        <f>Para1!G2</f>
        <v>AE v1_01 20.08.2019</v>
      </c>
      <c r="P55" s="624">
        <f>(Para1!C60/100*$G$3+((S54+T54)/100*$G$3))/(SUM(P23:Q53)-R54)/24</f>
        <v>0</v>
      </c>
      <c r="Q55" s="625"/>
    </row>
    <row r="56" spans="1:25" ht="15" thickTop="1" x14ac:dyDescent="0.15">
      <c r="D56" s="11"/>
    </row>
    <row r="57" spans="1:25" ht="22.5" customHeight="1" x14ac:dyDescent="0.15">
      <c r="A57" s="139" t="str">
        <f>Para1!F106</f>
        <v>date</v>
      </c>
      <c r="B57" s="46"/>
      <c r="C57" s="46"/>
      <c r="D57" s="559"/>
      <c r="E57" s="46"/>
      <c r="F57" s="560" t="str">
        <f>Para1!F191&amp;" "&amp;Para1!F152</f>
        <v>signature employee</v>
      </c>
      <c r="G57" s="46"/>
      <c r="H57" s="561"/>
      <c r="I57" s="561"/>
      <c r="J57" s="561"/>
      <c r="K57" s="561"/>
      <c r="L57" s="561"/>
      <c r="P57" s="5"/>
      <c r="T57" s="132"/>
      <c r="U57" s="46"/>
      <c r="Y57" s="540"/>
    </row>
    <row r="58" spans="1:25" x14ac:dyDescent="0.15">
      <c r="A58" s="5"/>
      <c r="B58" s="5"/>
      <c r="C58" s="5"/>
      <c r="D58" s="5"/>
      <c r="E58" s="5"/>
      <c r="F58" s="5"/>
      <c r="G58" s="5"/>
      <c r="H58" s="5"/>
      <c r="I58" s="562"/>
      <c r="J58" s="562"/>
      <c r="K58" s="562"/>
      <c r="L58" s="562"/>
    </row>
    <row r="59" spans="1:25" ht="22.5" customHeight="1" x14ac:dyDescent="0.15">
      <c r="A59" s="5"/>
      <c r="B59" s="5"/>
      <c r="C59" s="5"/>
      <c r="D59" s="5"/>
      <c r="E59" s="5"/>
      <c r="F59" s="563" t="str">
        <f>Para1!F191&amp;" "&amp;Para1!F193</f>
        <v>signature manager</v>
      </c>
      <c r="G59" s="5"/>
      <c r="H59" s="564"/>
      <c r="I59" s="565"/>
      <c r="J59" s="565"/>
      <c r="K59" s="565"/>
      <c r="L59" s="565"/>
    </row>
    <row r="60" spans="1:25" x14ac:dyDescent="0.15">
      <c r="A60" s="37"/>
      <c r="B60" s="16"/>
      <c r="C60" s="16"/>
      <c r="D60" s="16"/>
      <c r="E60" s="16"/>
      <c r="F60" s="16"/>
      <c r="G60" s="16"/>
      <c r="H60" s="99"/>
      <c r="I60" s="16"/>
      <c r="J60" s="16"/>
    </row>
    <row r="61" spans="1:25" ht="22.5" customHeight="1" x14ac:dyDescent="0.15">
      <c r="A61" s="42"/>
      <c r="B61" s="43"/>
      <c r="C61" s="43"/>
      <c r="D61" s="44"/>
      <c r="E61" s="45"/>
      <c r="F61" s="44"/>
      <c r="G61" s="141"/>
      <c r="I61" s="9"/>
      <c r="J61" s="132"/>
      <c r="L61" s="132"/>
      <c r="M61" s="46"/>
      <c r="Q61" s="58"/>
    </row>
  </sheetData>
  <sheetProtection password="CF1F" sheet="1" objects="1" scenarios="1"/>
  <mergeCells count="29">
    <mergeCell ref="P54:Q54"/>
    <mergeCell ref="P55:Q55"/>
    <mergeCell ref="J9:K9"/>
    <mergeCell ref="J10:K10"/>
    <mergeCell ref="P20:Q20"/>
    <mergeCell ref="P21:P22"/>
    <mergeCell ref="Q21:Q22"/>
    <mergeCell ref="E21:E22"/>
    <mergeCell ref="K20:L20"/>
    <mergeCell ref="M20:N20"/>
    <mergeCell ref="K21:K22"/>
    <mergeCell ref="L21:L22"/>
    <mergeCell ref="G21:G22"/>
    <mergeCell ref="A1:B1"/>
    <mergeCell ref="A3:B3"/>
    <mergeCell ref="A21:B21"/>
    <mergeCell ref="D20:I20"/>
    <mergeCell ref="I21:I22"/>
    <mergeCell ref="D1:E1"/>
    <mergeCell ref="H21:H22"/>
    <mergeCell ref="A22:B22"/>
    <mergeCell ref="C16:E16"/>
    <mergeCell ref="C17:E17"/>
    <mergeCell ref="C18:E18"/>
    <mergeCell ref="B13:E13"/>
    <mergeCell ref="C14:E14"/>
    <mergeCell ref="C15:E15"/>
    <mergeCell ref="D21:D22"/>
    <mergeCell ref="F21:F22"/>
  </mergeCells>
  <phoneticPr fontId="0" type="noConversion"/>
  <conditionalFormatting sqref="A23:B53">
    <cfRule type="expression" dxfId="46" priority="6">
      <formula>$S23=0</formula>
    </cfRule>
    <cfRule type="expression" dxfId="45" priority="7">
      <formula>$P23+$Q23=0</formula>
    </cfRule>
  </conditionalFormatting>
  <conditionalFormatting sqref="D23:I53">
    <cfRule type="expression" dxfId="44" priority="4">
      <formula>$P23+$Q23=1</formula>
    </cfRule>
    <cfRule type="expression" dxfId="43" priority="5">
      <formula>$P23+$Q23=0</formula>
    </cfRule>
  </conditionalFormatting>
  <conditionalFormatting sqref="D23:I53 K23:L53 P23:Q53">
    <cfRule type="expression" dxfId="42" priority="3">
      <formula>$S23=0</formula>
    </cfRule>
  </conditionalFormatting>
  <conditionalFormatting sqref="K23:K53 P23:P53">
    <cfRule type="expression" dxfId="41" priority="2">
      <formula>$P23=0</formula>
    </cfRule>
  </conditionalFormatting>
  <conditionalFormatting sqref="L23:L53 Q23:Q53">
    <cfRule type="expression" dxfId="40"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900-000000000000}">
      <formula1>0</formula1>
      <formula2>25</formula2>
    </dataValidation>
  </dataValidations>
  <pageMargins left="0.4" right="0.41"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pageSetUpPr fitToPage="1"/>
  </sheetPr>
  <dimension ref="A1:Y61"/>
  <sheetViews>
    <sheetView showGridLines="0" topLeftCell="A24" zoomScale="85" zoomScaleNormal="85" workbookViewId="0">
      <selection activeCell="M49" sqref="M49"/>
    </sheetView>
  </sheetViews>
  <sheetFormatPr baseColWidth="10" defaultColWidth="11.5" defaultRowHeight="14" x14ac:dyDescent="0.15"/>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6"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row>
    <row r="2" spans="1:16" ht="6" customHeight="1" x14ac:dyDescent="0.15">
      <c r="D2" s="7"/>
      <c r="E2" s="7"/>
      <c r="F2" s="7"/>
      <c r="G2" s="7"/>
      <c r="H2" s="11"/>
      <c r="I2" s="7"/>
      <c r="J2" s="7"/>
      <c r="K2" s="7"/>
      <c r="L2" s="7"/>
      <c r="M2" s="5"/>
      <c r="N2" s="5"/>
    </row>
    <row r="3" spans="1:16" x14ac:dyDescent="0.15">
      <c r="A3" s="636" t="str">
        <f>Para1!F165</f>
        <v xml:space="preserve">pers.-no.: </v>
      </c>
      <c r="B3" s="636"/>
      <c r="C3" s="237"/>
      <c r="D3" s="241">
        <f>'Jahresübersicht (Overview)'!C4</f>
        <v>0</v>
      </c>
      <c r="E3" s="7"/>
      <c r="F3" s="8" t="str">
        <f>Para1!F97&amp;": "</f>
        <v xml:space="preserve">level of employment: </v>
      </c>
      <c r="G3" s="29">
        <f>'Jahresübersicht (Overview)'!J8</f>
        <v>100</v>
      </c>
      <c r="H3" s="11" t="s">
        <v>215</v>
      </c>
      <c r="I3" s="58"/>
      <c r="J3" s="237"/>
      <c r="K3" s="246" t="str">
        <f>Para1!F113</f>
        <v xml:space="preserve">starting date: </v>
      </c>
      <c r="L3" s="247">
        <f>'Jahresübersicht (Overview)'!$G$4</f>
        <v>42596</v>
      </c>
      <c r="M3" s="243"/>
      <c r="N3" s="243"/>
    </row>
    <row r="4" spans="1:16" ht="6" customHeight="1" x14ac:dyDescent="0.15">
      <c r="A4" s="12"/>
      <c r="B4" s="13"/>
      <c r="C4" s="13"/>
      <c r="D4" s="14"/>
      <c r="E4" s="14"/>
      <c r="F4" s="14"/>
      <c r="G4" s="14"/>
      <c r="H4" s="14"/>
      <c r="I4" s="15"/>
      <c r="J4" s="15"/>
      <c r="K4" s="15"/>
      <c r="L4" s="15"/>
      <c r="M4" s="13"/>
      <c r="N4" s="13"/>
    </row>
    <row r="5" spans="1:16" ht="6" customHeight="1" x14ac:dyDescent="0.15">
      <c r="D5" s="7"/>
      <c r="E5" s="7"/>
      <c r="F5" s="7"/>
      <c r="G5" s="7"/>
      <c r="H5" s="7"/>
      <c r="I5" s="9"/>
      <c r="J5" s="9"/>
      <c r="K5" s="9"/>
      <c r="L5" s="9"/>
    </row>
    <row r="6" spans="1:16" ht="15" customHeight="1" x14ac:dyDescent="0.15">
      <c r="D6" s="7"/>
      <c r="E6" s="21"/>
      <c r="F6" s="7"/>
      <c r="G6" s="7"/>
      <c r="H6" s="7"/>
      <c r="I6" s="9"/>
      <c r="J6" s="9"/>
      <c r="K6" s="9"/>
      <c r="L6" s="9"/>
    </row>
    <row r="7" spans="1:16"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x14ac:dyDescent="0.15">
      <c r="D8" s="198" t="str">
        <f>Para1!B171&amp;" "&amp;Para1!B88&amp;" "&amp;Para1!B154</f>
        <v>Saldo Anfang Monat</v>
      </c>
      <c r="E8" s="201">
        <f>Juli!E11</f>
        <v>3.645833333333333</v>
      </c>
      <c r="H8" s="11"/>
      <c r="I8" s="21" t="str">
        <f>Para1!F141</f>
        <v>illness</v>
      </c>
      <c r="J8" s="242"/>
      <c r="K8" s="5"/>
      <c r="L8" s="161">
        <f>D54</f>
        <v>0</v>
      </c>
      <c r="M8" s="161">
        <f>Juli!N8</f>
        <v>0</v>
      </c>
      <c r="N8" s="93">
        <f t="shared" ref="N8:N13" si="0">SUM(L8:M8)</f>
        <v>0</v>
      </c>
    </row>
    <row r="9" spans="1:16" ht="15" customHeight="1" x14ac:dyDescent="0.15">
      <c r="D9" s="198" t="str">
        <f>"./. "&amp;Para1!F118</f>
        <v>./. holiday taken</v>
      </c>
      <c r="E9" s="201">
        <f>COUNTIF($K$23:$L$53,"f")*$P$55-IF(ISNA(F9),0,((S54+T54)/100*G3)/48)-IF(ISNA(G9),0,((S54+T54)/100*G3)/48)</f>
        <v>0.17500000000000002</v>
      </c>
      <c r="F9" s="299" t="e">
        <f>INDEX(U23:U53,MATCH("f",U23:U53,0))</f>
        <v>#N/A</v>
      </c>
      <c r="G9" s="299" t="e">
        <f>INDEX(V23:V53,MATCH("f",V23:V53,0))</f>
        <v>#N/A</v>
      </c>
      <c r="H9" s="11"/>
      <c r="I9" s="21" t="str">
        <f>Para1!F190</f>
        <v>accident</v>
      </c>
      <c r="J9" s="641" t="str">
        <f>Para1!F99</f>
        <v>work related</v>
      </c>
      <c r="K9" s="641"/>
      <c r="L9" s="161">
        <f>E54</f>
        <v>0</v>
      </c>
      <c r="M9" s="161">
        <f>Juli!N9</f>
        <v>0</v>
      </c>
      <c r="N9" s="93">
        <f t="shared" si="0"/>
        <v>0</v>
      </c>
    </row>
    <row r="10" spans="1:16" ht="15" customHeight="1" x14ac:dyDescent="0.15">
      <c r="D10" s="198" t="str">
        <f>"./ ."&amp;Para1!F119</f>
        <v>./ .reduction of holiday</v>
      </c>
      <c r="E10" s="530">
        <v>0</v>
      </c>
      <c r="H10" s="11"/>
      <c r="I10" s="21"/>
      <c r="J10" s="641" t="str">
        <f>Para1!F161&amp;" "&amp;Para1!F100</f>
        <v>not work. rel.</v>
      </c>
      <c r="K10" s="641"/>
      <c r="L10" s="161">
        <f>F54</f>
        <v>0</v>
      </c>
      <c r="M10" s="161">
        <f>Juli!N10</f>
        <v>0</v>
      </c>
      <c r="N10" s="93">
        <f t="shared" si="0"/>
        <v>0</v>
      </c>
    </row>
    <row r="11" spans="1:16" ht="15" customHeight="1" thickBot="1" x14ac:dyDescent="0.2">
      <c r="B11" s="251"/>
      <c r="C11" s="251"/>
      <c r="D11" s="246" t="str">
        <f>Para1!F171&amp;" "&amp;Para1!F115&amp;" "&amp;Para1!F154</f>
        <v>balance end of the month</v>
      </c>
      <c r="E11" s="202">
        <f>$E$8-$E$9-$E$10</f>
        <v>3.4708333333333332</v>
      </c>
      <c r="H11" s="11"/>
      <c r="I11" s="49" t="str">
        <f>Para1!F142</f>
        <v>short vacation</v>
      </c>
      <c r="J11" s="5"/>
      <c r="K11" s="5"/>
      <c r="L11" s="161">
        <f>G54</f>
        <v>0</v>
      </c>
      <c r="M11" s="161">
        <f>Juli!N11</f>
        <v>0</v>
      </c>
      <c r="N11" s="93">
        <f t="shared" si="0"/>
        <v>0</v>
      </c>
    </row>
    <row r="12" spans="1:16" ht="15" customHeight="1" thickTop="1" x14ac:dyDescent="0.15">
      <c r="B12" s="542" t="str">
        <f>IF((E11*24+(4.2*'Persönliche Daten (pers. data)'!O8/100))&lt;0,Para1!J224,IF(E11&gt;0,"",Para1!J223))</f>
        <v/>
      </c>
      <c r="D12" s="11"/>
      <c r="H12" s="11"/>
      <c r="I12" s="24" t="str">
        <f>Para1!F198</f>
        <v>training / education</v>
      </c>
      <c r="J12" s="5"/>
      <c r="K12" s="5"/>
      <c r="L12" s="161">
        <f>H54</f>
        <v>0</v>
      </c>
      <c r="M12" s="161">
        <f>Juli!N12</f>
        <v>0</v>
      </c>
      <c r="N12" s="93">
        <f t="shared" si="0"/>
        <v>0</v>
      </c>
    </row>
    <row r="13" spans="1:16"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Juli!N13</f>
        <v>0</v>
      </c>
      <c r="N13" s="93">
        <f t="shared" si="0"/>
        <v>0</v>
      </c>
    </row>
    <row r="14" spans="1:16"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Juli!N14</f>
        <v>0</v>
      </c>
      <c r="N14" s="93">
        <f>SUM(L14:M14)</f>
        <v>0</v>
      </c>
      <c r="O14" s="299" t="e">
        <f>INDEX(U23:U53,MATCH("b",U23:U53,0))</f>
        <v>#N/A</v>
      </c>
      <c r="P14" s="299" t="e">
        <f>INDEX(V23:V53,MATCH("b",V23:V53,0))</f>
        <v>#N/A</v>
      </c>
    </row>
    <row r="15" spans="1:16"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Juli!N15</f>
        <v>0</v>
      </c>
      <c r="N15" s="93">
        <f>SUM(L15:M15)</f>
        <v>0</v>
      </c>
      <c r="O15" s="299" t="e">
        <f>INDEX(U23:U53,MATCH("u",U23:U53,0))</f>
        <v>#N/A</v>
      </c>
      <c r="P15" s="299" t="e">
        <f>INDEX(V23:V53,MATCH("u",V23:V53,0))</f>
        <v>#N/A</v>
      </c>
    </row>
    <row r="16" spans="1:16"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Juli!N16</f>
        <v>0</v>
      </c>
      <c r="N16" s="93">
        <f>SUM(L16:M16)</f>
        <v>0</v>
      </c>
      <c r="O16" s="299" t="e">
        <f>INDEX(U23:U53,MATCH("m",U23:U53,0))</f>
        <v>#N/A</v>
      </c>
      <c r="P16" s="299" t="e">
        <f>INDEX(V23:V53,MATCH("m",V23:V53,0))</f>
        <v>#N/A</v>
      </c>
    </row>
    <row r="17" spans="1:23" ht="15" customHeight="1" x14ac:dyDescent="0.15">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Juli!N17</f>
        <v>0</v>
      </c>
      <c r="N17" s="93">
        <f>SUM(L17:M17)</f>
        <v>0</v>
      </c>
      <c r="O17" s="299" t="e">
        <f>INDEX(U23:U53,MATCH("z",U23:U53,0))</f>
        <v>#N/A</v>
      </c>
      <c r="P17" s="299" t="e">
        <f>INDEX(V23:V53,MATCH("z",V23:V53,0))</f>
        <v>#N/A</v>
      </c>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x14ac:dyDescent="0.2">
      <c r="A19" s="25" t="str">
        <f>Para1!F104</f>
        <v>(please enter in hours and minutes)</v>
      </c>
      <c r="B19" s="7"/>
      <c r="C19" s="7"/>
      <c r="D19" s="7"/>
      <c r="E19" s="7"/>
      <c r="F19" s="7"/>
      <c r="G19" s="7"/>
      <c r="H19" s="7"/>
      <c r="I19" s="9"/>
      <c r="J19" s="9"/>
      <c r="K19" s="9"/>
      <c r="L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x14ac:dyDescent="0.15">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x14ac:dyDescent="0.2">
      <c r="A22" s="639" t="str">
        <f>Para1!F106</f>
        <v>date</v>
      </c>
      <c r="B22" s="640"/>
      <c r="C22" s="536"/>
      <c r="D22" s="649"/>
      <c r="E22" s="660"/>
      <c r="F22" s="658"/>
      <c r="G22" s="659"/>
      <c r="H22" s="647"/>
      <c r="I22" s="638"/>
      <c r="J22" s="257"/>
      <c r="K22" s="668"/>
      <c r="L22" s="666"/>
      <c r="M22" s="196"/>
      <c r="P22" s="633"/>
      <c r="Q22" s="635"/>
    </row>
    <row r="23" spans="1:23" ht="17" customHeight="1" thickTop="1" x14ac:dyDescent="0.15">
      <c r="A23" s="102" t="s">
        <v>4</v>
      </c>
      <c r="B23" s="142" t="str">
        <f>IF(Juli!B53=Para1!$F$153,Para1!$F$109,IF(Juli!B53=Para1!$F$109,Para1!$F$148,IF(Juli!B53=Para1!$F$148,Para1!$F$111,IF(Juli!B53=Para1!$F$111,Para1!$F$120,IF(Juli!B53=Para1!$F$120,Para1!$F$170,IF(Juli!B53=Para1!$F$170,Para1!$F$173,Para1!$F$153))))))</f>
        <v>Sat</v>
      </c>
      <c r="C23" s="185"/>
      <c r="D23" s="315"/>
      <c r="E23" s="298"/>
      <c r="F23" s="295"/>
      <c r="G23" s="294"/>
      <c r="H23" s="294"/>
      <c r="I23" s="296"/>
      <c r="J23" s="310"/>
      <c r="K23" s="378"/>
      <c r="L23" s="379"/>
      <c r="M23" s="131"/>
      <c r="N23" s="197"/>
      <c r="O23" s="299"/>
      <c r="P23" s="366">
        <v>0</v>
      </c>
      <c r="Q23" s="366">
        <v>0</v>
      </c>
      <c r="R23" s="299" t="s">
        <v>234</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x14ac:dyDescent="0.15">
      <c r="A24" s="27" t="s">
        <v>6</v>
      </c>
      <c r="B24" s="153" t="str">
        <f>IF(B23=Para1!$F$153,Para1!$F$109,IF(B23=Para1!$F$109,Para1!$F$148,IF(B23=Para1!$F$148,Para1!$F$111,IF(B23=Para1!$F$111,Para1!$F$120,IF(B23=Para1!$F$120,Para1!$F$170,IF(B23=Para1!$F$170,Para1!$F$173,Para1!$F$153))))))</f>
        <v>Sun</v>
      </c>
      <c r="C24" s="186"/>
      <c r="D24" s="315"/>
      <c r="E24" s="298"/>
      <c r="F24" s="295"/>
      <c r="G24" s="294"/>
      <c r="H24" s="294"/>
      <c r="I24" s="296"/>
      <c r="J24" s="310"/>
      <c r="K24" s="378"/>
      <c r="L24" s="379"/>
      <c r="M24" s="131"/>
      <c r="N24" s="197"/>
      <c r="O24" s="299"/>
      <c r="P24" s="366">
        <f>Juli!P48</f>
        <v>0</v>
      </c>
      <c r="Q24" s="366">
        <f>Juli!Q48</f>
        <v>0</v>
      </c>
      <c r="R24" s="299" t="e">
        <f>IF(VLOOKUP(A24,Para1!$B$67:$E$72,2,FALSE)="8.",VLOOKUP(A24,Para1!$B$67:$E$72,3,FALSE),"")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x14ac:dyDescent="0.15">
      <c r="A25" s="27" t="s">
        <v>8</v>
      </c>
      <c r="B25" s="153" t="str">
        <f>IF(B24=Para1!$F$153,Para1!$F$109,IF(B24=Para1!$F$109,Para1!$F$148,IF(B24=Para1!$F$148,Para1!$F$111,IF(B24=Para1!$F$111,Para1!$F$120,IF(B24=Para1!$F$120,Para1!$F$170,IF(B24=Para1!$F$170,Para1!$F$173,Para1!$F$153))))))</f>
        <v>Mon</v>
      </c>
      <c r="C25" s="186"/>
      <c r="D25" s="315"/>
      <c r="E25" s="298"/>
      <c r="F25" s="295"/>
      <c r="G25" s="294"/>
      <c r="H25" s="294"/>
      <c r="I25" s="296"/>
      <c r="J25" s="310"/>
      <c r="K25" s="378"/>
      <c r="L25" s="379"/>
      <c r="M25" s="129"/>
      <c r="N25" s="197"/>
      <c r="O25" s="299"/>
      <c r="P25" s="366">
        <f>Juli!P49</f>
        <v>1</v>
      </c>
      <c r="Q25" s="366">
        <f>Juli!Q49</f>
        <v>1</v>
      </c>
      <c r="R25" s="299" t="e">
        <f>IF(VLOOKUP(A25,Para1!$B$67:$E$72,2,FALSE)="8.",VLOOKUP(A25,Para1!$B$67:$E$72,3,FALSE),"")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x14ac:dyDescent="0.15">
      <c r="A26" s="27" t="s">
        <v>10</v>
      </c>
      <c r="B26" s="153" t="str">
        <f>IF(B25=Para1!$F$153,Para1!$F$109,IF(B25=Para1!$F$109,Para1!$F$148,IF(B25=Para1!$F$148,Para1!$F$111,IF(B25=Para1!$F$111,Para1!$F$120,IF(B25=Para1!$F$120,Para1!$F$170,IF(B25=Para1!$F$170,Para1!$F$173,Para1!$F$153))))))</f>
        <v>Tue</v>
      </c>
      <c r="C26" s="185"/>
      <c r="D26" s="315"/>
      <c r="E26" s="298"/>
      <c r="F26" s="295"/>
      <c r="G26" s="294"/>
      <c r="H26" s="294"/>
      <c r="I26" s="296"/>
      <c r="J26" s="310"/>
      <c r="K26" s="378"/>
      <c r="L26" s="379"/>
      <c r="M26" s="129"/>
      <c r="N26" s="197"/>
      <c r="O26" s="299"/>
      <c r="P26" s="366">
        <f>Juli!P50</f>
        <v>1</v>
      </c>
      <c r="Q26" s="366">
        <f>Juli!Q50</f>
        <v>1</v>
      </c>
      <c r="R26" s="299" t="e">
        <f>IF(VLOOKUP(A26,Para1!$B$67:$E$72,2,FALSE)="8.",VLOOKUP(A26,Para1!$B$67:$E$72,3,FALSE),"")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x14ac:dyDescent="0.15">
      <c r="A27" s="102" t="s">
        <v>12</v>
      </c>
      <c r="B27" s="153" t="str">
        <f>IF(B26=Para1!$F$153,Para1!$F$109,IF(B26=Para1!$F$109,Para1!$F$148,IF(B26=Para1!$F$148,Para1!$F$111,IF(B26=Para1!$F$111,Para1!$F$120,IF(B26=Para1!$F$120,Para1!$F$170,IF(B26=Para1!$F$170,Para1!$F$173,Para1!$F$153))))))</f>
        <v>Wed</v>
      </c>
      <c r="C27" s="185"/>
      <c r="D27" s="315"/>
      <c r="E27" s="298"/>
      <c r="F27" s="295"/>
      <c r="G27" s="294"/>
      <c r="H27" s="294"/>
      <c r="I27" s="296"/>
      <c r="J27" s="310"/>
      <c r="K27" s="378"/>
      <c r="L27" s="379"/>
      <c r="M27" s="129"/>
      <c r="N27" s="197"/>
      <c r="O27" s="299"/>
      <c r="P27" s="366">
        <f>Juli!P51</f>
        <v>1</v>
      </c>
      <c r="Q27" s="366">
        <f>Juli!Q51</f>
        <v>1</v>
      </c>
      <c r="R27" s="299" t="e">
        <f>IF(VLOOKUP(A27,Para1!$B$67:$E$72,2,FALSE)="8.",VLOOKUP(A27,Para1!$B$67:$E$72,3,FALSE),"")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x14ac:dyDescent="0.15">
      <c r="A28" s="27" t="s">
        <v>14</v>
      </c>
      <c r="B28" s="153" t="str">
        <f>IF(B27=Para1!$F$153,Para1!$F$109,IF(B27=Para1!$F$109,Para1!$F$148,IF(B27=Para1!$F$148,Para1!$F$111,IF(B27=Para1!$F$111,Para1!$F$120,IF(B27=Para1!$F$120,Para1!$F$170,IF(B27=Para1!$F$170,Para1!$F$173,Para1!$F$153))))))</f>
        <v>Thu</v>
      </c>
      <c r="C28" s="186"/>
      <c r="D28" s="315"/>
      <c r="E28" s="298"/>
      <c r="F28" s="295"/>
      <c r="G28" s="294"/>
      <c r="H28" s="294"/>
      <c r="I28" s="296"/>
      <c r="J28" s="310"/>
      <c r="K28" s="378"/>
      <c r="L28" s="379"/>
      <c r="M28" s="129"/>
      <c r="N28" s="197"/>
      <c r="O28" s="299"/>
      <c r="P28" s="366">
        <f>Juli!P52</f>
        <v>1</v>
      </c>
      <c r="Q28" s="366">
        <f>Juli!Q52</f>
        <v>1</v>
      </c>
      <c r="R28" s="299" t="e">
        <f>IF(VLOOKUP(A28,Para1!$B$67:$E$72,2,FALSE)="8.",VLOOKUP(A28,Para1!$B$67:$E$72,3,FALSE),"")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s="39" customFormat="1" ht="17" customHeight="1" x14ac:dyDescent="0.15">
      <c r="A29" s="102" t="s">
        <v>16</v>
      </c>
      <c r="B29" s="153" t="str">
        <f>IF(B28=Para1!$F$153,Para1!$F$109,IF(B28=Para1!$F$109,Para1!$F$148,IF(B28=Para1!$F$148,Para1!$F$111,IF(B28=Para1!$F$111,Para1!$F$120,IF(B28=Para1!$F$120,Para1!$F$170,IF(B28=Para1!$F$170,Para1!$F$173,Para1!$F$153))))))</f>
        <v>Fri</v>
      </c>
      <c r="C29" s="186"/>
      <c r="D29" s="315"/>
      <c r="E29" s="298"/>
      <c r="F29" s="295"/>
      <c r="G29" s="294"/>
      <c r="H29" s="294"/>
      <c r="I29" s="296"/>
      <c r="J29" s="310"/>
      <c r="K29" s="378"/>
      <c r="L29" s="379"/>
      <c r="M29" s="129"/>
      <c r="N29" s="197"/>
      <c r="O29" s="299"/>
      <c r="P29" s="366">
        <f>Juli!P53</f>
        <v>1</v>
      </c>
      <c r="Q29" s="366">
        <f>Juli!Q53</f>
        <v>1</v>
      </c>
      <c r="R29" s="299" t="e">
        <f>IF(VLOOKUP(A29,Para1!$B$67:$E$72,2,FALSE)="8.",VLOOKUP(A29,Para1!$B$67:$E$72,3,FALSE),"")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s="39" customFormat="1" ht="17" customHeight="1" x14ac:dyDescent="0.15">
      <c r="A30" s="102" t="s">
        <v>18</v>
      </c>
      <c r="B30" s="153" t="str">
        <f>IF(B29=Para1!$F$153,Para1!$F$109,IF(B29=Para1!$F$109,Para1!$F$148,IF(B29=Para1!$F$148,Para1!$F$111,IF(B29=Para1!$F$111,Para1!$F$120,IF(B29=Para1!$F$120,Para1!$F$170,IF(B29=Para1!$F$170,Para1!$F$173,Para1!$F$153))))))</f>
        <v>Sat</v>
      </c>
      <c r="C30" s="186"/>
      <c r="D30" s="315"/>
      <c r="E30" s="298"/>
      <c r="F30" s="295"/>
      <c r="G30" s="294"/>
      <c r="H30" s="294"/>
      <c r="I30" s="296"/>
      <c r="J30" s="310"/>
      <c r="K30" s="378"/>
      <c r="L30" s="379"/>
      <c r="M30" s="129"/>
      <c r="N30" s="197"/>
      <c r="O30" s="299"/>
      <c r="P30" s="367">
        <f>Juli!P47</f>
        <v>0</v>
      </c>
      <c r="Q30" s="367">
        <f>Juli!Q47</f>
        <v>0</v>
      </c>
      <c r="R30" s="299" t="e">
        <f>IF(VLOOKUP(A30,Para1!$B$67:$E$72,2,FALSE)="8.",VLOOKUP(A30,Para1!$B$67:$E$72,3,FALSE),"")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x14ac:dyDescent="0.15">
      <c r="A31" s="27" t="s">
        <v>19</v>
      </c>
      <c r="B31" s="153" t="str">
        <f>IF(B30=Para1!$F$153,Para1!$F$109,IF(B30=Para1!$F$109,Para1!$F$148,IF(B30=Para1!$F$148,Para1!$F$111,IF(B30=Para1!$F$111,Para1!$F$120,IF(B30=Para1!$F$120,Para1!$F$170,IF(B30=Para1!$F$170,Para1!$F$173,Para1!$F$153))))))</f>
        <v>Sun</v>
      </c>
      <c r="C31" s="186"/>
      <c r="D31" s="315"/>
      <c r="E31" s="298"/>
      <c r="F31" s="295"/>
      <c r="G31" s="294"/>
      <c r="H31" s="294"/>
      <c r="I31" s="296"/>
      <c r="J31" s="310"/>
      <c r="K31" s="378"/>
      <c r="L31" s="379"/>
      <c r="M31" s="129"/>
      <c r="N31" s="197"/>
      <c r="O31" s="299"/>
      <c r="P31" s="367">
        <f t="shared" ref="P31:Q36" si="6">P24</f>
        <v>0</v>
      </c>
      <c r="Q31" s="367">
        <f t="shared" si="6"/>
        <v>0</v>
      </c>
      <c r="R31" s="299" t="e">
        <f>IF(VLOOKUP(A31,Para1!$B$67:$E$72,2,FALSE)="8.",VLOOKUP(A31,Para1!$B$67:$E$72,3,FALSE),"")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x14ac:dyDescent="0.15">
      <c r="A32" s="27" t="s">
        <v>20</v>
      </c>
      <c r="B32" s="153" t="str">
        <f>IF(B31=Para1!$F$153,Para1!$F$109,IF(B31=Para1!$F$109,Para1!$F$148,IF(B31=Para1!$F$148,Para1!$F$111,IF(B31=Para1!$F$111,Para1!$F$120,IF(B31=Para1!$F$120,Para1!$F$170,IF(B31=Para1!$F$170,Para1!$F$173,Para1!$F$153))))))</f>
        <v>Mon</v>
      </c>
      <c r="C32" s="186"/>
      <c r="D32" s="315"/>
      <c r="E32" s="298"/>
      <c r="F32" s="295"/>
      <c r="G32" s="294"/>
      <c r="H32" s="294"/>
      <c r="I32" s="296"/>
      <c r="J32" s="310"/>
      <c r="K32" s="378"/>
      <c r="L32" s="379"/>
      <c r="M32" s="129"/>
      <c r="N32" s="197"/>
      <c r="O32" s="299"/>
      <c r="P32" s="367">
        <f t="shared" si="6"/>
        <v>1</v>
      </c>
      <c r="Q32" s="367">
        <f t="shared" si="6"/>
        <v>1</v>
      </c>
      <c r="R32" s="299" t="str">
        <f>IF(VLOOKUP(A32,Para1!$B$67:$E$72,2,FALSE)="8.",VLOOKUP(A32,Para1!$B$67:$E$72,3,FALSE),"")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x14ac:dyDescent="0.15">
      <c r="A33" s="27" t="s">
        <v>21</v>
      </c>
      <c r="B33" s="153" t="str">
        <f>IF(B32=Para1!$F$153,Para1!$F$109,IF(B32=Para1!$F$109,Para1!$F$148,IF(B32=Para1!$F$148,Para1!$F$111,IF(B32=Para1!$F$111,Para1!$F$120,IF(B32=Para1!$F$120,Para1!$F$170,IF(B32=Para1!$F$170,Para1!$F$173,Para1!$F$153))))))</f>
        <v>Tue</v>
      </c>
      <c r="C33" s="185"/>
      <c r="D33" s="315"/>
      <c r="E33" s="298"/>
      <c r="F33" s="295"/>
      <c r="G33" s="294"/>
      <c r="H33" s="294"/>
      <c r="I33" s="296"/>
      <c r="J33" s="310"/>
      <c r="K33" s="378"/>
      <c r="L33" s="379"/>
      <c r="M33" s="129"/>
      <c r="N33" s="197"/>
      <c r="O33" s="299"/>
      <c r="P33" s="367">
        <f t="shared" si="6"/>
        <v>1</v>
      </c>
      <c r="Q33" s="367">
        <f t="shared" si="6"/>
        <v>1</v>
      </c>
      <c r="R33" s="299" t="e">
        <f>IF(VLOOKUP(A33,Para1!$B$67:$E$72,2,FALSE)="8.",VLOOKUP(A33,Para1!$B$67:$E$72,3,FALSE),"")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x14ac:dyDescent="0.15">
      <c r="A34" s="102" t="s">
        <v>22</v>
      </c>
      <c r="B34" s="153" t="str">
        <f>IF(B33=Para1!$F$153,Para1!$F$109,IF(B33=Para1!$F$109,Para1!$F$148,IF(B33=Para1!$F$148,Para1!$F$111,IF(B33=Para1!$F$111,Para1!$F$120,IF(B33=Para1!$F$120,Para1!$F$170,IF(B33=Para1!$F$170,Para1!$F$173,Para1!$F$153))))))</f>
        <v>Wed</v>
      </c>
      <c r="C34" s="185"/>
      <c r="D34" s="315"/>
      <c r="E34" s="298"/>
      <c r="F34" s="295"/>
      <c r="G34" s="294"/>
      <c r="H34" s="294"/>
      <c r="I34" s="296"/>
      <c r="J34" s="310"/>
      <c r="K34" s="378"/>
      <c r="L34" s="379"/>
      <c r="M34" s="129"/>
      <c r="N34" s="197"/>
      <c r="O34" s="299"/>
      <c r="P34" s="367">
        <f t="shared" si="6"/>
        <v>1</v>
      </c>
      <c r="Q34" s="367">
        <f t="shared" si="6"/>
        <v>1</v>
      </c>
      <c r="R34" s="299" t="str">
        <f>IF(VLOOKUP(A34,Para1!$B$67:$E$72,2,FALSE)="8.",VLOOKUP(A34,Para1!$B$67:$E$72,3,FALSE),"")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x14ac:dyDescent="0.15">
      <c r="A35" s="27" t="s">
        <v>23</v>
      </c>
      <c r="B35" s="153" t="str">
        <f>IF(B34=Para1!$F$153,Para1!$F$109,IF(B34=Para1!$F$109,Para1!$F$148,IF(B34=Para1!$F$148,Para1!$F$111,IF(B34=Para1!$F$111,Para1!$F$120,IF(B34=Para1!$F$120,Para1!$F$170,IF(B34=Para1!$F$170,Para1!$F$173,Para1!$F$153))))))</f>
        <v>Thu</v>
      </c>
      <c r="C35" s="186"/>
      <c r="D35" s="315"/>
      <c r="E35" s="298"/>
      <c r="F35" s="295"/>
      <c r="G35" s="294"/>
      <c r="H35" s="294"/>
      <c r="I35" s="296"/>
      <c r="J35" s="310"/>
      <c r="K35" s="378"/>
      <c r="L35" s="379"/>
      <c r="M35" s="129"/>
      <c r="N35" s="197"/>
      <c r="O35" s="299"/>
      <c r="P35" s="367">
        <f t="shared" si="6"/>
        <v>1</v>
      </c>
      <c r="Q35" s="367">
        <f t="shared" si="6"/>
        <v>1</v>
      </c>
      <c r="R35" s="299" t="str">
        <f>IF(VLOOKUP(A35,Para1!$B$67:$E$72,2,FALSE)="8.",VLOOKUP(A35,Para1!$B$67:$E$72,3,FALSE),"")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s="39" customFormat="1" ht="17" customHeight="1" x14ac:dyDescent="0.15">
      <c r="A36" s="102" t="s">
        <v>24</v>
      </c>
      <c r="B36" s="153" t="str">
        <f>IF(B35=Para1!$F$153,Para1!$F$109,IF(B35=Para1!$F$109,Para1!$F$148,IF(B35=Para1!$F$148,Para1!$F$111,IF(B35=Para1!$F$111,Para1!$F$120,IF(B35=Para1!$F$120,Para1!$F$170,IF(B35=Para1!$F$170,Para1!$F$173,Para1!$F$153))))))</f>
        <v>Fri</v>
      </c>
      <c r="C36" s="186"/>
      <c r="D36" s="315"/>
      <c r="E36" s="298"/>
      <c r="F36" s="295"/>
      <c r="G36" s="294"/>
      <c r="H36" s="294"/>
      <c r="I36" s="296"/>
      <c r="J36" s="310"/>
      <c r="K36" s="378"/>
      <c r="L36" s="379"/>
      <c r="M36" s="129"/>
      <c r="N36" s="197"/>
      <c r="O36" s="299"/>
      <c r="P36" s="367">
        <f t="shared" si="6"/>
        <v>1</v>
      </c>
      <c r="Q36" s="367">
        <f t="shared" si="6"/>
        <v>1</v>
      </c>
      <c r="R36" s="299" t="e">
        <f>IF(VLOOKUP(A36,Para1!$B$67:$E$72,2,FALSE)="8.",VLOOKUP(A36,Para1!$B$67:$E$72,3,FALSE),"")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s="39" customFormat="1" ht="17" customHeight="1" x14ac:dyDescent="0.15">
      <c r="A37" s="102" t="s">
        <v>25</v>
      </c>
      <c r="B37" s="153" t="str">
        <f>IF(B36=Para1!$F$153,Para1!$F$109,IF(B36=Para1!$F$109,Para1!$F$148,IF(B36=Para1!$F$148,Para1!$F$111,IF(B36=Para1!$F$111,Para1!$F$120,IF(B36=Para1!$F$120,Para1!$F$170,IF(B36=Para1!$F$170,Para1!$F$173,Para1!$F$153))))))</f>
        <v>Sat</v>
      </c>
      <c r="C37" s="186"/>
      <c r="D37" s="315"/>
      <c r="E37" s="298"/>
      <c r="F37" s="295"/>
      <c r="G37" s="294"/>
      <c r="H37" s="294"/>
      <c r="I37" s="296"/>
      <c r="J37" s="310"/>
      <c r="K37" s="378"/>
      <c r="L37" s="379"/>
      <c r="M37" s="129"/>
      <c r="N37" s="197"/>
      <c r="O37" s="299"/>
      <c r="P37" s="367">
        <f>P30</f>
        <v>0</v>
      </c>
      <c r="Q37" s="367">
        <f>Q30</f>
        <v>0</v>
      </c>
      <c r="R37" s="299" t="e">
        <f>IF(VLOOKUP(A37,Para1!$B$67:$E$72,2,FALSE)="8.",VLOOKUP(A37,Para1!$B$67:$E$72,3,FALSE),"")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x14ac:dyDescent="0.15">
      <c r="A38" s="27" t="s">
        <v>26</v>
      </c>
      <c r="B38" s="153" t="str">
        <f>IF(B37=Para1!$F$153,Para1!$F$109,IF(B37=Para1!$F$109,Para1!$F$148,IF(B37=Para1!$F$148,Para1!$F$111,IF(B37=Para1!$F$111,Para1!$F$120,IF(B37=Para1!$F$120,Para1!$F$170,IF(B37=Para1!$F$170,Para1!$F$173,Para1!$F$153))))))</f>
        <v>Sun</v>
      </c>
      <c r="C38" s="186"/>
      <c r="D38" s="315"/>
      <c r="E38" s="298"/>
      <c r="F38" s="295"/>
      <c r="G38" s="294"/>
      <c r="H38" s="294"/>
      <c r="I38" s="296"/>
      <c r="J38" s="310"/>
      <c r="K38" s="378"/>
      <c r="L38" s="379"/>
      <c r="M38" s="129"/>
      <c r="N38" s="197"/>
      <c r="O38" s="299"/>
      <c r="P38" s="367">
        <f t="shared" ref="P38:Q43" si="7">P31</f>
        <v>0</v>
      </c>
      <c r="Q38" s="367">
        <f t="shared" si="7"/>
        <v>0</v>
      </c>
      <c r="R38" s="299" t="e">
        <f>IF(VLOOKUP(A38,Para1!$B$67:$E$72,2,FALSE)="8.",VLOOKUP(A38,Para1!$B$67:$E$72,3,FALSE),"")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x14ac:dyDescent="0.15">
      <c r="A39" s="27" t="s">
        <v>27</v>
      </c>
      <c r="B39" s="153" t="str">
        <f>IF(B38=Para1!$F$153,Para1!$F$109,IF(B38=Para1!$F$109,Para1!$F$148,IF(B38=Para1!$F$148,Para1!$F$111,IF(B38=Para1!$F$111,Para1!$F$120,IF(B38=Para1!$F$120,Para1!$F$170,IF(B38=Para1!$F$170,Para1!$F$173,Para1!$F$153))))))</f>
        <v>Mon</v>
      </c>
      <c r="C39" s="186"/>
      <c r="D39" s="315"/>
      <c r="E39" s="298"/>
      <c r="F39" s="295"/>
      <c r="G39" s="294"/>
      <c r="H39" s="294"/>
      <c r="I39" s="296"/>
      <c r="J39" s="310"/>
      <c r="K39" s="378"/>
      <c r="L39" s="379"/>
      <c r="M39" s="129"/>
      <c r="N39" s="197"/>
      <c r="O39" s="299"/>
      <c r="P39" s="367">
        <f t="shared" si="7"/>
        <v>1</v>
      </c>
      <c r="Q39" s="367">
        <f t="shared" si="7"/>
        <v>1</v>
      </c>
      <c r="R39" s="299" t="e">
        <f>IF(VLOOKUP(A39,Para1!$B$67:$E$72,2,FALSE)="8.",VLOOKUP(A39,Para1!$B$67:$E$72,3,FALSE),"")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x14ac:dyDescent="0.15">
      <c r="A40" s="27" t="s">
        <v>28</v>
      </c>
      <c r="B40" s="153" t="str">
        <f>IF(B39=Para1!$F$153,Para1!$F$109,IF(B39=Para1!$F$109,Para1!$F$148,IF(B39=Para1!$F$148,Para1!$F$111,IF(B39=Para1!$F$111,Para1!$F$120,IF(B39=Para1!$F$120,Para1!$F$170,IF(B39=Para1!$F$170,Para1!$F$173,Para1!$F$153))))))</f>
        <v>Tue</v>
      </c>
      <c r="C40" s="185"/>
      <c r="D40" s="315"/>
      <c r="E40" s="298"/>
      <c r="F40" s="295"/>
      <c r="G40" s="294"/>
      <c r="H40" s="294"/>
      <c r="I40" s="296"/>
      <c r="J40" s="310"/>
      <c r="K40" s="378"/>
      <c r="L40" s="379"/>
      <c r="M40" s="129"/>
      <c r="N40" s="197"/>
      <c r="O40" s="299"/>
      <c r="P40" s="367">
        <f t="shared" si="7"/>
        <v>1</v>
      </c>
      <c r="Q40" s="367">
        <f t="shared" si="7"/>
        <v>1</v>
      </c>
      <c r="R40" s="299" t="e">
        <f>IF(VLOOKUP(A40,Para1!$B$67:$E$72,2,FALSE)="8.",VLOOKUP(A40,Para1!$B$67:$E$72,3,FALSE),"")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x14ac:dyDescent="0.15">
      <c r="A41" s="102" t="s">
        <v>29</v>
      </c>
      <c r="B41" s="153" t="str">
        <f>IF(B40=Para1!$F$153,Para1!$F$109,IF(B40=Para1!$F$109,Para1!$F$148,IF(B40=Para1!$F$148,Para1!$F$111,IF(B40=Para1!$F$111,Para1!$F$120,IF(B40=Para1!$F$120,Para1!$F$170,IF(B40=Para1!$F$170,Para1!$F$173,Para1!$F$153))))))</f>
        <v>Wed</v>
      </c>
      <c r="C41" s="185"/>
      <c r="D41" s="315"/>
      <c r="E41" s="298"/>
      <c r="F41" s="295"/>
      <c r="G41" s="294"/>
      <c r="H41" s="294"/>
      <c r="I41" s="296"/>
      <c r="J41" s="310"/>
      <c r="K41" s="378"/>
      <c r="L41" s="379"/>
      <c r="M41" s="129"/>
      <c r="N41" s="197"/>
      <c r="O41" s="299"/>
      <c r="P41" s="367">
        <f t="shared" si="7"/>
        <v>1</v>
      </c>
      <c r="Q41" s="367">
        <f t="shared" si="7"/>
        <v>1</v>
      </c>
      <c r="R41" s="299" t="e">
        <f>IF(VLOOKUP(A41,Para1!$B$67:$E$72,2,FALSE)="8.",VLOOKUP(A41,Para1!$B$67:$E$72,3,FALSE),"")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x14ac:dyDescent="0.15">
      <c r="A42" s="27" t="s">
        <v>30</v>
      </c>
      <c r="B42" s="153" t="str">
        <f>IF(B41=Para1!$F$153,Para1!$F$109,IF(B41=Para1!$F$109,Para1!$F$148,IF(B41=Para1!$F$148,Para1!$F$111,IF(B41=Para1!$F$111,Para1!$F$120,IF(B41=Para1!$F$120,Para1!$F$170,IF(B41=Para1!$F$170,Para1!$F$173,Para1!$F$153))))))</f>
        <v>Thu</v>
      </c>
      <c r="C42" s="186"/>
      <c r="D42" s="315"/>
      <c r="E42" s="298"/>
      <c r="F42" s="295"/>
      <c r="G42" s="294"/>
      <c r="H42" s="294"/>
      <c r="I42" s="296"/>
      <c r="J42" s="310"/>
      <c r="K42" s="378"/>
      <c r="L42" s="379"/>
      <c r="M42" s="129"/>
      <c r="N42" s="197"/>
      <c r="O42" s="299"/>
      <c r="P42" s="367">
        <f t="shared" si="7"/>
        <v>1</v>
      </c>
      <c r="Q42" s="367">
        <f t="shared" si="7"/>
        <v>1</v>
      </c>
      <c r="R42" s="299" t="e">
        <f>IF(VLOOKUP(A42,Para1!$B$67:$E$72,2,FALSE)="8.",VLOOKUP(A42,Para1!$B$67:$E$72,3,FALSE),"")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s="39" customFormat="1" ht="17" customHeight="1" x14ac:dyDescent="0.15">
      <c r="A43" s="102" t="s">
        <v>31</v>
      </c>
      <c r="B43" s="153" t="str">
        <f>IF(B42=Para1!$F$153,Para1!$F$109,IF(B42=Para1!$F$109,Para1!$F$148,IF(B42=Para1!$F$148,Para1!$F$111,IF(B42=Para1!$F$111,Para1!$F$120,IF(B42=Para1!$F$120,Para1!$F$170,IF(B42=Para1!$F$170,Para1!$F$173,Para1!$F$153))))))</f>
        <v>Fri</v>
      </c>
      <c r="C43" s="186"/>
      <c r="D43" s="315"/>
      <c r="E43" s="298"/>
      <c r="F43" s="295"/>
      <c r="G43" s="294"/>
      <c r="H43" s="294"/>
      <c r="I43" s="296"/>
      <c r="J43" s="310"/>
      <c r="K43" s="378"/>
      <c r="L43" s="379"/>
      <c r="M43" s="129"/>
      <c r="N43" s="197"/>
      <c r="O43" s="299"/>
      <c r="P43" s="367">
        <f t="shared" si="7"/>
        <v>1</v>
      </c>
      <c r="Q43" s="367">
        <f t="shared" si="7"/>
        <v>1</v>
      </c>
      <c r="R43" s="299" t="str">
        <f>IF(VLOOKUP(A43,Para1!$B$67:$E$72,2,FALSE)="8.",VLOOKUP(A43,Para1!$B$67:$E$72,3,FALSE),"")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s="39" customFormat="1" ht="17" customHeight="1" x14ac:dyDescent="0.15">
      <c r="A44" s="102" t="s">
        <v>32</v>
      </c>
      <c r="B44" s="153" t="str">
        <f>IF(B43=Para1!$F$153,Para1!$F$109,IF(B43=Para1!$F$109,Para1!$F$148,IF(B43=Para1!$F$148,Para1!$F$111,IF(B43=Para1!$F$111,Para1!$F$120,IF(B43=Para1!$F$120,Para1!$F$170,IF(B43=Para1!$F$170,Para1!$F$173,Para1!$F$153))))))</f>
        <v>Sat</v>
      </c>
      <c r="C44" s="186"/>
      <c r="D44" s="315"/>
      <c r="E44" s="298"/>
      <c r="F44" s="295"/>
      <c r="G44" s="294"/>
      <c r="H44" s="294"/>
      <c r="I44" s="296"/>
      <c r="J44" s="310"/>
      <c r="K44" s="378"/>
      <c r="L44" s="379"/>
      <c r="M44" s="129"/>
      <c r="N44" s="197"/>
      <c r="O44" s="299"/>
      <c r="P44" s="367">
        <f>P37</f>
        <v>0</v>
      </c>
      <c r="Q44" s="367">
        <f>Q37</f>
        <v>0</v>
      </c>
      <c r="R44" s="299" t="e">
        <f>IF(VLOOKUP(A44,Para1!$B$67:$E$72,2,FALSE)="8.",VLOOKUP(A44,Para1!$B$67:$E$72,3,FALSE),"")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x14ac:dyDescent="0.15">
      <c r="A45" s="27" t="s">
        <v>33</v>
      </c>
      <c r="B45" s="153" t="str">
        <f>IF(B44=Para1!$F$153,Para1!$F$109,IF(B44=Para1!$F$109,Para1!$F$148,IF(B44=Para1!$F$148,Para1!$F$111,IF(B44=Para1!$F$111,Para1!$F$120,IF(B44=Para1!$F$120,Para1!$F$170,IF(B44=Para1!$F$170,Para1!$F$173,Para1!$F$153))))))</f>
        <v>Sun</v>
      </c>
      <c r="C45" s="186"/>
      <c r="D45" s="315"/>
      <c r="E45" s="298"/>
      <c r="F45" s="295"/>
      <c r="G45" s="294"/>
      <c r="H45" s="294"/>
      <c r="I45" s="296"/>
      <c r="J45" s="310"/>
      <c r="K45" s="378"/>
      <c r="L45" s="379"/>
      <c r="M45" s="129"/>
      <c r="N45" s="197"/>
      <c r="O45" s="299"/>
      <c r="P45" s="367">
        <f t="shared" ref="P45:Q50" si="8">P38</f>
        <v>0</v>
      </c>
      <c r="Q45" s="367">
        <f t="shared" si="8"/>
        <v>0</v>
      </c>
      <c r="R45" s="299" t="e">
        <f>IF(VLOOKUP(A45,Para1!$B$67:$E$72,2,FALSE)="8.",VLOOKUP(A45,Para1!$B$67:$E$72,3,FALSE),"")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x14ac:dyDescent="0.15">
      <c r="A46" s="27" t="s">
        <v>34</v>
      </c>
      <c r="B46" s="153" t="str">
        <f>IF(B45=Para1!$F$153,Para1!$F$109,IF(B45=Para1!$F$109,Para1!$F$148,IF(B45=Para1!$F$148,Para1!$F$111,IF(B45=Para1!$F$111,Para1!$F$120,IF(B45=Para1!$F$120,Para1!$F$170,IF(B45=Para1!$F$170,Para1!$F$173,Para1!$F$153))))))</f>
        <v>Mon</v>
      </c>
      <c r="C46" s="186"/>
      <c r="D46" s="315"/>
      <c r="E46" s="298"/>
      <c r="F46" s="295"/>
      <c r="G46" s="294"/>
      <c r="H46" s="294"/>
      <c r="I46" s="296"/>
      <c r="J46" s="310"/>
      <c r="K46" s="378"/>
      <c r="L46" s="379"/>
      <c r="M46" s="129"/>
      <c r="N46" s="197"/>
      <c r="O46" s="299"/>
      <c r="P46" s="367">
        <f t="shared" si="8"/>
        <v>1</v>
      </c>
      <c r="Q46" s="367">
        <f t="shared" si="8"/>
        <v>1</v>
      </c>
      <c r="R46" s="299" t="e">
        <f>IF(VLOOKUP(A46,Para1!$B$67:$E$72,2,FALSE)="8.",VLOOKUP(A46,Para1!$B$67:$E$72,3,FALSE),"")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x14ac:dyDescent="0.15">
      <c r="A47" s="27" t="s">
        <v>35</v>
      </c>
      <c r="B47" s="153" t="str">
        <f>IF(B46=Para1!$F$153,Para1!$F$109,IF(B46=Para1!$F$109,Para1!$F$148,IF(B46=Para1!$F$148,Para1!$F$111,IF(B46=Para1!$F$111,Para1!$F$120,IF(B46=Para1!$F$120,Para1!$F$170,IF(B46=Para1!$F$170,Para1!$F$173,Para1!$F$153))))))</f>
        <v>Tue</v>
      </c>
      <c r="C47" s="185"/>
      <c r="D47" s="315"/>
      <c r="E47" s="298"/>
      <c r="F47" s="295"/>
      <c r="G47" s="294"/>
      <c r="H47" s="294"/>
      <c r="I47" s="296"/>
      <c r="J47" s="310"/>
      <c r="K47" s="378"/>
      <c r="L47" s="379"/>
      <c r="M47" s="129"/>
      <c r="N47" s="197"/>
      <c r="O47" s="299"/>
      <c r="P47" s="367">
        <f t="shared" si="8"/>
        <v>1</v>
      </c>
      <c r="Q47" s="367">
        <f t="shared" si="8"/>
        <v>1</v>
      </c>
      <c r="R47" s="299" t="e">
        <f>IF(VLOOKUP(A47,Para1!$B$67:$E$72,2,FALSE)="8.",VLOOKUP(A47,Para1!$B$67:$E$72,3,FALSE),"")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x14ac:dyDescent="0.15">
      <c r="A48" s="102" t="s">
        <v>36</v>
      </c>
      <c r="B48" s="153" t="str">
        <f>IF(B47=Para1!$F$153,Para1!$F$109,IF(B47=Para1!$F$109,Para1!$F$148,IF(B47=Para1!$F$148,Para1!$F$111,IF(B47=Para1!$F$111,Para1!$F$120,IF(B47=Para1!$F$120,Para1!$F$170,IF(B47=Para1!$F$170,Para1!$F$173,Para1!$F$153))))))</f>
        <v>Wed</v>
      </c>
      <c r="C48" s="185"/>
      <c r="D48" s="315"/>
      <c r="E48" s="298"/>
      <c r="F48" s="295"/>
      <c r="G48" s="294"/>
      <c r="H48" s="294"/>
      <c r="I48" s="296"/>
      <c r="J48" s="310"/>
      <c r="K48" s="378"/>
      <c r="L48" s="379"/>
      <c r="M48" s="129"/>
      <c r="N48" s="197"/>
      <c r="O48" s="299"/>
      <c r="P48" s="367">
        <f t="shared" si="8"/>
        <v>1</v>
      </c>
      <c r="Q48" s="367">
        <f t="shared" si="8"/>
        <v>1</v>
      </c>
      <c r="R48" s="299" t="e">
        <f>IF(VLOOKUP(A48,Para1!$B$67:$E$72,2,FALSE)="8.",VLOOKUP(A48,Para1!$B$67:$E$72,3,FALSE),"")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ht="17" customHeight="1" x14ac:dyDescent="0.15">
      <c r="A49" s="27" t="s">
        <v>37</v>
      </c>
      <c r="B49" s="153" t="str">
        <f>IF(B48=Para1!$F$153,Para1!$F$109,IF(B48=Para1!$F$109,Para1!$F$148,IF(B48=Para1!$F$148,Para1!$F$111,IF(B48=Para1!$F$111,Para1!$F$120,IF(B48=Para1!$F$120,Para1!$F$170,IF(B48=Para1!$F$170,Para1!$F$173,Para1!$F$153))))))</f>
        <v>Thu</v>
      </c>
      <c r="C49" s="186"/>
      <c r="D49" s="315"/>
      <c r="E49" s="298"/>
      <c r="F49" s="295"/>
      <c r="G49" s="294"/>
      <c r="H49" s="294"/>
      <c r="I49" s="296"/>
      <c r="J49" s="310"/>
      <c r="K49" s="378"/>
      <c r="L49" s="379"/>
      <c r="M49" s="129"/>
      <c r="N49" s="197"/>
      <c r="O49" s="299"/>
      <c r="P49" s="367">
        <f t="shared" si="8"/>
        <v>1</v>
      </c>
      <c r="Q49" s="367">
        <f t="shared" si="8"/>
        <v>1</v>
      </c>
      <c r="R49" s="299" t="e">
        <f>IF(VLOOKUP(A49,Para1!$B$67:$E$72,2,FALSE)="8.",VLOOKUP(A49,Para1!$B$67:$E$72,3,FALSE),"")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s="39" customFormat="1" ht="16.5" customHeight="1" x14ac:dyDescent="0.15">
      <c r="A50" s="102" t="s">
        <v>38</v>
      </c>
      <c r="B50" s="153" t="str">
        <f>IF(B49=Para1!$F$153,Para1!$F$109,IF(B49=Para1!$F$109,Para1!$F$148,IF(B49=Para1!$F$148,Para1!$F$111,IF(B49=Para1!$F$111,Para1!$F$120,IF(B49=Para1!$F$120,Para1!$F$170,IF(B49=Para1!$F$170,Para1!$F$173,Para1!$F$153))))))</f>
        <v>Fri</v>
      </c>
      <c r="C50" s="186"/>
      <c r="D50" s="315"/>
      <c r="E50" s="298"/>
      <c r="F50" s="295"/>
      <c r="G50" s="294"/>
      <c r="H50" s="294"/>
      <c r="I50" s="296"/>
      <c r="J50" s="310"/>
      <c r="K50" s="378"/>
      <c r="L50" s="379" t="s">
        <v>420</v>
      </c>
      <c r="M50" s="129"/>
      <c r="N50" s="197"/>
      <c r="O50" s="299"/>
      <c r="P50" s="368">
        <f>P43</f>
        <v>1</v>
      </c>
      <c r="Q50" s="368">
        <f t="shared" si="8"/>
        <v>1</v>
      </c>
      <c r="R50" s="299" t="e">
        <f>IF(VLOOKUP(A50,Para1!$B$67:$E$72,2,FALSE)="8.",VLOOKUP(A50,Para1!$B$67:$E$72,3,FALSE),"")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s="39" customFormat="1" ht="16.5" customHeight="1" x14ac:dyDescent="0.15">
      <c r="A51" s="102" t="s">
        <v>39</v>
      </c>
      <c r="B51" s="153" t="str">
        <f>IF(B50=Para1!$F$153,Para1!$F$109,IF(B50=Para1!$F$109,Para1!$F$148,IF(B50=Para1!$F$148,Para1!$F$111,IF(B50=Para1!$F$111,Para1!$F$120,IF(B50=Para1!$F$120,Para1!$F$170,IF(B50=Para1!$F$170,Para1!$F$173,Para1!$F$153))))))</f>
        <v>Sat</v>
      </c>
      <c r="C51" s="186"/>
      <c r="D51" s="315"/>
      <c r="E51" s="298"/>
      <c r="F51" s="295"/>
      <c r="G51" s="294"/>
      <c r="H51" s="294"/>
      <c r="I51" s="296"/>
      <c r="J51" s="310"/>
      <c r="K51" s="378"/>
      <c r="L51" s="379"/>
      <c r="M51" s="129"/>
      <c r="N51" s="197"/>
      <c r="O51" s="299"/>
      <c r="P51" s="339">
        <f>P44</f>
        <v>0</v>
      </c>
      <c r="Q51" s="367">
        <f>Q44</f>
        <v>0</v>
      </c>
      <c r="R51" s="299" t="e">
        <f>IF(VLOOKUP(A51,Para1!$B$67:$E$72,2,FALSE)="8.",VLOOKUP(A51,Para1!$B$67:$E$72,3,FALSE),"")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6.5" customHeight="1" x14ac:dyDescent="0.15">
      <c r="A52" s="27" t="s">
        <v>40</v>
      </c>
      <c r="B52" s="153" t="str">
        <f>IF(B51=Para1!$F$153,Para1!$F$109,IF(B51=Para1!$F$109,Para1!$F$148,IF(B51=Para1!$F$148,Para1!$F$111,IF(B51=Para1!$F$111,Para1!$F$120,IF(B51=Para1!$F$120,Para1!$F$170,IF(B51=Para1!$F$170,Para1!$F$173,Para1!$F$153))))))</f>
        <v>Sun</v>
      </c>
      <c r="C52" s="186"/>
      <c r="D52" s="315"/>
      <c r="E52" s="298"/>
      <c r="F52" s="295"/>
      <c r="G52" s="294"/>
      <c r="H52" s="294"/>
      <c r="I52" s="296"/>
      <c r="J52" s="310"/>
      <c r="K52" s="378"/>
      <c r="L52" s="379"/>
      <c r="M52" s="129"/>
      <c r="N52" s="197"/>
      <c r="O52" s="299"/>
      <c r="P52" s="339">
        <f t="shared" ref="P52:Q53" si="9">P45</f>
        <v>0</v>
      </c>
      <c r="Q52" s="367">
        <f t="shared" si="9"/>
        <v>0</v>
      </c>
      <c r="R52" s="299" t="e">
        <f>IF(VLOOKUP(A52,Para1!$B$67:$E$72,2,FALSE)="8.",VLOOKUP(A52,Para1!$B$67:$E$72,3,FALSE),"")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ht="16.5" customHeight="1" thickBot="1" x14ac:dyDescent="0.2">
      <c r="A53" s="27" t="s">
        <v>46</v>
      </c>
      <c r="B53" s="153" t="str">
        <f>IF(B52=Para1!$F$153,Para1!$F$109,IF(B52=Para1!$F$109,Para1!$F$148,IF(B52=Para1!$F$148,Para1!$F$111,IF(B52=Para1!$F$111,Para1!$F$120,IF(B52=Para1!$F$120,Para1!$F$170,IF(B52=Para1!$F$170,Para1!$F$173,Para1!$F$153))))))</f>
        <v>Mon</v>
      </c>
      <c r="C53" s="186"/>
      <c r="D53" s="315"/>
      <c r="E53" s="298"/>
      <c r="F53" s="295"/>
      <c r="G53" s="294"/>
      <c r="H53" s="294"/>
      <c r="I53" s="296"/>
      <c r="J53" s="310"/>
      <c r="K53" s="391"/>
      <c r="L53" s="390"/>
      <c r="M53" s="129"/>
      <c r="N53" s="197"/>
      <c r="O53" s="299"/>
      <c r="P53" s="341">
        <f t="shared" si="9"/>
        <v>1</v>
      </c>
      <c r="Q53" s="374">
        <f>Q46</f>
        <v>1</v>
      </c>
      <c r="R53" s="299" t="str">
        <f>IF(VLOOKUP(A53,Para1!$B$67:$E$72,2,FALSE)="8.",VLOOKUP(A53,Para1!$B$67:$E$72,3,FALSE),"")</f>
        <v/>
      </c>
      <c r="S53" s="299" t="str">
        <f>IF((P53+Q53)=0,"",IF(ISNA(R53),"",IF(R53="","",VLOOKUP(R53,Para1!$D$67:$G$79,3,FALSE)*(IF(P53+Q53=1,0.5,1)))))</f>
        <v/>
      </c>
      <c r="T53" s="299" t="str">
        <f>IF(P53+Q53=0,"",IF(ISNA(September!R23),"",IF(September!R23="","",VLOOKUP(September!R23,Para1!$D$67:$G$79,4,FALSE)*(IF(P53+Q53=1,0.5,1)))))</f>
        <v/>
      </c>
      <c r="U53" s="299" t="str">
        <f t="shared" si="3"/>
        <v/>
      </c>
      <c r="V53" s="299" t="str">
        <f t="shared" si="4"/>
        <v/>
      </c>
      <c r="W53" s="299">
        <f t="shared" si="5"/>
        <v>0</v>
      </c>
    </row>
    <row r="54" spans="1:25" ht="15" thickTop="1" x14ac:dyDescent="0.15">
      <c r="A54" s="36"/>
      <c r="B54" s="32"/>
      <c r="C54" s="16"/>
      <c r="D54" s="159">
        <f t="shared" ref="D54:I54" si="10">SUM(D23:D53)</f>
        <v>0</v>
      </c>
      <c r="E54" s="92">
        <f t="shared" si="10"/>
        <v>0</v>
      </c>
      <c r="F54" s="31">
        <f t="shared" si="10"/>
        <v>0</v>
      </c>
      <c r="G54" s="31">
        <f t="shared" si="10"/>
        <v>0</v>
      </c>
      <c r="H54" s="31">
        <f t="shared" si="10"/>
        <v>0</v>
      </c>
      <c r="I54" s="146">
        <f t="shared" si="10"/>
        <v>0</v>
      </c>
      <c r="J54" s="130"/>
      <c r="O54" s="299"/>
      <c r="P54" s="622" t="str">
        <f>Para1!F174&amp;" "&amp;Para1!F168</f>
        <v>balance due / half-day</v>
      </c>
      <c r="Q54" s="623"/>
      <c r="R54" s="299">
        <f>SUM(W23:W53)</f>
        <v>0</v>
      </c>
      <c r="S54" s="299">
        <f>SUM(S23:S53)</f>
        <v>0</v>
      </c>
      <c r="T54" s="299">
        <f>SUM(T23:T53)</f>
        <v>0</v>
      </c>
    </row>
    <row r="55" spans="1:25" ht="15" thickBot="1" x14ac:dyDescent="0.2">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(Para1!E60/100*$G$3+((S54+T54)/100*$G$3))/(SUM(P23:Q53)-R54)/24</f>
        <v>0.17500000000000002</v>
      </c>
      <c r="Q55" s="625"/>
    </row>
    <row r="56" spans="1:25" ht="15" thickTop="1" x14ac:dyDescent="0.15">
      <c r="D56" s="11"/>
    </row>
    <row r="57" spans="1:25" ht="22.5" customHeight="1" x14ac:dyDescent="0.15">
      <c r="A57" s="139" t="str">
        <f>Para1!F106</f>
        <v>date</v>
      </c>
      <c r="B57" s="46"/>
      <c r="C57" s="46"/>
      <c r="D57" s="559"/>
      <c r="E57" s="46"/>
      <c r="F57" s="560" t="str">
        <f>Para1!F191&amp;" "&amp;Para1!F152</f>
        <v>signature employee</v>
      </c>
      <c r="G57" s="46"/>
      <c r="H57" s="561"/>
      <c r="I57" s="561"/>
      <c r="J57" s="561"/>
      <c r="K57" s="561"/>
      <c r="L57" s="561"/>
      <c r="P57" s="5"/>
      <c r="T57" s="132"/>
      <c r="U57" s="46"/>
      <c r="Y57" s="540"/>
    </row>
    <row r="58" spans="1:25" x14ac:dyDescent="0.15">
      <c r="A58" s="5"/>
      <c r="B58" s="5"/>
      <c r="C58" s="5"/>
      <c r="D58" s="5"/>
      <c r="E58" s="5"/>
      <c r="F58" s="5"/>
      <c r="G58" s="5"/>
      <c r="H58" s="5"/>
      <c r="I58" s="562"/>
      <c r="J58" s="562"/>
      <c r="K58" s="562"/>
      <c r="L58" s="562"/>
    </row>
    <row r="59" spans="1:25" ht="22.5" customHeight="1" x14ac:dyDescent="0.15">
      <c r="A59" s="5"/>
      <c r="B59" s="5"/>
      <c r="C59" s="5"/>
      <c r="D59" s="5"/>
      <c r="E59" s="5"/>
      <c r="F59" s="563" t="str">
        <f>Para1!F191&amp;" "&amp;Para1!F193</f>
        <v>signature manager</v>
      </c>
      <c r="G59" s="5"/>
      <c r="H59" s="564"/>
      <c r="I59" s="565"/>
      <c r="J59" s="565"/>
      <c r="K59" s="565"/>
      <c r="L59" s="565"/>
    </row>
    <row r="61" spans="1:25" ht="22.5" customHeight="1" x14ac:dyDescent="0.15">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K20:L20"/>
    <mergeCell ref="M20:N20"/>
    <mergeCell ref="K21:K22"/>
    <mergeCell ref="L21:L22"/>
    <mergeCell ref="J9:K9"/>
    <mergeCell ref="J10:K10"/>
    <mergeCell ref="D1:E1"/>
    <mergeCell ref="D21:D22"/>
    <mergeCell ref="A21:B21"/>
    <mergeCell ref="A22:B22"/>
    <mergeCell ref="C16:E16"/>
    <mergeCell ref="C17:E17"/>
    <mergeCell ref="C18:E18"/>
    <mergeCell ref="B13:E13"/>
    <mergeCell ref="C14:E14"/>
    <mergeCell ref="C15:E15"/>
    <mergeCell ref="A1:B1"/>
    <mergeCell ref="A3:B3"/>
    <mergeCell ref="I21:I22"/>
    <mergeCell ref="E21:E22"/>
    <mergeCell ref="G21:G22"/>
    <mergeCell ref="H21:H22"/>
    <mergeCell ref="D20:I20"/>
    <mergeCell ref="F21:F22"/>
  </mergeCells>
  <phoneticPr fontId="0" type="noConversion"/>
  <conditionalFormatting sqref="A23:B53">
    <cfRule type="expression" dxfId="39" priority="6">
      <formula>$S23=0</formula>
    </cfRule>
    <cfRule type="expression" dxfId="38" priority="7">
      <formula>$P23+$Q23=0</formula>
    </cfRule>
  </conditionalFormatting>
  <conditionalFormatting sqref="D23:I53">
    <cfRule type="expression" dxfId="37" priority="4">
      <formula>$P23+$Q23=1</formula>
    </cfRule>
    <cfRule type="expression" dxfId="36" priority="5">
      <formula>$P23+$Q23=0</formula>
    </cfRule>
  </conditionalFormatting>
  <conditionalFormatting sqref="K23:K53 P23:P53">
    <cfRule type="expression" dxfId="35" priority="3">
      <formula>$P23=0</formula>
    </cfRule>
  </conditionalFormatting>
  <conditionalFormatting sqref="L23:L53 Q23:Q53">
    <cfRule type="expression" dxfId="34" priority="2">
      <formula>$Q23=0</formula>
    </cfRule>
  </conditionalFormatting>
  <conditionalFormatting sqref="D23:I53 K23:L53 P23:Q53">
    <cfRule type="expression" dxfId="33" priority="1">
      <formula>$S23=0</formula>
    </cfRule>
  </conditionalFormatting>
  <dataValidations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A00-000000000000}">
      <formula1>0</formula1>
      <formula2>25</formula2>
    </dataValidation>
  </dataValidations>
  <pageMargins left="0.4" right="0.41"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pageSetUpPr fitToPage="1"/>
  </sheetPr>
  <dimension ref="A1:AA61"/>
  <sheetViews>
    <sheetView showGridLines="0"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6"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row>
    <row r="2" spans="1:16" ht="6" customHeight="1" x14ac:dyDescent="0.15">
      <c r="D2" s="7"/>
      <c r="E2" s="7"/>
      <c r="F2" s="7"/>
      <c r="G2" s="7"/>
      <c r="H2" s="11"/>
      <c r="I2" s="7"/>
      <c r="J2" s="7"/>
      <c r="K2" s="7"/>
      <c r="L2" s="7"/>
      <c r="M2" s="5"/>
      <c r="N2" s="5"/>
    </row>
    <row r="3" spans="1:16" x14ac:dyDescent="0.15">
      <c r="A3" s="636" t="str">
        <f>Para1!F165</f>
        <v xml:space="preserve">pers.-no.: </v>
      </c>
      <c r="B3" s="636"/>
      <c r="C3" s="237"/>
      <c r="D3" s="241">
        <f>'Jahresübersicht (Overview)'!C4</f>
        <v>0</v>
      </c>
      <c r="E3" s="7"/>
      <c r="F3" s="8" t="str">
        <f>Para1!F97&amp;": "</f>
        <v xml:space="preserve">level of employment: </v>
      </c>
      <c r="G3" s="29">
        <f>'Jahresübersicht (Overview)'!K8</f>
        <v>100</v>
      </c>
      <c r="H3" s="11" t="s">
        <v>215</v>
      </c>
      <c r="I3" s="58"/>
      <c r="J3" s="237"/>
      <c r="K3" s="246" t="str">
        <f>Para1!F113</f>
        <v xml:space="preserve">starting date: </v>
      </c>
      <c r="L3" s="247">
        <f>'Jahresübersicht (Overview)'!$G$4</f>
        <v>42596</v>
      </c>
      <c r="M3" s="243"/>
      <c r="N3" s="243"/>
    </row>
    <row r="4" spans="1:16" ht="6" customHeight="1" x14ac:dyDescent="0.15">
      <c r="A4" s="12"/>
      <c r="B4" s="13"/>
      <c r="C4" s="13"/>
      <c r="D4" s="14"/>
      <c r="E4" s="14"/>
      <c r="F4" s="14"/>
      <c r="G4" s="14"/>
      <c r="H4" s="14"/>
      <c r="I4" s="15"/>
      <c r="J4" s="15"/>
      <c r="K4" s="15"/>
      <c r="L4" s="15"/>
      <c r="M4" s="13"/>
      <c r="N4" s="13"/>
    </row>
    <row r="5" spans="1:16" ht="6" customHeight="1" x14ac:dyDescent="0.15">
      <c r="D5" s="7"/>
      <c r="E5" s="7"/>
      <c r="F5" s="7"/>
      <c r="G5" s="7"/>
      <c r="H5" s="7"/>
      <c r="I5" s="9"/>
      <c r="J5" s="9"/>
      <c r="K5" s="9"/>
      <c r="L5" s="9"/>
    </row>
    <row r="6" spans="1:16" ht="15" customHeight="1" x14ac:dyDescent="0.15">
      <c r="D6" s="7"/>
      <c r="E6" s="21"/>
      <c r="F6" s="7"/>
      <c r="G6" s="7"/>
      <c r="H6" s="7"/>
      <c r="I6" s="9"/>
      <c r="J6" s="9"/>
      <c r="K6" s="9"/>
      <c r="L6" s="9"/>
    </row>
    <row r="7" spans="1:16"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x14ac:dyDescent="0.15">
      <c r="D8" s="198" t="str">
        <f>Para1!B171&amp;" "&amp;Para1!B88&amp;" "&amp;Para1!B154</f>
        <v>Saldo Anfang Monat</v>
      </c>
      <c r="E8" s="201">
        <f>August!E11</f>
        <v>3.4708333333333332</v>
      </c>
      <c r="H8" s="11"/>
      <c r="I8" s="21" t="str">
        <f>Para1!F141</f>
        <v>illness</v>
      </c>
      <c r="J8" s="242"/>
      <c r="K8" s="5"/>
      <c r="L8" s="161">
        <f>D54</f>
        <v>0</v>
      </c>
      <c r="M8" s="161">
        <f>August!N8</f>
        <v>0</v>
      </c>
      <c r="N8" s="93">
        <f t="shared" ref="N8:N13" si="0">SUM(L8:M8)</f>
        <v>0</v>
      </c>
    </row>
    <row r="9" spans="1:16"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August!N9</f>
        <v>0</v>
      </c>
      <c r="N9" s="93">
        <f t="shared" si="0"/>
        <v>0</v>
      </c>
    </row>
    <row r="10" spans="1:16" ht="15" customHeight="1" x14ac:dyDescent="0.15">
      <c r="D10" s="198" t="str">
        <f>"./ ."&amp;Para1!F119</f>
        <v>./ .reduction of holiday</v>
      </c>
      <c r="E10" s="530">
        <v>0</v>
      </c>
      <c r="H10" s="11"/>
      <c r="I10" s="21"/>
      <c r="J10" s="641" t="str">
        <f>Para1!F161&amp;" "&amp;Para1!F100</f>
        <v>not work. rel.</v>
      </c>
      <c r="K10" s="641"/>
      <c r="L10" s="161">
        <f>F54</f>
        <v>0</v>
      </c>
      <c r="M10" s="161">
        <f>August!N10</f>
        <v>0</v>
      </c>
      <c r="N10" s="93">
        <f t="shared" si="0"/>
        <v>0</v>
      </c>
    </row>
    <row r="11" spans="1:16" ht="15" customHeight="1" thickBot="1" x14ac:dyDescent="0.2">
      <c r="B11" s="251"/>
      <c r="C11" s="251"/>
      <c r="D11" s="246" t="str">
        <f>Para1!F171&amp;" "&amp;Para1!F115&amp;" "&amp;Para1!F154</f>
        <v>balance end of the month</v>
      </c>
      <c r="E11" s="202">
        <f>$E$8-$E$9-$E$10</f>
        <v>3.4708333333333332</v>
      </c>
      <c r="H11" s="11"/>
      <c r="I11" s="49" t="str">
        <f>Para1!F142</f>
        <v>short vacation</v>
      </c>
      <c r="J11" s="5"/>
      <c r="K11" s="5"/>
      <c r="L11" s="161">
        <f>G54</f>
        <v>0</v>
      </c>
      <c r="M11" s="161">
        <f>August!N11</f>
        <v>0</v>
      </c>
      <c r="N11" s="93">
        <f t="shared" si="0"/>
        <v>0</v>
      </c>
    </row>
    <row r="12" spans="1:16" ht="15" customHeight="1" thickTop="1" x14ac:dyDescent="0.15">
      <c r="B12" s="542" t="str">
        <f>IF((E11*24+(4.2*'Persönliche Daten (pers. data)'!O8/100))&lt;0,Para1!J224,IF(E11&gt;0,"",Para1!J223))</f>
        <v/>
      </c>
      <c r="D12" s="11"/>
      <c r="H12" s="11"/>
      <c r="I12" s="24" t="str">
        <f>Para1!F198</f>
        <v>training / education</v>
      </c>
      <c r="J12" s="5"/>
      <c r="K12" s="5"/>
      <c r="L12" s="161">
        <f>H54</f>
        <v>0</v>
      </c>
      <c r="M12" s="161">
        <f>August!N12</f>
        <v>0</v>
      </c>
      <c r="N12" s="93">
        <f t="shared" si="0"/>
        <v>0</v>
      </c>
    </row>
    <row r="13" spans="1:16"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August!N13</f>
        <v>0</v>
      </c>
      <c r="N13" s="93">
        <f t="shared" si="0"/>
        <v>0</v>
      </c>
    </row>
    <row r="14" spans="1:16"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August!N14</f>
        <v>0</v>
      </c>
      <c r="N14" s="93">
        <f>SUM(L14:M14)</f>
        <v>0</v>
      </c>
      <c r="O14" s="299" t="e">
        <f>INDEX(U23:U53,MATCH("b",U23:U53,0))</f>
        <v>#N/A</v>
      </c>
      <c r="P14" s="299" t="e">
        <f>INDEX(V23:V53,MATCH("b",V23:V53,0))</f>
        <v>#N/A</v>
      </c>
    </row>
    <row r="15" spans="1:16"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August!N15</f>
        <v>0</v>
      </c>
      <c r="N15" s="93">
        <f>SUM(L15:M15)</f>
        <v>0</v>
      </c>
      <c r="O15" s="299" t="e">
        <f>INDEX(U23:U53,MATCH("u",U23:U53,0))</f>
        <v>#N/A</v>
      </c>
      <c r="P15" s="299" t="e">
        <f>INDEX(V23:V53,MATCH("u",V23:V53,0))</f>
        <v>#N/A</v>
      </c>
    </row>
    <row r="16" spans="1:16"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August!N16</f>
        <v>0</v>
      </c>
      <c r="N16" s="93">
        <f>SUM(L16:M16)</f>
        <v>0</v>
      </c>
      <c r="O16" s="299" t="e">
        <f>INDEX(U23:U53,MATCH("m",U23:U53,0))</f>
        <v>#N/A</v>
      </c>
      <c r="P16" s="299" t="e">
        <f>INDEX(V23:V53,MATCH("m",V23:V53,0))</f>
        <v>#N/A</v>
      </c>
    </row>
    <row r="17" spans="1:23" ht="15" customHeight="1" x14ac:dyDescent="0.15">
      <c r="B17" s="303" t="s">
        <v>424</v>
      </c>
      <c r="C17" s="655" t="str">
        <f>Para1!F192&amp;" "&amp;Para1!F101</f>
        <v>leave paid</v>
      </c>
      <c r="D17" s="655"/>
      <c r="E17" s="656"/>
      <c r="G17" s="182"/>
      <c r="H17" s="11"/>
      <c r="I17" s="21" t="str">
        <f>Para1!F150</f>
        <v>military/civil def./civil serv.</v>
      </c>
      <c r="J17" s="58"/>
      <c r="K17" s="58"/>
      <c r="L17" s="249">
        <f>COUNTIF($K$23:$L$53,"z")*$P$55-IF(ISNA(O17),0,(($S$54+$T$54)/100*$G$3)/48)-IF(ISNA(P17),0,(($S$54+$T$54)/100*$G$3)/48)</f>
        <v>0</v>
      </c>
      <c r="M17" s="161">
        <f>August!N17</f>
        <v>0</v>
      </c>
      <c r="N17" s="93">
        <f>SUM(L17:M17)</f>
        <v>0</v>
      </c>
      <c r="O17" s="299" t="e">
        <f>INDEX(U23:U53,MATCH("z",U23:U53,0))</f>
        <v>#N/A</v>
      </c>
      <c r="P17" s="299" t="e">
        <f>INDEX(V23:V53,MATCH("z",V23:V53,0))</f>
        <v>#N/A</v>
      </c>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c r="O18" s="299"/>
      <c r="P18" s="299"/>
    </row>
    <row r="19" spans="1:23" ht="35.25" customHeight="1" thickTop="1" thickBot="1" x14ac:dyDescent="0.2">
      <c r="A19" s="25" t="str">
        <f>Para1!F104</f>
        <v>(please enter in hours and minutes)</v>
      </c>
      <c r="B19" s="7"/>
      <c r="C19" s="7"/>
      <c r="D19" s="7"/>
      <c r="E19" s="7"/>
      <c r="F19" s="7"/>
      <c r="G19" s="7"/>
      <c r="H19" s="7"/>
      <c r="I19" s="9"/>
      <c r="J19" s="9"/>
      <c r="K19" s="9"/>
      <c r="L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x14ac:dyDescent="0.15">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x14ac:dyDescent="0.2">
      <c r="A22" s="639" t="str">
        <f>Para1!F106</f>
        <v>date</v>
      </c>
      <c r="B22" s="640"/>
      <c r="C22" s="536"/>
      <c r="D22" s="649"/>
      <c r="E22" s="660"/>
      <c r="F22" s="658"/>
      <c r="G22" s="659"/>
      <c r="H22" s="647"/>
      <c r="I22" s="638"/>
      <c r="J22" s="257"/>
      <c r="K22" s="668"/>
      <c r="L22" s="666"/>
      <c r="M22" s="196"/>
      <c r="P22" s="633"/>
      <c r="Q22" s="635"/>
    </row>
    <row r="23" spans="1:23" ht="17" customHeight="1" thickTop="1" x14ac:dyDescent="0.15">
      <c r="A23" s="102" t="s">
        <v>4</v>
      </c>
      <c r="B23" s="153" t="str">
        <f>IF(August!B53=Para1!$F$153,Para1!$F$109,IF(August!B53=Para1!$F$109,Para1!$F$148,IF(August!B53=Para1!$F$148,Para1!$F$111,IF(August!B53=Para1!$F$111,Para1!$F$120,IF(August!B53=Para1!$F$120,Para1!$F$170,IF(August!B53=Para1!$F$170,Para1!$F$173,Para1!$F$153))))))</f>
        <v>Tue</v>
      </c>
      <c r="C23" s="185"/>
      <c r="D23" s="315"/>
      <c r="E23" s="298"/>
      <c r="F23" s="295"/>
      <c r="G23" s="294"/>
      <c r="H23" s="294"/>
      <c r="I23" s="296"/>
      <c r="J23" s="310"/>
      <c r="K23" s="378"/>
      <c r="L23" s="379"/>
      <c r="M23" s="131"/>
      <c r="N23" s="197"/>
      <c r="O23" s="299"/>
      <c r="P23" s="366">
        <f>August!P47</f>
        <v>1</v>
      </c>
      <c r="Q23" s="366">
        <f>August!Q47</f>
        <v>1</v>
      </c>
      <c r="R23" s="299" t="str">
        <f>IF(VLOOKUP(A23,Para1!$B$67:$E$72,2,FALSE)="9.",VLOOKUP(A23,Para1!$B$67:$E$72,3,FALSE),"")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x14ac:dyDescent="0.15">
      <c r="A24" s="102" t="s">
        <v>6</v>
      </c>
      <c r="B24" s="142" t="str">
        <f>IF(B23=Para1!$F$153,Para1!$F$109,IF(B23=Para1!$F$109,Para1!$F$148,IF(B23=Para1!$F$148,Para1!$F$111,IF(B23=Para1!$F$111,Para1!$F$120,IF(B23=Para1!$F$120,Para1!$F$170,IF(B23=Para1!$F$170,Para1!$F$173,Para1!$F$153))))))</f>
        <v>Wed</v>
      </c>
      <c r="C24" s="185"/>
      <c r="D24" s="315"/>
      <c r="E24" s="298"/>
      <c r="F24" s="295"/>
      <c r="G24" s="294"/>
      <c r="H24" s="294"/>
      <c r="I24" s="296"/>
      <c r="J24" s="310"/>
      <c r="K24" s="378"/>
      <c r="L24" s="379"/>
      <c r="M24" s="131"/>
      <c r="N24" s="197"/>
      <c r="O24" s="299"/>
      <c r="P24" s="366">
        <f>August!P48</f>
        <v>1</v>
      </c>
      <c r="Q24" s="366">
        <f>August!Q48</f>
        <v>1</v>
      </c>
      <c r="R24" s="299" t="e">
        <f>IF(VLOOKUP(A24,Para1!$B$67:$E$72,2,FALSE)="9.",VLOOKUP(A24,Para1!$B$67:$E$72,3,FALSE),"")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x14ac:dyDescent="0.15">
      <c r="A25" s="102" t="s">
        <v>8</v>
      </c>
      <c r="B25" s="142" t="str">
        <f>IF(B24=Para1!$F$153,Para1!$F$109,IF(B24=Para1!$F$109,Para1!$F$148,IF(B24=Para1!$F$148,Para1!$F$111,IF(B24=Para1!$F$111,Para1!$F$120,IF(B24=Para1!$F$120,Para1!$F$170,IF(B24=Para1!$F$170,Para1!$F$173,Para1!$F$153))))))</f>
        <v>Thu</v>
      </c>
      <c r="C25" s="186"/>
      <c r="D25" s="315"/>
      <c r="E25" s="298"/>
      <c r="F25" s="295"/>
      <c r="G25" s="294"/>
      <c r="H25" s="294"/>
      <c r="I25" s="296"/>
      <c r="J25" s="310"/>
      <c r="K25" s="378"/>
      <c r="L25" s="379"/>
      <c r="M25" s="129"/>
      <c r="N25" s="197"/>
      <c r="O25" s="299"/>
      <c r="P25" s="366">
        <f>August!P49</f>
        <v>1</v>
      </c>
      <c r="Q25" s="366">
        <f>August!Q49</f>
        <v>1</v>
      </c>
      <c r="R25" s="299" t="e">
        <f>IF(VLOOKUP(A25,Para1!$B$67:$E$72,2,FALSE)="9.",VLOOKUP(A25,Para1!$B$67:$E$72,3,FALSE),"")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s="39" customFormat="1" ht="17" customHeight="1" x14ac:dyDescent="0.15">
      <c r="A26" s="102" t="s">
        <v>10</v>
      </c>
      <c r="B26" s="142" t="str">
        <f>IF(B25=Para1!$F$153,Para1!$F$109,IF(B25=Para1!$F$109,Para1!$F$148,IF(B25=Para1!$F$148,Para1!$F$111,IF(B25=Para1!$F$111,Para1!$F$120,IF(B25=Para1!$F$120,Para1!$F$170,IF(B25=Para1!$F$170,Para1!$F$173,Para1!$F$153))))))</f>
        <v>Fri</v>
      </c>
      <c r="C26" s="186"/>
      <c r="D26" s="315"/>
      <c r="E26" s="298"/>
      <c r="F26" s="295"/>
      <c r="G26" s="294"/>
      <c r="H26" s="294"/>
      <c r="I26" s="296"/>
      <c r="J26" s="310"/>
      <c r="K26" s="378"/>
      <c r="L26" s="379"/>
      <c r="M26" s="129"/>
      <c r="N26" s="197"/>
      <c r="O26" s="299"/>
      <c r="P26" s="366">
        <f>August!P50</f>
        <v>1</v>
      </c>
      <c r="Q26" s="366">
        <f>August!Q50</f>
        <v>1</v>
      </c>
      <c r="R26" s="299" t="e">
        <f>IF(VLOOKUP(A26,Para1!$B$67:$E$72,2,FALSE)="9.",VLOOKUP(A26,Para1!$B$67:$E$72,3,FALSE),"")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s="39" customFormat="1" ht="17" customHeight="1" x14ac:dyDescent="0.15">
      <c r="A27" s="102" t="s">
        <v>12</v>
      </c>
      <c r="B27" s="142" t="str">
        <f>IF(B26=Para1!$F$153,Para1!$F$109,IF(B26=Para1!$F$109,Para1!$F$148,IF(B26=Para1!$F$148,Para1!$F$111,IF(B26=Para1!$F$111,Para1!$F$120,IF(B26=Para1!$F$120,Para1!$F$170,IF(B26=Para1!$F$170,Para1!$F$173,Para1!$F$153))))))</f>
        <v>Sat</v>
      </c>
      <c r="C27" s="186"/>
      <c r="D27" s="315"/>
      <c r="E27" s="298"/>
      <c r="F27" s="295"/>
      <c r="G27" s="294"/>
      <c r="H27" s="294"/>
      <c r="I27" s="296"/>
      <c r="J27" s="310"/>
      <c r="K27" s="378"/>
      <c r="L27" s="379"/>
      <c r="M27" s="129"/>
      <c r="N27" s="197"/>
      <c r="O27" s="299"/>
      <c r="P27" s="366">
        <f>August!P51</f>
        <v>0</v>
      </c>
      <c r="Q27" s="366">
        <f>August!Q51</f>
        <v>0</v>
      </c>
      <c r="R27" s="299" t="e">
        <f>IF(VLOOKUP(A27,Para1!$B$67:$E$72,2,FALSE)="9.",VLOOKUP(A27,Para1!$B$67:$E$72,3,FALSE),"")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x14ac:dyDescent="0.15">
      <c r="A28" s="102" t="s">
        <v>14</v>
      </c>
      <c r="B28" s="142" t="str">
        <f>IF(B27=Para1!$F$153,Para1!$F$109,IF(B27=Para1!$F$109,Para1!$F$148,IF(B27=Para1!$F$148,Para1!$F$111,IF(B27=Para1!$F$111,Para1!$F$120,IF(B27=Para1!$F$120,Para1!$F$170,IF(B27=Para1!$F$170,Para1!$F$173,Para1!$F$153))))))</f>
        <v>Sun</v>
      </c>
      <c r="C28" s="186"/>
      <c r="D28" s="315"/>
      <c r="E28" s="298"/>
      <c r="F28" s="295"/>
      <c r="G28" s="294"/>
      <c r="H28" s="294"/>
      <c r="I28" s="296"/>
      <c r="J28" s="310"/>
      <c r="K28" s="378"/>
      <c r="L28" s="379"/>
      <c r="M28" s="129"/>
      <c r="N28" s="197"/>
      <c r="O28" s="299"/>
      <c r="P28" s="366">
        <f>August!P52</f>
        <v>0</v>
      </c>
      <c r="Q28" s="366">
        <f>August!Q52</f>
        <v>0</v>
      </c>
      <c r="R28" s="299" t="e">
        <f>IF(VLOOKUP(A28,Para1!$B$67:$E$72,2,FALSE)="9.",VLOOKUP(A28,Para1!$B$67:$E$72,3,FALSE),"")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x14ac:dyDescent="0.15">
      <c r="A29" s="102" t="s">
        <v>16</v>
      </c>
      <c r="B29" s="142" t="str">
        <f>IF(B28=Para1!$F$153,Para1!$F$109,IF(B28=Para1!$F$109,Para1!$F$148,IF(B28=Para1!$F$148,Para1!$F$111,IF(B28=Para1!$F$111,Para1!$F$120,IF(B28=Para1!$F$120,Para1!$F$170,IF(B28=Para1!$F$170,Para1!$F$173,Para1!$F$153))))))</f>
        <v>Mon</v>
      </c>
      <c r="C29" s="186"/>
      <c r="D29" s="315"/>
      <c r="E29" s="298"/>
      <c r="F29" s="295"/>
      <c r="G29" s="294"/>
      <c r="H29" s="294"/>
      <c r="I29" s="296"/>
      <c r="J29" s="310"/>
      <c r="K29" s="378"/>
      <c r="L29" s="379"/>
      <c r="M29" s="129"/>
      <c r="N29" s="197"/>
      <c r="O29" s="299"/>
      <c r="P29" s="366">
        <f>August!P53</f>
        <v>1</v>
      </c>
      <c r="Q29" s="366">
        <f>August!Q53</f>
        <v>1</v>
      </c>
      <c r="R29" s="299" t="e">
        <f>IF(VLOOKUP(A29,Para1!$B$67:$E$72,2,FALSE)="9.",VLOOKUP(A29,Para1!$B$67:$E$72,3,FALSE),"")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x14ac:dyDescent="0.15">
      <c r="A30" s="102" t="s">
        <v>18</v>
      </c>
      <c r="B30" s="142" t="str">
        <f>IF(B29=Para1!$F$153,Para1!$F$109,IF(B29=Para1!$F$109,Para1!$F$148,IF(B29=Para1!$F$148,Para1!$F$111,IF(B29=Para1!$F$111,Para1!$F$120,IF(B29=Para1!$F$120,Para1!$F$170,IF(B29=Para1!$F$170,Para1!$F$173,Para1!$F$153))))))</f>
        <v>Tue</v>
      </c>
      <c r="C30" s="185"/>
      <c r="D30" s="315"/>
      <c r="E30" s="298"/>
      <c r="F30" s="295"/>
      <c r="G30" s="294"/>
      <c r="H30" s="294"/>
      <c r="I30" s="296"/>
      <c r="J30" s="310"/>
      <c r="K30" s="378"/>
      <c r="L30" s="379"/>
      <c r="M30" s="129"/>
      <c r="N30" s="197"/>
      <c r="O30" s="299"/>
      <c r="P30" s="367">
        <f>P23</f>
        <v>1</v>
      </c>
      <c r="Q30" s="367">
        <f>Q23</f>
        <v>1</v>
      </c>
      <c r="R30" s="299" t="e">
        <f>IF(VLOOKUP(A30,Para1!$B$67:$E$72,2,FALSE)="9.",VLOOKUP(A30,Para1!$B$67:$E$72,3,FALSE),"")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x14ac:dyDescent="0.15">
      <c r="A31" s="102" t="s">
        <v>19</v>
      </c>
      <c r="B31" s="142" t="str">
        <f>IF(B30=Para1!$F$153,Para1!$F$109,IF(B30=Para1!$F$109,Para1!$F$148,IF(B30=Para1!$F$148,Para1!$F$111,IF(B30=Para1!$F$111,Para1!$F$120,IF(B30=Para1!$F$120,Para1!$F$170,IF(B30=Para1!$F$170,Para1!$F$173,Para1!$F$153))))))</f>
        <v>Wed</v>
      </c>
      <c r="C31" s="185"/>
      <c r="D31" s="315"/>
      <c r="E31" s="298"/>
      <c r="F31" s="295"/>
      <c r="G31" s="294"/>
      <c r="H31" s="294"/>
      <c r="I31" s="296"/>
      <c r="J31" s="310"/>
      <c r="K31" s="378"/>
      <c r="L31" s="379"/>
      <c r="M31" s="129"/>
      <c r="N31" s="197"/>
      <c r="O31" s="299"/>
      <c r="P31" s="367">
        <f>P24</f>
        <v>1</v>
      </c>
      <c r="Q31" s="367">
        <f>Q24</f>
        <v>1</v>
      </c>
      <c r="R31" s="299" t="e">
        <f>IF(VLOOKUP(A31,Para1!$B$67:$E$72,2,FALSE)="9.",VLOOKUP(A31,Para1!$B$67:$E$72,3,FALSE),"")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x14ac:dyDescent="0.15">
      <c r="A32" s="102" t="s">
        <v>20</v>
      </c>
      <c r="B32" s="142" t="str">
        <f>IF(B31=Para1!$F$153,Para1!$F$109,IF(B31=Para1!$F$109,Para1!$F$148,IF(B31=Para1!$F$148,Para1!$F$111,IF(B31=Para1!$F$111,Para1!$F$120,IF(B31=Para1!$F$120,Para1!$F$170,IF(B31=Para1!$F$170,Para1!$F$173,Para1!$F$153))))))</f>
        <v>Thu</v>
      </c>
      <c r="C32" s="186"/>
      <c r="D32" s="315"/>
      <c r="E32" s="298"/>
      <c r="F32" s="295"/>
      <c r="G32" s="294"/>
      <c r="H32" s="294"/>
      <c r="I32" s="296"/>
      <c r="J32" s="310"/>
      <c r="K32" s="378"/>
      <c r="L32" s="379"/>
      <c r="M32" s="129"/>
      <c r="N32" s="197"/>
      <c r="O32" s="299"/>
      <c r="P32" s="367">
        <f t="shared" ref="P32:Q36" si="6">P25</f>
        <v>1</v>
      </c>
      <c r="Q32" s="367">
        <f t="shared" si="6"/>
        <v>1</v>
      </c>
      <c r="R32" s="299" t="str">
        <f>IF(VLOOKUP(A32,Para1!$B$67:$E$72,2,FALSE)="9.",VLOOKUP(A32,Para1!$B$67:$E$72,3,FALSE),"")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s="39" customFormat="1" ht="17" customHeight="1" x14ac:dyDescent="0.15">
      <c r="A33" s="102" t="s">
        <v>21</v>
      </c>
      <c r="B33" s="142" t="str">
        <f>IF(B32=Para1!$F$153,Para1!$F$109,IF(B32=Para1!$F$109,Para1!$F$148,IF(B32=Para1!$F$148,Para1!$F$111,IF(B32=Para1!$F$111,Para1!$F$120,IF(B32=Para1!$F$120,Para1!$F$170,IF(B32=Para1!$F$170,Para1!$F$173,Para1!$F$153))))))</f>
        <v>Fri</v>
      </c>
      <c r="C33" s="186"/>
      <c r="D33" s="315"/>
      <c r="E33" s="298"/>
      <c r="F33" s="295"/>
      <c r="G33" s="294"/>
      <c r="H33" s="294"/>
      <c r="I33" s="296"/>
      <c r="J33" s="310"/>
      <c r="K33" s="378"/>
      <c r="L33" s="379"/>
      <c r="M33" s="129"/>
      <c r="N33" s="197"/>
      <c r="O33" s="299"/>
      <c r="P33" s="367">
        <f t="shared" si="6"/>
        <v>1</v>
      </c>
      <c r="Q33" s="367">
        <f t="shared" si="6"/>
        <v>1</v>
      </c>
      <c r="R33" s="299" t="e">
        <f>IF(VLOOKUP(A33,Para1!$B$67:$E$72,2,FALSE)="9.",VLOOKUP(A33,Para1!$B$67:$E$72,3,FALSE),"")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s="39" customFormat="1" ht="17" customHeight="1" x14ac:dyDescent="0.15">
      <c r="A34" s="102" t="s">
        <v>22</v>
      </c>
      <c r="B34" s="142" t="str">
        <f>IF(B33=Para1!$F$153,Para1!$F$109,IF(B33=Para1!$F$109,Para1!$F$148,IF(B33=Para1!$F$148,Para1!$F$111,IF(B33=Para1!$F$111,Para1!$F$120,IF(B33=Para1!$F$120,Para1!$F$170,IF(B33=Para1!$F$170,Para1!$F$173,Para1!$F$153))))))</f>
        <v>Sat</v>
      </c>
      <c r="C34" s="186"/>
      <c r="D34" s="315"/>
      <c r="E34" s="298"/>
      <c r="F34" s="295"/>
      <c r="G34" s="294"/>
      <c r="H34" s="294"/>
      <c r="I34" s="296"/>
      <c r="J34" s="310"/>
      <c r="K34" s="378"/>
      <c r="L34" s="379"/>
      <c r="M34" s="129"/>
      <c r="N34" s="197"/>
      <c r="O34" s="299"/>
      <c r="P34" s="367">
        <f t="shared" si="6"/>
        <v>0</v>
      </c>
      <c r="Q34" s="367">
        <f t="shared" si="6"/>
        <v>0</v>
      </c>
      <c r="R34" s="299" t="str">
        <f>IF(VLOOKUP(A34,Para1!$B$67:$E$72,2,FALSE)="9.",VLOOKUP(A34,Para1!$B$67:$E$72,3,FALSE),"")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6.5" customHeight="1" x14ac:dyDescent="0.15">
      <c r="A35" s="102" t="s">
        <v>23</v>
      </c>
      <c r="B35" s="142" t="str">
        <f>IF(B34=Para1!$F$153,Para1!$F$109,IF(B34=Para1!$F$109,Para1!$F$148,IF(B34=Para1!$F$148,Para1!$F$111,IF(B34=Para1!$F$111,Para1!$F$120,IF(B34=Para1!$F$120,Para1!$F$170,IF(B34=Para1!$F$170,Para1!$F$173,Para1!$F$153))))))</f>
        <v>Sun</v>
      </c>
      <c r="C35" s="186"/>
      <c r="D35" s="315"/>
      <c r="E35" s="298"/>
      <c r="F35" s="295"/>
      <c r="G35" s="294"/>
      <c r="H35" s="294"/>
      <c r="I35" s="296"/>
      <c r="J35" s="310"/>
      <c r="K35" s="378"/>
      <c r="L35" s="379"/>
      <c r="M35" s="129"/>
      <c r="N35" s="197"/>
      <c r="O35" s="299"/>
      <c r="P35" s="367">
        <f t="shared" si="6"/>
        <v>0</v>
      </c>
      <c r="Q35" s="367">
        <f t="shared" si="6"/>
        <v>0</v>
      </c>
      <c r="R35" s="299" t="str">
        <f>IF(VLOOKUP(A35,Para1!$B$67:$E$72,2,FALSE)="9.",VLOOKUP(A35,Para1!$B$67:$E$72,3,FALSE),"")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x14ac:dyDescent="0.15">
      <c r="A36" s="102" t="s">
        <v>24</v>
      </c>
      <c r="B36" s="142" t="str">
        <f>IF(B35=Para1!$F$153,Para1!$F$109,IF(B35=Para1!$F$109,Para1!$F$148,IF(B35=Para1!$F$148,Para1!$F$111,IF(B35=Para1!$F$111,Para1!$F$120,IF(B35=Para1!$F$120,Para1!$F$170,IF(B35=Para1!$F$170,Para1!$F$173,Para1!$F$153))))))</f>
        <v>Mon</v>
      </c>
      <c r="C36" s="186"/>
      <c r="D36" s="315"/>
      <c r="E36" s="298"/>
      <c r="F36" s="295"/>
      <c r="G36" s="294"/>
      <c r="H36" s="294"/>
      <c r="I36" s="296"/>
      <c r="J36" s="310"/>
      <c r="K36" s="378"/>
      <c r="L36" s="379"/>
      <c r="M36" s="129"/>
      <c r="N36" s="197"/>
      <c r="O36" s="299"/>
      <c r="P36" s="367">
        <f t="shared" si="6"/>
        <v>1</v>
      </c>
      <c r="Q36" s="367">
        <f t="shared" si="6"/>
        <v>1</v>
      </c>
      <c r="R36" s="299" t="e">
        <f>IF(VLOOKUP(A36,Para1!$B$67:$E$72,2,FALSE)="9.",VLOOKUP(A36,Para1!$B$67:$E$72,3,FALSE),"")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x14ac:dyDescent="0.15">
      <c r="A37" s="102" t="s">
        <v>25</v>
      </c>
      <c r="B37" s="142" t="str">
        <f>IF(B36=Para1!$F$153,Para1!$F$109,IF(B36=Para1!$F$109,Para1!$F$148,IF(B36=Para1!$F$148,Para1!$F$111,IF(B36=Para1!$F$111,Para1!$F$120,IF(B36=Para1!$F$120,Para1!$F$170,IF(B36=Para1!$F$170,Para1!$F$173,Para1!$F$153))))))</f>
        <v>Tue</v>
      </c>
      <c r="C37" s="185"/>
      <c r="D37" s="315"/>
      <c r="E37" s="298"/>
      <c r="F37" s="295"/>
      <c r="G37" s="294"/>
      <c r="H37" s="294"/>
      <c r="I37" s="296"/>
      <c r="J37" s="310"/>
      <c r="K37" s="378"/>
      <c r="L37" s="379"/>
      <c r="M37" s="129"/>
      <c r="N37" s="197"/>
      <c r="O37" s="299"/>
      <c r="P37" s="367">
        <f>P30</f>
        <v>1</v>
      </c>
      <c r="Q37" s="367">
        <f>Q30</f>
        <v>1</v>
      </c>
      <c r="R37" s="299" t="e">
        <f>IF(VLOOKUP(A37,Para1!$B$67:$E$72,2,FALSE)="9.",VLOOKUP(A37,Para1!$B$67:$E$72,3,FALSE),"")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x14ac:dyDescent="0.15">
      <c r="A38" s="102" t="s">
        <v>26</v>
      </c>
      <c r="B38" s="142" t="str">
        <f>IF(B37=Para1!$F$153,Para1!$F$109,IF(B37=Para1!$F$109,Para1!$F$148,IF(B37=Para1!$F$148,Para1!$F$111,IF(B37=Para1!$F$111,Para1!$F$120,IF(B37=Para1!$F$120,Para1!$F$170,IF(B37=Para1!$F$170,Para1!$F$173,Para1!$F$153))))))</f>
        <v>Wed</v>
      </c>
      <c r="C38" s="185"/>
      <c r="D38" s="315"/>
      <c r="E38" s="298"/>
      <c r="F38" s="295"/>
      <c r="G38" s="294"/>
      <c r="H38" s="294"/>
      <c r="I38" s="296"/>
      <c r="J38" s="310"/>
      <c r="K38" s="378"/>
      <c r="L38" s="379"/>
      <c r="M38" s="129"/>
      <c r="N38" s="197"/>
      <c r="O38" s="299"/>
      <c r="P38" s="367">
        <f t="shared" ref="P38:Q43" si="7">P31</f>
        <v>1</v>
      </c>
      <c r="Q38" s="367">
        <f t="shared" si="7"/>
        <v>1</v>
      </c>
      <c r="R38" s="299" t="e">
        <f>IF(VLOOKUP(A38,Para1!$B$67:$E$72,2,FALSE)="9.",VLOOKUP(A38,Para1!$B$67:$E$72,3,FALSE),"")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x14ac:dyDescent="0.15">
      <c r="A39" s="102" t="s">
        <v>27</v>
      </c>
      <c r="B39" s="142" t="str">
        <f>IF(B38=Para1!$F$153,Para1!$F$109,IF(B38=Para1!$F$109,Para1!$F$148,IF(B38=Para1!$F$148,Para1!$F$111,IF(B38=Para1!$F$111,Para1!$F$120,IF(B38=Para1!$F$120,Para1!$F$170,IF(B38=Para1!$F$170,Para1!$F$173,Para1!$F$153))))))</f>
        <v>Thu</v>
      </c>
      <c r="C39" s="186"/>
      <c r="D39" s="315"/>
      <c r="E39" s="298"/>
      <c r="F39" s="295"/>
      <c r="G39" s="294"/>
      <c r="H39" s="294"/>
      <c r="I39" s="296"/>
      <c r="J39" s="310"/>
      <c r="K39" s="378"/>
      <c r="L39" s="379"/>
      <c r="M39" s="129"/>
      <c r="N39" s="197"/>
      <c r="O39" s="299"/>
      <c r="P39" s="367">
        <f t="shared" si="7"/>
        <v>1</v>
      </c>
      <c r="Q39" s="367">
        <f t="shared" si="7"/>
        <v>1</v>
      </c>
      <c r="R39" s="299" t="e">
        <f>IF(VLOOKUP(A39,Para1!$B$67:$E$72,2,FALSE)="9.",VLOOKUP(A39,Para1!$B$67:$E$72,3,FALSE),"")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s="39" customFormat="1" ht="17" customHeight="1" x14ac:dyDescent="0.15">
      <c r="A40" s="102" t="s">
        <v>28</v>
      </c>
      <c r="B40" s="142" t="str">
        <f>IF(B39=Para1!$F$153,Para1!$F$109,IF(B39=Para1!$F$109,Para1!$F$148,IF(B39=Para1!$F$148,Para1!$F$111,IF(B39=Para1!$F$111,Para1!$F$120,IF(B39=Para1!$F$120,Para1!$F$170,IF(B39=Para1!$F$170,Para1!$F$173,Para1!$F$153))))))</f>
        <v>Fri</v>
      </c>
      <c r="C40" s="186"/>
      <c r="D40" s="315"/>
      <c r="E40" s="298"/>
      <c r="F40" s="295"/>
      <c r="G40" s="294"/>
      <c r="H40" s="294"/>
      <c r="I40" s="296"/>
      <c r="J40" s="310"/>
      <c r="K40" s="378"/>
      <c r="L40" s="379"/>
      <c r="M40" s="129"/>
      <c r="N40" s="197"/>
      <c r="O40" s="299"/>
      <c r="P40" s="367">
        <f t="shared" si="7"/>
        <v>1</v>
      </c>
      <c r="Q40" s="367">
        <f t="shared" si="7"/>
        <v>1</v>
      </c>
      <c r="R40" s="299" t="e">
        <f>IF(VLOOKUP(A40,Para1!$B$67:$E$72,2,FALSE)="9.",VLOOKUP(A40,Para1!$B$67:$E$72,3,FALSE),"")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s="39" customFormat="1" ht="17" customHeight="1" x14ac:dyDescent="0.15">
      <c r="A41" s="102" t="s">
        <v>29</v>
      </c>
      <c r="B41" s="142" t="str">
        <f>IF(B40=Para1!$F$153,Para1!$F$109,IF(B40=Para1!$F$109,Para1!$F$148,IF(B40=Para1!$F$148,Para1!$F$111,IF(B40=Para1!$F$111,Para1!$F$120,IF(B40=Para1!$F$120,Para1!$F$170,IF(B40=Para1!$F$170,Para1!$F$173,Para1!$F$153))))))</f>
        <v>Sat</v>
      </c>
      <c r="C41" s="186"/>
      <c r="D41" s="315"/>
      <c r="E41" s="298"/>
      <c r="F41" s="295"/>
      <c r="G41" s="294"/>
      <c r="H41" s="294"/>
      <c r="I41" s="296"/>
      <c r="J41" s="310"/>
      <c r="K41" s="378"/>
      <c r="L41" s="379"/>
      <c r="M41" s="129"/>
      <c r="N41" s="197"/>
      <c r="O41" s="299"/>
      <c r="P41" s="367">
        <f t="shared" si="7"/>
        <v>0</v>
      </c>
      <c r="Q41" s="367">
        <f t="shared" si="7"/>
        <v>0</v>
      </c>
      <c r="R41" s="299" t="e">
        <f>IF(VLOOKUP(A41,Para1!$B$67:$E$72,2,FALSE)="9.",VLOOKUP(A41,Para1!$B$67:$E$72,3,FALSE),"")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x14ac:dyDescent="0.15">
      <c r="A42" s="102" t="s">
        <v>30</v>
      </c>
      <c r="B42" s="142" t="str">
        <f>IF(B41=Para1!$F$153,Para1!$F$109,IF(B41=Para1!$F$109,Para1!$F$148,IF(B41=Para1!$F$148,Para1!$F$111,IF(B41=Para1!$F$111,Para1!$F$120,IF(B41=Para1!$F$120,Para1!$F$170,IF(B41=Para1!$F$170,Para1!$F$173,Para1!$F$153))))))</f>
        <v>Sun</v>
      </c>
      <c r="C42" s="186"/>
      <c r="D42" s="315"/>
      <c r="E42" s="298"/>
      <c r="F42" s="295"/>
      <c r="G42" s="294"/>
      <c r="H42" s="294"/>
      <c r="I42" s="296"/>
      <c r="J42" s="310"/>
      <c r="K42" s="378"/>
      <c r="L42" s="379"/>
      <c r="M42" s="129"/>
      <c r="N42" s="197"/>
      <c r="O42" s="299"/>
      <c r="P42" s="367">
        <f t="shared" si="7"/>
        <v>0</v>
      </c>
      <c r="Q42" s="367">
        <f t="shared" si="7"/>
        <v>0</v>
      </c>
      <c r="R42" s="299" t="e">
        <f>IF(VLOOKUP(A42,Para1!$B$67:$E$72,2,FALSE)="9.",VLOOKUP(A42,Para1!$B$67:$E$72,3,FALSE),"")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x14ac:dyDescent="0.15">
      <c r="A43" s="102" t="s">
        <v>31</v>
      </c>
      <c r="B43" s="142" t="str">
        <f>IF(B42=Para1!$F$153,Para1!$F$109,IF(B42=Para1!$F$109,Para1!$F$148,IF(B42=Para1!$F$148,Para1!$F$111,IF(B42=Para1!$F$111,Para1!$F$120,IF(B42=Para1!$F$120,Para1!$F$170,IF(B42=Para1!$F$170,Para1!$F$173,Para1!$F$153))))))</f>
        <v>Mon</v>
      </c>
      <c r="C43" s="186"/>
      <c r="D43" s="315"/>
      <c r="E43" s="298"/>
      <c r="F43" s="295"/>
      <c r="G43" s="294"/>
      <c r="H43" s="294"/>
      <c r="I43" s="296"/>
      <c r="J43" s="310"/>
      <c r="K43" s="378"/>
      <c r="L43" s="379"/>
      <c r="M43" s="129"/>
      <c r="N43" s="197"/>
      <c r="O43" s="299"/>
      <c r="P43" s="367">
        <f t="shared" si="7"/>
        <v>1</v>
      </c>
      <c r="Q43" s="367">
        <f t="shared" si="7"/>
        <v>1</v>
      </c>
      <c r="R43" s="299" t="str">
        <f>IF(VLOOKUP(A43,Para1!$B$67:$E$72,2,FALSE)="9.",VLOOKUP(A43,Para1!$B$67:$E$72,3,FALSE),"")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x14ac:dyDescent="0.15">
      <c r="A44" s="102" t="s">
        <v>32</v>
      </c>
      <c r="B44" s="142" t="str">
        <f>IF(B43=Para1!$F$153,Para1!$F$109,IF(B43=Para1!$F$109,Para1!$F$148,IF(B43=Para1!$F$148,Para1!$F$111,IF(B43=Para1!$F$111,Para1!$F$120,IF(B43=Para1!$F$120,Para1!$F$170,IF(B43=Para1!$F$170,Para1!$F$173,Para1!$F$153))))))</f>
        <v>Tue</v>
      </c>
      <c r="C44" s="185"/>
      <c r="D44" s="315"/>
      <c r="E44" s="298"/>
      <c r="F44" s="295"/>
      <c r="G44" s="294"/>
      <c r="H44" s="294"/>
      <c r="I44" s="296"/>
      <c r="J44" s="310"/>
      <c r="K44" s="378"/>
      <c r="L44" s="379"/>
      <c r="M44" s="129"/>
      <c r="N44" s="197"/>
      <c r="O44" s="299"/>
      <c r="P44" s="367">
        <f>P37</f>
        <v>1</v>
      </c>
      <c r="Q44" s="367">
        <f>Q37</f>
        <v>1</v>
      </c>
      <c r="R44" s="299" t="e">
        <f>IF(VLOOKUP(A44,Para1!$B$67:$E$72,2,FALSE)="9.",VLOOKUP(A44,Para1!$B$67:$E$72,3,FALSE),"")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x14ac:dyDescent="0.15">
      <c r="A45" s="102" t="s">
        <v>33</v>
      </c>
      <c r="B45" s="142" t="str">
        <f>IF(B44=Para1!$F$153,Para1!$F$109,IF(B44=Para1!$F$109,Para1!$F$148,IF(B44=Para1!$F$148,Para1!$F$111,IF(B44=Para1!$F$111,Para1!$F$120,IF(B44=Para1!$F$120,Para1!$F$170,IF(B44=Para1!$F$170,Para1!$F$173,Para1!$F$153))))))</f>
        <v>Wed</v>
      </c>
      <c r="C45" s="185"/>
      <c r="D45" s="315"/>
      <c r="E45" s="298"/>
      <c r="F45" s="295"/>
      <c r="G45" s="294"/>
      <c r="H45" s="294"/>
      <c r="I45" s="296"/>
      <c r="J45" s="310"/>
      <c r="K45" s="378"/>
      <c r="L45" s="379"/>
      <c r="M45" s="129"/>
      <c r="N45" s="197"/>
      <c r="O45" s="299"/>
      <c r="P45" s="367">
        <f>P38</f>
        <v>1</v>
      </c>
      <c r="Q45" s="367">
        <f>Q38</f>
        <v>1</v>
      </c>
      <c r="R45" s="299" t="e">
        <f>IF(VLOOKUP(A45,Para1!$B$67:$E$72,2,FALSE)="9.",VLOOKUP(A45,Para1!$B$67:$E$72,3,FALSE),"")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x14ac:dyDescent="0.15">
      <c r="A46" s="102" t="s">
        <v>34</v>
      </c>
      <c r="B46" s="142" t="str">
        <f>IF(B45=Para1!$F$153,Para1!$F$109,IF(B45=Para1!$F$109,Para1!$F$148,IF(B45=Para1!$F$148,Para1!$F$111,IF(B45=Para1!$F$111,Para1!$F$120,IF(B45=Para1!$F$120,Para1!$F$170,IF(B45=Para1!$F$170,Para1!$F$173,Para1!$F$153))))))</f>
        <v>Thu</v>
      </c>
      <c r="C46" s="186"/>
      <c r="D46" s="315"/>
      <c r="E46" s="298"/>
      <c r="F46" s="295"/>
      <c r="G46" s="294"/>
      <c r="H46" s="294"/>
      <c r="I46" s="296"/>
      <c r="J46" s="310"/>
      <c r="K46" s="378"/>
      <c r="L46" s="379"/>
      <c r="M46" s="129"/>
      <c r="N46" s="197"/>
      <c r="O46" s="299"/>
      <c r="P46" s="367">
        <f t="shared" ref="P46:Q50" si="8">P39</f>
        <v>1</v>
      </c>
      <c r="Q46" s="367">
        <f t="shared" si="8"/>
        <v>1</v>
      </c>
      <c r="R46" s="299" t="e">
        <f>IF(VLOOKUP(A46,Para1!$B$67:$E$72,2,FALSE)="9.",VLOOKUP(A46,Para1!$B$67:$E$72,3,FALSE),"")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s="39" customFormat="1" ht="17" customHeight="1" x14ac:dyDescent="0.15">
      <c r="A47" s="102" t="s">
        <v>35</v>
      </c>
      <c r="B47" s="142" t="str">
        <f>IF(B46=Para1!$F$153,Para1!$F$109,IF(B46=Para1!$F$109,Para1!$F$148,IF(B46=Para1!$F$148,Para1!$F$111,IF(B46=Para1!$F$111,Para1!$F$120,IF(B46=Para1!$F$120,Para1!$F$170,IF(B46=Para1!$F$170,Para1!$F$173,Para1!$F$153))))))</f>
        <v>Fri</v>
      </c>
      <c r="C47" s="186"/>
      <c r="D47" s="315"/>
      <c r="E47" s="298"/>
      <c r="F47" s="295"/>
      <c r="G47" s="294"/>
      <c r="H47" s="294"/>
      <c r="I47" s="296"/>
      <c r="J47" s="310"/>
      <c r="K47" s="378"/>
      <c r="L47" s="379"/>
      <c r="M47" s="129"/>
      <c r="N47" s="197"/>
      <c r="O47" s="299"/>
      <c r="P47" s="367">
        <f t="shared" si="8"/>
        <v>1</v>
      </c>
      <c r="Q47" s="367">
        <f t="shared" si="8"/>
        <v>1</v>
      </c>
      <c r="R47" s="299" t="e">
        <f>IF(VLOOKUP(A47,Para1!$B$67:$E$72,2,FALSE)="9.",VLOOKUP(A47,Para1!$B$67:$E$72,3,FALSE),"")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s="39" customFormat="1" ht="16.5" customHeight="1" x14ac:dyDescent="0.15">
      <c r="A48" s="102" t="s">
        <v>36</v>
      </c>
      <c r="B48" s="142" t="str">
        <f>IF(B47=Para1!$F$153,Para1!$F$109,IF(B47=Para1!$F$109,Para1!$F$148,IF(B47=Para1!$F$148,Para1!$F$111,IF(B47=Para1!$F$111,Para1!$F$120,IF(B47=Para1!$F$120,Para1!$F$170,IF(B47=Para1!$F$170,Para1!$F$173,Para1!$F$153))))))</f>
        <v>Sat</v>
      </c>
      <c r="C48" s="186"/>
      <c r="D48" s="315"/>
      <c r="E48" s="298"/>
      <c r="F48" s="295"/>
      <c r="G48" s="294"/>
      <c r="H48" s="294"/>
      <c r="I48" s="296"/>
      <c r="J48" s="310"/>
      <c r="K48" s="378"/>
      <c r="L48" s="379"/>
      <c r="M48" s="129"/>
      <c r="N48" s="197"/>
      <c r="O48" s="299"/>
      <c r="P48" s="367">
        <f t="shared" si="8"/>
        <v>0</v>
      </c>
      <c r="Q48" s="367">
        <f t="shared" si="8"/>
        <v>0</v>
      </c>
      <c r="R48" s="299" t="e">
        <f>IF(VLOOKUP(A48,Para1!$B$67:$E$72,2,FALSE)="9.",VLOOKUP(A48,Para1!$B$67:$E$72,3,FALSE),"")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7" ht="16.5" customHeight="1" x14ac:dyDescent="0.15">
      <c r="A49" s="102" t="s">
        <v>37</v>
      </c>
      <c r="B49" s="142" t="str">
        <f>IF(B48=Para1!$F$153,Para1!$F$109,IF(B48=Para1!$F$109,Para1!$F$148,IF(B48=Para1!$F$148,Para1!$F$111,IF(B48=Para1!$F$111,Para1!$F$120,IF(B48=Para1!$F$120,Para1!$F$170,IF(B48=Para1!$F$170,Para1!$F$173,Para1!$F$153))))))</f>
        <v>Sun</v>
      </c>
      <c r="C49" s="186"/>
      <c r="D49" s="315"/>
      <c r="E49" s="298"/>
      <c r="F49" s="295"/>
      <c r="G49" s="294"/>
      <c r="H49" s="294"/>
      <c r="I49" s="296"/>
      <c r="J49" s="310"/>
      <c r="K49" s="378"/>
      <c r="L49" s="379"/>
      <c r="M49" s="129"/>
      <c r="N49" s="197"/>
      <c r="O49" s="299"/>
      <c r="P49" s="367">
        <f t="shared" si="8"/>
        <v>0</v>
      </c>
      <c r="Q49" s="367">
        <f t="shared" si="8"/>
        <v>0</v>
      </c>
      <c r="R49" s="299" t="e">
        <f>IF(VLOOKUP(A49,Para1!$B$67:$E$72,2,FALSE)="9.",VLOOKUP(A49,Para1!$B$67:$E$72,3,FALSE),"")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7" ht="17" customHeight="1" x14ac:dyDescent="0.15">
      <c r="A50" s="102" t="s">
        <v>38</v>
      </c>
      <c r="B50" s="142" t="str">
        <f>IF(B49=Para1!$F$153,Para1!$F$109,IF(B49=Para1!$F$109,Para1!$F$148,IF(B49=Para1!$F$148,Para1!$F$111,IF(B49=Para1!$F$111,Para1!$F$120,IF(B49=Para1!$F$120,Para1!$F$170,IF(B49=Para1!$F$170,Para1!$F$173,Para1!$F$153))))))</f>
        <v>Mon</v>
      </c>
      <c r="C50" s="186"/>
      <c r="D50" s="315"/>
      <c r="E50" s="298"/>
      <c r="F50" s="295"/>
      <c r="G50" s="294"/>
      <c r="H50" s="294"/>
      <c r="I50" s="296"/>
      <c r="J50" s="310"/>
      <c r="K50" s="378"/>
      <c r="L50" s="379"/>
      <c r="M50" s="129"/>
      <c r="N50" s="197"/>
      <c r="O50" s="299"/>
      <c r="P50" s="368">
        <f>P43</f>
        <v>1</v>
      </c>
      <c r="Q50" s="368">
        <f t="shared" si="8"/>
        <v>1</v>
      </c>
      <c r="R50" s="299" t="e">
        <f>IF(VLOOKUP(A50,Para1!$B$67:$E$72,2,FALSE)="9.",VLOOKUP(A50,Para1!$B$67:$E$72,3,FALSE),"")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7" ht="17" customHeight="1" x14ac:dyDescent="0.15">
      <c r="A51" s="102" t="s">
        <v>39</v>
      </c>
      <c r="B51" s="142" t="str">
        <f>IF(B50=Para1!$F$153,Para1!$F$109,IF(B50=Para1!$F$109,Para1!$F$148,IF(B50=Para1!$F$148,Para1!$F$111,IF(B50=Para1!$F$111,Para1!$F$120,IF(B50=Para1!$F$120,Para1!$F$170,IF(B50=Para1!$F$170,Para1!$F$173,Para1!$F$153))))))</f>
        <v>Tue</v>
      </c>
      <c r="C51" s="185"/>
      <c r="D51" s="315"/>
      <c r="E51" s="298"/>
      <c r="F51" s="295"/>
      <c r="G51" s="294"/>
      <c r="H51" s="294"/>
      <c r="I51" s="296"/>
      <c r="J51" s="310"/>
      <c r="K51" s="378"/>
      <c r="L51" s="379"/>
      <c r="M51" s="129"/>
      <c r="N51" s="197"/>
      <c r="O51" s="299"/>
      <c r="P51" s="339">
        <f>P44</f>
        <v>1</v>
      </c>
      <c r="Q51" s="367">
        <f>Q44</f>
        <v>1</v>
      </c>
      <c r="R51" s="299" t="e">
        <f>IF(VLOOKUP(A51,Para1!$B$67:$E$72,2,FALSE)="9.",VLOOKUP(A51,Para1!$B$67:$E$72,3,FALSE),"")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7" ht="17" customHeight="1" thickBot="1" x14ac:dyDescent="0.2">
      <c r="A52" s="102" t="s">
        <v>40</v>
      </c>
      <c r="B52" s="142" t="str">
        <f>IF(B51=Para1!$F$153,Para1!$F$109,IF(B51=Para1!$F$109,Para1!$F$148,IF(B51=Para1!$F$148,Para1!$F$111,IF(B51=Para1!$F$111,Para1!$F$120,IF(B51=Para1!$F$120,Para1!$F$170,IF(B51=Para1!$F$170,Para1!$F$173,Para1!$F$153))))))</f>
        <v>Wed</v>
      </c>
      <c r="C52" s="185"/>
      <c r="D52" s="315"/>
      <c r="E52" s="298"/>
      <c r="F52" s="295"/>
      <c r="G52" s="294"/>
      <c r="H52" s="294"/>
      <c r="I52" s="296"/>
      <c r="J52" s="310"/>
      <c r="K52" s="378"/>
      <c r="L52" s="379"/>
      <c r="M52" s="129"/>
      <c r="N52" s="197"/>
      <c r="O52" s="299"/>
      <c r="P52" s="375">
        <f t="shared" ref="P52:Q52" si="9">P45</f>
        <v>1</v>
      </c>
      <c r="Q52" s="368">
        <f t="shared" si="9"/>
        <v>1</v>
      </c>
      <c r="R52" s="299" t="e">
        <f>IF(VLOOKUP(A52,Para1!$B$67:$E$72,2,FALSE)="9.",VLOOKUP(A52,Para1!$B$67:$E$72,3,FALSE),"")</f>
        <v>#N/A</v>
      </c>
      <c r="S52" s="299" t="str">
        <f>IF((P52+Q52)=0,"",IF(ISNA(R52),"",IF(R52="","",VLOOKUP(R52,Para1!$D$67:$G$79,3,FALSE)*(IF(P52+Q52=1,0.5,1)))))</f>
        <v/>
      </c>
      <c r="T52" s="299" t="str">
        <f>IF(P52+Q52=0,"",IF(ISNA(Oktober!R23),"",IF(Oktober!R23="","",VLOOKUP(Oktober!R23,Para1!$D$67:$G$79,4,FALSE)*(IF(P52+Q52=1,0.5,1)))))</f>
        <v/>
      </c>
      <c r="U52" s="299" t="str">
        <f t="shared" si="3"/>
        <v/>
      </c>
      <c r="V52" s="299" t="str">
        <f t="shared" si="4"/>
        <v/>
      </c>
      <c r="W52" s="299">
        <f t="shared" si="5"/>
        <v>0</v>
      </c>
    </row>
    <row r="53" spans="1:27" ht="17" customHeight="1" thickTop="1" thickBot="1" x14ac:dyDescent="0.2">
      <c r="A53" s="38"/>
      <c r="B53" s="156"/>
      <c r="C53" s="259"/>
      <c r="D53" s="157"/>
      <c r="E53" s="109"/>
      <c r="F53" s="110"/>
      <c r="G53" s="111"/>
      <c r="H53" s="111"/>
      <c r="I53" s="144"/>
      <c r="J53" s="310"/>
      <c r="K53" s="387"/>
      <c r="L53" s="388"/>
      <c r="M53" s="129"/>
      <c r="N53" s="197"/>
      <c r="O53" s="299"/>
      <c r="P53" s="373"/>
      <c r="Q53" s="373"/>
      <c r="R53" s="299" t="e">
        <f>IF(VLOOKUP(A53,Para1!$B$67:$E$72,2,FALSE)="9.",VLOOKUP(A53,Para1!$B$67:$E$72,3,FALSE),"")</f>
        <v>#N/A</v>
      </c>
      <c r="S53" s="299"/>
      <c r="T53" s="299"/>
      <c r="U53" s="299" t="str">
        <f t="shared" si="3"/>
        <v/>
      </c>
      <c r="V53" s="299" t="str">
        <f t="shared" si="4"/>
        <v/>
      </c>
      <c r="W53" s="299">
        <f t="shared" si="5"/>
        <v>0</v>
      </c>
    </row>
    <row r="54" spans="1:27" ht="15" thickTop="1" x14ac:dyDescent="0.15">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0</v>
      </c>
    </row>
    <row r="55" spans="1:27" ht="15" thickBot="1" x14ac:dyDescent="0.2">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(Para1!G60/100*$G$3+((S54+T54)/100*$G$3))/(SUM(P23:Q53)-R54)/24</f>
        <v>0.17500000000000002</v>
      </c>
      <c r="Q55" s="625"/>
    </row>
    <row r="56" spans="1:27" ht="15" thickTop="1" x14ac:dyDescent="0.15">
      <c r="D56" s="11"/>
      <c r="K56" s="16"/>
      <c r="Q56" s="16"/>
      <c r="R56" s="16"/>
      <c r="S56" s="16"/>
      <c r="T56" s="16"/>
      <c r="U56" s="16"/>
      <c r="V56" s="16"/>
      <c r="W56" s="16"/>
      <c r="X56" s="16"/>
      <c r="Y56" s="16"/>
      <c r="Z56" s="16"/>
      <c r="AA56" s="16"/>
    </row>
    <row r="57" spans="1:27"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x14ac:dyDescent="0.15">
      <c r="A58" s="5"/>
      <c r="B58" s="5"/>
      <c r="C58" s="5"/>
      <c r="D58" s="5"/>
      <c r="E58" s="5"/>
      <c r="F58" s="5"/>
      <c r="G58" s="5"/>
      <c r="H58" s="5"/>
      <c r="I58" s="562"/>
      <c r="J58" s="562"/>
      <c r="K58" s="562"/>
      <c r="L58" s="562"/>
    </row>
    <row r="59" spans="1:27" ht="22.5" customHeight="1" x14ac:dyDescent="0.15">
      <c r="A59" s="5"/>
      <c r="B59" s="5"/>
      <c r="C59" s="5"/>
      <c r="D59" s="5"/>
      <c r="E59" s="5"/>
      <c r="F59" s="563" t="str">
        <f>Para1!F191&amp;" "&amp;Para1!F193</f>
        <v>signature manager</v>
      </c>
      <c r="G59" s="5"/>
      <c r="H59" s="564"/>
      <c r="I59" s="565"/>
      <c r="J59" s="565"/>
      <c r="K59" s="565"/>
      <c r="L59" s="565"/>
    </row>
    <row r="60" spans="1:27" x14ac:dyDescent="0.15">
      <c r="D60" s="11"/>
    </row>
    <row r="61" spans="1:27" ht="22.5" customHeight="1" x14ac:dyDescent="0.15">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M20:N20"/>
    <mergeCell ref="K21:K22"/>
    <mergeCell ref="L21:L22"/>
    <mergeCell ref="J9:K9"/>
    <mergeCell ref="J10:K10"/>
    <mergeCell ref="A21:B21"/>
    <mergeCell ref="D20:I20"/>
    <mergeCell ref="I21:I22"/>
    <mergeCell ref="A22:B22"/>
    <mergeCell ref="K20:L20"/>
    <mergeCell ref="H21:H22"/>
    <mergeCell ref="D21:D22"/>
    <mergeCell ref="F21:F22"/>
    <mergeCell ref="E21:E22"/>
    <mergeCell ref="G21:G22"/>
    <mergeCell ref="A1:B1"/>
    <mergeCell ref="A3:B3"/>
    <mergeCell ref="C16:E16"/>
    <mergeCell ref="C17:E17"/>
    <mergeCell ref="C18:E18"/>
    <mergeCell ref="D1:E1"/>
    <mergeCell ref="B13:E13"/>
    <mergeCell ref="C14:E14"/>
    <mergeCell ref="C15:E15"/>
  </mergeCells>
  <phoneticPr fontId="0" type="noConversion"/>
  <conditionalFormatting sqref="A23:B52">
    <cfRule type="expression" dxfId="32" priority="6">
      <formula>$P23+$Q23=0</formula>
    </cfRule>
    <cfRule type="expression" dxfId="31" priority="7">
      <formula>$S23=0</formula>
    </cfRule>
  </conditionalFormatting>
  <conditionalFormatting sqref="D23:I52">
    <cfRule type="expression" dxfId="30" priority="4">
      <formula>$P23+$Q23=1</formula>
    </cfRule>
    <cfRule type="expression" dxfId="29" priority="5">
      <formula>$P23+$Q23=0</formula>
    </cfRule>
  </conditionalFormatting>
  <conditionalFormatting sqref="D23:I52 K23:L52 P23:Q52">
    <cfRule type="expression" dxfId="28" priority="3">
      <formula>$S23=0</formula>
    </cfRule>
  </conditionalFormatting>
  <conditionalFormatting sqref="K23:K52 P23:P52">
    <cfRule type="expression" dxfId="27" priority="2">
      <formula>$P23=0</formula>
    </cfRule>
  </conditionalFormatting>
  <conditionalFormatting sqref="L23:L52 Q23:Q52">
    <cfRule type="expression" dxfId="26"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B00-000000000000}">
      <formula1>0</formula1>
      <formula2>25</formula2>
    </dataValidation>
  </dataValidations>
  <pageMargins left="0.4" right="0.4"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3">
    <pageSetUpPr fitToPage="1"/>
  </sheetPr>
  <dimension ref="A1:AA61"/>
  <sheetViews>
    <sheetView showGridLines="0" tabSelected="1" zoomScale="85" zoomScaleNormal="85" workbookViewId="0">
      <selection activeCell="N24" sqref="N24"/>
    </sheetView>
  </sheetViews>
  <sheetFormatPr baseColWidth="10" defaultColWidth="11.5" defaultRowHeight="14" x14ac:dyDescent="0.15"/>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6"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row>
    <row r="2" spans="1:16" ht="6" customHeight="1" x14ac:dyDescent="0.15">
      <c r="D2" s="7"/>
      <c r="E2" s="7"/>
      <c r="F2" s="7"/>
      <c r="G2" s="7"/>
      <c r="H2" s="11"/>
      <c r="I2" s="7"/>
      <c r="J2" s="7"/>
      <c r="K2" s="7"/>
      <c r="L2" s="7"/>
      <c r="M2" s="5"/>
      <c r="N2" s="5"/>
    </row>
    <row r="3" spans="1:16" x14ac:dyDescent="0.15">
      <c r="A3" s="636" t="str">
        <f>Para1!F165</f>
        <v xml:space="preserve">pers.-no.: </v>
      </c>
      <c r="B3" s="636"/>
      <c r="C3" s="237"/>
      <c r="D3" s="241">
        <f>'Jahresübersicht (Overview)'!C4</f>
        <v>0</v>
      </c>
      <c r="E3" s="7"/>
      <c r="F3" s="8" t="str">
        <f>Para1!F97&amp;": "</f>
        <v xml:space="preserve">level of employment: </v>
      </c>
      <c r="G3" s="29">
        <f>'Jahresübersicht (Overview)'!L8</f>
        <v>100</v>
      </c>
      <c r="H3" s="11" t="s">
        <v>215</v>
      </c>
      <c r="I3" s="58"/>
      <c r="J3" s="237"/>
      <c r="K3" s="246" t="str">
        <f>Para1!F113</f>
        <v xml:space="preserve">starting date: </v>
      </c>
      <c r="L3" s="247">
        <f>'Jahresübersicht (Overview)'!$G$4</f>
        <v>42596</v>
      </c>
      <c r="M3" s="243"/>
      <c r="N3" s="243"/>
    </row>
    <row r="4" spans="1:16" ht="6" customHeight="1" x14ac:dyDescent="0.15">
      <c r="A4" s="12"/>
      <c r="B4" s="13"/>
      <c r="C4" s="13"/>
      <c r="D4" s="14"/>
      <c r="E4" s="14"/>
      <c r="F4" s="14"/>
      <c r="G4" s="14"/>
      <c r="H4" s="14"/>
      <c r="I4" s="15"/>
      <c r="J4" s="15"/>
      <c r="K4" s="15"/>
      <c r="L4" s="15"/>
      <c r="M4" s="13"/>
      <c r="N4" s="13"/>
    </row>
    <row r="5" spans="1:16" ht="6" customHeight="1" x14ac:dyDescent="0.15">
      <c r="D5" s="7"/>
      <c r="E5" s="7"/>
      <c r="F5" s="7"/>
      <c r="G5" s="7"/>
      <c r="H5" s="7"/>
      <c r="I5" s="9"/>
      <c r="J5" s="9"/>
      <c r="K5" s="9"/>
      <c r="L5" s="9"/>
    </row>
    <row r="6" spans="1:16" ht="15" customHeight="1" x14ac:dyDescent="0.15">
      <c r="D6" s="7"/>
      <c r="E6" s="21"/>
      <c r="F6" s="7"/>
      <c r="G6" s="7"/>
      <c r="H6" s="7"/>
      <c r="I6" s="9"/>
      <c r="J6" s="9"/>
      <c r="K6" s="9"/>
      <c r="L6" s="9"/>
    </row>
    <row r="7" spans="1:16"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x14ac:dyDescent="0.15">
      <c r="D8" s="198" t="str">
        <f>Para1!B171&amp;" "&amp;Para1!B88&amp;" "&amp;Para1!B154</f>
        <v>Saldo Anfang Monat</v>
      </c>
      <c r="E8" s="201">
        <f>September!E11</f>
        <v>3.4708333333333332</v>
      </c>
      <c r="H8" s="11"/>
      <c r="I8" s="21" t="str">
        <f>Para1!F141</f>
        <v>illness</v>
      </c>
      <c r="J8" s="242"/>
      <c r="K8" s="5"/>
      <c r="L8" s="161">
        <f>D54</f>
        <v>0</v>
      </c>
      <c r="M8" s="161">
        <f>September!N8</f>
        <v>0</v>
      </c>
      <c r="N8" s="93">
        <f t="shared" ref="N8:N13" si="0">SUM(L8:M8)</f>
        <v>0</v>
      </c>
    </row>
    <row r="9" spans="1:16" ht="15" customHeight="1" x14ac:dyDescent="0.15">
      <c r="D9" s="198" t="str">
        <f>"./. "&amp;Para1!F118</f>
        <v>./. holiday taken</v>
      </c>
      <c r="E9" s="201">
        <f>COUNTIF($K$23:$L$53,"f")*$P$55-IF(ISNA(F9),0,((S54+T54)/100*G3)/48)-IF(ISNA(G9),0,((S54+T54)/100*G3)/48)</f>
        <v>0.35000000000000003</v>
      </c>
      <c r="F9" s="299" t="e">
        <f>INDEX(U23:U53,MATCH("f",U23:U53,0))</f>
        <v>#N/A</v>
      </c>
      <c r="G9" s="299" t="e">
        <f>INDEX(V23:V53,MATCH("f",V23:V53,0))</f>
        <v>#N/A</v>
      </c>
      <c r="H9" s="11"/>
      <c r="I9" s="21" t="str">
        <f>Para1!F190</f>
        <v>accident</v>
      </c>
      <c r="J9" s="641" t="str">
        <f>Para1!F99</f>
        <v>work related</v>
      </c>
      <c r="K9" s="641"/>
      <c r="L9" s="161">
        <f>E54</f>
        <v>0</v>
      </c>
      <c r="M9" s="161">
        <f>September!N9</f>
        <v>0</v>
      </c>
      <c r="N9" s="93">
        <f t="shared" si="0"/>
        <v>0</v>
      </c>
    </row>
    <row r="10" spans="1:16" ht="15" customHeight="1" x14ac:dyDescent="0.15">
      <c r="D10" s="198" t="str">
        <f>"./ ."&amp;Para1!F119</f>
        <v>./ .reduction of holiday</v>
      </c>
      <c r="E10" s="530">
        <v>0</v>
      </c>
      <c r="H10" s="11"/>
      <c r="I10" s="21"/>
      <c r="J10" s="641" t="str">
        <f>Para1!F161&amp;" "&amp;Para1!F100</f>
        <v>not work. rel.</v>
      </c>
      <c r="K10" s="641"/>
      <c r="L10" s="161">
        <f>F54</f>
        <v>0</v>
      </c>
      <c r="M10" s="161">
        <f>September!N10</f>
        <v>0</v>
      </c>
      <c r="N10" s="93">
        <f t="shared" si="0"/>
        <v>0</v>
      </c>
    </row>
    <row r="11" spans="1:16" ht="15" customHeight="1" thickBot="1" x14ac:dyDescent="0.2">
      <c r="B11" s="251"/>
      <c r="C11" s="251"/>
      <c r="D11" s="246" t="str">
        <f>Para1!F171&amp;" "&amp;Para1!F115&amp;" "&amp;Para1!F154</f>
        <v>balance end of the month</v>
      </c>
      <c r="E11" s="202">
        <f>$E$8-$E$9-$E$10</f>
        <v>3.1208333333333331</v>
      </c>
      <c r="H11" s="11"/>
      <c r="I11" s="49" t="str">
        <f>Para1!F142</f>
        <v>short vacation</v>
      </c>
      <c r="J11" s="5"/>
      <c r="K11" s="5"/>
      <c r="L11" s="161">
        <f>G54</f>
        <v>0</v>
      </c>
      <c r="M11" s="161">
        <f>September!N11</f>
        <v>0</v>
      </c>
      <c r="N11" s="93">
        <f t="shared" si="0"/>
        <v>0</v>
      </c>
    </row>
    <row r="12" spans="1:16" ht="15" customHeight="1" thickTop="1" x14ac:dyDescent="0.15">
      <c r="B12" s="542" t="str">
        <f>IF((E11*24+(4.2*'Persönliche Daten (pers. data)'!O8/100))&lt;0,Para1!J224,IF(E11&gt;0,"",Para1!J223))</f>
        <v/>
      </c>
      <c r="D12" s="11"/>
      <c r="H12" s="11"/>
      <c r="I12" s="24" t="str">
        <f>Para1!F198</f>
        <v>training / education</v>
      </c>
      <c r="J12" s="5"/>
      <c r="K12" s="5"/>
      <c r="L12" s="161">
        <f>H54</f>
        <v>0</v>
      </c>
      <c r="M12" s="161">
        <f>September!N12</f>
        <v>0</v>
      </c>
      <c r="N12" s="93">
        <f t="shared" si="0"/>
        <v>0</v>
      </c>
    </row>
    <row r="13" spans="1:16"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September!N13</f>
        <v>0</v>
      </c>
      <c r="N13" s="93">
        <f t="shared" si="0"/>
        <v>0</v>
      </c>
    </row>
    <row r="14" spans="1:16"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September!N14</f>
        <v>0</v>
      </c>
      <c r="N14" s="93">
        <f>SUM(L14:M14)</f>
        <v>0</v>
      </c>
      <c r="O14" s="299" t="e">
        <f>INDEX(U23:U53,MATCH("b",U23:U53,0))</f>
        <v>#N/A</v>
      </c>
      <c r="P14" s="299" t="e">
        <f>INDEX(V23:V53,MATCH("b",V23:V53,0))</f>
        <v>#N/A</v>
      </c>
    </row>
    <row r="15" spans="1:16"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September!N15</f>
        <v>0</v>
      </c>
      <c r="N15" s="93">
        <f>SUM(L15:M15)</f>
        <v>0</v>
      </c>
      <c r="O15" s="299" t="e">
        <f>INDEX(U23:U53,MATCH("u",U23:U53,0))</f>
        <v>#N/A</v>
      </c>
      <c r="P15" s="299" t="e">
        <f>INDEX(V23:V53,MATCH("u",V23:V53,0))</f>
        <v>#N/A</v>
      </c>
    </row>
    <row r="16" spans="1:16"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September!N16</f>
        <v>0</v>
      </c>
      <c r="N16" s="93">
        <f>SUM(L16:M16)</f>
        <v>0</v>
      </c>
      <c r="O16" s="299" t="e">
        <f>INDEX(U23:U53,MATCH("m",U23:U53,0))</f>
        <v>#N/A</v>
      </c>
      <c r="P16" s="299" t="e">
        <f>INDEX(V23:V53,MATCH("m",V23:V53,0))</f>
        <v>#N/A</v>
      </c>
    </row>
    <row r="17" spans="1:23" ht="15" customHeight="1" x14ac:dyDescent="0.15">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September!N17</f>
        <v>0</v>
      </c>
      <c r="N17" s="93">
        <f>SUM(L17:M17)</f>
        <v>0</v>
      </c>
      <c r="O17" s="299" t="e">
        <f>INDEX(U23:U53,MATCH("z",U23:U53,0))</f>
        <v>#N/A</v>
      </c>
      <c r="P17" s="299" t="e">
        <f>INDEX(V23:V53,MATCH("z",V23:V53,0))</f>
        <v>#N/A</v>
      </c>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x14ac:dyDescent="0.2">
      <c r="A19" s="25" t="str">
        <f>Para1!F104</f>
        <v>(please enter in hours and minutes)</v>
      </c>
      <c r="B19" s="7"/>
      <c r="C19" s="7"/>
      <c r="D19" s="7"/>
      <c r="E19" s="7"/>
      <c r="F19" s="7"/>
      <c r="G19" s="7"/>
      <c r="H19" s="7"/>
      <c r="I19" s="9"/>
      <c r="J19" s="9"/>
      <c r="K19" s="9"/>
      <c r="L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x14ac:dyDescent="0.15">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x14ac:dyDescent="0.2">
      <c r="A22" s="639" t="str">
        <f>Para1!F106</f>
        <v>date</v>
      </c>
      <c r="B22" s="640"/>
      <c r="C22" s="536"/>
      <c r="D22" s="649"/>
      <c r="E22" s="660"/>
      <c r="F22" s="658"/>
      <c r="G22" s="659"/>
      <c r="H22" s="647"/>
      <c r="I22" s="638"/>
      <c r="J22" s="257"/>
      <c r="K22" s="668"/>
      <c r="L22" s="666"/>
      <c r="M22" s="196"/>
      <c r="P22" s="633"/>
      <c r="Q22" s="635"/>
    </row>
    <row r="23" spans="1:23" ht="17" customHeight="1" thickTop="1" x14ac:dyDescent="0.15">
      <c r="A23" s="102" t="s">
        <v>4</v>
      </c>
      <c r="B23" s="142" t="str">
        <f>IF(September!B52=Para1!$F$153,Para1!$F$109,IF(September!B52=Para1!$F$109,Para1!$F$148,IF(September!B52=Para1!$F$148,Para1!$F$111,IF(September!B52=Para1!$F$111,Para1!$F$120,IF(September!B52=Para1!$F$120,Para1!$F$170,IF(September!B52=Para1!$F$170,Para1!$F$173,Para1!$F$153))))))</f>
        <v>Thu</v>
      </c>
      <c r="C23" s="186"/>
      <c r="D23" s="315"/>
      <c r="E23" s="298"/>
      <c r="F23" s="295"/>
      <c r="G23" s="294"/>
      <c r="H23" s="294"/>
      <c r="I23" s="296"/>
      <c r="J23" s="310"/>
      <c r="K23" s="378"/>
      <c r="L23" s="379"/>
      <c r="M23" s="131"/>
      <c r="N23" s="197"/>
      <c r="O23" s="299"/>
      <c r="P23" s="366">
        <f>September!P46</f>
        <v>1</v>
      </c>
      <c r="Q23" s="366">
        <f>September!Q46</f>
        <v>1</v>
      </c>
      <c r="R23" s="299" t="str">
        <f>IF(VLOOKUP(A23,Para1!$B$67:$E$72,2,FALSE)="10.",VLOOKUP(A23,Para1!$B$67:$E$72,3,FALSE),"")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6.5" customHeight="1" x14ac:dyDescent="0.15">
      <c r="A24" s="102" t="s">
        <v>6</v>
      </c>
      <c r="B24" s="153" t="str">
        <f>IF(B23=Para1!$F$153,Para1!$F$109,IF(B23=Para1!$F$109,Para1!$F$148,IF(B23=Para1!$F$148,Para1!$F$111,IF(B23=Para1!$F$111,Para1!$F$120,IF(B23=Para1!$F$120,Para1!$F$170,IF(B23=Para1!$F$170,Para1!$F$173,Para1!$F$153))))))</f>
        <v>Fri</v>
      </c>
      <c r="C24" s="186"/>
      <c r="D24" s="315"/>
      <c r="E24" s="298"/>
      <c r="F24" s="295"/>
      <c r="G24" s="294"/>
      <c r="H24" s="294"/>
      <c r="I24" s="296"/>
      <c r="J24" s="310"/>
      <c r="K24" s="378" t="s">
        <v>420</v>
      </c>
      <c r="L24" s="379" t="s">
        <v>420</v>
      </c>
      <c r="M24" s="131"/>
      <c r="N24" s="197"/>
      <c r="O24" s="299"/>
      <c r="P24" s="366">
        <f>September!P47</f>
        <v>1</v>
      </c>
      <c r="Q24" s="366">
        <f>September!Q47</f>
        <v>1</v>
      </c>
      <c r="R24" s="299" t="e">
        <f>IF(VLOOKUP(A24,Para1!$B$67:$E$72,2,FALSE)="10.",VLOOKUP(A24,Para1!$B$67:$E$72,3,FALSE),"")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x14ac:dyDescent="0.15">
      <c r="A25" s="102" t="s">
        <v>8</v>
      </c>
      <c r="B25" s="153" t="str">
        <f>IF(B24=Para1!$F$153,Para1!$F$109,IF(B24=Para1!$F$109,Para1!$F$148,IF(B24=Para1!$F$148,Para1!$F$111,IF(B24=Para1!$F$111,Para1!$F$120,IF(B24=Para1!$F$120,Para1!$F$170,IF(B24=Para1!$F$170,Para1!$F$173,Para1!$F$153))))))</f>
        <v>Sat</v>
      </c>
      <c r="C25" s="186"/>
      <c r="D25" s="315"/>
      <c r="E25" s="298"/>
      <c r="F25" s="295"/>
      <c r="G25" s="294"/>
      <c r="H25" s="294"/>
      <c r="I25" s="296"/>
      <c r="J25" s="310"/>
      <c r="K25" s="378"/>
      <c r="L25" s="379"/>
      <c r="M25" s="129"/>
      <c r="N25" s="197"/>
      <c r="O25" s="299"/>
      <c r="P25" s="366">
        <f>September!P48</f>
        <v>0</v>
      </c>
      <c r="Q25" s="366">
        <f>September!Q48</f>
        <v>0</v>
      </c>
      <c r="R25" s="299" t="e">
        <f>IF(VLOOKUP(A25,Para1!$B$67:$E$72,2,FALSE)="10.",VLOOKUP(A25,Para1!$B$67:$E$72,3,FALSE),"")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x14ac:dyDescent="0.15">
      <c r="A26" s="102" t="s">
        <v>10</v>
      </c>
      <c r="B26" s="153" t="str">
        <f>IF(B25=Para1!$F$153,Para1!$F$109,IF(B25=Para1!$F$109,Para1!$F$148,IF(B25=Para1!$F$148,Para1!$F$111,IF(B25=Para1!$F$111,Para1!$F$120,IF(B25=Para1!$F$120,Para1!$F$170,IF(B25=Para1!$F$170,Para1!$F$173,Para1!$F$153))))))</f>
        <v>Sun</v>
      </c>
      <c r="C26" s="186"/>
      <c r="D26" s="315"/>
      <c r="E26" s="298"/>
      <c r="F26" s="295"/>
      <c r="G26" s="294"/>
      <c r="H26" s="294"/>
      <c r="I26" s="296"/>
      <c r="J26" s="310"/>
      <c r="K26" s="378"/>
      <c r="L26" s="379"/>
      <c r="M26" s="129"/>
      <c r="N26" s="197"/>
      <c r="O26" s="299"/>
      <c r="P26" s="366">
        <f>September!P49</f>
        <v>0</v>
      </c>
      <c r="Q26" s="366">
        <f>September!Q49</f>
        <v>0</v>
      </c>
      <c r="R26" s="299" t="e">
        <f>IF(VLOOKUP(A26,Para1!$B$67:$E$72,2,FALSE)="10.",VLOOKUP(A26,Para1!$B$67:$E$72,3,FALSE),"")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x14ac:dyDescent="0.15">
      <c r="A27" s="102" t="s">
        <v>12</v>
      </c>
      <c r="B27" s="153" t="str">
        <f>IF(B26=Para1!$F$153,Para1!$F$109,IF(B26=Para1!$F$109,Para1!$F$148,IF(B26=Para1!$F$148,Para1!$F$111,IF(B26=Para1!$F$111,Para1!$F$120,IF(B26=Para1!$F$120,Para1!$F$170,IF(B26=Para1!$F$170,Para1!$F$173,Para1!$F$153))))))</f>
        <v>Mon</v>
      </c>
      <c r="C27" s="186"/>
      <c r="D27" s="315"/>
      <c r="E27" s="298"/>
      <c r="F27" s="295"/>
      <c r="G27" s="294"/>
      <c r="H27" s="294"/>
      <c r="I27" s="296"/>
      <c r="J27" s="310"/>
      <c r="K27" s="378"/>
      <c r="L27" s="379"/>
      <c r="M27" s="129"/>
      <c r="N27" s="197"/>
      <c r="O27" s="299"/>
      <c r="P27" s="366">
        <f>September!P50</f>
        <v>1</v>
      </c>
      <c r="Q27" s="366">
        <f>September!Q50</f>
        <v>1</v>
      </c>
      <c r="R27" s="299" t="e">
        <f>IF(VLOOKUP(A27,Para1!$B$67:$E$72,2,FALSE)="10.",VLOOKUP(A27,Para1!$B$67:$E$72,3,FALSE),"")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x14ac:dyDescent="0.15">
      <c r="A28" s="102" t="s">
        <v>14</v>
      </c>
      <c r="B28" s="153" t="str">
        <f>IF(B27=Para1!$F$153,Para1!$F$109,IF(B27=Para1!$F$109,Para1!$F$148,IF(B27=Para1!$F$148,Para1!$F$111,IF(B27=Para1!$F$111,Para1!$F$120,IF(B27=Para1!$F$120,Para1!$F$170,IF(B27=Para1!$F$170,Para1!$F$173,Para1!$F$153))))))</f>
        <v>Tue</v>
      </c>
      <c r="C28" s="185"/>
      <c r="D28" s="315"/>
      <c r="E28" s="298"/>
      <c r="F28" s="295"/>
      <c r="G28" s="294"/>
      <c r="H28" s="294"/>
      <c r="I28" s="296"/>
      <c r="J28" s="310"/>
      <c r="K28" s="378"/>
      <c r="L28" s="379"/>
      <c r="M28" s="129"/>
      <c r="N28" s="197"/>
      <c r="O28" s="299"/>
      <c r="P28" s="366">
        <f>September!P51</f>
        <v>1</v>
      </c>
      <c r="Q28" s="366">
        <f>September!Q51</f>
        <v>1</v>
      </c>
      <c r="R28" s="299" t="e">
        <f>IF(VLOOKUP(A28,Para1!$B$67:$E$72,2,FALSE)="10.",VLOOKUP(A28,Para1!$B$67:$E$72,3,FALSE),"")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x14ac:dyDescent="0.15">
      <c r="A29" s="102" t="s">
        <v>16</v>
      </c>
      <c r="B29" s="153" t="str">
        <f>IF(B28=Para1!$F$153,Para1!$F$109,IF(B28=Para1!$F$109,Para1!$F$148,IF(B28=Para1!$F$148,Para1!$F$111,IF(B28=Para1!$F$111,Para1!$F$120,IF(B28=Para1!$F$120,Para1!$F$170,IF(B28=Para1!$F$170,Para1!$F$173,Para1!$F$153))))))</f>
        <v>Wed</v>
      </c>
      <c r="C29" s="185"/>
      <c r="D29" s="315"/>
      <c r="E29" s="298"/>
      <c r="F29" s="295"/>
      <c r="G29" s="294"/>
      <c r="H29" s="294"/>
      <c r="I29" s="296"/>
      <c r="J29" s="310"/>
      <c r="K29" s="378"/>
      <c r="L29" s="379"/>
      <c r="M29" s="129"/>
      <c r="N29" s="197"/>
      <c r="O29" s="299"/>
      <c r="P29" s="366">
        <f>September!P52</f>
        <v>1</v>
      </c>
      <c r="Q29" s="366">
        <f>September!Q52</f>
        <v>1</v>
      </c>
      <c r="R29" s="299" t="e">
        <f>IF(VLOOKUP(A29,Para1!$B$67:$E$72,2,FALSE)="10.",VLOOKUP(A29,Para1!$B$67:$E$72,3,FALSE),"")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x14ac:dyDescent="0.15">
      <c r="A30" s="102" t="s">
        <v>18</v>
      </c>
      <c r="B30" s="153" t="str">
        <f>IF(B29=Para1!$F$153,Para1!$F$109,IF(B29=Para1!$F$109,Para1!$F$148,IF(B29=Para1!$F$148,Para1!$F$111,IF(B29=Para1!$F$111,Para1!$F$120,IF(B29=Para1!$F$120,Para1!$F$170,IF(B29=Para1!$F$170,Para1!$F$173,Para1!$F$153))))))</f>
        <v>Thu</v>
      </c>
      <c r="C30" s="186"/>
      <c r="D30" s="315"/>
      <c r="E30" s="298"/>
      <c r="F30" s="295"/>
      <c r="G30" s="294"/>
      <c r="H30" s="294"/>
      <c r="I30" s="296"/>
      <c r="J30" s="310"/>
      <c r="K30" s="378"/>
      <c r="L30" s="379"/>
      <c r="M30" s="129"/>
      <c r="N30" s="197"/>
      <c r="O30" s="299"/>
      <c r="P30" s="367">
        <f>P23</f>
        <v>1</v>
      </c>
      <c r="Q30" s="367">
        <f>Q23</f>
        <v>1</v>
      </c>
      <c r="R30" s="299" t="e">
        <f>IF(VLOOKUP(A30,Para1!$B$67:$E$72,2,FALSE)="10.",VLOOKUP(A30,Para1!$B$67:$E$72,3,FALSE),"")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s="39" customFormat="1" ht="17" customHeight="1" x14ac:dyDescent="0.15">
      <c r="A31" s="102" t="s">
        <v>19</v>
      </c>
      <c r="B31" s="153" t="str">
        <f>IF(B30=Para1!$F$153,Para1!$F$109,IF(B30=Para1!$F$109,Para1!$F$148,IF(B30=Para1!$F$148,Para1!$F$111,IF(B30=Para1!$F$111,Para1!$F$120,IF(B30=Para1!$F$120,Para1!$F$170,IF(B30=Para1!$F$170,Para1!$F$173,Para1!$F$153))))))</f>
        <v>Fri</v>
      </c>
      <c r="C31" s="186"/>
      <c r="D31" s="315"/>
      <c r="E31" s="298"/>
      <c r="F31" s="295"/>
      <c r="G31" s="294"/>
      <c r="H31" s="294"/>
      <c r="I31" s="296"/>
      <c r="J31" s="310"/>
      <c r="K31" s="378"/>
      <c r="L31" s="379"/>
      <c r="M31" s="129"/>
      <c r="N31" s="197"/>
      <c r="O31" s="299"/>
      <c r="P31" s="367">
        <f t="shared" ref="P31:Q36" si="6">P24</f>
        <v>1</v>
      </c>
      <c r="Q31" s="367">
        <f t="shared" si="6"/>
        <v>1</v>
      </c>
      <c r="R31" s="299" t="e">
        <f>IF(VLOOKUP(A31,Para1!$B$67:$E$72,2,FALSE)="10.",VLOOKUP(A31,Para1!$B$67:$E$72,3,FALSE),"")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s="39" customFormat="1" ht="17" customHeight="1" x14ac:dyDescent="0.15">
      <c r="A32" s="102" t="s">
        <v>20</v>
      </c>
      <c r="B32" s="153" t="str">
        <f>IF(B31=Para1!$F$153,Para1!$F$109,IF(B31=Para1!$F$109,Para1!$F$148,IF(B31=Para1!$F$148,Para1!$F$111,IF(B31=Para1!$F$111,Para1!$F$120,IF(B31=Para1!$F$120,Para1!$F$170,IF(B31=Para1!$F$170,Para1!$F$173,Para1!$F$153))))))</f>
        <v>Sat</v>
      </c>
      <c r="C32" s="186"/>
      <c r="D32" s="315"/>
      <c r="E32" s="298"/>
      <c r="F32" s="295"/>
      <c r="G32" s="294"/>
      <c r="H32" s="294"/>
      <c r="I32" s="296"/>
      <c r="J32" s="310"/>
      <c r="K32" s="378"/>
      <c r="L32" s="379"/>
      <c r="M32" s="129"/>
      <c r="N32" s="197"/>
      <c r="O32" s="299"/>
      <c r="P32" s="367">
        <f t="shared" si="6"/>
        <v>0</v>
      </c>
      <c r="Q32" s="367">
        <f t="shared" si="6"/>
        <v>0</v>
      </c>
      <c r="R32" s="299" t="str">
        <f>IF(VLOOKUP(A32,Para1!$B$67:$E$72,2,FALSE)="10.",VLOOKUP(A32,Para1!$B$67:$E$72,3,FALSE),"")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x14ac:dyDescent="0.15">
      <c r="A33" s="102" t="s">
        <v>21</v>
      </c>
      <c r="B33" s="153" t="str">
        <f>IF(B32=Para1!$F$153,Para1!$F$109,IF(B32=Para1!$F$109,Para1!$F$148,IF(B32=Para1!$F$148,Para1!$F$111,IF(B32=Para1!$F$111,Para1!$F$120,IF(B32=Para1!$F$120,Para1!$F$170,IF(B32=Para1!$F$170,Para1!$F$173,Para1!$F$153))))))</f>
        <v>Sun</v>
      </c>
      <c r="C33" s="186"/>
      <c r="D33" s="315"/>
      <c r="E33" s="298"/>
      <c r="F33" s="295"/>
      <c r="G33" s="294"/>
      <c r="H33" s="294"/>
      <c r="I33" s="296"/>
      <c r="J33" s="310"/>
      <c r="K33" s="378"/>
      <c r="L33" s="379"/>
      <c r="M33" s="129"/>
      <c r="N33" s="197"/>
      <c r="O33" s="299"/>
      <c r="P33" s="367">
        <f t="shared" si="6"/>
        <v>0</v>
      </c>
      <c r="Q33" s="367">
        <f t="shared" si="6"/>
        <v>0</v>
      </c>
      <c r="R33" s="299" t="e">
        <f>IF(VLOOKUP(A33,Para1!$B$67:$E$72,2,FALSE)="10.",VLOOKUP(A33,Para1!$B$67:$E$72,3,FALSE),"")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x14ac:dyDescent="0.15">
      <c r="A34" s="102" t="s">
        <v>22</v>
      </c>
      <c r="B34" s="153" t="str">
        <f>IF(B33=Para1!$F$153,Para1!$F$109,IF(B33=Para1!$F$109,Para1!$F$148,IF(B33=Para1!$F$148,Para1!$F$111,IF(B33=Para1!$F$111,Para1!$F$120,IF(B33=Para1!$F$120,Para1!$F$170,IF(B33=Para1!$F$170,Para1!$F$173,Para1!$F$153))))))</f>
        <v>Mon</v>
      </c>
      <c r="C34" s="186"/>
      <c r="D34" s="315"/>
      <c r="E34" s="298"/>
      <c r="F34" s="295"/>
      <c r="G34" s="294"/>
      <c r="H34" s="294"/>
      <c r="I34" s="296"/>
      <c r="J34" s="310"/>
      <c r="K34" s="378"/>
      <c r="L34" s="379"/>
      <c r="M34" s="129"/>
      <c r="N34" s="197"/>
      <c r="O34" s="299"/>
      <c r="P34" s="367">
        <f t="shared" si="6"/>
        <v>1</v>
      </c>
      <c r="Q34" s="367">
        <f t="shared" si="6"/>
        <v>1</v>
      </c>
      <c r="R34" s="299" t="str">
        <f>IF(VLOOKUP(A34,Para1!$B$67:$E$72,2,FALSE)="10.",VLOOKUP(A34,Para1!$B$67:$E$72,3,FALSE),"")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x14ac:dyDescent="0.15">
      <c r="A35" s="102" t="s">
        <v>23</v>
      </c>
      <c r="B35" s="153" t="str">
        <f>IF(B34=Para1!$F$153,Para1!$F$109,IF(B34=Para1!$F$109,Para1!$F$148,IF(B34=Para1!$F$148,Para1!$F$111,IF(B34=Para1!$F$111,Para1!$F$120,IF(B34=Para1!$F$120,Para1!$F$170,IF(B34=Para1!$F$170,Para1!$F$173,Para1!$F$153))))))</f>
        <v>Tue</v>
      </c>
      <c r="C35" s="185"/>
      <c r="D35" s="315"/>
      <c r="E35" s="298"/>
      <c r="F35" s="295"/>
      <c r="G35" s="294"/>
      <c r="H35" s="294"/>
      <c r="I35" s="296"/>
      <c r="J35" s="310"/>
      <c r="K35" s="378"/>
      <c r="L35" s="379"/>
      <c r="M35" s="129"/>
      <c r="N35" s="197"/>
      <c r="O35" s="299"/>
      <c r="P35" s="367">
        <f t="shared" si="6"/>
        <v>1</v>
      </c>
      <c r="Q35" s="367">
        <f t="shared" si="6"/>
        <v>1</v>
      </c>
      <c r="R35" s="299" t="str">
        <f>IF(VLOOKUP(A35,Para1!$B$67:$E$72,2,FALSE)="10.",VLOOKUP(A35,Para1!$B$67:$E$72,3,FALSE),"")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x14ac:dyDescent="0.15">
      <c r="A36" s="102" t="s">
        <v>24</v>
      </c>
      <c r="B36" s="153" t="str">
        <f>IF(B35=Para1!$F$153,Para1!$F$109,IF(B35=Para1!$F$109,Para1!$F$148,IF(B35=Para1!$F$148,Para1!$F$111,IF(B35=Para1!$F$111,Para1!$F$120,IF(B35=Para1!$F$120,Para1!$F$170,IF(B35=Para1!$F$170,Para1!$F$173,Para1!$F$153))))))</f>
        <v>Wed</v>
      </c>
      <c r="C36" s="185"/>
      <c r="D36" s="315"/>
      <c r="E36" s="298"/>
      <c r="F36" s="295"/>
      <c r="G36" s="294"/>
      <c r="H36" s="294"/>
      <c r="I36" s="296"/>
      <c r="J36" s="310"/>
      <c r="K36" s="378"/>
      <c r="L36" s="379"/>
      <c r="M36" s="129"/>
      <c r="N36" s="197"/>
      <c r="O36" s="299"/>
      <c r="P36" s="367">
        <f t="shared" si="6"/>
        <v>1</v>
      </c>
      <c r="Q36" s="367">
        <f t="shared" si="6"/>
        <v>1</v>
      </c>
      <c r="R36" s="299" t="e">
        <f>IF(VLOOKUP(A36,Para1!$B$67:$E$72,2,FALSE)="10.",VLOOKUP(A36,Para1!$B$67:$E$72,3,FALSE),"")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x14ac:dyDescent="0.15">
      <c r="A37" s="102" t="s">
        <v>25</v>
      </c>
      <c r="B37" s="153" t="str">
        <f>IF(B36=Para1!$F$153,Para1!$F$109,IF(B36=Para1!$F$109,Para1!$F$148,IF(B36=Para1!$F$148,Para1!$F$111,IF(B36=Para1!$F$111,Para1!$F$120,IF(B36=Para1!$F$120,Para1!$F$170,IF(B36=Para1!$F$170,Para1!$F$173,Para1!$F$153))))))</f>
        <v>Thu</v>
      </c>
      <c r="C37" s="186"/>
      <c r="D37" s="315"/>
      <c r="E37" s="298"/>
      <c r="F37" s="295"/>
      <c r="G37" s="294"/>
      <c r="H37" s="294"/>
      <c r="I37" s="296"/>
      <c r="J37" s="310"/>
      <c r="K37" s="378"/>
      <c r="L37" s="379"/>
      <c r="M37" s="129"/>
      <c r="N37" s="197"/>
      <c r="O37" s="299"/>
      <c r="P37" s="367">
        <f>P30</f>
        <v>1</v>
      </c>
      <c r="Q37" s="367">
        <f>Q30</f>
        <v>1</v>
      </c>
      <c r="R37" s="299" t="e">
        <f>IF(VLOOKUP(A37,Para1!$B$67:$E$72,2,FALSE)="10.",VLOOKUP(A37,Para1!$B$67:$E$72,3,FALSE),"")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s="39" customFormat="1" ht="17" customHeight="1" x14ac:dyDescent="0.15">
      <c r="A38" s="102" t="s">
        <v>26</v>
      </c>
      <c r="B38" s="153" t="str">
        <f>IF(B37=Para1!$F$153,Para1!$F$109,IF(B37=Para1!$F$109,Para1!$F$148,IF(B37=Para1!$F$148,Para1!$F$111,IF(B37=Para1!$F$111,Para1!$F$120,IF(B37=Para1!$F$120,Para1!$F$170,IF(B37=Para1!$F$170,Para1!$F$173,Para1!$F$153))))))</f>
        <v>Fri</v>
      </c>
      <c r="C38" s="186"/>
      <c r="D38" s="315"/>
      <c r="E38" s="298"/>
      <c r="F38" s="295"/>
      <c r="G38" s="294"/>
      <c r="H38" s="294"/>
      <c r="I38" s="296"/>
      <c r="J38" s="310"/>
      <c r="K38" s="378"/>
      <c r="L38" s="379"/>
      <c r="M38" s="129"/>
      <c r="N38" s="197"/>
      <c r="O38" s="299"/>
      <c r="P38" s="367">
        <f t="shared" ref="P38:Q43" si="7">P31</f>
        <v>1</v>
      </c>
      <c r="Q38" s="367">
        <f t="shared" si="7"/>
        <v>1</v>
      </c>
      <c r="R38" s="299" t="e">
        <f>IF(VLOOKUP(A38,Para1!$B$67:$E$72,2,FALSE)="10.",VLOOKUP(A38,Para1!$B$67:$E$72,3,FALSE),"")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s="39" customFormat="1" ht="17" customHeight="1" x14ac:dyDescent="0.15">
      <c r="A39" s="102" t="s">
        <v>27</v>
      </c>
      <c r="B39" s="153" t="str">
        <f>IF(B38=Para1!$F$153,Para1!$F$109,IF(B38=Para1!$F$109,Para1!$F$148,IF(B38=Para1!$F$148,Para1!$F$111,IF(B38=Para1!$F$111,Para1!$F$120,IF(B38=Para1!$F$120,Para1!$F$170,IF(B38=Para1!$F$170,Para1!$F$173,Para1!$F$153))))))</f>
        <v>Sat</v>
      </c>
      <c r="C39" s="186"/>
      <c r="D39" s="315"/>
      <c r="E39" s="298"/>
      <c r="F39" s="295"/>
      <c r="G39" s="294"/>
      <c r="H39" s="294"/>
      <c r="I39" s="296"/>
      <c r="J39" s="310"/>
      <c r="K39" s="378"/>
      <c r="L39" s="379"/>
      <c r="M39" s="129"/>
      <c r="N39" s="197"/>
      <c r="O39" s="299"/>
      <c r="P39" s="367">
        <f t="shared" si="7"/>
        <v>0</v>
      </c>
      <c r="Q39" s="367">
        <f t="shared" si="7"/>
        <v>0</v>
      </c>
      <c r="R39" s="299" t="e">
        <f>IF(VLOOKUP(A39,Para1!$B$67:$E$72,2,FALSE)="10.",VLOOKUP(A39,Para1!$B$67:$E$72,3,FALSE),"")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x14ac:dyDescent="0.15">
      <c r="A40" s="102" t="s">
        <v>28</v>
      </c>
      <c r="B40" s="153" t="str">
        <f>IF(B39=Para1!$F$153,Para1!$F$109,IF(B39=Para1!$F$109,Para1!$F$148,IF(B39=Para1!$F$148,Para1!$F$111,IF(B39=Para1!$F$111,Para1!$F$120,IF(B39=Para1!$F$120,Para1!$F$170,IF(B39=Para1!$F$170,Para1!$F$173,Para1!$F$153))))))</f>
        <v>Sun</v>
      </c>
      <c r="C40" s="186"/>
      <c r="D40" s="315"/>
      <c r="E40" s="298"/>
      <c r="F40" s="295"/>
      <c r="G40" s="294"/>
      <c r="H40" s="294"/>
      <c r="I40" s="296"/>
      <c r="J40" s="310"/>
      <c r="K40" s="378"/>
      <c r="L40" s="379"/>
      <c r="M40" s="129"/>
      <c r="N40" s="197"/>
      <c r="O40" s="299"/>
      <c r="P40" s="367">
        <f t="shared" si="7"/>
        <v>0</v>
      </c>
      <c r="Q40" s="367">
        <f t="shared" si="7"/>
        <v>0</v>
      </c>
      <c r="R40" s="299" t="e">
        <f>IF(VLOOKUP(A40,Para1!$B$67:$E$72,2,FALSE)="10.",VLOOKUP(A40,Para1!$B$67:$E$72,3,FALSE),"")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x14ac:dyDescent="0.15">
      <c r="A41" s="102" t="s">
        <v>29</v>
      </c>
      <c r="B41" s="153" t="str">
        <f>IF(B40=Para1!$F$153,Para1!$F$109,IF(B40=Para1!$F$109,Para1!$F$148,IF(B40=Para1!$F$148,Para1!$F$111,IF(B40=Para1!$F$111,Para1!$F$120,IF(B40=Para1!$F$120,Para1!$F$170,IF(B40=Para1!$F$170,Para1!$F$173,Para1!$F$153))))))</f>
        <v>Mon</v>
      </c>
      <c r="C41" s="186"/>
      <c r="D41" s="315"/>
      <c r="E41" s="298"/>
      <c r="F41" s="295"/>
      <c r="G41" s="294"/>
      <c r="H41" s="294"/>
      <c r="I41" s="296"/>
      <c r="J41" s="310"/>
      <c r="K41" s="378"/>
      <c r="L41" s="379"/>
      <c r="M41" s="129"/>
      <c r="N41" s="197"/>
      <c r="O41" s="299"/>
      <c r="P41" s="367">
        <f t="shared" si="7"/>
        <v>1</v>
      </c>
      <c r="Q41" s="367">
        <f t="shared" si="7"/>
        <v>1</v>
      </c>
      <c r="R41" s="299" t="e">
        <f>IF(VLOOKUP(A41,Para1!$B$67:$E$72,2,FALSE)="10.",VLOOKUP(A41,Para1!$B$67:$E$72,3,FALSE),"")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ht="17" customHeight="1" x14ac:dyDescent="0.15">
      <c r="A42" s="102" t="s">
        <v>30</v>
      </c>
      <c r="B42" s="153" t="str">
        <f>IF(B41=Para1!$F$153,Para1!$F$109,IF(B41=Para1!$F$109,Para1!$F$148,IF(B41=Para1!$F$148,Para1!$F$111,IF(B41=Para1!$F$111,Para1!$F$120,IF(B41=Para1!$F$120,Para1!$F$170,IF(B41=Para1!$F$170,Para1!$F$173,Para1!$F$153))))))</f>
        <v>Tue</v>
      </c>
      <c r="C42" s="185"/>
      <c r="D42" s="315"/>
      <c r="E42" s="298"/>
      <c r="F42" s="295"/>
      <c r="G42" s="294"/>
      <c r="H42" s="294"/>
      <c r="I42" s="296"/>
      <c r="J42" s="310"/>
      <c r="K42" s="378"/>
      <c r="L42" s="379"/>
      <c r="M42" s="129"/>
      <c r="N42" s="197"/>
      <c r="O42" s="299"/>
      <c r="P42" s="367">
        <f t="shared" si="7"/>
        <v>1</v>
      </c>
      <c r="Q42" s="367">
        <f t="shared" si="7"/>
        <v>1</v>
      </c>
      <c r="R42" s="299" t="e">
        <f>IF(VLOOKUP(A42,Para1!$B$67:$E$72,2,FALSE)="10.",VLOOKUP(A42,Para1!$B$67:$E$72,3,FALSE),"")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x14ac:dyDescent="0.15">
      <c r="A43" s="102" t="s">
        <v>31</v>
      </c>
      <c r="B43" s="153" t="str">
        <f>IF(B42=Para1!$F$153,Para1!$F$109,IF(B42=Para1!$F$109,Para1!$F$148,IF(B42=Para1!$F$148,Para1!$F$111,IF(B42=Para1!$F$111,Para1!$F$120,IF(B42=Para1!$F$120,Para1!$F$170,IF(B42=Para1!$F$170,Para1!$F$173,Para1!$F$153))))))</f>
        <v>Wed</v>
      </c>
      <c r="C43" s="185"/>
      <c r="D43" s="315"/>
      <c r="E43" s="298"/>
      <c r="F43" s="295"/>
      <c r="G43" s="294"/>
      <c r="H43" s="294"/>
      <c r="I43" s="296"/>
      <c r="J43" s="310"/>
      <c r="K43" s="378"/>
      <c r="L43" s="379"/>
      <c r="M43" s="129"/>
      <c r="N43" s="197"/>
      <c r="O43" s="299"/>
      <c r="P43" s="367">
        <f t="shared" si="7"/>
        <v>1</v>
      </c>
      <c r="Q43" s="367">
        <f t="shared" si="7"/>
        <v>1</v>
      </c>
      <c r="R43" s="299" t="str">
        <f>IF(VLOOKUP(A43,Para1!$B$67:$E$72,2,FALSE)="10.",VLOOKUP(A43,Para1!$B$67:$E$72,3,FALSE),"")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x14ac:dyDescent="0.15">
      <c r="A44" s="102" t="s">
        <v>32</v>
      </c>
      <c r="B44" s="153" t="str">
        <f>IF(B43=Para1!$F$153,Para1!$F$109,IF(B43=Para1!$F$109,Para1!$F$148,IF(B43=Para1!$F$148,Para1!$F$111,IF(B43=Para1!$F$111,Para1!$F$120,IF(B43=Para1!$F$120,Para1!$F$170,IF(B43=Para1!$F$170,Para1!$F$173,Para1!$F$153))))))</f>
        <v>Thu</v>
      </c>
      <c r="C44" s="186"/>
      <c r="D44" s="315"/>
      <c r="E44" s="298"/>
      <c r="F44" s="295"/>
      <c r="G44" s="294"/>
      <c r="H44" s="294"/>
      <c r="I44" s="296"/>
      <c r="J44" s="310"/>
      <c r="K44" s="378"/>
      <c r="L44" s="379"/>
      <c r="M44" s="129"/>
      <c r="N44" s="197"/>
      <c r="O44" s="299"/>
      <c r="P44" s="367">
        <f>P37</f>
        <v>1</v>
      </c>
      <c r="Q44" s="367">
        <f>Q37</f>
        <v>1</v>
      </c>
      <c r="R44" s="299" t="e">
        <f>IF(VLOOKUP(A44,Para1!$B$67:$E$72,2,FALSE)="10.",VLOOKUP(A44,Para1!$B$67:$E$72,3,FALSE),"")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s="39" customFormat="1" ht="17" customHeight="1" x14ac:dyDescent="0.15">
      <c r="A45" s="102" t="s">
        <v>33</v>
      </c>
      <c r="B45" s="153" t="str">
        <f>IF(B44=Para1!$F$153,Para1!$F$109,IF(B44=Para1!$F$109,Para1!$F$148,IF(B44=Para1!$F$148,Para1!$F$111,IF(B44=Para1!$F$111,Para1!$F$120,IF(B44=Para1!$F$120,Para1!$F$170,IF(B44=Para1!$F$170,Para1!$F$173,Para1!$F$153))))))</f>
        <v>Fri</v>
      </c>
      <c r="C45" s="186"/>
      <c r="D45" s="315"/>
      <c r="E45" s="298"/>
      <c r="F45" s="295"/>
      <c r="G45" s="294"/>
      <c r="H45" s="294"/>
      <c r="I45" s="296"/>
      <c r="J45" s="310"/>
      <c r="K45" s="378"/>
      <c r="L45" s="379"/>
      <c r="M45" s="129"/>
      <c r="N45" s="197"/>
      <c r="O45" s="299"/>
      <c r="P45" s="367">
        <f t="shared" ref="P45:Q50" si="8">P38</f>
        <v>1</v>
      </c>
      <c r="Q45" s="367">
        <f t="shared" si="8"/>
        <v>1</v>
      </c>
      <c r="R45" s="299" t="e">
        <f>IF(VLOOKUP(A45,Para1!$B$67:$E$72,2,FALSE)="10.",VLOOKUP(A45,Para1!$B$67:$E$72,3,FALSE),"")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s="39" customFormat="1" ht="17" customHeight="1" x14ac:dyDescent="0.15">
      <c r="A46" s="102" t="s">
        <v>34</v>
      </c>
      <c r="B46" s="153" t="str">
        <f>IF(B45=Para1!$F$153,Para1!$F$109,IF(B45=Para1!$F$109,Para1!$F$148,IF(B45=Para1!$F$148,Para1!$F$111,IF(B45=Para1!$F$111,Para1!$F$120,IF(B45=Para1!$F$120,Para1!$F$170,IF(B45=Para1!$F$170,Para1!$F$173,Para1!$F$153))))))</f>
        <v>Sat</v>
      </c>
      <c r="C46" s="186"/>
      <c r="D46" s="315"/>
      <c r="E46" s="298"/>
      <c r="F46" s="295"/>
      <c r="G46" s="294"/>
      <c r="H46" s="294"/>
      <c r="I46" s="296"/>
      <c r="J46" s="310"/>
      <c r="K46" s="378"/>
      <c r="L46" s="379"/>
      <c r="M46" s="129"/>
      <c r="N46" s="197"/>
      <c r="O46" s="299"/>
      <c r="P46" s="367">
        <f t="shared" si="8"/>
        <v>0</v>
      </c>
      <c r="Q46" s="367">
        <f t="shared" si="8"/>
        <v>0</v>
      </c>
      <c r="R46" s="299" t="e">
        <f>IF(VLOOKUP(A46,Para1!$B$67:$E$72,2,FALSE)="10.",VLOOKUP(A46,Para1!$B$67:$E$72,3,FALSE),"")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x14ac:dyDescent="0.15">
      <c r="A47" s="102" t="s">
        <v>35</v>
      </c>
      <c r="B47" s="153" t="str">
        <f>IF(B46=Para1!$F$153,Para1!$F$109,IF(B46=Para1!$F$109,Para1!$F$148,IF(B46=Para1!$F$148,Para1!$F$111,IF(B46=Para1!$F$111,Para1!$F$120,IF(B46=Para1!$F$120,Para1!$F$170,IF(B46=Para1!$F$170,Para1!$F$173,Para1!$F$153))))))</f>
        <v>Sun</v>
      </c>
      <c r="C47" s="186"/>
      <c r="D47" s="315"/>
      <c r="E47" s="298"/>
      <c r="F47" s="295"/>
      <c r="G47" s="294"/>
      <c r="H47" s="294"/>
      <c r="I47" s="296"/>
      <c r="J47" s="310"/>
      <c r="K47" s="378"/>
      <c r="L47" s="379"/>
      <c r="M47" s="129"/>
      <c r="N47" s="197"/>
      <c r="O47" s="299"/>
      <c r="P47" s="367">
        <f t="shared" si="8"/>
        <v>0</v>
      </c>
      <c r="Q47" s="367">
        <f t="shared" si="8"/>
        <v>0</v>
      </c>
      <c r="R47" s="299" t="e">
        <f>IF(VLOOKUP(A47,Para1!$B$67:$E$72,2,FALSE)="10.",VLOOKUP(A47,Para1!$B$67:$E$72,3,FALSE),"")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x14ac:dyDescent="0.15">
      <c r="A48" s="102" t="s">
        <v>36</v>
      </c>
      <c r="B48" s="153" t="str">
        <f>IF(B47=Para1!$F$153,Para1!$F$109,IF(B47=Para1!$F$109,Para1!$F$148,IF(B47=Para1!$F$148,Para1!$F$111,IF(B47=Para1!$F$111,Para1!$F$120,IF(B47=Para1!$F$120,Para1!$F$170,IF(B47=Para1!$F$170,Para1!$F$173,Para1!$F$153))))))</f>
        <v>Mon</v>
      </c>
      <c r="C48" s="186"/>
      <c r="D48" s="315"/>
      <c r="E48" s="298"/>
      <c r="F48" s="295"/>
      <c r="G48" s="294"/>
      <c r="H48" s="294"/>
      <c r="I48" s="296"/>
      <c r="J48" s="310"/>
      <c r="K48" s="378"/>
      <c r="L48" s="379"/>
      <c r="M48" s="129"/>
      <c r="N48" s="197"/>
      <c r="O48" s="299"/>
      <c r="P48" s="367">
        <f t="shared" si="8"/>
        <v>1</v>
      </c>
      <c r="Q48" s="367">
        <f t="shared" si="8"/>
        <v>1</v>
      </c>
      <c r="R48" s="299" t="e">
        <f>IF(VLOOKUP(A48,Para1!$B$67:$E$72,2,FALSE)="10.",VLOOKUP(A48,Para1!$B$67:$E$72,3,FALSE),"")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7" ht="17" customHeight="1" x14ac:dyDescent="0.15">
      <c r="A49" s="102" t="s">
        <v>37</v>
      </c>
      <c r="B49" s="153" t="str">
        <f>IF(B48=Para1!$F$153,Para1!$F$109,IF(B48=Para1!$F$109,Para1!$F$148,IF(B48=Para1!$F$148,Para1!$F$111,IF(B48=Para1!$F$111,Para1!$F$120,IF(B48=Para1!$F$120,Para1!$F$170,IF(B48=Para1!$F$170,Para1!$F$173,Para1!$F$153))))))</f>
        <v>Tue</v>
      </c>
      <c r="C49" s="185"/>
      <c r="D49" s="315"/>
      <c r="E49" s="298"/>
      <c r="F49" s="295"/>
      <c r="G49" s="294"/>
      <c r="H49" s="294"/>
      <c r="I49" s="296"/>
      <c r="J49" s="310"/>
      <c r="K49" s="378"/>
      <c r="L49" s="379"/>
      <c r="M49" s="129"/>
      <c r="N49" s="197"/>
      <c r="O49" s="299"/>
      <c r="P49" s="367">
        <f t="shared" si="8"/>
        <v>1</v>
      </c>
      <c r="Q49" s="367">
        <f t="shared" si="8"/>
        <v>1</v>
      </c>
      <c r="R49" s="299" t="e">
        <f>IF(VLOOKUP(A49,Para1!$B$67:$E$72,2,FALSE)="10.",VLOOKUP(A49,Para1!$B$67:$E$72,3,FALSE),"")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7" ht="16.5" customHeight="1" x14ac:dyDescent="0.15">
      <c r="A50" s="102" t="s">
        <v>38</v>
      </c>
      <c r="B50" s="153" t="str">
        <f>IF(B49=Para1!$F$153,Para1!$F$109,IF(B49=Para1!$F$109,Para1!$F$148,IF(B49=Para1!$F$148,Para1!$F$111,IF(B49=Para1!$F$111,Para1!$F$120,IF(B49=Para1!$F$120,Para1!$F$170,IF(B49=Para1!$F$170,Para1!$F$173,Para1!$F$153))))))</f>
        <v>Wed</v>
      </c>
      <c r="C50" s="185"/>
      <c r="D50" s="315"/>
      <c r="E50" s="298"/>
      <c r="F50" s="295"/>
      <c r="G50" s="294"/>
      <c r="H50" s="294"/>
      <c r="I50" s="296"/>
      <c r="J50" s="310"/>
      <c r="K50" s="378"/>
      <c r="L50" s="379"/>
      <c r="M50" s="129"/>
      <c r="N50" s="197"/>
      <c r="O50" s="299"/>
      <c r="P50" s="368">
        <f>P43</f>
        <v>1</v>
      </c>
      <c r="Q50" s="368">
        <f t="shared" si="8"/>
        <v>1</v>
      </c>
      <c r="R50" s="299" t="e">
        <f>IF(VLOOKUP(A50,Para1!$B$67:$E$72,2,FALSE)="10.",VLOOKUP(A50,Para1!$B$67:$E$72,3,FALSE),"")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7" ht="16.5" customHeight="1" x14ac:dyDescent="0.15">
      <c r="A51" s="102" t="s">
        <v>39</v>
      </c>
      <c r="B51" s="153" t="str">
        <f>IF(B50=Para1!$F$153,Para1!$F$109,IF(B50=Para1!$F$109,Para1!$F$148,IF(B50=Para1!$F$148,Para1!$F$111,IF(B50=Para1!$F$111,Para1!$F$120,IF(B50=Para1!$F$120,Para1!$F$170,IF(B50=Para1!$F$170,Para1!$F$173,Para1!$F$153))))))</f>
        <v>Thu</v>
      </c>
      <c r="C51" s="186"/>
      <c r="D51" s="315"/>
      <c r="E51" s="298"/>
      <c r="F51" s="295"/>
      <c r="G51" s="294"/>
      <c r="H51" s="294"/>
      <c r="I51" s="296"/>
      <c r="J51" s="310"/>
      <c r="K51" s="378"/>
      <c r="L51" s="379"/>
      <c r="M51" s="129"/>
      <c r="N51" s="197"/>
      <c r="O51" s="299"/>
      <c r="P51" s="339">
        <f>P44</f>
        <v>1</v>
      </c>
      <c r="Q51" s="367">
        <f>Q44</f>
        <v>1</v>
      </c>
      <c r="R51" s="299" t="e">
        <f>IF(VLOOKUP(A51,Para1!$B$67:$E$72,2,FALSE)="10.",VLOOKUP(A51,Para1!$B$67:$E$72,3,FALSE),"")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7" ht="16.5" customHeight="1" x14ac:dyDescent="0.15">
      <c r="A52" s="102" t="s">
        <v>40</v>
      </c>
      <c r="B52" s="153" t="str">
        <f>IF(B51=Para1!$F$153,Para1!$F$109,IF(B51=Para1!$F$109,Para1!$F$148,IF(B51=Para1!$F$148,Para1!$F$111,IF(B51=Para1!$F$111,Para1!$F$120,IF(B51=Para1!$F$120,Para1!$F$170,IF(B51=Para1!$F$170,Para1!$F$173,Para1!$F$153))))))</f>
        <v>Fri</v>
      </c>
      <c r="C52" s="186"/>
      <c r="D52" s="315"/>
      <c r="E52" s="298"/>
      <c r="F52" s="295"/>
      <c r="G52" s="294"/>
      <c r="H52" s="294"/>
      <c r="I52" s="296"/>
      <c r="J52" s="310"/>
      <c r="K52" s="378"/>
      <c r="L52" s="379"/>
      <c r="M52" s="129"/>
      <c r="N52" s="197"/>
      <c r="O52" s="299"/>
      <c r="P52" s="339">
        <f t="shared" ref="P52:Q53" si="9">P45</f>
        <v>1</v>
      </c>
      <c r="Q52" s="367">
        <f t="shared" si="9"/>
        <v>1</v>
      </c>
      <c r="R52" s="299" t="e">
        <f>IF(VLOOKUP(A52,Para1!$B$67:$E$72,2,FALSE)="10.",VLOOKUP(A52,Para1!$B$67:$E$72,3,FALSE),"")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7" ht="17" customHeight="1" thickBot="1" x14ac:dyDescent="0.2">
      <c r="A53" s="102" t="s">
        <v>46</v>
      </c>
      <c r="B53" s="153" t="str">
        <f>IF(B52=Para1!$F$153,Para1!$F$109,IF(B52=Para1!$F$109,Para1!$F$148,IF(B52=Para1!$F$148,Para1!$F$111,IF(B52=Para1!$F$111,Para1!$F$120,IF(B52=Para1!$F$120,Para1!$F$170,IF(B52=Para1!$F$170,Para1!$F$173,Para1!$F$153))))))</f>
        <v>Sat</v>
      </c>
      <c r="C53" s="186"/>
      <c r="D53" s="315"/>
      <c r="E53" s="298"/>
      <c r="F53" s="295"/>
      <c r="G53" s="294"/>
      <c r="H53" s="294"/>
      <c r="I53" s="296"/>
      <c r="J53" s="310"/>
      <c r="K53" s="391"/>
      <c r="L53" s="390"/>
      <c r="M53" s="129"/>
      <c r="N53" s="197"/>
      <c r="O53" s="299"/>
      <c r="P53" s="341">
        <f t="shared" si="9"/>
        <v>0</v>
      </c>
      <c r="Q53" s="374">
        <f>Q46</f>
        <v>0</v>
      </c>
      <c r="R53" s="299" t="str">
        <f>IF(VLOOKUP(A53,Para1!$B$67:$E$72,2,FALSE)="10.",VLOOKUP(A53,Para1!$B$67:$E$72,3,FALSE),"")</f>
        <v/>
      </c>
      <c r="S53" s="299" t="str">
        <f>IF((P53+Q53)=0,"",IF(ISNA(R53),"",IF(R53="","",VLOOKUP(R53,Para1!$D$67:$G$79,3,FALSE)*(IF(P53+Q53=1,0.5,1)))))</f>
        <v/>
      </c>
      <c r="T53" s="299" t="str">
        <f>IF(P53+Q53=0,"",IF(ISNA(November!R23),"",IF(November!R23="","",VLOOKUP(November!R23,Para1!$D$67:$G$79,4,FALSE)*(IF(P53+Q53=1,0.5,1)))))</f>
        <v/>
      </c>
      <c r="U53" s="299" t="str">
        <f t="shared" si="3"/>
        <v/>
      </c>
      <c r="V53" s="299" t="str">
        <f t="shared" si="4"/>
        <v/>
      </c>
      <c r="W53" s="299">
        <f t="shared" si="5"/>
        <v>0</v>
      </c>
    </row>
    <row r="54" spans="1:27" ht="15" thickTop="1" x14ac:dyDescent="0.15">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0</v>
      </c>
    </row>
    <row r="55" spans="1:27" ht="15" thickBot="1" x14ac:dyDescent="0.2">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(Para1!I60/100*$G$3+((S54+T54)/100*$G$3))/(SUM(P23:Q53)-R54)/24</f>
        <v>0.17500000000000002</v>
      </c>
      <c r="Q55" s="625"/>
    </row>
    <row r="56" spans="1:27" ht="15" thickTop="1" x14ac:dyDescent="0.15">
      <c r="D56" s="11"/>
      <c r="K56" s="16"/>
      <c r="Q56" s="16"/>
      <c r="R56" s="16"/>
      <c r="S56" s="16"/>
      <c r="T56" s="16"/>
      <c r="U56" s="16"/>
      <c r="V56" s="16"/>
      <c r="W56" s="16"/>
      <c r="X56" s="16"/>
      <c r="Y56" s="16"/>
      <c r="Z56" s="16"/>
      <c r="AA56" s="16"/>
    </row>
    <row r="57" spans="1:27"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x14ac:dyDescent="0.15">
      <c r="A58" s="5"/>
      <c r="B58" s="5"/>
      <c r="C58" s="5"/>
      <c r="D58" s="5"/>
      <c r="E58" s="5"/>
      <c r="F58" s="5"/>
      <c r="G58" s="5"/>
      <c r="H58" s="5"/>
      <c r="I58" s="562"/>
      <c r="J58" s="562"/>
      <c r="K58" s="562"/>
      <c r="L58" s="562"/>
    </row>
    <row r="59" spans="1:27" ht="22.5" customHeight="1" x14ac:dyDescent="0.15">
      <c r="A59" s="5"/>
      <c r="B59" s="5"/>
      <c r="C59" s="5"/>
      <c r="D59" s="5"/>
      <c r="E59" s="5"/>
      <c r="F59" s="563" t="str">
        <f>Para1!F191&amp;" "&amp;Para1!F193</f>
        <v>signature manager</v>
      </c>
      <c r="G59" s="5"/>
      <c r="H59" s="564"/>
      <c r="I59" s="565"/>
      <c r="J59" s="565"/>
      <c r="K59" s="565"/>
      <c r="L59" s="565"/>
    </row>
    <row r="60" spans="1:27" x14ac:dyDescent="0.15">
      <c r="D60" s="11"/>
    </row>
    <row r="61" spans="1:27" ht="22.5" customHeight="1" x14ac:dyDescent="0.15">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K20:L20"/>
    <mergeCell ref="M20:N20"/>
    <mergeCell ref="K21:K22"/>
    <mergeCell ref="L21:L22"/>
    <mergeCell ref="J9:K9"/>
    <mergeCell ref="J10:K10"/>
    <mergeCell ref="A21:B21"/>
    <mergeCell ref="D1:E1"/>
    <mergeCell ref="D21:D22"/>
    <mergeCell ref="H21:H22"/>
    <mergeCell ref="A22:B22"/>
    <mergeCell ref="C16:E16"/>
    <mergeCell ref="C17:E17"/>
    <mergeCell ref="C18:E18"/>
    <mergeCell ref="B13:E13"/>
    <mergeCell ref="C14:E14"/>
    <mergeCell ref="C15:E15"/>
    <mergeCell ref="A1:B1"/>
    <mergeCell ref="A3:B3"/>
    <mergeCell ref="I21:I22"/>
    <mergeCell ref="D20:I20"/>
    <mergeCell ref="G21:G22"/>
    <mergeCell ref="F21:F22"/>
    <mergeCell ref="E21:E22"/>
  </mergeCells>
  <phoneticPr fontId="0" type="noConversion"/>
  <conditionalFormatting sqref="A23:B53">
    <cfRule type="expression" dxfId="25" priority="6">
      <formula>$P23+$Q23=0</formula>
    </cfRule>
    <cfRule type="expression" dxfId="24" priority="7">
      <formula>$S23=0</formula>
    </cfRule>
  </conditionalFormatting>
  <conditionalFormatting sqref="D23:I53">
    <cfRule type="expression" dxfId="23" priority="4">
      <formula>$P23+$Q23=1</formula>
    </cfRule>
    <cfRule type="expression" dxfId="22" priority="5">
      <formula>$P23+$Q23=0</formula>
    </cfRule>
  </conditionalFormatting>
  <conditionalFormatting sqref="D23:I53 K23:L53 P23:Q53">
    <cfRule type="expression" dxfId="21" priority="3">
      <formula>$S23=0</formula>
    </cfRule>
  </conditionalFormatting>
  <conditionalFormatting sqref="K23:K53 P23:P53">
    <cfRule type="expression" dxfId="20" priority="2">
      <formula>$P23=0</formula>
    </cfRule>
  </conditionalFormatting>
  <conditionalFormatting sqref="L23:L53 Q23:Q53">
    <cfRule type="expression" dxfId="19"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C00-000000000000}">
      <formula1>0</formula1>
      <formula2>25</formula2>
    </dataValidation>
  </dataValidations>
  <pageMargins left="0.41" right="0.38"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4">
    <pageSetUpPr fitToPage="1"/>
  </sheetPr>
  <dimension ref="A1:AA61"/>
  <sheetViews>
    <sheetView showGridLines="0" topLeftCell="A6"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7"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row>
    <row r="2" spans="1:17" ht="6" customHeight="1" x14ac:dyDescent="0.15">
      <c r="D2" s="7"/>
      <c r="E2" s="7"/>
      <c r="F2" s="7"/>
      <c r="G2" s="7"/>
      <c r="H2" s="11"/>
      <c r="I2" s="7"/>
      <c r="J2" s="7"/>
      <c r="K2" s="7"/>
      <c r="L2" s="7"/>
      <c r="M2" s="5"/>
      <c r="N2" s="5"/>
    </row>
    <row r="3" spans="1:17" x14ac:dyDescent="0.15">
      <c r="A3" s="636" t="str">
        <f>Para1!F165</f>
        <v xml:space="preserve">pers.-no.: </v>
      </c>
      <c r="B3" s="636"/>
      <c r="C3" s="237"/>
      <c r="D3" s="241">
        <f>'Jahresübersicht (Overview)'!C4</f>
        <v>0</v>
      </c>
      <c r="E3" s="7"/>
      <c r="F3" s="8" t="str">
        <f>Para1!F97&amp;": "</f>
        <v xml:space="preserve">level of employment: </v>
      </c>
      <c r="G3" s="29">
        <f>'Jahresübersicht (Overview)'!M8</f>
        <v>100</v>
      </c>
      <c r="H3" s="11" t="s">
        <v>215</v>
      </c>
      <c r="I3" s="58"/>
      <c r="J3" s="237"/>
      <c r="K3" s="246" t="str">
        <f>Para1!F113</f>
        <v xml:space="preserve">starting date: </v>
      </c>
      <c r="L3" s="247">
        <f>'Jahresübersicht (Overview)'!$G$4</f>
        <v>42596</v>
      </c>
      <c r="M3" s="243"/>
      <c r="N3" s="243"/>
    </row>
    <row r="4" spans="1:17" ht="6" customHeight="1" x14ac:dyDescent="0.15">
      <c r="A4" s="12"/>
      <c r="B4" s="13"/>
      <c r="C4" s="13"/>
      <c r="D4" s="14"/>
      <c r="E4" s="14"/>
      <c r="F4" s="14"/>
      <c r="G4" s="14"/>
      <c r="H4" s="14"/>
      <c r="I4" s="15"/>
      <c r="J4" s="15"/>
      <c r="K4" s="15"/>
      <c r="L4" s="15"/>
      <c r="M4" s="13"/>
      <c r="N4" s="13"/>
    </row>
    <row r="5" spans="1:17" ht="6" customHeight="1" x14ac:dyDescent="0.15">
      <c r="D5" s="7"/>
      <c r="E5" s="7"/>
      <c r="F5" s="7"/>
      <c r="G5" s="7"/>
      <c r="H5" s="7"/>
      <c r="I5" s="9"/>
      <c r="J5" s="9"/>
      <c r="K5" s="9"/>
      <c r="L5" s="9"/>
    </row>
    <row r="6" spans="1:17" ht="15" customHeight="1" x14ac:dyDescent="0.15">
      <c r="D6" s="7"/>
      <c r="E6" s="21"/>
      <c r="F6" s="7"/>
      <c r="G6" s="7"/>
      <c r="H6" s="7"/>
      <c r="I6" s="9"/>
      <c r="J6" s="9"/>
      <c r="K6" s="9"/>
      <c r="L6" s="9"/>
    </row>
    <row r="7" spans="1:17"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7" ht="15" customHeight="1" x14ac:dyDescent="0.15">
      <c r="D8" s="198" t="str">
        <f>Para1!B171&amp;" "&amp;Para1!B88&amp;" "&amp;Para1!B154</f>
        <v>Saldo Anfang Monat</v>
      </c>
      <c r="E8" s="201">
        <f>Oktober!E11</f>
        <v>3.1208333333333331</v>
      </c>
      <c r="H8" s="11"/>
      <c r="I8" s="21" t="str">
        <f>Para1!F141</f>
        <v>illness</v>
      </c>
      <c r="J8" s="242"/>
      <c r="K8" s="5"/>
      <c r="L8" s="161">
        <f>D54</f>
        <v>0</v>
      </c>
      <c r="M8" s="161">
        <f>Oktober!N8</f>
        <v>0</v>
      </c>
      <c r="N8" s="93">
        <f t="shared" ref="N8:N13" si="0">SUM(L8:M8)</f>
        <v>0</v>
      </c>
    </row>
    <row r="9" spans="1:17"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Oktober!N9</f>
        <v>0</v>
      </c>
      <c r="N9" s="93">
        <f t="shared" si="0"/>
        <v>0</v>
      </c>
    </row>
    <row r="10" spans="1:17" ht="15" customHeight="1" x14ac:dyDescent="0.15">
      <c r="D10" s="198" t="str">
        <f>"./ ."&amp;Para1!F119</f>
        <v>./ .reduction of holiday</v>
      </c>
      <c r="E10" s="530">
        <v>0</v>
      </c>
      <c r="H10" s="11"/>
      <c r="I10" s="21"/>
      <c r="J10" s="641" t="str">
        <f>Para1!F161&amp;" "&amp;Para1!F100</f>
        <v>not work. rel.</v>
      </c>
      <c r="K10" s="641"/>
      <c r="L10" s="161">
        <f>F54</f>
        <v>0</v>
      </c>
      <c r="M10" s="161">
        <f>Oktober!N10</f>
        <v>0</v>
      </c>
      <c r="N10" s="93">
        <f t="shared" si="0"/>
        <v>0</v>
      </c>
    </row>
    <row r="11" spans="1:17" ht="15" customHeight="1" thickBot="1" x14ac:dyDescent="0.2">
      <c r="B11" s="251"/>
      <c r="C11" s="251"/>
      <c r="D11" s="246" t="str">
        <f>Para1!F171&amp;" "&amp;Para1!F115&amp;" "&amp;Para1!F154</f>
        <v>balance end of the month</v>
      </c>
      <c r="E11" s="202">
        <f>$E$8-$E$9-$E$10</f>
        <v>3.1208333333333331</v>
      </c>
      <c r="H11" s="11"/>
      <c r="I11" s="49" t="str">
        <f>Para1!F142</f>
        <v>short vacation</v>
      </c>
      <c r="J11" s="5"/>
      <c r="K11" s="5"/>
      <c r="L11" s="161">
        <f>G54</f>
        <v>0</v>
      </c>
      <c r="M11" s="161">
        <f>Oktober!N11</f>
        <v>0</v>
      </c>
      <c r="N11" s="93">
        <f t="shared" si="0"/>
        <v>0</v>
      </c>
    </row>
    <row r="12" spans="1:17" ht="15" customHeight="1" thickTop="1" x14ac:dyDescent="0.15">
      <c r="B12" s="542" t="str">
        <f>IF((E11*24+(4.2*'Persönliche Daten (pers. data)'!O8/100))&lt;0,Para1!J224,IF(E11&gt;0,"",Para1!J223))</f>
        <v/>
      </c>
      <c r="D12" s="11"/>
      <c r="H12" s="11"/>
      <c r="I12" s="24" t="str">
        <f>Para1!F198</f>
        <v>training / education</v>
      </c>
      <c r="J12" s="5"/>
      <c r="K12" s="5"/>
      <c r="L12" s="161">
        <f>H54</f>
        <v>0</v>
      </c>
      <c r="M12" s="161">
        <f>Oktober!N12</f>
        <v>0</v>
      </c>
      <c r="N12" s="93">
        <f t="shared" si="0"/>
        <v>0</v>
      </c>
    </row>
    <row r="13" spans="1:17"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Oktober!N13</f>
        <v>0</v>
      </c>
      <c r="N13" s="93">
        <f t="shared" si="0"/>
        <v>0</v>
      </c>
    </row>
    <row r="14" spans="1:17"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Oktober!N14</f>
        <v>0</v>
      </c>
      <c r="N14" s="93">
        <f>SUM(L14:M14)</f>
        <v>0</v>
      </c>
      <c r="O14" s="299" t="e">
        <f>INDEX(U23:U53,MATCH("b",U23:U53,0))</f>
        <v>#N/A</v>
      </c>
      <c r="P14" s="299" t="e">
        <f>INDEX(V23:V53,MATCH("b",V23:V53,0))</f>
        <v>#N/A</v>
      </c>
    </row>
    <row r="15" spans="1:17"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Oktober!N15</f>
        <v>0</v>
      </c>
      <c r="N15" s="93">
        <f>SUM(L15:M15)</f>
        <v>0</v>
      </c>
      <c r="O15" s="299" t="e">
        <f>INDEX(U23:U53,MATCH("u",U23:U53,0))</f>
        <v>#N/A</v>
      </c>
      <c r="P15" s="299" t="e">
        <f>INDEX(V23:V53,MATCH("u",V23:V53,0))</f>
        <v>#N/A</v>
      </c>
    </row>
    <row r="16" spans="1:17"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Oktober!N16</f>
        <v>0</v>
      </c>
      <c r="N16" s="93">
        <f>SUM(L16:M16)</f>
        <v>0</v>
      </c>
      <c r="O16" s="299" t="e">
        <f>INDEX(U23:U53,MATCH("m",U23:U53,0))</f>
        <v>#N/A</v>
      </c>
      <c r="P16" s="299" t="e">
        <f>INDEX(V23:V53,MATCH("m",V23:V53,0))</f>
        <v>#N/A</v>
      </c>
      <c r="Q16" s="299"/>
    </row>
    <row r="17" spans="1:23" ht="15" customHeight="1" x14ac:dyDescent="0.15">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Oktober!N17</f>
        <v>0</v>
      </c>
      <c r="N17" s="93">
        <f>SUM(L17:M17)</f>
        <v>0</v>
      </c>
      <c r="O17" s="299" t="e">
        <f>INDEX(U23:U53,MATCH("z",U23:U53,0))</f>
        <v>#N/A</v>
      </c>
      <c r="P17" s="299" t="e">
        <f>INDEX(V23:V53,MATCH("z",V23:V53,0))</f>
        <v>#N/A</v>
      </c>
      <c r="Q17" s="299"/>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c r="O18" s="299"/>
      <c r="P18" s="299"/>
      <c r="Q18" s="299"/>
    </row>
    <row r="19" spans="1:23" ht="35.25" customHeight="1" thickTop="1" thickBot="1" x14ac:dyDescent="0.2">
      <c r="A19" s="25" t="str">
        <f>Para1!F104</f>
        <v>(please enter in hours and minutes)</v>
      </c>
      <c r="B19" s="7"/>
      <c r="C19" s="7"/>
      <c r="D19" s="7"/>
      <c r="E19" s="7"/>
      <c r="F19" s="7"/>
      <c r="G19" s="7"/>
      <c r="H19" s="7"/>
      <c r="I19" s="9"/>
      <c r="J19" s="9"/>
      <c r="K19" s="9"/>
      <c r="L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50" customFormat="1" ht="18.75" customHeight="1" thickTop="1" x14ac:dyDescent="0.15">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row>
    <row r="22" spans="1:23" s="250" customFormat="1" ht="15.75" customHeight="1" thickBot="1" x14ac:dyDescent="0.2">
      <c r="A22" s="639" t="str">
        <f>Para1!F106</f>
        <v>date</v>
      </c>
      <c r="B22" s="640"/>
      <c r="C22" s="536"/>
      <c r="D22" s="649"/>
      <c r="E22" s="660"/>
      <c r="F22" s="658"/>
      <c r="G22" s="659"/>
      <c r="H22" s="647"/>
      <c r="I22" s="638"/>
      <c r="J22" s="257"/>
      <c r="K22" s="668"/>
      <c r="L22" s="666"/>
      <c r="M22" s="196"/>
      <c r="P22" s="633"/>
      <c r="Q22" s="635"/>
    </row>
    <row r="23" spans="1:23" ht="17" customHeight="1" thickTop="1" x14ac:dyDescent="0.15">
      <c r="A23" s="102" t="s">
        <v>4</v>
      </c>
      <c r="B23" s="153" t="str">
        <f>IF(Oktober!B53=Para1!$F$153,Para1!$F$109,IF(Oktober!B53=Para1!$F$109,Para1!$F$148,IF(Oktober!B53=Para1!$F$148,Para1!$F$111,IF(Oktober!B53=Para1!$F$111,Para1!$F$120,IF(Oktober!B53=Para1!$F$120,Para1!$F$170,IF(Oktober!B53=Para1!$F$170,Para1!$F$173,Para1!$F$153))))))</f>
        <v>Sun</v>
      </c>
      <c r="C23" s="261"/>
      <c r="D23" s="315"/>
      <c r="E23" s="294"/>
      <c r="F23" s="295"/>
      <c r="G23" s="294"/>
      <c r="H23" s="294"/>
      <c r="I23" s="296"/>
      <c r="J23" s="310"/>
      <c r="K23" s="378"/>
      <c r="L23" s="379"/>
      <c r="M23" s="131"/>
      <c r="N23" s="197"/>
      <c r="O23" s="299"/>
      <c r="P23" s="366">
        <f>Oktober!P47</f>
        <v>0</v>
      </c>
      <c r="Q23" s="366">
        <f>Oktober!Q47</f>
        <v>0</v>
      </c>
      <c r="R23" s="299" t="str">
        <f>IF(VLOOKUP(A23,Para1!$B$67:$E$72,2,FALSE)="11.",VLOOKUP(A23,Para1!$B$67:$E$72,3,FALSE),"")</f>
        <v/>
      </c>
      <c r="S23" s="299" t="str">
        <f>IF((P23+Q23)=0,"",IF(ISNA(R23),"",IF(R23="","",VLOOKUP(R23,Para1!$D$67:$G$79,3,FALSE)*(IF(P23+Q23=1,0.5,1)))))</f>
        <v/>
      </c>
      <c r="T23" s="299" t="str">
        <f>IF(P23+Q23=0,"",IF(ISNA(R24),"",IF(R24="","",VLOOKUP(R24,Para1!$D$67:$G$79,4,FALSE)*(IF(P23+Q23=1,0.5,1)))))</f>
        <v/>
      </c>
      <c r="U23" s="299" t="str">
        <f t="shared" ref="U23:U24" si="1">IF(SUM(S23:T23)&gt;0,K23,"")</f>
        <v/>
      </c>
      <c r="V23" s="299" t="str">
        <f t="shared" ref="V23:V24" si="2">IF(SUM(S23:T23)&gt;0,L23,"")</f>
        <v/>
      </c>
      <c r="W23" s="299">
        <f>IF(S23=0,P23+Q23,0)</f>
        <v>0</v>
      </c>
    </row>
    <row r="24" spans="1:23" ht="17" customHeight="1" x14ac:dyDescent="0.15">
      <c r="A24" s="102" t="s">
        <v>6</v>
      </c>
      <c r="B24" s="153" t="str">
        <f>IF(B23=Para1!$F$153,Para1!$F$109,IF(B23=Para1!$F$109,Para1!$F$148,IF(B23=Para1!$F$148,Para1!$F$111,IF(B23=Para1!$F$111,Para1!$F$120,IF(B23=Para1!$F$120,Para1!$F$170,IF(B23=Para1!$F$170,Para1!$F$173,Para1!$F$153))))))</f>
        <v>Mon</v>
      </c>
      <c r="C24" s="261"/>
      <c r="D24" s="315"/>
      <c r="E24" s="294"/>
      <c r="F24" s="295"/>
      <c r="G24" s="294"/>
      <c r="H24" s="294"/>
      <c r="I24" s="296"/>
      <c r="J24" s="310"/>
      <c r="K24" s="378"/>
      <c r="L24" s="379"/>
      <c r="M24" s="131"/>
      <c r="N24" s="197"/>
      <c r="O24" s="299"/>
      <c r="P24" s="366">
        <f>Oktober!P48</f>
        <v>1</v>
      </c>
      <c r="Q24" s="366">
        <f>Oktober!Q48</f>
        <v>1</v>
      </c>
      <c r="R24" s="299" t="e">
        <f>IF(VLOOKUP(A24,Para1!$B$67:$E$72,2,FALSE)="11.",VLOOKUP(A24,Para1!$B$67:$E$72,3,FALSE),"")</f>
        <v>#N/A</v>
      </c>
      <c r="S24" s="299" t="str">
        <f>IF((P24+Q24)=0,"",IF(ISNA(R24),"",IF(R24="","",VLOOKUP(R24,Para1!$D$67:$G$79,3,FALSE)*(IF(P24+Q24=1,0.5,1)))))</f>
        <v/>
      </c>
      <c r="T24" s="299" t="str">
        <f>IF(P24+Q24=0,"",IF(ISNA(R25),"",IF(R25="","",VLOOKUP(R25,Para1!$D$67:$G$79,4,FALSE)*(IF(P24+Q24=1,0.5,1)))))</f>
        <v/>
      </c>
      <c r="U24" s="299" t="str">
        <f t="shared" si="1"/>
        <v/>
      </c>
      <c r="V24" s="299" t="str">
        <f t="shared" si="2"/>
        <v/>
      </c>
      <c r="W24" s="299">
        <f t="shared" ref="W24:W52" si="3">IF(S24=0,P24+Q24,0)</f>
        <v>0</v>
      </c>
    </row>
    <row r="25" spans="1:23" ht="17" customHeight="1" x14ac:dyDescent="0.15">
      <c r="A25" s="102" t="s">
        <v>8</v>
      </c>
      <c r="B25" s="153" t="str">
        <f>IF(B24=Para1!$F$153,Para1!$F$109,IF(B24=Para1!$F$109,Para1!$F$148,IF(B24=Para1!$F$148,Para1!$F$111,IF(B24=Para1!$F$111,Para1!$F$120,IF(B24=Para1!$F$120,Para1!$F$170,IF(B24=Para1!$F$170,Para1!$F$173,Para1!$F$153))))))</f>
        <v>Tue</v>
      </c>
      <c r="C25" s="301"/>
      <c r="D25" s="315"/>
      <c r="E25" s="294"/>
      <c r="F25" s="295"/>
      <c r="G25" s="294"/>
      <c r="H25" s="294"/>
      <c r="I25" s="296"/>
      <c r="J25" s="310"/>
      <c r="K25" s="378"/>
      <c r="L25" s="379"/>
      <c r="M25" s="129"/>
      <c r="N25" s="197"/>
      <c r="O25" s="299"/>
      <c r="P25" s="366">
        <f>Oktober!P49</f>
        <v>1</v>
      </c>
      <c r="Q25" s="366">
        <f>Oktober!Q49</f>
        <v>1</v>
      </c>
      <c r="R25" s="299" t="e">
        <f>IF(VLOOKUP(A25,Para1!$B$67:$E$72,2,FALSE)="11.",VLOOKUP(A25,Para1!$B$67:$E$72,3,FALSE),"")</f>
        <v>#N/A</v>
      </c>
      <c r="S25" s="299" t="str">
        <f>IF((P25+Q25)=0,"",IF(ISNA(R25),"",IF(R25="","",VLOOKUP(R25,Para1!$D$67:$G$79,3,FALSE)*(IF(P25+Q25=1,0.5,1)))))</f>
        <v/>
      </c>
      <c r="T25" s="299" t="str">
        <f>IF(P25+Q25=0,"",IF(ISNA(R26),"",IF(R26="","",VLOOKUP(R26,Para1!$D$67:$G$79,4,FALSE)*(IF(P25+Q25=1,0.5,1)))))</f>
        <v/>
      </c>
      <c r="U25" s="299" t="str">
        <f>IF(SUM(S25:T25)&gt;0,K25,"")</f>
        <v/>
      </c>
      <c r="V25" s="299" t="str">
        <f>IF(SUM(S25:T25)&gt;0,L25,"")</f>
        <v/>
      </c>
      <c r="W25" s="299">
        <f t="shared" si="3"/>
        <v>0</v>
      </c>
    </row>
    <row r="26" spans="1:23" ht="17" customHeight="1" x14ac:dyDescent="0.15">
      <c r="A26" s="102" t="s">
        <v>10</v>
      </c>
      <c r="B26" s="153" t="str">
        <f>IF(B25=Para1!$F$153,Para1!$F$109,IF(B25=Para1!$F$109,Para1!$F$148,IF(B25=Para1!$F$148,Para1!$F$111,IF(B25=Para1!$F$111,Para1!$F$120,IF(B25=Para1!$F$120,Para1!$F$170,IF(B25=Para1!$F$170,Para1!$F$173,Para1!$F$153))))))</f>
        <v>Wed</v>
      </c>
      <c r="C26" s="185"/>
      <c r="D26" s="315"/>
      <c r="E26" s="294"/>
      <c r="F26" s="295"/>
      <c r="G26" s="294"/>
      <c r="H26" s="294"/>
      <c r="I26" s="296"/>
      <c r="J26" s="310"/>
      <c r="K26" s="378"/>
      <c r="L26" s="379"/>
      <c r="M26" s="129"/>
      <c r="N26" s="197"/>
      <c r="O26" s="299"/>
      <c r="P26" s="366">
        <f>Oktober!P50</f>
        <v>1</v>
      </c>
      <c r="Q26" s="366">
        <f>Oktober!Q50</f>
        <v>1</v>
      </c>
      <c r="R26" s="299" t="e">
        <f>IF(VLOOKUP(A26,Para1!$B$67:$E$72,2,FALSE)="11.",VLOOKUP(A26,Para1!$B$67:$E$72,3,FALSE),"")</f>
        <v>#N/A</v>
      </c>
      <c r="S26" s="299" t="str">
        <f>IF((P26+Q26)=0,"",IF(ISNA(R26),"",IF(R26="","",VLOOKUP(R26,Para1!$D$67:$G$79,3,FALSE)*(IF(P26+Q26=1,0.5,1)))))</f>
        <v/>
      </c>
      <c r="T26" s="299" t="str">
        <f>IF(P26+Q26=0,"",IF(ISNA(R27),"",IF(R27="","",VLOOKUP(R27,Para1!$D$67:$G$79,4,FALSE)*(IF(P26+Q26=1,0.5,1)))))</f>
        <v/>
      </c>
      <c r="U26" s="299" t="str">
        <f t="shared" ref="U26:U53" si="4">IF(SUM(S26:T26)&gt;0,K26,"")</f>
        <v/>
      </c>
      <c r="V26" s="299" t="str">
        <f t="shared" ref="V26:V53" si="5">IF(SUM(S26:T26)&gt;0,L26,"")</f>
        <v/>
      </c>
      <c r="W26" s="299">
        <f t="shared" si="3"/>
        <v>0</v>
      </c>
    </row>
    <row r="27" spans="1:23" ht="17" customHeight="1" x14ac:dyDescent="0.15">
      <c r="A27" s="102" t="s">
        <v>12</v>
      </c>
      <c r="B27" s="153" t="str">
        <f>IF(B26=Para1!$F$153,Para1!$F$109,IF(B26=Para1!$F$109,Para1!$F$148,IF(B26=Para1!$F$148,Para1!$F$111,IF(B26=Para1!$F$111,Para1!$F$120,IF(B26=Para1!$F$120,Para1!$F$170,IF(B26=Para1!$F$170,Para1!$F$173,Para1!$F$153))))))</f>
        <v>Thu</v>
      </c>
      <c r="C27" s="186"/>
      <c r="D27" s="315"/>
      <c r="E27" s="294"/>
      <c r="F27" s="295"/>
      <c r="G27" s="294"/>
      <c r="H27" s="294"/>
      <c r="I27" s="296"/>
      <c r="J27" s="310"/>
      <c r="K27" s="378"/>
      <c r="L27" s="379"/>
      <c r="M27" s="129"/>
      <c r="N27" s="197"/>
      <c r="O27" s="299"/>
      <c r="P27" s="366">
        <f>Oktober!P51</f>
        <v>1</v>
      </c>
      <c r="Q27" s="366">
        <f>Oktober!Q51</f>
        <v>1</v>
      </c>
      <c r="R27" s="299" t="e">
        <f>IF(VLOOKUP(A27,Para1!$B$67:$E$72,2,FALSE)="11.",VLOOKUP(A27,Para1!$B$67:$E$72,3,FALSE),"")</f>
        <v>#N/A</v>
      </c>
      <c r="S27" s="299" t="str">
        <f>IF((P27+Q27)=0,"",IF(ISNA(R27),"",IF(R27="","",VLOOKUP(R27,Para1!$D$67:$G$79,3,FALSE)*(IF(P27+Q27=1,0.5,1)))))</f>
        <v/>
      </c>
      <c r="T27" s="299" t="str">
        <f>IF(P27+Q27=0,"",IF(ISNA(R28),"",IF(R28="","",VLOOKUP(R28,Para1!$D$67:$G$79,4,FALSE)*(IF(P27+Q27=1,0.5,1)))))</f>
        <v/>
      </c>
      <c r="U27" s="299" t="str">
        <f t="shared" si="4"/>
        <v/>
      </c>
      <c r="V27" s="299" t="str">
        <f t="shared" si="5"/>
        <v/>
      </c>
      <c r="W27" s="299">
        <f t="shared" si="3"/>
        <v>0</v>
      </c>
    </row>
    <row r="28" spans="1:23" s="39" customFormat="1" ht="17" customHeight="1" x14ac:dyDescent="0.15">
      <c r="A28" s="102" t="s">
        <v>14</v>
      </c>
      <c r="B28" s="153" t="str">
        <f>IF(B27=Para1!$F$153,Para1!$F$109,IF(B27=Para1!$F$109,Para1!$F$148,IF(B27=Para1!$F$148,Para1!$F$111,IF(B27=Para1!$F$111,Para1!$F$120,IF(B27=Para1!$F$120,Para1!$F$170,IF(B27=Para1!$F$170,Para1!$F$173,Para1!$F$153))))))</f>
        <v>Fri</v>
      </c>
      <c r="C28" s="261"/>
      <c r="D28" s="315"/>
      <c r="E28" s="294"/>
      <c r="F28" s="295"/>
      <c r="G28" s="294"/>
      <c r="H28" s="294"/>
      <c r="I28" s="296"/>
      <c r="J28" s="310"/>
      <c r="K28" s="378"/>
      <c r="L28" s="379"/>
      <c r="M28" s="129"/>
      <c r="N28" s="197"/>
      <c r="O28" s="299"/>
      <c r="P28" s="366">
        <f>Oktober!P52</f>
        <v>1</v>
      </c>
      <c r="Q28" s="366">
        <f>Oktober!Q52</f>
        <v>1</v>
      </c>
      <c r="R28" s="299" t="e">
        <f>IF(VLOOKUP(A28,Para1!$B$67:$E$72,2,FALSE)="11.",VLOOKUP(A28,Para1!$B$67:$E$72,3,FALSE),"")</f>
        <v>#N/A</v>
      </c>
      <c r="S28" s="299" t="str">
        <f>IF((P28+Q28)=0,"",IF(ISNA(R28),"",IF(R28="","",VLOOKUP(R28,Para1!$D$67:$G$79,3,FALSE)*(IF(P28+Q28=1,0.5,1)))))</f>
        <v/>
      </c>
      <c r="T28" s="299" t="str">
        <f>IF(P28+Q28=0,"",IF(ISNA(R29),"",IF(R29="","",VLOOKUP(R29,Para1!$D$67:$G$79,4,FALSE)*(IF(P28+Q28=1,0.5,1)))))</f>
        <v/>
      </c>
      <c r="U28" s="299" t="str">
        <f t="shared" si="4"/>
        <v/>
      </c>
      <c r="V28" s="299" t="str">
        <f t="shared" si="5"/>
        <v/>
      </c>
      <c r="W28" s="299">
        <f t="shared" si="3"/>
        <v>0</v>
      </c>
    </row>
    <row r="29" spans="1:23" s="39" customFormat="1" ht="17" customHeight="1" x14ac:dyDescent="0.15">
      <c r="A29" s="102" t="s">
        <v>16</v>
      </c>
      <c r="B29" s="153" t="str">
        <f>IF(B28=Para1!$F$153,Para1!$F$109,IF(B28=Para1!$F$109,Para1!$F$148,IF(B28=Para1!$F$148,Para1!$F$111,IF(B28=Para1!$F$111,Para1!$F$120,IF(B28=Para1!$F$120,Para1!$F$170,IF(B28=Para1!$F$170,Para1!$F$173,Para1!$F$153))))))</f>
        <v>Sat</v>
      </c>
      <c r="C29" s="261"/>
      <c r="D29" s="315"/>
      <c r="E29" s="294"/>
      <c r="F29" s="295"/>
      <c r="G29" s="294"/>
      <c r="H29" s="294"/>
      <c r="I29" s="296"/>
      <c r="J29" s="310"/>
      <c r="K29" s="378"/>
      <c r="L29" s="379"/>
      <c r="M29" s="129"/>
      <c r="N29" s="197"/>
      <c r="O29" s="299"/>
      <c r="P29" s="366">
        <f>Oktober!P53</f>
        <v>0</v>
      </c>
      <c r="Q29" s="366">
        <f>Oktober!Q53</f>
        <v>0</v>
      </c>
      <c r="R29" s="299" t="e">
        <f>IF(VLOOKUP(A29,Para1!$B$67:$E$72,2,FALSE)="11.",VLOOKUP(A29,Para1!$B$67:$E$72,3,FALSE),"")</f>
        <v>#N/A</v>
      </c>
      <c r="S29" s="299" t="str">
        <f>IF((P29+Q29)=0,"",IF(ISNA(R29),"",IF(R29="","",VLOOKUP(R29,Para1!$D$67:$G$79,3,FALSE)*(IF(P29+Q29=1,0.5,1)))))</f>
        <v/>
      </c>
      <c r="T29" s="299" t="str">
        <f>IF(P29+Q29=0,"",IF(ISNA(R30),"",IF(R30="","",VLOOKUP(R30,Para1!$D$67:$G$79,4,FALSE)*(IF(P29+Q29=1,0.5,1)))))</f>
        <v/>
      </c>
      <c r="U29" s="299" t="str">
        <f t="shared" si="4"/>
        <v/>
      </c>
      <c r="V29" s="299" t="str">
        <f t="shared" si="5"/>
        <v/>
      </c>
      <c r="W29" s="299">
        <f t="shared" si="3"/>
        <v>0</v>
      </c>
    </row>
    <row r="30" spans="1:23" ht="17" customHeight="1" x14ac:dyDescent="0.15">
      <c r="A30" s="102" t="s">
        <v>18</v>
      </c>
      <c r="B30" s="153" t="str">
        <f>IF(B29=Para1!$F$153,Para1!$F$109,IF(B29=Para1!$F$109,Para1!$F$148,IF(B29=Para1!$F$148,Para1!$F$111,IF(B29=Para1!$F$111,Para1!$F$120,IF(B29=Para1!$F$120,Para1!$F$170,IF(B29=Para1!$F$170,Para1!$F$173,Para1!$F$153))))))</f>
        <v>Sun</v>
      </c>
      <c r="C30" s="261"/>
      <c r="D30" s="315"/>
      <c r="E30" s="294"/>
      <c r="F30" s="295"/>
      <c r="G30" s="294"/>
      <c r="H30" s="294"/>
      <c r="I30" s="296"/>
      <c r="J30" s="310"/>
      <c r="K30" s="378"/>
      <c r="L30" s="379"/>
      <c r="M30" s="129"/>
      <c r="N30" s="197"/>
      <c r="O30" s="299"/>
      <c r="P30" s="367">
        <f>P23</f>
        <v>0</v>
      </c>
      <c r="Q30" s="367">
        <f>Q23</f>
        <v>0</v>
      </c>
      <c r="R30" s="299" t="e">
        <f>IF(VLOOKUP(A30,Para1!$B$67:$E$72,2,FALSE)="11.",VLOOKUP(A30,Para1!$B$67:$E$72,3,FALSE),"")</f>
        <v>#N/A</v>
      </c>
      <c r="S30" s="299" t="str">
        <f>IF((P30+Q30)=0,"",IF(ISNA(R30),"",IF(R30="","",VLOOKUP(R30,Para1!$D$67:$G$79,3,FALSE)*(IF(P30+Q30=1,0.5,1)))))</f>
        <v/>
      </c>
      <c r="T30" s="299" t="str">
        <f>IF(P30+Q30=0,"",IF(ISNA(R31),"",IF(R31="","",VLOOKUP(R31,Para1!$D$67:$G$79,4,FALSE)*(IF(P30+Q30=1,0.5,1)))))</f>
        <v/>
      </c>
      <c r="U30" s="299" t="str">
        <f t="shared" si="4"/>
        <v/>
      </c>
      <c r="V30" s="299" t="str">
        <f t="shared" si="5"/>
        <v/>
      </c>
      <c r="W30" s="299">
        <f t="shared" si="3"/>
        <v>0</v>
      </c>
    </row>
    <row r="31" spans="1:23" ht="17" customHeight="1" x14ac:dyDescent="0.15">
      <c r="A31" s="102" t="s">
        <v>19</v>
      </c>
      <c r="B31" s="153" t="str">
        <f>IF(B30=Para1!$F$153,Para1!$F$109,IF(B30=Para1!$F$109,Para1!$F$148,IF(B30=Para1!$F$148,Para1!$F$111,IF(B30=Para1!$F$111,Para1!$F$120,IF(B30=Para1!$F$120,Para1!$F$170,IF(B30=Para1!$F$170,Para1!$F$173,Para1!$F$153))))))</f>
        <v>Mon</v>
      </c>
      <c r="C31" s="261"/>
      <c r="D31" s="315"/>
      <c r="E31" s="294"/>
      <c r="F31" s="295"/>
      <c r="G31" s="294"/>
      <c r="H31" s="294"/>
      <c r="I31" s="296"/>
      <c r="J31" s="310"/>
      <c r="K31" s="378"/>
      <c r="L31" s="379"/>
      <c r="M31" s="129"/>
      <c r="N31" s="197"/>
      <c r="O31" s="299"/>
      <c r="P31" s="367">
        <f t="shared" ref="P31:Q36" si="6">P24</f>
        <v>1</v>
      </c>
      <c r="Q31" s="367">
        <f t="shared" si="6"/>
        <v>1</v>
      </c>
      <c r="R31" s="299" t="e">
        <f>IF(VLOOKUP(A31,Para1!$B$67:$E$72,2,FALSE)="11.",VLOOKUP(A31,Para1!$B$67:$E$72,3,FALSE),"")</f>
        <v>#N/A</v>
      </c>
      <c r="S31" s="299" t="str">
        <f>IF((P31+Q31)=0,"",IF(ISNA(R31),"",IF(R31="","",VLOOKUP(R31,Para1!$D$67:$G$79,3,FALSE)*(IF(P31+Q31=1,0.5,1)))))</f>
        <v/>
      </c>
      <c r="T31" s="299" t="str">
        <f>IF(P31+Q31=0,"",IF(ISNA(R32),"",IF(R32="","",VLOOKUP(R32,Para1!$D$67:$G$79,4,FALSE)*(IF(P31+Q31=1,0.5,1)))))</f>
        <v/>
      </c>
      <c r="U31" s="299" t="str">
        <f t="shared" si="4"/>
        <v/>
      </c>
      <c r="V31" s="299" t="str">
        <f t="shared" si="5"/>
        <v/>
      </c>
      <c r="W31" s="299">
        <f t="shared" si="3"/>
        <v>0</v>
      </c>
    </row>
    <row r="32" spans="1:23" ht="17" customHeight="1" x14ac:dyDescent="0.15">
      <c r="A32" s="102" t="s">
        <v>20</v>
      </c>
      <c r="B32" s="153" t="str">
        <f>IF(B31=Para1!$F$153,Para1!$F$109,IF(B31=Para1!$F$109,Para1!$F$148,IF(B31=Para1!$F$148,Para1!$F$111,IF(B31=Para1!$F$111,Para1!$F$120,IF(B31=Para1!$F$120,Para1!$F$170,IF(B31=Para1!$F$170,Para1!$F$173,Para1!$F$153))))))</f>
        <v>Tue</v>
      </c>
      <c r="C32" s="301"/>
      <c r="D32" s="315"/>
      <c r="E32" s="294"/>
      <c r="F32" s="295"/>
      <c r="G32" s="294"/>
      <c r="H32" s="294"/>
      <c r="I32" s="296"/>
      <c r="J32" s="310"/>
      <c r="K32" s="378"/>
      <c r="L32" s="379"/>
      <c r="M32" s="129"/>
      <c r="N32" s="197"/>
      <c r="O32" s="299"/>
      <c r="P32" s="367">
        <f t="shared" si="6"/>
        <v>1</v>
      </c>
      <c r="Q32" s="367">
        <f t="shared" si="6"/>
        <v>1</v>
      </c>
      <c r="R32" s="299" t="str">
        <f>IF(VLOOKUP(A32,Para1!$B$67:$E$72,2,FALSE)="11.",VLOOKUP(A32,Para1!$B$67:$E$72,3,FALSE),"")</f>
        <v/>
      </c>
      <c r="S32" s="299" t="str">
        <f>IF((P32+Q32)=0,"",IF(ISNA(R32),"",IF(R32="","",VLOOKUP(R32,Para1!$D$67:$G$79,3,FALSE)*(IF(P32+Q32=1,0.5,1)))))</f>
        <v/>
      </c>
      <c r="T32" s="299" t="str">
        <f>IF(P32+Q32=0,"",IF(ISNA(R33),"",IF(R33="","",VLOOKUP(R33,Para1!$D$67:$G$79,4,FALSE)*(IF(P32+Q32=1,0.5,1)))))</f>
        <v/>
      </c>
      <c r="U32" s="299" t="str">
        <f t="shared" si="4"/>
        <v/>
      </c>
      <c r="V32" s="299" t="str">
        <f t="shared" si="5"/>
        <v/>
      </c>
      <c r="W32" s="299">
        <f t="shared" si="3"/>
        <v>0</v>
      </c>
    </row>
    <row r="33" spans="1:23" ht="17" customHeight="1" x14ac:dyDescent="0.15">
      <c r="A33" s="102" t="s">
        <v>21</v>
      </c>
      <c r="B33" s="153" t="str">
        <f>IF(B32=Para1!$F$153,Para1!$F$109,IF(B32=Para1!$F$109,Para1!$F$148,IF(B32=Para1!$F$148,Para1!$F$111,IF(B32=Para1!$F$111,Para1!$F$120,IF(B32=Para1!$F$120,Para1!$F$170,IF(B32=Para1!$F$170,Para1!$F$173,Para1!$F$153))))))</f>
        <v>Wed</v>
      </c>
      <c r="C33" s="185"/>
      <c r="D33" s="315"/>
      <c r="E33" s="294"/>
      <c r="F33" s="295"/>
      <c r="G33" s="294"/>
      <c r="H33" s="294"/>
      <c r="I33" s="296"/>
      <c r="J33" s="310"/>
      <c r="K33" s="378"/>
      <c r="L33" s="379"/>
      <c r="M33" s="129"/>
      <c r="N33" s="197"/>
      <c r="O33" s="299"/>
      <c r="P33" s="367">
        <f t="shared" si="6"/>
        <v>1</v>
      </c>
      <c r="Q33" s="367">
        <f t="shared" si="6"/>
        <v>1</v>
      </c>
      <c r="R33" s="299" t="e">
        <f>IF(VLOOKUP(A33,Para1!$B$67:$E$72,2,FALSE)="11.",VLOOKUP(A33,Para1!$B$67:$E$72,3,FALSE),"")</f>
        <v>#N/A</v>
      </c>
      <c r="S33" s="299" t="str">
        <f>IF((P33+Q33)=0,"",IF(ISNA(R33),"",IF(R33="","",VLOOKUP(R33,Para1!$D$67:$G$79,3,FALSE)*(IF(P33+Q33=1,0.5,1)))))</f>
        <v/>
      </c>
      <c r="T33" s="299" t="str">
        <f>IF(P33+Q33=0,"",IF(ISNA(R34),"",IF(R34="","",VLOOKUP(R34,Para1!$D$67:$G$79,4,FALSE)*(IF(P33+Q33=1,0.5,1)))))</f>
        <v/>
      </c>
      <c r="U33" s="299" t="str">
        <f t="shared" si="4"/>
        <v/>
      </c>
      <c r="V33" s="299" t="str">
        <f t="shared" si="5"/>
        <v/>
      </c>
      <c r="W33" s="299">
        <f t="shared" si="3"/>
        <v>0</v>
      </c>
    </row>
    <row r="34" spans="1:23" ht="17" customHeight="1" x14ac:dyDescent="0.15">
      <c r="A34" s="102" t="s">
        <v>22</v>
      </c>
      <c r="B34" s="153" t="str">
        <f>IF(B33=Para1!$F$153,Para1!$F$109,IF(B33=Para1!$F$109,Para1!$F$148,IF(B33=Para1!$F$148,Para1!$F$111,IF(B33=Para1!$F$111,Para1!$F$120,IF(B33=Para1!$F$120,Para1!$F$170,IF(B33=Para1!$F$170,Para1!$F$173,Para1!$F$153))))))</f>
        <v>Thu</v>
      </c>
      <c r="C34" s="186"/>
      <c r="D34" s="315"/>
      <c r="E34" s="294"/>
      <c r="F34" s="295"/>
      <c r="G34" s="294"/>
      <c r="H34" s="294"/>
      <c r="I34" s="296"/>
      <c r="J34" s="310"/>
      <c r="K34" s="378"/>
      <c r="L34" s="379"/>
      <c r="M34" s="129"/>
      <c r="N34" s="197"/>
      <c r="O34" s="299"/>
      <c r="P34" s="367">
        <f t="shared" si="6"/>
        <v>1</v>
      </c>
      <c r="Q34" s="367">
        <f t="shared" si="6"/>
        <v>1</v>
      </c>
      <c r="R34" s="299" t="str">
        <f>IF(VLOOKUP(A34,Para1!$B$67:$E$72,2,FALSE)="11.",VLOOKUP(A34,Para1!$B$67:$E$72,3,FALSE),"")</f>
        <v/>
      </c>
      <c r="S34" s="299" t="str">
        <f>IF((P34+Q34)=0,"",IF(ISNA(R34),"",IF(R34="","",VLOOKUP(R34,Para1!$D$67:$G$79,3,FALSE)*(IF(P34+Q34=1,0.5,1)))))</f>
        <v/>
      </c>
      <c r="T34" s="299" t="str">
        <f>IF(P34+Q34=0,"",IF(ISNA(R35),"",IF(R35="","",VLOOKUP(R35,Para1!$D$67:$G$79,4,FALSE)*(IF(P34+Q34=1,0.5,1)))))</f>
        <v/>
      </c>
      <c r="U34" s="299" t="str">
        <f t="shared" si="4"/>
        <v/>
      </c>
      <c r="V34" s="299" t="str">
        <f t="shared" si="5"/>
        <v/>
      </c>
      <c r="W34" s="299">
        <f t="shared" si="3"/>
        <v>0</v>
      </c>
    </row>
    <row r="35" spans="1:23" s="39" customFormat="1" ht="17" customHeight="1" x14ac:dyDescent="0.15">
      <c r="A35" s="102" t="s">
        <v>23</v>
      </c>
      <c r="B35" s="153" t="str">
        <f>IF(B34=Para1!$F$153,Para1!$F$109,IF(B34=Para1!$F$109,Para1!$F$148,IF(B34=Para1!$F$148,Para1!$F$111,IF(B34=Para1!$F$111,Para1!$F$120,IF(B34=Para1!$F$120,Para1!$F$170,IF(B34=Para1!$F$170,Para1!$F$173,Para1!$F$153))))))</f>
        <v>Fri</v>
      </c>
      <c r="C35" s="261"/>
      <c r="D35" s="315"/>
      <c r="E35" s="294"/>
      <c r="F35" s="295"/>
      <c r="G35" s="294"/>
      <c r="H35" s="294"/>
      <c r="I35" s="296"/>
      <c r="J35" s="310"/>
      <c r="K35" s="378"/>
      <c r="L35" s="379"/>
      <c r="M35" s="129"/>
      <c r="N35" s="197"/>
      <c r="O35" s="299"/>
      <c r="P35" s="367">
        <f t="shared" si="6"/>
        <v>1</v>
      </c>
      <c r="Q35" s="367">
        <f t="shared" si="6"/>
        <v>1</v>
      </c>
      <c r="R35" s="299" t="str">
        <f>IF(VLOOKUP(A35,Para1!$B$67:$E$72,2,FALSE)="11.",VLOOKUP(A35,Para1!$B$67:$E$72,3,FALSE),"")</f>
        <v/>
      </c>
      <c r="S35" s="299" t="str">
        <f>IF((P35+Q35)=0,"",IF(ISNA(R35),"",IF(R35="","",VLOOKUP(R35,Para1!$D$67:$G$79,3,FALSE)*(IF(P35+Q35=1,0.5,1)))))</f>
        <v/>
      </c>
      <c r="T35" s="299" t="str">
        <f>IF(P35+Q35=0,"",IF(ISNA(R36),"",IF(R36="","",VLOOKUP(R36,Para1!$D$67:$G$79,4,FALSE)*(IF(P35+Q35=1,0.5,1)))))</f>
        <v/>
      </c>
      <c r="U35" s="299" t="str">
        <f t="shared" si="4"/>
        <v/>
      </c>
      <c r="V35" s="299" t="str">
        <f t="shared" si="5"/>
        <v/>
      </c>
      <c r="W35" s="299">
        <f t="shared" si="3"/>
        <v>0</v>
      </c>
    </row>
    <row r="36" spans="1:23" s="39" customFormat="1" ht="17" customHeight="1" x14ac:dyDescent="0.15">
      <c r="A36" s="102" t="s">
        <v>24</v>
      </c>
      <c r="B36" s="153" t="str">
        <f>IF(B35=Para1!$F$153,Para1!$F$109,IF(B35=Para1!$F$109,Para1!$F$148,IF(B35=Para1!$F$148,Para1!$F$111,IF(B35=Para1!$F$111,Para1!$F$120,IF(B35=Para1!$F$120,Para1!$F$170,IF(B35=Para1!$F$170,Para1!$F$173,Para1!$F$153))))))</f>
        <v>Sat</v>
      </c>
      <c r="C36" s="261"/>
      <c r="D36" s="315"/>
      <c r="E36" s="294"/>
      <c r="F36" s="295"/>
      <c r="G36" s="294"/>
      <c r="H36" s="294"/>
      <c r="I36" s="296"/>
      <c r="J36" s="310"/>
      <c r="K36" s="378"/>
      <c r="L36" s="379"/>
      <c r="M36" s="129"/>
      <c r="N36" s="197"/>
      <c r="O36" s="299"/>
      <c r="P36" s="367">
        <f t="shared" si="6"/>
        <v>0</v>
      </c>
      <c r="Q36" s="367">
        <f t="shared" si="6"/>
        <v>0</v>
      </c>
      <c r="R36" s="299" t="e">
        <f>IF(VLOOKUP(A36,Para1!$B$67:$E$72,2,FALSE)="11.",VLOOKUP(A36,Para1!$B$67:$E$72,3,FALSE),"")</f>
        <v>#N/A</v>
      </c>
      <c r="S36" s="299" t="str">
        <f>IF((P36+Q36)=0,"",IF(ISNA(R36),"",IF(R36="","",VLOOKUP(R36,Para1!$D$67:$G$79,3,FALSE)*(IF(P36+Q36=1,0.5,1)))))</f>
        <v/>
      </c>
      <c r="T36" s="299" t="str">
        <f>IF(P36+Q36=0,"",IF(ISNA(R37),"",IF(R37="","",VLOOKUP(R37,Para1!$D$67:$G$79,4,FALSE)*(IF(P36+Q36=1,0.5,1)))))</f>
        <v/>
      </c>
      <c r="U36" s="299" t="str">
        <f t="shared" si="4"/>
        <v/>
      </c>
      <c r="V36" s="299" t="str">
        <f t="shared" si="5"/>
        <v/>
      </c>
      <c r="W36" s="299">
        <f t="shared" si="3"/>
        <v>0</v>
      </c>
    </row>
    <row r="37" spans="1:23" ht="17" customHeight="1" x14ac:dyDescent="0.15">
      <c r="A37" s="102" t="s">
        <v>25</v>
      </c>
      <c r="B37" s="153" t="str">
        <f>IF(B36=Para1!$F$153,Para1!$F$109,IF(B36=Para1!$F$109,Para1!$F$148,IF(B36=Para1!$F$148,Para1!$F$111,IF(B36=Para1!$F$111,Para1!$F$120,IF(B36=Para1!$F$120,Para1!$F$170,IF(B36=Para1!$F$170,Para1!$F$173,Para1!$F$153))))))</f>
        <v>Sun</v>
      </c>
      <c r="C37" s="261"/>
      <c r="D37" s="315"/>
      <c r="E37" s="294"/>
      <c r="F37" s="295"/>
      <c r="G37" s="294"/>
      <c r="H37" s="294"/>
      <c r="I37" s="296"/>
      <c r="J37" s="310"/>
      <c r="K37" s="378"/>
      <c r="L37" s="379"/>
      <c r="M37" s="129"/>
      <c r="N37" s="197"/>
      <c r="O37" s="299"/>
      <c r="P37" s="367">
        <f>P30</f>
        <v>0</v>
      </c>
      <c r="Q37" s="367">
        <f>Q30</f>
        <v>0</v>
      </c>
      <c r="R37" s="299" t="e">
        <f>IF(VLOOKUP(A37,Para1!$B$67:$E$72,2,FALSE)="11.",VLOOKUP(A37,Para1!$B$67:$E$72,3,FALSE),"")</f>
        <v>#N/A</v>
      </c>
      <c r="S37" s="299" t="str">
        <f>IF((P37+Q37)=0,"",IF(ISNA(R37),"",IF(R37="","",VLOOKUP(R37,Para1!$D$67:$G$79,3,FALSE)*(IF(P37+Q37=1,0.5,1)))))</f>
        <v/>
      </c>
      <c r="T37" s="299" t="str">
        <f>IF(P37+Q37=0,"",IF(ISNA(R38),"",IF(R38="","",VLOOKUP(R38,Para1!$D$67:$G$79,4,FALSE)*(IF(P37+Q37=1,0.5,1)))))</f>
        <v/>
      </c>
      <c r="U37" s="299" t="str">
        <f t="shared" si="4"/>
        <v/>
      </c>
      <c r="V37" s="299" t="str">
        <f t="shared" si="5"/>
        <v/>
      </c>
      <c r="W37" s="299">
        <f t="shared" si="3"/>
        <v>0</v>
      </c>
    </row>
    <row r="38" spans="1:23" ht="17" customHeight="1" x14ac:dyDescent="0.15">
      <c r="A38" s="102" t="s">
        <v>26</v>
      </c>
      <c r="B38" s="153" t="str">
        <f>IF(B37=Para1!$F$153,Para1!$F$109,IF(B37=Para1!$F$109,Para1!$F$148,IF(B37=Para1!$F$148,Para1!$F$111,IF(B37=Para1!$F$111,Para1!$F$120,IF(B37=Para1!$F$120,Para1!$F$170,IF(B37=Para1!$F$170,Para1!$F$173,Para1!$F$153))))))</f>
        <v>Mon</v>
      </c>
      <c r="C38" s="261"/>
      <c r="D38" s="315"/>
      <c r="E38" s="294"/>
      <c r="F38" s="295"/>
      <c r="G38" s="294"/>
      <c r="H38" s="294"/>
      <c r="I38" s="296"/>
      <c r="J38" s="310"/>
      <c r="K38" s="378"/>
      <c r="L38" s="379"/>
      <c r="M38" s="129"/>
      <c r="N38" s="197"/>
      <c r="O38" s="299"/>
      <c r="P38" s="367">
        <f t="shared" ref="P38:Q43" si="7">P31</f>
        <v>1</v>
      </c>
      <c r="Q38" s="367">
        <f t="shared" si="7"/>
        <v>1</v>
      </c>
      <c r="R38" s="299" t="e">
        <f>IF(VLOOKUP(A38,Para1!$B$67:$E$72,2,FALSE)="11.",VLOOKUP(A38,Para1!$B$67:$E$72,3,FALSE),"")</f>
        <v>#N/A</v>
      </c>
      <c r="S38" s="299" t="str">
        <f>IF((P38+Q38)=0,"",IF(ISNA(R38),"",IF(R38="","",VLOOKUP(R38,Para1!$D$67:$G$79,3,FALSE)*(IF(P38+Q38=1,0.5,1)))))</f>
        <v/>
      </c>
      <c r="T38" s="299" t="str">
        <f>IF(P38+Q38=0,"",IF(ISNA(R39),"",IF(R39="","",VLOOKUP(R39,Para1!$D$67:$G$79,4,FALSE)*(IF(P38+Q38=1,0.5,1)))))</f>
        <v/>
      </c>
      <c r="U38" s="299" t="str">
        <f t="shared" si="4"/>
        <v/>
      </c>
      <c r="V38" s="299" t="str">
        <f t="shared" si="5"/>
        <v/>
      </c>
      <c r="W38" s="299">
        <f t="shared" si="3"/>
        <v>0</v>
      </c>
    </row>
    <row r="39" spans="1:23" ht="17" customHeight="1" x14ac:dyDescent="0.15">
      <c r="A39" s="102" t="s">
        <v>27</v>
      </c>
      <c r="B39" s="153" t="str">
        <f>IF(B38=Para1!$F$153,Para1!$F$109,IF(B38=Para1!$F$109,Para1!$F$148,IF(B38=Para1!$F$148,Para1!$F$111,IF(B38=Para1!$F$111,Para1!$F$120,IF(B38=Para1!$F$120,Para1!$F$170,IF(B38=Para1!$F$170,Para1!$F$173,Para1!$F$153))))))</f>
        <v>Tue</v>
      </c>
      <c r="C39" s="301"/>
      <c r="D39" s="315"/>
      <c r="E39" s="294"/>
      <c r="F39" s="295"/>
      <c r="G39" s="294"/>
      <c r="H39" s="294"/>
      <c r="I39" s="296"/>
      <c r="J39" s="310"/>
      <c r="K39" s="378"/>
      <c r="L39" s="379"/>
      <c r="M39" s="129"/>
      <c r="N39" s="197"/>
      <c r="O39" s="299"/>
      <c r="P39" s="367">
        <f t="shared" si="7"/>
        <v>1</v>
      </c>
      <c r="Q39" s="367">
        <f t="shared" si="7"/>
        <v>1</v>
      </c>
      <c r="R39" s="299" t="e">
        <f>IF(VLOOKUP(A39,Para1!$B$67:$E$72,2,FALSE)="11.",VLOOKUP(A39,Para1!$B$67:$E$72,3,FALSE),"")</f>
        <v>#N/A</v>
      </c>
      <c r="S39" s="299" t="str">
        <f>IF((P39+Q39)=0,"",IF(ISNA(R39),"",IF(R39="","",VLOOKUP(R39,Para1!$D$67:$G$79,3,FALSE)*(IF(P39+Q39=1,0.5,1)))))</f>
        <v/>
      </c>
      <c r="T39" s="299" t="str">
        <f>IF(P39+Q39=0,"",IF(ISNA(R40),"",IF(R40="","",VLOOKUP(R40,Para1!$D$67:$G$79,4,FALSE)*(IF(P39+Q39=1,0.5,1)))))</f>
        <v/>
      </c>
      <c r="U39" s="299" t="str">
        <f t="shared" si="4"/>
        <v/>
      </c>
      <c r="V39" s="299" t="str">
        <f t="shared" si="5"/>
        <v/>
      </c>
      <c r="W39" s="299">
        <f t="shared" si="3"/>
        <v>0</v>
      </c>
    </row>
    <row r="40" spans="1:23" ht="17" customHeight="1" x14ac:dyDescent="0.15">
      <c r="A40" s="102" t="s">
        <v>28</v>
      </c>
      <c r="B40" s="153" t="str">
        <f>IF(B39=Para1!$F$153,Para1!$F$109,IF(B39=Para1!$F$109,Para1!$F$148,IF(B39=Para1!$F$148,Para1!$F$111,IF(B39=Para1!$F$111,Para1!$F$120,IF(B39=Para1!$F$120,Para1!$F$170,IF(B39=Para1!$F$170,Para1!$F$173,Para1!$F$153))))))</f>
        <v>Wed</v>
      </c>
      <c r="C40" s="185"/>
      <c r="D40" s="315"/>
      <c r="E40" s="294"/>
      <c r="F40" s="295"/>
      <c r="G40" s="294"/>
      <c r="H40" s="294"/>
      <c r="I40" s="296"/>
      <c r="J40" s="310"/>
      <c r="K40" s="378"/>
      <c r="L40" s="379"/>
      <c r="M40" s="129"/>
      <c r="N40" s="197"/>
      <c r="O40" s="299"/>
      <c r="P40" s="367">
        <f t="shared" si="7"/>
        <v>1</v>
      </c>
      <c r="Q40" s="367">
        <f t="shared" si="7"/>
        <v>1</v>
      </c>
      <c r="R40" s="299" t="e">
        <f>IF(VLOOKUP(A40,Para1!$B$67:$E$72,2,FALSE)="11.",VLOOKUP(A40,Para1!$B$67:$E$72,3,FALSE),"")</f>
        <v>#N/A</v>
      </c>
      <c r="S40" s="299" t="str">
        <f>IF((P40+Q40)=0,"",IF(ISNA(R40),"",IF(R40="","",VLOOKUP(R40,Para1!$D$67:$G$79,3,FALSE)*(IF(P40+Q40=1,0.5,1)))))</f>
        <v/>
      </c>
      <c r="T40" s="299" t="str">
        <f>IF(P40+Q40=0,"",IF(ISNA(R41),"",IF(R41="","",VLOOKUP(R41,Para1!$D$67:$G$79,4,FALSE)*(IF(P40+Q40=1,0.5,1)))))</f>
        <v/>
      </c>
      <c r="U40" s="299" t="str">
        <f t="shared" si="4"/>
        <v/>
      </c>
      <c r="V40" s="299" t="str">
        <f t="shared" si="5"/>
        <v/>
      </c>
      <c r="W40" s="299">
        <f t="shared" si="3"/>
        <v>0</v>
      </c>
    </row>
    <row r="41" spans="1:23" ht="17" customHeight="1" x14ac:dyDescent="0.15">
      <c r="A41" s="102" t="s">
        <v>29</v>
      </c>
      <c r="B41" s="153" t="str">
        <f>IF(B40=Para1!$F$153,Para1!$F$109,IF(B40=Para1!$F$109,Para1!$F$148,IF(B40=Para1!$F$148,Para1!$F$111,IF(B40=Para1!$F$111,Para1!$F$120,IF(B40=Para1!$F$120,Para1!$F$170,IF(B40=Para1!$F$170,Para1!$F$173,Para1!$F$153))))))</f>
        <v>Thu</v>
      </c>
      <c r="C41" s="186"/>
      <c r="D41" s="315"/>
      <c r="E41" s="294"/>
      <c r="F41" s="295"/>
      <c r="G41" s="294"/>
      <c r="H41" s="294"/>
      <c r="I41" s="296"/>
      <c r="J41" s="310"/>
      <c r="K41" s="378"/>
      <c r="L41" s="379"/>
      <c r="M41" s="129"/>
      <c r="N41" s="197"/>
      <c r="O41" s="299"/>
      <c r="P41" s="367">
        <f t="shared" si="7"/>
        <v>1</v>
      </c>
      <c r="Q41" s="367">
        <f t="shared" si="7"/>
        <v>1</v>
      </c>
      <c r="R41" s="299" t="e">
        <f>IF(VLOOKUP(A41,Para1!$B$67:$E$72,2,FALSE)="11.",VLOOKUP(A41,Para1!$B$67:$E$72,3,FALSE),"")</f>
        <v>#N/A</v>
      </c>
      <c r="S41" s="299" t="str">
        <f>IF((P41+Q41)=0,"",IF(ISNA(R41),"",IF(R41="","",VLOOKUP(R41,Para1!$D$67:$G$79,3,FALSE)*(IF(P41+Q41=1,0.5,1)))))</f>
        <v/>
      </c>
      <c r="T41" s="299" t="str">
        <f>IF(P41+Q41=0,"",IF(ISNA(R42),"",IF(R42="","",VLOOKUP(R42,Para1!$D$67:$G$79,4,FALSE)*(IF(P41+Q41=1,0.5,1)))))</f>
        <v/>
      </c>
      <c r="U41" s="299" t="str">
        <f t="shared" si="4"/>
        <v/>
      </c>
      <c r="V41" s="299" t="str">
        <f t="shared" si="5"/>
        <v/>
      </c>
      <c r="W41" s="299">
        <f t="shared" si="3"/>
        <v>0</v>
      </c>
    </row>
    <row r="42" spans="1:23" s="39" customFormat="1" ht="17" customHeight="1" x14ac:dyDescent="0.15">
      <c r="A42" s="102" t="s">
        <v>30</v>
      </c>
      <c r="B42" s="153" t="str">
        <f>IF(B41=Para1!$F$153,Para1!$F$109,IF(B41=Para1!$F$109,Para1!$F$148,IF(B41=Para1!$F$148,Para1!$F$111,IF(B41=Para1!$F$111,Para1!$F$120,IF(B41=Para1!$F$120,Para1!$F$170,IF(B41=Para1!$F$170,Para1!$F$173,Para1!$F$153))))))</f>
        <v>Fri</v>
      </c>
      <c r="C42" s="261"/>
      <c r="D42" s="315"/>
      <c r="E42" s="294"/>
      <c r="F42" s="295"/>
      <c r="G42" s="294"/>
      <c r="H42" s="294"/>
      <c r="I42" s="296"/>
      <c r="J42" s="310"/>
      <c r="K42" s="378"/>
      <c r="L42" s="379"/>
      <c r="M42" s="129"/>
      <c r="N42" s="197"/>
      <c r="O42" s="299"/>
      <c r="P42" s="367">
        <f t="shared" si="7"/>
        <v>1</v>
      </c>
      <c r="Q42" s="367">
        <f t="shared" si="7"/>
        <v>1</v>
      </c>
      <c r="R42" s="299" t="e">
        <f>IF(VLOOKUP(A42,Para1!$B$67:$E$72,2,FALSE)="11.",VLOOKUP(A42,Para1!$B$67:$E$72,3,FALSE),"")</f>
        <v>#N/A</v>
      </c>
      <c r="S42" s="299" t="str">
        <f>IF((P42+Q42)=0,"",IF(ISNA(R42),"",IF(R42="","",VLOOKUP(R42,Para1!$D$67:$G$79,3,FALSE)*(IF(P42+Q42=1,0.5,1)))))</f>
        <v/>
      </c>
      <c r="T42" s="299" t="str">
        <f>IF(P42+Q42=0,"",IF(ISNA(R43),"",IF(R43="","",VLOOKUP(R43,Para1!$D$67:$G$79,4,FALSE)*(IF(P42+Q42=1,0.5,1)))))</f>
        <v/>
      </c>
      <c r="U42" s="299" t="str">
        <f t="shared" si="4"/>
        <v/>
      </c>
      <c r="V42" s="299" t="str">
        <f t="shared" si="5"/>
        <v/>
      </c>
      <c r="W42" s="299">
        <f t="shared" si="3"/>
        <v>0</v>
      </c>
    </row>
    <row r="43" spans="1:23" s="39" customFormat="1" ht="17" customHeight="1" x14ac:dyDescent="0.15">
      <c r="A43" s="102" t="s">
        <v>31</v>
      </c>
      <c r="B43" s="153" t="str">
        <f>IF(B42=Para1!$F$153,Para1!$F$109,IF(B42=Para1!$F$109,Para1!$F$148,IF(B42=Para1!$F$148,Para1!$F$111,IF(B42=Para1!$F$111,Para1!$F$120,IF(B42=Para1!$F$120,Para1!$F$170,IF(B42=Para1!$F$170,Para1!$F$173,Para1!$F$153))))))</f>
        <v>Sat</v>
      </c>
      <c r="C43" s="261"/>
      <c r="D43" s="315"/>
      <c r="E43" s="294"/>
      <c r="F43" s="295"/>
      <c r="G43" s="294"/>
      <c r="H43" s="294"/>
      <c r="I43" s="296"/>
      <c r="J43" s="310"/>
      <c r="K43" s="378"/>
      <c r="L43" s="379"/>
      <c r="M43" s="129"/>
      <c r="N43" s="197"/>
      <c r="O43" s="299"/>
      <c r="P43" s="367">
        <f t="shared" si="7"/>
        <v>0</v>
      </c>
      <c r="Q43" s="367">
        <f t="shared" si="7"/>
        <v>0</v>
      </c>
      <c r="R43" s="299" t="str">
        <f>IF(VLOOKUP(A43,Para1!$B$67:$E$72,2,FALSE)="11.",VLOOKUP(A43,Para1!$B$67:$E$72,3,FALSE),"")</f>
        <v/>
      </c>
      <c r="S43" s="299" t="str">
        <f>IF((P43+Q43)=0,"",IF(ISNA(R43),"",IF(R43="","",VLOOKUP(R43,Para1!$D$67:$G$79,3,FALSE)*(IF(P43+Q43=1,0.5,1)))))</f>
        <v/>
      </c>
      <c r="T43" s="299" t="str">
        <f>IF(P43+Q43=0,"",IF(ISNA(R44),"",IF(R44="","",VLOOKUP(R44,Para1!$D$67:$G$79,4,FALSE)*(IF(P43+Q43=1,0.5,1)))))</f>
        <v/>
      </c>
      <c r="U43" s="299" t="str">
        <f t="shared" si="4"/>
        <v/>
      </c>
      <c r="V43" s="299" t="str">
        <f t="shared" si="5"/>
        <v/>
      </c>
      <c r="W43" s="299">
        <f t="shared" si="3"/>
        <v>0</v>
      </c>
    </row>
    <row r="44" spans="1:23" ht="17" customHeight="1" x14ac:dyDescent="0.15">
      <c r="A44" s="102" t="s">
        <v>32</v>
      </c>
      <c r="B44" s="153" t="str">
        <f>IF(B43=Para1!$F$153,Para1!$F$109,IF(B43=Para1!$F$109,Para1!$F$148,IF(B43=Para1!$F$148,Para1!$F$111,IF(B43=Para1!$F$111,Para1!$F$120,IF(B43=Para1!$F$120,Para1!$F$170,IF(B43=Para1!$F$170,Para1!$F$173,Para1!$F$153))))))</f>
        <v>Sun</v>
      </c>
      <c r="C44" s="261"/>
      <c r="D44" s="315"/>
      <c r="E44" s="294"/>
      <c r="F44" s="295"/>
      <c r="G44" s="294"/>
      <c r="H44" s="294"/>
      <c r="I44" s="296"/>
      <c r="J44" s="310"/>
      <c r="K44" s="378"/>
      <c r="L44" s="379"/>
      <c r="M44" s="129"/>
      <c r="N44" s="197"/>
      <c r="O44" s="299"/>
      <c r="P44" s="367">
        <f>P37</f>
        <v>0</v>
      </c>
      <c r="Q44" s="367">
        <f>Q37</f>
        <v>0</v>
      </c>
      <c r="R44" s="299" t="e">
        <f>IF(VLOOKUP(A44,Para1!$B$67:$E$72,2,FALSE)="11.",VLOOKUP(A44,Para1!$B$67:$E$72,3,FALSE),"")</f>
        <v>#N/A</v>
      </c>
      <c r="S44" s="299" t="str">
        <f>IF((P44+Q44)=0,"",IF(ISNA(R44),"",IF(R44="","",VLOOKUP(R44,Para1!$D$67:$G$79,3,FALSE)*(IF(P44+Q44=1,0.5,1)))))</f>
        <v/>
      </c>
      <c r="T44" s="299" t="str">
        <f>IF(P44+Q44=0,"",IF(ISNA(R45),"",IF(R45="","",VLOOKUP(R45,Para1!$D$67:$G$79,4,FALSE)*(IF(P44+Q44=1,0.5,1)))))</f>
        <v/>
      </c>
      <c r="U44" s="299" t="str">
        <f t="shared" si="4"/>
        <v/>
      </c>
      <c r="V44" s="299" t="str">
        <f t="shared" si="5"/>
        <v/>
      </c>
      <c r="W44" s="299">
        <f t="shared" si="3"/>
        <v>0</v>
      </c>
    </row>
    <row r="45" spans="1:23" ht="17" customHeight="1" x14ac:dyDescent="0.15">
      <c r="A45" s="102" t="s">
        <v>33</v>
      </c>
      <c r="B45" s="153" t="str">
        <f>IF(B44=Para1!$F$153,Para1!$F$109,IF(B44=Para1!$F$109,Para1!$F$148,IF(B44=Para1!$F$148,Para1!$F$111,IF(B44=Para1!$F$111,Para1!$F$120,IF(B44=Para1!$F$120,Para1!$F$170,IF(B44=Para1!$F$170,Para1!$F$173,Para1!$F$153))))))</f>
        <v>Mon</v>
      </c>
      <c r="C45" s="261"/>
      <c r="D45" s="315"/>
      <c r="E45" s="294"/>
      <c r="F45" s="295"/>
      <c r="G45" s="294"/>
      <c r="H45" s="294"/>
      <c r="I45" s="296"/>
      <c r="J45" s="310"/>
      <c r="K45" s="378"/>
      <c r="L45" s="379"/>
      <c r="M45" s="129"/>
      <c r="N45" s="197"/>
      <c r="O45" s="299"/>
      <c r="P45" s="367">
        <f t="shared" ref="P45:Q50" si="8">P38</f>
        <v>1</v>
      </c>
      <c r="Q45" s="367">
        <f t="shared" si="8"/>
        <v>1</v>
      </c>
      <c r="R45" s="299" t="e">
        <f>IF(VLOOKUP(A45,Para1!$B$67:$E$72,2,FALSE)="11.",VLOOKUP(A45,Para1!$B$67:$E$72,3,FALSE),"")</f>
        <v>#N/A</v>
      </c>
      <c r="S45" s="299" t="str">
        <f>IF((P45+Q45)=0,"",IF(ISNA(R45),"",IF(R45="","",VLOOKUP(R45,Para1!$D$67:$G$79,3,FALSE)*(IF(P45+Q45=1,0.5,1)))))</f>
        <v/>
      </c>
      <c r="T45" s="299" t="str">
        <f>IF(P45+Q45=0,"",IF(ISNA(R46),"",IF(R46="","",VLOOKUP(R46,Para1!$D$67:$G$79,4,FALSE)*(IF(P45+Q45=1,0.5,1)))))</f>
        <v/>
      </c>
      <c r="U45" s="299" t="str">
        <f t="shared" si="4"/>
        <v/>
      </c>
      <c r="V45" s="299" t="str">
        <f t="shared" si="5"/>
        <v/>
      </c>
      <c r="W45" s="299">
        <f t="shared" si="3"/>
        <v>0</v>
      </c>
    </row>
    <row r="46" spans="1:23" ht="17" customHeight="1" x14ac:dyDescent="0.15">
      <c r="A46" s="102" t="s">
        <v>34</v>
      </c>
      <c r="B46" s="153" t="str">
        <f>IF(B45=Para1!$F$153,Para1!$F$109,IF(B45=Para1!$F$109,Para1!$F$148,IF(B45=Para1!$F$148,Para1!$F$111,IF(B45=Para1!$F$111,Para1!$F$120,IF(B45=Para1!$F$120,Para1!$F$170,IF(B45=Para1!$F$170,Para1!$F$173,Para1!$F$153))))))</f>
        <v>Tue</v>
      </c>
      <c r="C46" s="301"/>
      <c r="D46" s="315"/>
      <c r="E46" s="294"/>
      <c r="F46" s="295"/>
      <c r="G46" s="294"/>
      <c r="H46" s="294"/>
      <c r="I46" s="296"/>
      <c r="J46" s="310"/>
      <c r="K46" s="378"/>
      <c r="L46" s="379"/>
      <c r="M46" s="129"/>
      <c r="N46" s="197"/>
      <c r="O46" s="299"/>
      <c r="P46" s="367">
        <f t="shared" si="8"/>
        <v>1</v>
      </c>
      <c r="Q46" s="367">
        <f t="shared" si="8"/>
        <v>1</v>
      </c>
      <c r="R46" s="299" t="e">
        <f>IF(VLOOKUP(A46,Para1!$B$67:$E$72,2,FALSE)="11.",VLOOKUP(A46,Para1!$B$67:$E$72,3,FALSE),"")</f>
        <v>#N/A</v>
      </c>
      <c r="S46" s="299" t="str">
        <f>IF((P46+Q46)=0,"",IF(ISNA(R46),"",IF(R46="","",VLOOKUP(R46,Para1!$D$67:$G$79,3,FALSE)*(IF(P46+Q46=1,0.5,1)))))</f>
        <v/>
      </c>
      <c r="T46" s="299" t="str">
        <f>IF(P46+Q46=0,"",IF(ISNA(R47),"",IF(R47="","",VLOOKUP(R47,Para1!$D$67:$G$79,4,FALSE)*(IF(P46+Q46=1,0.5,1)))))</f>
        <v/>
      </c>
      <c r="U46" s="299" t="str">
        <f t="shared" si="4"/>
        <v/>
      </c>
      <c r="V46" s="299" t="str">
        <f t="shared" si="5"/>
        <v/>
      </c>
      <c r="W46" s="299">
        <f t="shared" si="3"/>
        <v>0</v>
      </c>
    </row>
    <row r="47" spans="1:23" ht="17" customHeight="1" x14ac:dyDescent="0.15">
      <c r="A47" s="102" t="s">
        <v>35</v>
      </c>
      <c r="B47" s="153" t="str">
        <f>IF(B46=Para1!$F$153,Para1!$F$109,IF(B46=Para1!$F$109,Para1!$F$148,IF(B46=Para1!$F$148,Para1!$F$111,IF(B46=Para1!$F$111,Para1!$F$120,IF(B46=Para1!$F$120,Para1!$F$170,IF(B46=Para1!$F$170,Para1!$F$173,Para1!$F$153))))))</f>
        <v>Wed</v>
      </c>
      <c r="C47" s="185"/>
      <c r="D47" s="315"/>
      <c r="E47" s="294"/>
      <c r="F47" s="295"/>
      <c r="G47" s="294"/>
      <c r="H47" s="294"/>
      <c r="I47" s="296"/>
      <c r="J47" s="310"/>
      <c r="K47" s="378"/>
      <c r="L47" s="379"/>
      <c r="M47" s="129"/>
      <c r="N47" s="197"/>
      <c r="O47" s="299"/>
      <c r="P47" s="367">
        <f t="shared" si="8"/>
        <v>1</v>
      </c>
      <c r="Q47" s="367">
        <f t="shared" si="8"/>
        <v>1</v>
      </c>
      <c r="R47" s="299" t="e">
        <f>IF(VLOOKUP(A47,Para1!$B$67:$E$72,2,FALSE)="11.",VLOOKUP(A47,Para1!$B$67:$E$72,3,FALSE),"")</f>
        <v>#N/A</v>
      </c>
      <c r="S47" s="299" t="str">
        <f>IF((P47+Q47)=0,"",IF(ISNA(R47),"",IF(R47="","",VLOOKUP(R47,Para1!$D$67:$G$79,3,FALSE)*(IF(P47+Q47=1,0.5,1)))))</f>
        <v/>
      </c>
      <c r="T47" s="299" t="str">
        <f>IF(P47+Q47=0,"",IF(ISNA(R48),"",IF(R48="","",VLOOKUP(R48,Para1!$D$67:$G$79,4,FALSE)*(IF(P47+Q47=1,0.5,1)))))</f>
        <v/>
      </c>
      <c r="U47" s="299" t="str">
        <f>IF(SUM(S47:T47)&gt;0,K47,"")</f>
        <v/>
      </c>
      <c r="V47" s="299" t="str">
        <f t="shared" si="5"/>
        <v/>
      </c>
      <c r="W47" s="299">
        <f t="shared" si="3"/>
        <v>0</v>
      </c>
    </row>
    <row r="48" spans="1:23" ht="17" customHeight="1" x14ac:dyDescent="0.15">
      <c r="A48" s="102" t="s">
        <v>36</v>
      </c>
      <c r="B48" s="153" t="str">
        <f>IF(B47=Para1!$F$153,Para1!$F$109,IF(B47=Para1!$F$109,Para1!$F$148,IF(B47=Para1!$F$148,Para1!$F$111,IF(B47=Para1!$F$111,Para1!$F$120,IF(B47=Para1!$F$120,Para1!$F$170,IF(B47=Para1!$F$170,Para1!$F$173,Para1!$F$153))))))</f>
        <v>Thu</v>
      </c>
      <c r="C48" s="186"/>
      <c r="D48" s="315"/>
      <c r="E48" s="294"/>
      <c r="F48" s="295"/>
      <c r="G48" s="294"/>
      <c r="H48" s="294"/>
      <c r="I48" s="296"/>
      <c r="J48" s="310"/>
      <c r="K48" s="378"/>
      <c r="L48" s="379"/>
      <c r="M48" s="129"/>
      <c r="N48" s="197"/>
      <c r="O48" s="299"/>
      <c r="P48" s="367">
        <f t="shared" si="8"/>
        <v>1</v>
      </c>
      <c r="Q48" s="367">
        <f t="shared" si="8"/>
        <v>1</v>
      </c>
      <c r="R48" s="299" t="e">
        <f>IF(VLOOKUP(A48,Para1!$B$67:$E$72,2,FALSE)="11.",VLOOKUP(A48,Para1!$B$67:$E$72,3,FALSE),"")</f>
        <v>#N/A</v>
      </c>
      <c r="S48" s="299" t="str">
        <f>IF((P48+Q48)=0,"",IF(ISNA(R48),"",IF(R48="","",VLOOKUP(R48,Para1!$D$67:$G$79,3,FALSE)*(IF(P48+Q48=1,0.5,1)))))</f>
        <v/>
      </c>
      <c r="T48" s="299" t="str">
        <f>IF(P48+Q48=0,"",IF(ISNA(R49),"",IF(R49="","",VLOOKUP(R49,Para1!$D$67:$G$79,4,FALSE)*(IF(P48+Q48=1,0.5,1)))))</f>
        <v/>
      </c>
      <c r="U48" s="299" t="str">
        <f>IF(SUM(S48:T48)&gt;0,K48,"")</f>
        <v/>
      </c>
      <c r="V48" s="299" t="str">
        <f t="shared" si="5"/>
        <v/>
      </c>
      <c r="W48" s="299">
        <f t="shared" si="3"/>
        <v>0</v>
      </c>
    </row>
    <row r="49" spans="1:27" s="39" customFormat="1" ht="17" customHeight="1" x14ac:dyDescent="0.15">
      <c r="A49" s="102" t="s">
        <v>37</v>
      </c>
      <c r="B49" s="153" t="str">
        <f>IF(B48=Para1!$F$153,Para1!$F$109,IF(B48=Para1!$F$109,Para1!$F$148,IF(B48=Para1!$F$148,Para1!$F$111,IF(B48=Para1!$F$111,Para1!$F$120,IF(B48=Para1!$F$120,Para1!$F$170,IF(B48=Para1!$F$170,Para1!$F$173,Para1!$F$153))))))</f>
        <v>Fri</v>
      </c>
      <c r="C49" s="261"/>
      <c r="D49" s="315"/>
      <c r="E49" s="294"/>
      <c r="F49" s="295"/>
      <c r="G49" s="294"/>
      <c r="H49" s="294"/>
      <c r="I49" s="296"/>
      <c r="J49" s="310"/>
      <c r="K49" s="378"/>
      <c r="L49" s="379"/>
      <c r="M49" s="129"/>
      <c r="N49" s="197"/>
      <c r="O49" s="299"/>
      <c r="P49" s="367">
        <f t="shared" si="8"/>
        <v>1</v>
      </c>
      <c r="Q49" s="367">
        <f t="shared" si="8"/>
        <v>1</v>
      </c>
      <c r="R49" s="299" t="e">
        <f>IF(VLOOKUP(A49,Para1!$B$67:$E$72,2,FALSE)="11.",VLOOKUP(A49,Para1!$B$67:$E$72,3,FALSE),"")</f>
        <v>#N/A</v>
      </c>
      <c r="S49" s="299" t="str">
        <f>IF((P49+Q49)=0,"",IF(ISNA(R49),"",IF(R49="","",VLOOKUP(R49,Para1!$D$67:$G$79,3,FALSE)*(IF(P49+Q49=1,0.5,1)))))</f>
        <v/>
      </c>
      <c r="T49" s="299" t="str">
        <f>IF(P49+Q49=0,"",IF(ISNA(R50),"",IF(R50="","",VLOOKUP(R50,Para1!$D$67:$G$79,4,FALSE)*(IF(P49+Q49=1,0.5,1)))))</f>
        <v/>
      </c>
      <c r="U49" s="299" t="str">
        <f t="shared" si="4"/>
        <v/>
      </c>
      <c r="V49" s="299" t="str">
        <f t="shared" si="5"/>
        <v/>
      </c>
      <c r="W49" s="299">
        <f t="shared" si="3"/>
        <v>0</v>
      </c>
    </row>
    <row r="50" spans="1:27" s="39" customFormat="1" ht="17" customHeight="1" x14ac:dyDescent="0.15">
      <c r="A50" s="102" t="s">
        <v>38</v>
      </c>
      <c r="B50" s="153" t="str">
        <f>IF(B49=Para1!$F$153,Para1!$F$109,IF(B49=Para1!$F$109,Para1!$F$148,IF(B49=Para1!$F$148,Para1!$F$111,IF(B49=Para1!$F$111,Para1!$F$120,IF(B49=Para1!$F$120,Para1!$F$170,IF(B49=Para1!$F$170,Para1!$F$173,Para1!$F$153))))))</f>
        <v>Sat</v>
      </c>
      <c r="C50" s="261"/>
      <c r="D50" s="315"/>
      <c r="E50" s="294"/>
      <c r="F50" s="295"/>
      <c r="G50" s="294"/>
      <c r="H50" s="294"/>
      <c r="I50" s="296"/>
      <c r="J50" s="310"/>
      <c r="K50" s="378"/>
      <c r="L50" s="379"/>
      <c r="M50" s="129"/>
      <c r="N50" s="197"/>
      <c r="O50" s="299"/>
      <c r="P50" s="368">
        <f>P43</f>
        <v>0</v>
      </c>
      <c r="Q50" s="368">
        <f t="shared" si="8"/>
        <v>0</v>
      </c>
      <c r="R50" s="299" t="e">
        <f>IF(VLOOKUP(A50,Para1!$B$67:$E$72,2,FALSE)="11.",VLOOKUP(A50,Para1!$B$67:$E$72,3,FALSE),"")</f>
        <v>#N/A</v>
      </c>
      <c r="S50" s="299" t="str">
        <f>IF((P50+Q50)=0,"",IF(ISNA(R50),"",IF(R50="","",VLOOKUP(R50,Para1!$D$67:$G$79,3,FALSE)*(IF(P50+Q50=1,0.5,1)))))</f>
        <v/>
      </c>
      <c r="T50" s="299" t="str">
        <f>IF(P50+Q50=0,"",IF(ISNA(R51),"",IF(R51="","",VLOOKUP(R51,Para1!$D$67:$G$79,4,FALSE)*(IF(P50+Q50=1,0.5,1)))))</f>
        <v/>
      </c>
      <c r="U50" s="299" t="str">
        <f t="shared" si="4"/>
        <v/>
      </c>
      <c r="V50" s="299" t="str">
        <f t="shared" si="5"/>
        <v/>
      </c>
      <c r="W50" s="299">
        <f t="shared" si="3"/>
        <v>0</v>
      </c>
    </row>
    <row r="51" spans="1:27" ht="17" customHeight="1" x14ac:dyDescent="0.15">
      <c r="A51" s="102" t="s">
        <v>39</v>
      </c>
      <c r="B51" s="153" t="str">
        <f>IF(B50=Para1!$F$153,Para1!$F$109,IF(B50=Para1!$F$109,Para1!$F$148,IF(B50=Para1!$F$148,Para1!$F$111,IF(B50=Para1!$F$111,Para1!$F$120,IF(B50=Para1!$F$120,Para1!$F$170,IF(B50=Para1!$F$170,Para1!$F$173,Para1!$F$153))))))</f>
        <v>Sun</v>
      </c>
      <c r="C51" s="261"/>
      <c r="D51" s="315"/>
      <c r="E51" s="294"/>
      <c r="F51" s="295"/>
      <c r="G51" s="294"/>
      <c r="H51" s="294"/>
      <c r="I51" s="296"/>
      <c r="J51" s="310"/>
      <c r="K51" s="378"/>
      <c r="L51" s="379"/>
      <c r="M51" s="129"/>
      <c r="N51" s="197"/>
      <c r="O51" s="299"/>
      <c r="P51" s="339">
        <f>P44</f>
        <v>0</v>
      </c>
      <c r="Q51" s="367">
        <f>Q44</f>
        <v>0</v>
      </c>
      <c r="R51" s="299" t="e">
        <f>IF(VLOOKUP(A51,Para1!$B$67:$E$72,2,FALSE)="11.",VLOOKUP(A51,Para1!$B$67:$E$72,3,FALSE),"")</f>
        <v>#N/A</v>
      </c>
      <c r="S51" s="299" t="str">
        <f>IF((P51+Q51)=0,"",IF(ISNA(R51),"",IF(R51="","",VLOOKUP(R51,Para1!$D$67:$G$79,3,FALSE)*(IF(P51+Q51=1,0.5,1)))))</f>
        <v/>
      </c>
      <c r="T51" s="299" t="str">
        <f>IF(P51+Q51=0,"",IF(ISNA(R52),"",IF(R52="","",VLOOKUP(R52,Para1!$D$67:$G$79,4,FALSE)*(IF(P51+Q51=1,0.5,1)))))</f>
        <v/>
      </c>
      <c r="U51" s="299" t="str">
        <f t="shared" si="4"/>
        <v/>
      </c>
      <c r="V51" s="299" t="str">
        <f t="shared" si="5"/>
        <v/>
      </c>
      <c r="W51" s="299">
        <f t="shared" si="3"/>
        <v>0</v>
      </c>
    </row>
    <row r="52" spans="1:27" ht="17" customHeight="1" thickBot="1" x14ac:dyDescent="0.2">
      <c r="A52" s="102" t="s">
        <v>40</v>
      </c>
      <c r="B52" s="153" t="str">
        <f>IF(B51=Para1!$F$153,Para1!$F$109,IF(B51=Para1!$F$109,Para1!$F$148,IF(B51=Para1!$F$148,Para1!$F$111,IF(B51=Para1!$F$111,Para1!$F$120,IF(B51=Para1!$F$120,Para1!$F$170,IF(B51=Para1!$F$170,Para1!$F$173,Para1!$F$153))))))</f>
        <v>Mon</v>
      </c>
      <c r="C52" s="261"/>
      <c r="D52" s="315"/>
      <c r="E52" s="294"/>
      <c r="F52" s="295"/>
      <c r="G52" s="294"/>
      <c r="H52" s="294"/>
      <c r="I52" s="296"/>
      <c r="J52" s="310"/>
      <c r="K52" s="378"/>
      <c r="L52" s="379"/>
      <c r="M52" s="129"/>
      <c r="N52" s="197"/>
      <c r="O52" s="299"/>
      <c r="P52" s="375">
        <f t="shared" ref="P52:Q52" si="9">P45</f>
        <v>1</v>
      </c>
      <c r="Q52" s="368">
        <f t="shared" si="9"/>
        <v>1</v>
      </c>
      <c r="R52" s="299" t="e">
        <f>IF(VLOOKUP(A52,Para1!$B$67:$E$72,2,FALSE)="11.",VLOOKUP(A52,Para1!$B$67:$E$72,3,FALSE),"")</f>
        <v>#N/A</v>
      </c>
      <c r="S52" s="299" t="str">
        <f>IF((P52+Q52)=0,"",IF(ISNA(R52),"",IF(R52="","",VLOOKUP(R52,Para1!$D$67:$G$79,3,FALSE)*(IF(P52+Q52=1,0.5,1)))))</f>
        <v/>
      </c>
      <c r="T52" s="299" t="str">
        <f>IF(P52+Q52=0,"",IF(ISNA(R53),"",IF(R53="","",VLOOKUP(R53,Para1!$D$67:$G$79,4,FALSE)*(IF(P52+Q52=1,0.5,1)))))</f>
        <v/>
      </c>
      <c r="U52" s="299" t="str">
        <f t="shared" si="4"/>
        <v/>
      </c>
      <c r="V52" s="299" t="str">
        <f t="shared" si="5"/>
        <v/>
      </c>
      <c r="W52" s="299">
        <f t="shared" si="3"/>
        <v>0</v>
      </c>
    </row>
    <row r="53" spans="1:27" ht="17" customHeight="1" thickTop="1" thickBot="1" x14ac:dyDescent="0.2">
      <c r="A53" s="38"/>
      <c r="B53" s="156"/>
      <c r="C53" s="259"/>
      <c r="D53" s="321"/>
      <c r="E53" s="322"/>
      <c r="F53" s="323"/>
      <c r="G53" s="322"/>
      <c r="H53" s="322"/>
      <c r="I53" s="324"/>
      <c r="J53" s="310"/>
      <c r="K53" s="387"/>
      <c r="L53" s="388"/>
      <c r="M53" s="129"/>
      <c r="N53" s="197"/>
      <c r="O53" s="299"/>
      <c r="P53" s="373"/>
      <c r="Q53" s="373"/>
      <c r="R53" s="299" t="e">
        <f>IF(VLOOKUP(A53,Para1!$B$67:$E$72,2,FALSE)="11.",VLOOKUP(A53,Para1!$B$67:$E$72,3,FALSE),"")</f>
        <v>#N/A</v>
      </c>
      <c r="S53" s="299" t="str">
        <f>IF((P53+Q53)=0,"",IF(ISNA(R53),"",IF(R53="","",VLOOKUP(R53,Para1!$D$67:$G$79,3,FALSE)*(IF(P53+Q53=1,0.5,1)))))</f>
        <v/>
      </c>
      <c r="T53" s="299" t="str">
        <f>IF(P53+Q53=0,"",IF(ISNA(Dezember!R23),"",IF(Dezember!R23="","",VLOOKUP(Dezember!R23,Para1!$D$67:$G$79,4,FALSE)*(IF(P53+Q53=1,0.5,1)))))</f>
        <v/>
      </c>
      <c r="U53" s="299" t="str">
        <f t="shared" si="4"/>
        <v/>
      </c>
      <c r="V53" s="299" t="str">
        <f t="shared" si="5"/>
        <v/>
      </c>
      <c r="W53" s="299">
        <f>IF(S53=0,P53+Q53,0)</f>
        <v>0</v>
      </c>
    </row>
    <row r="54" spans="1:27" ht="15" thickTop="1" x14ac:dyDescent="0.15">
      <c r="A54" s="36"/>
      <c r="B54" s="32"/>
      <c r="C54" s="16"/>
      <c r="D54" s="159">
        <f t="shared" ref="D54:I54" si="10">SUM(D23:D53)</f>
        <v>0</v>
      </c>
      <c r="E54" s="92">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0</v>
      </c>
    </row>
    <row r="55" spans="1:27" ht="15" thickBot="1" x14ac:dyDescent="0.2">
      <c r="A55" s="37"/>
      <c r="B55" s="33"/>
      <c r="C55" s="33"/>
      <c r="D55" s="598">
        <f t="shared" ref="D55:I55" si="11">D54*24</f>
        <v>0</v>
      </c>
      <c r="E55" s="595">
        <f t="shared" si="11"/>
        <v>0</v>
      </c>
      <c r="F55" s="587">
        <f t="shared" si="11"/>
        <v>0</v>
      </c>
      <c r="G55" s="587">
        <f t="shared" si="11"/>
        <v>0</v>
      </c>
      <c r="H55" s="587">
        <f t="shared" si="11"/>
        <v>0</v>
      </c>
      <c r="I55" s="588">
        <f t="shared" si="11"/>
        <v>0</v>
      </c>
      <c r="J55" s="260"/>
      <c r="M55" s="163" t="str">
        <f>Para1!G2</f>
        <v>AE v1_01 20.08.2019</v>
      </c>
      <c r="P55" s="624">
        <f>(Para1!K60/100*$G$3+((S54+T54)/100*$G$3))/(SUM(P23:Q53)-R54)/24</f>
        <v>0.17500000000000002</v>
      </c>
      <c r="Q55" s="625"/>
    </row>
    <row r="56" spans="1:27" ht="15" thickTop="1" x14ac:dyDescent="0.15">
      <c r="D56" s="11"/>
      <c r="K56" s="16"/>
      <c r="Q56" s="16"/>
      <c r="R56" s="16"/>
      <c r="S56" s="16"/>
      <c r="T56" s="16"/>
      <c r="U56" s="16"/>
      <c r="V56" s="16"/>
      <c r="W56" s="16"/>
      <c r="X56" s="16"/>
      <c r="Y56" s="16"/>
      <c r="Z56" s="16"/>
      <c r="AA56" s="16"/>
    </row>
    <row r="57" spans="1:27"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x14ac:dyDescent="0.15">
      <c r="A58" s="5"/>
      <c r="B58" s="5"/>
      <c r="C58" s="5"/>
      <c r="D58" s="5"/>
      <c r="E58" s="5"/>
      <c r="F58" s="5"/>
      <c r="G58" s="5"/>
      <c r="H58" s="5"/>
      <c r="I58" s="562"/>
      <c r="J58" s="562"/>
      <c r="K58" s="562"/>
      <c r="L58" s="562"/>
    </row>
    <row r="59" spans="1:27" ht="22.5" customHeight="1" x14ac:dyDescent="0.15">
      <c r="A59" s="5"/>
      <c r="B59" s="5"/>
      <c r="C59" s="5"/>
      <c r="D59" s="5"/>
      <c r="E59" s="5"/>
      <c r="F59" s="563" t="str">
        <f>Para1!F191&amp;" "&amp;Para1!F193</f>
        <v>signature manager</v>
      </c>
      <c r="G59" s="5"/>
      <c r="H59" s="564"/>
      <c r="I59" s="565"/>
      <c r="J59" s="565"/>
      <c r="K59" s="565"/>
      <c r="L59" s="565"/>
    </row>
    <row r="60" spans="1:27" x14ac:dyDescent="0.15">
      <c r="D60" s="11"/>
    </row>
    <row r="61" spans="1:27" ht="22.5" customHeight="1" x14ac:dyDescent="0.15">
      <c r="A61" s="42"/>
      <c r="B61" s="43"/>
      <c r="C61" s="43"/>
      <c r="D61" s="44"/>
      <c r="E61" s="45"/>
      <c r="F61" s="44"/>
      <c r="G61" s="141"/>
      <c r="I61" s="9"/>
      <c r="J61" s="132"/>
      <c r="L61" s="132"/>
      <c r="M61" s="46"/>
      <c r="Q61" s="58"/>
    </row>
  </sheetData>
  <sheetProtection password="CF1F" sheet="1" objects="1" scenarios="1"/>
  <mergeCells count="29">
    <mergeCell ref="P20:Q20"/>
    <mergeCell ref="P21:P22"/>
    <mergeCell ref="Q21:Q22"/>
    <mergeCell ref="P54:Q54"/>
    <mergeCell ref="P55:Q55"/>
    <mergeCell ref="A1:B1"/>
    <mergeCell ref="A3:B3"/>
    <mergeCell ref="K20:L20"/>
    <mergeCell ref="M20:N20"/>
    <mergeCell ref="K21:K22"/>
    <mergeCell ref="L21:L22"/>
    <mergeCell ref="J9:K9"/>
    <mergeCell ref="J10:K10"/>
    <mergeCell ref="D20:I20"/>
    <mergeCell ref="D21:D22"/>
    <mergeCell ref="D1:E1"/>
    <mergeCell ref="E21:E22"/>
    <mergeCell ref="A22:B22"/>
    <mergeCell ref="C16:E16"/>
    <mergeCell ref="C17:E17"/>
    <mergeCell ref="C18:E18"/>
    <mergeCell ref="B13:E13"/>
    <mergeCell ref="C14:E14"/>
    <mergeCell ref="C15:E15"/>
    <mergeCell ref="A21:B21"/>
    <mergeCell ref="I21:I22"/>
    <mergeCell ref="F21:F22"/>
    <mergeCell ref="G21:G22"/>
    <mergeCell ref="H21:H22"/>
  </mergeCells>
  <phoneticPr fontId="0" type="noConversion"/>
  <conditionalFormatting sqref="A23:B52">
    <cfRule type="expression" dxfId="18" priority="6">
      <formula>$S23=0</formula>
    </cfRule>
    <cfRule type="expression" dxfId="17" priority="7">
      <formula>$P23+$Q23=0</formula>
    </cfRule>
  </conditionalFormatting>
  <conditionalFormatting sqref="D23:I52">
    <cfRule type="expression" dxfId="16" priority="4">
      <formula>$P23+$Q23=1</formula>
    </cfRule>
    <cfRule type="expression" dxfId="15" priority="5">
      <formula>$P23+$Q23=0</formula>
    </cfRule>
  </conditionalFormatting>
  <conditionalFormatting sqref="D23:I52 K23:L52 P23:Q52">
    <cfRule type="expression" dxfId="14" priority="3">
      <formula>$S23=0</formula>
    </cfRule>
  </conditionalFormatting>
  <conditionalFormatting sqref="K23:K52 P23:P52">
    <cfRule type="expression" dxfId="13" priority="2">
      <formula>$P23=0</formula>
    </cfRule>
  </conditionalFormatting>
  <conditionalFormatting sqref="L23:L52 Q23:Q52">
    <cfRule type="expression" dxfId="12" priority="1">
      <formula>$Q23=0</formula>
    </cfRule>
  </conditionalFormatting>
  <dataValidations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D00-000000000000}">
      <formula1>0</formula1>
      <formula2>25</formula2>
    </dataValidation>
  </dataValidations>
  <pageMargins left="0.38" right="0.4" top="0.79" bottom="0.39370078740157483" header="0.28999999999999998" footer="0.15748031496062992"/>
  <pageSetup paperSize="9" scale="66" fitToHeight="0" orientation="portrait" verticalDpi="300" r:id="rId1"/>
  <headerFooter alignWithMargins="0">
    <oddHeader>&amp;C&amp;"Arial,Fett Kursiv"&amp;16Absenzenerfassung -  &amp;A</oddHeader>
    <oddFooter>&amp;L&amp;Z&amp;F</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5">
    <pageSetUpPr fitToPage="1"/>
  </sheetPr>
  <dimension ref="A1:AA65"/>
  <sheetViews>
    <sheetView showGridLines="0" topLeftCell="A25" zoomScale="85" zoomScaleNormal="85" workbookViewId="0">
      <selection activeCell="Q43" sqref="Q43"/>
    </sheetView>
  </sheetViews>
  <sheetFormatPr baseColWidth="10" defaultColWidth="11.5" defaultRowHeight="14" x14ac:dyDescent="0.15"/>
  <cols>
    <col min="1" max="1" width="8.33203125" style="17" customWidth="1"/>
    <col min="2" max="2" width="8.33203125" style="11" customWidth="1"/>
    <col min="3" max="3" width="2.83203125" style="11" customWidth="1"/>
    <col min="4" max="4" width="12.6640625" style="43" customWidth="1"/>
    <col min="5"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11.5" style="11" hidden="1" customWidth="1"/>
    <col min="24" max="16384" width="11.5" style="11"/>
  </cols>
  <sheetData>
    <row r="1" spans="1:16"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row>
    <row r="2" spans="1:16" ht="6" customHeight="1" x14ac:dyDescent="0.15">
      <c r="D2" s="7"/>
      <c r="E2" s="7"/>
      <c r="F2" s="7"/>
      <c r="G2" s="7"/>
      <c r="H2" s="11"/>
      <c r="I2" s="7"/>
      <c r="J2" s="7"/>
      <c r="K2" s="7"/>
      <c r="L2" s="7"/>
      <c r="M2" s="5"/>
      <c r="N2" s="5"/>
    </row>
    <row r="3" spans="1:16" x14ac:dyDescent="0.15">
      <c r="A3" s="636" t="str">
        <f>Para1!F165</f>
        <v xml:space="preserve">pers.-no.: </v>
      </c>
      <c r="B3" s="636"/>
      <c r="C3" s="237"/>
      <c r="D3" s="241">
        <f>'Jahresübersicht (Overview)'!C4</f>
        <v>0</v>
      </c>
      <c r="E3" s="7"/>
      <c r="F3" s="8" t="str">
        <f>Para1!F97&amp;": "</f>
        <v xml:space="preserve">level of employment: </v>
      </c>
      <c r="G3" s="29">
        <f>'Jahresübersicht (Overview)'!N8</f>
        <v>100</v>
      </c>
      <c r="H3" s="11" t="s">
        <v>215</v>
      </c>
      <c r="I3" s="58"/>
      <c r="J3" s="237"/>
      <c r="K3" s="246" t="str">
        <f>Para1!F113</f>
        <v xml:space="preserve">starting date: </v>
      </c>
      <c r="L3" s="247">
        <f>'Jahresübersicht (Overview)'!G4</f>
        <v>42596</v>
      </c>
      <c r="M3" s="243"/>
      <c r="N3" s="243"/>
    </row>
    <row r="4" spans="1:16" ht="6" customHeight="1" x14ac:dyDescent="0.15">
      <c r="A4" s="12"/>
      <c r="B4" s="13"/>
      <c r="C4" s="13"/>
      <c r="D4" s="14"/>
      <c r="E4" s="14"/>
      <c r="F4" s="14"/>
      <c r="G4" s="14"/>
      <c r="H4" s="14"/>
      <c r="I4" s="15"/>
      <c r="J4" s="15"/>
      <c r="K4" s="15"/>
      <c r="L4" s="15"/>
      <c r="M4" s="13"/>
      <c r="N4" s="13"/>
    </row>
    <row r="5" spans="1:16" ht="6" customHeight="1" x14ac:dyDescent="0.15">
      <c r="D5" s="7"/>
      <c r="E5" s="7"/>
      <c r="F5" s="7"/>
      <c r="G5" s="7"/>
      <c r="H5" s="7"/>
      <c r="I5" s="9"/>
      <c r="J5" s="9"/>
      <c r="K5" s="9"/>
      <c r="L5" s="9"/>
    </row>
    <row r="6" spans="1:16" ht="15" customHeight="1" x14ac:dyDescent="0.15">
      <c r="D6" s="7"/>
      <c r="E6" s="21"/>
      <c r="F6" s="7"/>
      <c r="G6" s="7"/>
      <c r="H6" s="7"/>
      <c r="I6" s="9"/>
      <c r="J6" s="9"/>
      <c r="K6" s="9"/>
      <c r="L6" s="9"/>
    </row>
    <row r="7" spans="1:16"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row>
    <row r="8" spans="1:16" ht="15" customHeight="1" x14ac:dyDescent="0.15">
      <c r="D8" s="198" t="str">
        <f>Para1!B171&amp;" "&amp;Para1!B88&amp;" "&amp;Para1!B154</f>
        <v>Saldo Anfang Monat</v>
      </c>
      <c r="E8" s="201">
        <f>November!E11</f>
        <v>3.1208333333333331</v>
      </c>
      <c r="H8" s="11"/>
      <c r="I8" s="21" t="str">
        <f>Para1!F141</f>
        <v>illness</v>
      </c>
      <c r="J8" s="242"/>
      <c r="K8" s="5"/>
      <c r="L8" s="161">
        <f>D54</f>
        <v>0</v>
      </c>
      <c r="M8" s="161">
        <f>November!N8</f>
        <v>0</v>
      </c>
      <c r="N8" s="93">
        <f t="shared" ref="N8:N13" si="0">SUM(L8:M8)</f>
        <v>0</v>
      </c>
    </row>
    <row r="9" spans="1:16" ht="15" customHeight="1" x14ac:dyDescent="0.15">
      <c r="D9" s="198" t="str">
        <f>"./. "&amp;Para1!F118</f>
        <v>./. holiday taken</v>
      </c>
      <c r="E9" s="201">
        <f>(COUNTIF($K$23:$L$45,"f")+COUNTIF($K$46,"f")+COUNTIF($K$47:$L$52,"f")+COUNTIF($K$53,"f"))*$P$55-IF(ISNA(F9),0,(S54+T54)/4800*G3)-IF(ISNA(G9),0,(S54+T54)/4800*G3)</f>
        <v>0</v>
      </c>
      <c r="F9" s="299" t="e">
        <f>INDEX((U23:U45,U47:U52),MATCH("f",(U23:U45,U47:U52),0))</f>
        <v>#N/A</v>
      </c>
      <c r="G9" s="299" t="e">
        <f>INDEX((V23:V45,V47:V52),MATCH("f",(V23:V45,V47:V52),0))</f>
        <v>#N/A</v>
      </c>
      <c r="H9" s="11"/>
      <c r="I9" s="21" t="str">
        <f>Para1!F190</f>
        <v>accident</v>
      </c>
      <c r="J9" s="641" t="str">
        <f>Para1!F99</f>
        <v>work related</v>
      </c>
      <c r="K9" s="641"/>
      <c r="L9" s="161">
        <f>E54</f>
        <v>0</v>
      </c>
      <c r="M9" s="161">
        <f>November!N9</f>
        <v>0</v>
      </c>
      <c r="N9" s="93">
        <f t="shared" si="0"/>
        <v>0</v>
      </c>
    </row>
    <row r="10" spans="1:16" ht="15" customHeight="1" x14ac:dyDescent="0.15">
      <c r="D10" s="198" t="str">
        <f>"./ ."&amp;Para1!F119</f>
        <v>./ .reduction of holiday</v>
      </c>
      <c r="E10" s="530">
        <v>0</v>
      </c>
      <c r="H10" s="11"/>
      <c r="I10" s="21"/>
      <c r="J10" s="641" t="str">
        <f>Para1!F161&amp;" "&amp;Para1!F100</f>
        <v>not work. rel.</v>
      </c>
      <c r="K10" s="641"/>
      <c r="L10" s="161">
        <f>F54</f>
        <v>0</v>
      </c>
      <c r="M10" s="161">
        <f>November!N10</f>
        <v>0</v>
      </c>
      <c r="N10" s="93">
        <f t="shared" si="0"/>
        <v>0</v>
      </c>
    </row>
    <row r="11" spans="1:16" ht="15" customHeight="1" thickBot="1" x14ac:dyDescent="0.2">
      <c r="B11" s="251"/>
      <c r="C11" s="251"/>
      <c r="D11" s="246" t="str">
        <f>Para1!F171&amp;" "&amp;Para1!F115&amp;" "&amp;Para1!F154</f>
        <v>balance end of the month</v>
      </c>
      <c r="E11" s="202">
        <f>$E$8-$E$9-$E$10</f>
        <v>3.1208333333333331</v>
      </c>
      <c r="H11" s="11"/>
      <c r="I11" s="49" t="str">
        <f>Para1!F142</f>
        <v>short vacation</v>
      </c>
      <c r="J11" s="5"/>
      <c r="K11" s="5"/>
      <c r="L11" s="161">
        <f>G54</f>
        <v>0</v>
      </c>
      <c r="M11" s="161">
        <f>November!N11</f>
        <v>0</v>
      </c>
      <c r="N11" s="93">
        <f t="shared" si="0"/>
        <v>0</v>
      </c>
    </row>
    <row r="12" spans="1:16" ht="15" customHeight="1" thickTop="1" x14ac:dyDescent="0.15">
      <c r="B12" s="542" t="str">
        <f>IF((E11*24+(4.2*'Persönliche Daten (pers. data)'!O8/100))&lt;0,Para1!J224,IF(E11&gt;0,"",Para1!J223))</f>
        <v/>
      </c>
      <c r="D12" s="11"/>
      <c r="H12" s="11"/>
      <c r="I12" s="24" t="str">
        <f>Para1!F198</f>
        <v>training / education</v>
      </c>
      <c r="J12" s="5"/>
      <c r="K12" s="5"/>
      <c r="L12" s="161">
        <f>H54</f>
        <v>0</v>
      </c>
      <c r="M12" s="161">
        <f>November!N12</f>
        <v>0</v>
      </c>
      <c r="N12" s="93">
        <f t="shared" si="0"/>
        <v>0</v>
      </c>
    </row>
    <row r="13" spans="1:16"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November!N13</f>
        <v>0</v>
      </c>
      <c r="N13" s="93">
        <f t="shared" si="0"/>
        <v>0</v>
      </c>
    </row>
    <row r="14" spans="1:16" ht="15" customHeight="1" x14ac:dyDescent="0.15">
      <c r="B14" s="302" t="s">
        <v>420</v>
      </c>
      <c r="C14" s="653" t="str">
        <f>Para1!F117</f>
        <v>holiday</v>
      </c>
      <c r="D14" s="653"/>
      <c r="E14" s="654"/>
      <c r="H14" s="11"/>
      <c r="I14" s="200" t="str">
        <f>Para1!F192</f>
        <v>leave</v>
      </c>
      <c r="J14" s="249" t="str">
        <f>Para1!F101</f>
        <v>paid</v>
      </c>
      <c r="K14" s="182"/>
      <c r="L14" s="249">
        <f>(COUNTIF($K$23:$L$45,"b")+COUNTIF($K$46,"b")+COUNTIF($K$47:$L$52,"b")+COUNTIF($K$53,"b"))*$P$55-IF(ISNA(O14),0,(S54+T54)/4800*G3)-IF(ISNA(P14),0,(S54+T54)/4800*G3)</f>
        <v>0</v>
      </c>
      <c r="M14" s="161">
        <f>November!N14</f>
        <v>0</v>
      </c>
      <c r="N14" s="93">
        <f>SUM(L14:M14)</f>
        <v>0</v>
      </c>
      <c r="O14" s="299" t="e">
        <f>INDEX((U23:U45,U47:U52),MATCH("b",(U23:U45,U47:U52),0))</f>
        <v>#N/A</v>
      </c>
      <c r="P14" s="299" t="e">
        <f>INDEX((V23:V45,V47:V52),MATCH("b",(V23:V45,V47:V52),0))</f>
        <v>#N/A</v>
      </c>
    </row>
    <row r="15" spans="1:16" ht="15" customHeight="1" x14ac:dyDescent="0.15">
      <c r="B15" s="302" t="s">
        <v>421</v>
      </c>
      <c r="C15" s="655" t="str">
        <f>Para1!F157</f>
        <v>parental leave</v>
      </c>
      <c r="D15" s="655"/>
      <c r="E15" s="656"/>
      <c r="G15" s="182"/>
      <c r="H15" s="182"/>
      <c r="I15" s="200"/>
      <c r="J15" s="249" t="str">
        <f>Para1!F189</f>
        <v>unpaid</v>
      </c>
      <c r="K15" s="182"/>
      <c r="L15" s="249">
        <f>(COUNTIF($K$23:$L$45,"u")+COUNTIF($K$46,"u")+COUNTIF($K$47:$L$52,"u")+COUNTIF($K$53,"u"))*$P$55-IF(ISNA(O15),0,(S54+T54)/48*G2)-IF(ISNA(P15),0,(S54+T54)/4800*G3)</f>
        <v>0</v>
      </c>
      <c r="M15" s="161">
        <f>November!N15</f>
        <v>0</v>
      </c>
      <c r="N15" s="93">
        <f>SUM(L15:M15)</f>
        <v>0</v>
      </c>
      <c r="O15" s="299" t="e">
        <f>INDEX((U23:U45,U47:U52),MATCH("u",(U23:U45,U47:U52),0))</f>
        <v>#N/A</v>
      </c>
      <c r="P15" s="299" t="e">
        <f>INDEX((V23:V45,V47:V52),MATCH("u",(V23:V45,V47:V52),0))</f>
        <v>#N/A</v>
      </c>
    </row>
    <row r="16" spans="1:16" ht="15" customHeight="1" x14ac:dyDescent="0.15">
      <c r="B16" s="302" t="s">
        <v>422</v>
      </c>
      <c r="C16" s="653" t="str">
        <f>Para1!F150</f>
        <v>military/civil def./civil serv.</v>
      </c>
      <c r="D16" s="653"/>
      <c r="E16" s="654"/>
      <c r="G16" s="182"/>
      <c r="H16" s="182"/>
      <c r="I16" s="200" t="str">
        <f>Para1!F157</f>
        <v>parental leave</v>
      </c>
      <c r="J16" s="182"/>
      <c r="K16" s="182"/>
      <c r="L16" s="249">
        <f>(COUNTIF($K$23:$L$45,"m")+COUNTIF($K$46,"m")+COUNTIF($K$47:$L$52,"m")+COUNTIF($K$53,"m"))*$P$55-IF(ISNA(O16),0,(S54+T54)/4800*G3)-IF(ISNA(P16),0,(S54+T54)/48*G3)</f>
        <v>0</v>
      </c>
      <c r="M16" s="161">
        <f>November!N16</f>
        <v>0</v>
      </c>
      <c r="N16" s="93">
        <f>SUM(L16:M16)</f>
        <v>0</v>
      </c>
      <c r="O16" s="299" t="e">
        <f>INDEX((U23:U45,U47:U52),MATCH("m",(U23:U45,U47:U52),0))</f>
        <v>#N/A</v>
      </c>
      <c r="P16" s="299" t="e">
        <f>INDEX((V23:V45,V47:V52),MATCH("m",(V23:V45,V47:V52),0))</f>
        <v>#N/A</v>
      </c>
    </row>
    <row r="17" spans="1:24" ht="15" customHeight="1" x14ac:dyDescent="0.15">
      <c r="B17" s="303" t="s">
        <v>424</v>
      </c>
      <c r="C17" s="655" t="str">
        <f>Para1!F192&amp;" "&amp;Para1!F101</f>
        <v>leave paid</v>
      </c>
      <c r="D17" s="655"/>
      <c r="E17" s="656"/>
      <c r="G17" s="182"/>
      <c r="H17" s="182"/>
      <c r="I17" s="21" t="str">
        <f>Para1!F150</f>
        <v>military/civil def./civil serv.</v>
      </c>
      <c r="J17" s="58"/>
      <c r="K17" s="58"/>
      <c r="L17" s="249">
        <f>(COUNTIF($K$23:$L$45,"z")+COUNTIF($K$46,"z")+COUNTIF($K$47:$L$52,"z")+COUNTIF($K$53,"z"))*$P$55-IF(ISNA(O17),0,(S54+T54)/4800*G3)-IF(ISNA(P17),0,(S54+T54)/4800*G3)</f>
        <v>0</v>
      </c>
      <c r="M17" s="161">
        <f>November!N17</f>
        <v>0</v>
      </c>
      <c r="N17" s="93">
        <f>SUM(L17:M17)</f>
        <v>0</v>
      </c>
      <c r="O17" s="299" t="e">
        <f>INDEX((U23:U45,U47:U52),MATCH("z",(U23:U45,U47:U52),0))</f>
        <v>#N/A</v>
      </c>
      <c r="P17" s="299" t="e">
        <f>INDEX((V23:V45,V47:V52),MATCH("z",(V23:V45,V47:V52),0))</f>
        <v>#N/A</v>
      </c>
    </row>
    <row r="18" spans="1:24"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row>
    <row r="19" spans="1:24" ht="35.25" customHeight="1" thickTop="1" thickBot="1" x14ac:dyDescent="0.2">
      <c r="A19" s="25" t="str">
        <f>Para1!F104</f>
        <v>(please enter in hours and minutes)</v>
      </c>
      <c r="B19" s="7"/>
      <c r="C19" s="7"/>
      <c r="D19" s="7"/>
      <c r="E19" s="7"/>
      <c r="F19" s="7"/>
      <c r="G19" s="7"/>
      <c r="H19" s="7"/>
      <c r="I19" s="9"/>
      <c r="J19" s="9"/>
      <c r="K19" s="9"/>
      <c r="L19" s="9"/>
    </row>
    <row r="20" spans="1:24"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c r="R20" s="493"/>
      <c r="S20" s="493"/>
      <c r="T20" s="493"/>
      <c r="U20" s="493"/>
      <c r="V20" s="493"/>
      <c r="W20" s="493"/>
      <c r="X20" s="493"/>
    </row>
    <row r="21" spans="1:24" s="250" customFormat="1" ht="18.75" customHeight="1" thickTop="1" x14ac:dyDescent="0.15">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P21" s="632" t="str">
        <f>Para1!F194</f>
        <v>morning</v>
      </c>
      <c r="Q21" s="634" t="str">
        <f>Para1!F158</f>
        <v>afternoon</v>
      </c>
      <c r="R21" s="542"/>
      <c r="S21" s="542"/>
      <c r="T21" s="542"/>
      <c r="U21" s="542"/>
      <c r="V21" s="542"/>
      <c r="W21" s="542"/>
      <c r="X21" s="542"/>
    </row>
    <row r="22" spans="1:24" s="250" customFormat="1" ht="15.75" customHeight="1" thickBot="1" x14ac:dyDescent="0.2">
      <c r="A22" s="639" t="str">
        <f>Para1!F106</f>
        <v>date</v>
      </c>
      <c r="B22" s="640"/>
      <c r="C22" s="536"/>
      <c r="D22" s="649"/>
      <c r="E22" s="660"/>
      <c r="F22" s="658"/>
      <c r="G22" s="659"/>
      <c r="H22" s="647"/>
      <c r="I22" s="638"/>
      <c r="J22" s="257"/>
      <c r="K22" s="668"/>
      <c r="L22" s="666"/>
      <c r="M22" s="196"/>
      <c r="P22" s="633"/>
      <c r="Q22" s="635"/>
      <c r="R22" s="543"/>
      <c r="S22" s="543"/>
      <c r="T22" s="543"/>
      <c r="U22" s="543"/>
      <c r="V22" s="543"/>
      <c r="W22" s="543"/>
      <c r="X22" s="543"/>
    </row>
    <row r="23" spans="1:24" ht="17" customHeight="1" thickTop="1" x14ac:dyDescent="0.15">
      <c r="A23" s="102" t="s">
        <v>4</v>
      </c>
      <c r="B23" s="153" t="str">
        <f>IF(November!B52=Para1!$F$153,Para1!$F$109,IF(November!B52=Para1!$F$109,Para1!$F$148,IF(November!B52=Para1!$F$148,Para1!$F$111,IF(November!B52=Para1!$F$111,Para1!$F$120,IF(November!B52=Para1!$F$120,Para1!$F$170,IF(November!B52=Para1!$F$170,Para1!$F$173,Para1!$F$153))))))</f>
        <v>Tue</v>
      </c>
      <c r="C23" s="185"/>
      <c r="D23" s="315"/>
      <c r="E23" s="298"/>
      <c r="F23" s="295"/>
      <c r="G23" s="294"/>
      <c r="H23" s="294"/>
      <c r="I23" s="296"/>
      <c r="J23" s="310"/>
      <c r="K23" s="378"/>
      <c r="L23" s="379"/>
      <c r="M23" s="131"/>
      <c r="N23" s="197"/>
      <c r="O23" s="299"/>
      <c r="P23" s="366">
        <f>November!P46</f>
        <v>1</v>
      </c>
      <c r="Q23" s="366">
        <f>November!Q46</f>
        <v>1</v>
      </c>
      <c r="R23" s="299" t="str">
        <f>IF(VLOOKUP(A23,Para1!$B$67:$E$72,2,FALSE)="12.",VLOOKUP(A23,Para1!$B$67:$E$72,3,FALSE),"")</f>
        <v/>
      </c>
      <c r="S23" s="299" t="str">
        <f>IF((P23+Q23)=0,"",IF(ISNA(R23),"",IF(R23="","",VLOOKUP(R23,Para1!$D$67:$G$79,3,FALSE)*(IF(P23+Q23=1,0.5,1)))))</f>
        <v/>
      </c>
      <c r="T23" s="299" t="str">
        <f>IF(P23+Q23=0,"",IF(ISNA(R24),"",IF(R24="","",VLOOKUP(R24,Para1!$D$67:$G$79,4,FALSE)*(IF(P23+Q23=1,0.5,1)))))</f>
        <v/>
      </c>
      <c r="U23" s="299" t="str">
        <f>IF(SUM(S23:T23)&gt;0,K23,"")</f>
        <v/>
      </c>
      <c r="V23" s="299" t="str">
        <f t="shared" ref="V23" si="1">IF(SUM(S23:T23)&gt;0,L23,"")</f>
        <v/>
      </c>
      <c r="W23" s="299">
        <f>IF(S23=0,P23+Q23,0)</f>
        <v>0</v>
      </c>
      <c r="X23" s="299"/>
    </row>
    <row r="24" spans="1:24" ht="17" customHeight="1" x14ac:dyDescent="0.15">
      <c r="A24" s="102" t="s">
        <v>6</v>
      </c>
      <c r="B24" s="142" t="str">
        <f>IF(B23=Para1!$F$153,Para1!$F$109,IF(B23=Para1!$F$109,Para1!$F$148,IF(B23=Para1!$F$148,Para1!$F$111,IF(B23=Para1!$F$111,Para1!$F$120,IF(B23=Para1!$F$120,Para1!$F$170,IF(B23=Para1!$F$170,Para1!$F$173,Para1!$F$153))))))</f>
        <v>Wed</v>
      </c>
      <c r="C24" s="185"/>
      <c r="D24" s="315"/>
      <c r="E24" s="298"/>
      <c r="F24" s="295"/>
      <c r="G24" s="294"/>
      <c r="H24" s="294"/>
      <c r="I24" s="296"/>
      <c r="J24" s="310"/>
      <c r="K24" s="378"/>
      <c r="L24" s="379"/>
      <c r="M24" s="131"/>
      <c r="N24" s="197"/>
      <c r="O24" s="299"/>
      <c r="P24" s="366">
        <f>November!P47</f>
        <v>1</v>
      </c>
      <c r="Q24" s="366">
        <f>November!Q47</f>
        <v>1</v>
      </c>
      <c r="R24" s="299" t="e">
        <f>IF(VLOOKUP(A24,Para1!$B$67:$E$72,2,FALSE)="12.",VLOOKUP(A24,Para1!$B$67:$E$72,3,FALSE),"")</f>
        <v>#N/A</v>
      </c>
      <c r="S24" s="299" t="str">
        <f>IF((P24+Q24)=0,"",IF(ISNA(R24),"",IF(R24="","",VLOOKUP(R24,Para1!$D$67:$G$79,3,FALSE)*(IF(P24+Q24=1,0.5,1)))))</f>
        <v/>
      </c>
      <c r="T24" s="299" t="str">
        <f>IF(P24+Q24=0,"",IF(ISNA(R25),"",IF(R25="","",VLOOKUP(R25,Para1!$D$67:$G$79,4,FALSE)*(IF(P24+Q24=1,0.5,1)))))</f>
        <v/>
      </c>
      <c r="U24" s="299" t="str">
        <f t="shared" ref="U24:U53" si="2">IF(SUM(S24:T24)&gt;0,K24,"")</f>
        <v/>
      </c>
      <c r="V24" s="299" t="str">
        <f t="shared" ref="V24:V53" si="3">IF(SUM(S24:T24)&gt;0,L24,"")</f>
        <v/>
      </c>
      <c r="W24" s="299">
        <f t="shared" ref="W24:W53" si="4">IF(S24=0,P24+Q24,0)</f>
        <v>0</v>
      </c>
      <c r="X24" s="299"/>
    </row>
    <row r="25" spans="1:24" ht="17" customHeight="1" x14ac:dyDescent="0.15">
      <c r="A25" s="102" t="s">
        <v>8</v>
      </c>
      <c r="B25" s="142" t="str">
        <f>IF(B24=Para1!$F$153,Para1!$F$109,IF(B24=Para1!$F$109,Para1!$F$148,IF(B24=Para1!$F$148,Para1!$F$111,IF(B24=Para1!$F$111,Para1!$F$120,IF(B24=Para1!$F$120,Para1!$F$170,IF(B24=Para1!$F$170,Para1!$F$173,Para1!$F$153))))))</f>
        <v>Thu</v>
      </c>
      <c r="C25" s="186"/>
      <c r="D25" s="315"/>
      <c r="E25" s="298"/>
      <c r="F25" s="295"/>
      <c r="G25" s="294"/>
      <c r="H25" s="294"/>
      <c r="I25" s="296"/>
      <c r="J25" s="310"/>
      <c r="K25" s="378"/>
      <c r="L25" s="379"/>
      <c r="M25" s="129"/>
      <c r="N25" s="197"/>
      <c r="O25" s="299"/>
      <c r="P25" s="366">
        <f>November!P48</f>
        <v>1</v>
      </c>
      <c r="Q25" s="366">
        <f>November!Q48</f>
        <v>1</v>
      </c>
      <c r="R25" s="299" t="e">
        <f>IF(VLOOKUP(A25,Para1!$B$67:$E$72,2,FALSE)="12.",VLOOKUP(A25,Para1!$B$67:$E$72,3,FALSE),"")</f>
        <v>#N/A</v>
      </c>
      <c r="S25" s="299" t="str">
        <f>IF((P25+Q25)=0,"",IF(ISNA(R25),"",IF(R25="","",VLOOKUP(R25,Para1!$D$67:$G$79,3,FALSE)*(IF(P25+Q25=1,0.5,1)))))</f>
        <v/>
      </c>
      <c r="T25" s="299" t="str">
        <f>IF(P25+Q25=0,"",IF(ISNA(R26),"",IF(R26="","",VLOOKUP(R26,Para1!$D$67:$G$79,4,FALSE)*(IF(P25+Q25=1,0.5,1)))))</f>
        <v/>
      </c>
      <c r="U25" s="299" t="str">
        <f t="shared" si="2"/>
        <v/>
      </c>
      <c r="V25" s="299" t="str">
        <f t="shared" si="3"/>
        <v/>
      </c>
      <c r="W25" s="299">
        <f t="shared" si="4"/>
        <v>0</v>
      </c>
      <c r="X25" s="299"/>
    </row>
    <row r="26" spans="1:24" s="39" customFormat="1" ht="17" customHeight="1" x14ac:dyDescent="0.15">
      <c r="A26" s="102" t="s">
        <v>10</v>
      </c>
      <c r="B26" s="142" t="str">
        <f>IF(B25=Para1!$F$153,Para1!$F$109,IF(B25=Para1!$F$109,Para1!$F$148,IF(B25=Para1!$F$148,Para1!$F$111,IF(B25=Para1!$F$111,Para1!$F$120,IF(B25=Para1!$F$120,Para1!$F$170,IF(B25=Para1!$F$170,Para1!$F$173,Para1!$F$153))))))</f>
        <v>Fri</v>
      </c>
      <c r="C26" s="186"/>
      <c r="D26" s="315"/>
      <c r="E26" s="298"/>
      <c r="F26" s="295"/>
      <c r="G26" s="294"/>
      <c r="H26" s="294"/>
      <c r="I26" s="296"/>
      <c r="J26" s="310"/>
      <c r="K26" s="378"/>
      <c r="L26" s="379"/>
      <c r="M26" s="129"/>
      <c r="N26" s="197"/>
      <c r="O26" s="299"/>
      <c r="P26" s="366">
        <f>November!P49</f>
        <v>1</v>
      </c>
      <c r="Q26" s="366">
        <f>November!Q49</f>
        <v>1</v>
      </c>
      <c r="R26" s="299" t="e">
        <f>IF(VLOOKUP(A26,Para1!$B$67:$E$72,2,FALSE)="12.",VLOOKUP(A26,Para1!$B$67:$E$72,3,FALSE),"")</f>
        <v>#N/A</v>
      </c>
      <c r="S26" s="299" t="str">
        <f>IF((P26+Q26)=0,"",IF(ISNA(R26),"",IF(R26="","",VLOOKUP(R26,Para1!$D$67:$G$79,3,FALSE)*(IF(P26+Q26=1,0.5,1)))))</f>
        <v/>
      </c>
      <c r="T26" s="299" t="str">
        <f>IF(P26+Q26=0,"",IF(ISNA(R27),"",IF(R27="","",VLOOKUP(R27,Para1!$D$67:$G$79,4,FALSE)*(IF(P26+Q26=1,0.5,1)))))</f>
        <v/>
      </c>
      <c r="U26" s="299" t="str">
        <f t="shared" si="2"/>
        <v/>
      </c>
      <c r="V26" s="299" t="str">
        <f t="shared" si="3"/>
        <v/>
      </c>
      <c r="W26" s="299">
        <f t="shared" si="4"/>
        <v>0</v>
      </c>
      <c r="X26" s="299"/>
    </row>
    <row r="27" spans="1:24" s="39" customFormat="1" ht="17" customHeight="1" x14ac:dyDescent="0.15">
      <c r="A27" s="102" t="s">
        <v>12</v>
      </c>
      <c r="B27" s="142" t="str">
        <f>IF(B26=Para1!$F$153,Para1!$F$109,IF(B26=Para1!$F$109,Para1!$F$148,IF(B26=Para1!$F$148,Para1!$F$111,IF(B26=Para1!$F$111,Para1!$F$120,IF(B26=Para1!$F$120,Para1!$F$170,IF(B26=Para1!$F$170,Para1!$F$173,Para1!$F$153))))))</f>
        <v>Sat</v>
      </c>
      <c r="C27" s="186"/>
      <c r="D27" s="315"/>
      <c r="E27" s="298"/>
      <c r="F27" s="295"/>
      <c r="G27" s="294"/>
      <c r="H27" s="294"/>
      <c r="I27" s="296"/>
      <c r="J27" s="310"/>
      <c r="K27" s="378"/>
      <c r="L27" s="379"/>
      <c r="M27" s="129"/>
      <c r="N27" s="197"/>
      <c r="O27" s="299"/>
      <c r="P27" s="366">
        <f>November!P50</f>
        <v>0</v>
      </c>
      <c r="Q27" s="366">
        <f>November!Q50</f>
        <v>0</v>
      </c>
      <c r="R27" s="299" t="e">
        <f>IF(VLOOKUP(A27,Para1!$B$67:$E$72,2,FALSE)="12.",VLOOKUP(A27,Para1!$B$67:$E$72,3,FALSE),"")</f>
        <v>#N/A</v>
      </c>
      <c r="S27" s="299" t="str">
        <f>IF((P27+Q27)=0,"",IF(ISNA(R27),"",IF(R27="","",VLOOKUP(R27,Para1!$D$67:$G$79,3,FALSE)*(IF(P27+Q27=1,0.5,1)))))</f>
        <v/>
      </c>
      <c r="T27" s="299" t="str">
        <f>IF(P27+Q27=0,"",IF(ISNA(R28),"",IF(R28="","",VLOOKUP(R28,Para1!$D$67:$G$79,4,FALSE)*(IF(P27+Q27=1,0.5,1)))))</f>
        <v/>
      </c>
      <c r="U27" s="299" t="str">
        <f t="shared" si="2"/>
        <v/>
      </c>
      <c r="V27" s="299" t="str">
        <f t="shared" si="3"/>
        <v/>
      </c>
      <c r="W27" s="299">
        <f t="shared" si="4"/>
        <v>0</v>
      </c>
      <c r="X27" s="299"/>
    </row>
    <row r="28" spans="1:24" ht="17" customHeight="1" x14ac:dyDescent="0.15">
      <c r="A28" s="102" t="s">
        <v>14</v>
      </c>
      <c r="B28" s="142" t="str">
        <f>IF(B27=Para1!$F$153,Para1!$F$109,IF(B27=Para1!$F$109,Para1!$F$148,IF(B27=Para1!$F$148,Para1!$F$111,IF(B27=Para1!$F$111,Para1!$F$120,IF(B27=Para1!$F$120,Para1!$F$170,IF(B27=Para1!$F$170,Para1!$F$173,Para1!$F$153))))))</f>
        <v>Sun</v>
      </c>
      <c r="C28" s="186"/>
      <c r="D28" s="315"/>
      <c r="E28" s="298"/>
      <c r="F28" s="295"/>
      <c r="G28" s="294"/>
      <c r="H28" s="294"/>
      <c r="I28" s="296"/>
      <c r="J28" s="310"/>
      <c r="K28" s="378"/>
      <c r="L28" s="379"/>
      <c r="M28" s="129"/>
      <c r="N28" s="197"/>
      <c r="O28" s="299"/>
      <c r="P28" s="366">
        <f>November!P51</f>
        <v>0</v>
      </c>
      <c r="Q28" s="366">
        <f>November!Q51</f>
        <v>0</v>
      </c>
      <c r="R28" s="299" t="e">
        <f>IF(VLOOKUP(A28,Para1!$B$67:$E$72,2,FALSE)="12.",VLOOKUP(A28,Para1!$B$67:$E$72,3,FALSE),"")</f>
        <v>#N/A</v>
      </c>
      <c r="S28" s="299" t="str">
        <f>IF((P28+Q28)=0,"",IF(ISNA(R28),"",IF(R28="","",VLOOKUP(R28,Para1!$D$67:$G$79,3,FALSE)*(IF(P28+Q28=1,0.5,1)))))</f>
        <v/>
      </c>
      <c r="T28" s="299" t="str">
        <f>IF(P28+Q28=0,"",IF(ISNA(R29),"",IF(R29="","",VLOOKUP(R29,Para1!$D$67:$G$79,4,FALSE)*(IF(P28+Q28=1,0.5,1)))))</f>
        <v/>
      </c>
      <c r="U28" s="299" t="str">
        <f t="shared" si="2"/>
        <v/>
      </c>
      <c r="V28" s="299" t="str">
        <f t="shared" si="3"/>
        <v/>
      </c>
      <c r="W28" s="299">
        <f t="shared" si="4"/>
        <v>0</v>
      </c>
      <c r="X28" s="299"/>
    </row>
    <row r="29" spans="1:24" ht="17" customHeight="1" x14ac:dyDescent="0.15">
      <c r="A29" s="102" t="s">
        <v>16</v>
      </c>
      <c r="B29" s="142" t="str">
        <f>IF(B28=Para1!$F$153,Para1!$F$109,IF(B28=Para1!$F$109,Para1!$F$148,IF(B28=Para1!$F$148,Para1!$F$111,IF(B28=Para1!$F$111,Para1!$F$120,IF(B28=Para1!$F$120,Para1!$F$170,IF(B28=Para1!$F$170,Para1!$F$173,Para1!$F$153))))))</f>
        <v>Mon</v>
      </c>
      <c r="C29" s="186"/>
      <c r="D29" s="315"/>
      <c r="E29" s="298"/>
      <c r="F29" s="295"/>
      <c r="G29" s="294"/>
      <c r="H29" s="294"/>
      <c r="I29" s="296"/>
      <c r="J29" s="310"/>
      <c r="K29" s="378"/>
      <c r="L29" s="379"/>
      <c r="M29" s="129"/>
      <c r="N29" s="197"/>
      <c r="O29" s="299"/>
      <c r="P29" s="366">
        <f>November!P52</f>
        <v>1</v>
      </c>
      <c r="Q29" s="366">
        <f>November!Q52</f>
        <v>1</v>
      </c>
      <c r="R29" s="299" t="e">
        <f>IF(VLOOKUP(A29,Para1!$B$67:$E$72,2,FALSE)="12.",VLOOKUP(A29,Para1!$B$67:$E$72,3,FALSE),"")</f>
        <v>#N/A</v>
      </c>
      <c r="S29" s="299" t="str">
        <f>IF((P29+Q29)=0,"",IF(ISNA(R29),"",IF(R29="","",VLOOKUP(R29,Para1!$D$67:$G$79,3,FALSE)*(IF(P29+Q29=1,0.5,1)))))</f>
        <v/>
      </c>
      <c r="T29" s="299" t="str">
        <f>IF(P29+Q29=0,"",IF(ISNA(R30),"",IF(R30="","",VLOOKUP(R30,Para1!$D$67:$G$79,4,FALSE)*(IF(P29+Q29=1,0.5,1)))))</f>
        <v/>
      </c>
      <c r="U29" s="299" t="str">
        <f t="shared" si="2"/>
        <v/>
      </c>
      <c r="V29" s="299" t="str">
        <f t="shared" si="3"/>
        <v/>
      </c>
      <c r="W29" s="299">
        <f t="shared" si="4"/>
        <v>0</v>
      </c>
      <c r="X29" s="299"/>
    </row>
    <row r="30" spans="1:24" ht="17" customHeight="1" x14ac:dyDescent="0.15">
      <c r="A30" s="102" t="s">
        <v>18</v>
      </c>
      <c r="B30" s="142" t="str">
        <f>IF(B29=Para1!$F$153,Para1!$F$109,IF(B29=Para1!$F$109,Para1!$F$148,IF(B29=Para1!$F$148,Para1!$F$111,IF(B29=Para1!$F$111,Para1!$F$120,IF(B29=Para1!$F$120,Para1!$F$170,IF(B29=Para1!$F$170,Para1!$F$173,Para1!$F$153))))))</f>
        <v>Tue</v>
      </c>
      <c r="C30" s="185"/>
      <c r="D30" s="315"/>
      <c r="E30" s="298"/>
      <c r="F30" s="295"/>
      <c r="G30" s="294"/>
      <c r="H30" s="294"/>
      <c r="I30" s="296"/>
      <c r="J30" s="310"/>
      <c r="K30" s="378"/>
      <c r="L30" s="379"/>
      <c r="M30" s="129"/>
      <c r="N30" s="197"/>
      <c r="O30" s="299"/>
      <c r="P30" s="367">
        <f>P23</f>
        <v>1</v>
      </c>
      <c r="Q30" s="367">
        <f>Q23</f>
        <v>1</v>
      </c>
      <c r="R30" s="299" t="e">
        <f>IF(VLOOKUP(A30,Para1!$B$67:$E$72,2,FALSE)="12.",VLOOKUP(A30,Para1!$B$67:$E$72,3,FALSE),"")</f>
        <v>#N/A</v>
      </c>
      <c r="S30" s="299" t="str">
        <f>IF((P30+Q30)=0,"",IF(ISNA(R30),"",IF(R30="","",VLOOKUP(R30,Para1!$D$67:$G$79,3,FALSE)*(IF(P30+Q30=1,0.5,1)))))</f>
        <v/>
      </c>
      <c r="T30" s="299" t="str">
        <f>IF(P30+Q30=0,"",IF(ISNA(R31),"",IF(R31="","",VLOOKUP(R31,Para1!$D$67:$G$79,4,FALSE)*(IF(P30+Q30=1,0.5,1)))))</f>
        <v/>
      </c>
      <c r="U30" s="299" t="str">
        <f t="shared" si="2"/>
        <v/>
      </c>
      <c r="V30" s="299" t="str">
        <f t="shared" si="3"/>
        <v/>
      </c>
      <c r="W30" s="299">
        <f t="shared" si="4"/>
        <v>0</v>
      </c>
      <c r="X30" s="299"/>
    </row>
    <row r="31" spans="1:24" ht="17" customHeight="1" x14ac:dyDescent="0.15">
      <c r="A31" s="102" t="s">
        <v>19</v>
      </c>
      <c r="B31" s="142" t="str">
        <f>IF(B30=Para1!$F$153,Para1!$F$109,IF(B30=Para1!$F$109,Para1!$F$148,IF(B30=Para1!$F$148,Para1!$F$111,IF(B30=Para1!$F$111,Para1!$F$120,IF(B30=Para1!$F$120,Para1!$F$170,IF(B30=Para1!$F$170,Para1!$F$173,Para1!$F$153))))))</f>
        <v>Wed</v>
      </c>
      <c r="C31" s="185"/>
      <c r="D31" s="315"/>
      <c r="E31" s="298"/>
      <c r="F31" s="295"/>
      <c r="G31" s="294"/>
      <c r="H31" s="294"/>
      <c r="I31" s="296"/>
      <c r="J31" s="310"/>
      <c r="K31" s="378"/>
      <c r="L31" s="379"/>
      <c r="M31" s="129"/>
      <c r="N31" s="197"/>
      <c r="O31" s="299"/>
      <c r="P31" s="367">
        <f t="shared" ref="P31:Q36" si="5">P24</f>
        <v>1</v>
      </c>
      <c r="Q31" s="367">
        <f t="shared" si="5"/>
        <v>1</v>
      </c>
      <c r="R31" s="299" t="e">
        <f>IF(VLOOKUP(A31,Para1!$B$67:$E$72,2,FALSE)="12.",VLOOKUP(A31,Para1!$B$67:$E$72,3,FALSE),"")</f>
        <v>#N/A</v>
      </c>
      <c r="S31" s="299" t="str">
        <f>IF((P31+Q31)=0,"",IF(ISNA(R31),"",IF(R31="","",VLOOKUP(R31,Para1!$D$67:$G$79,3,FALSE)*(IF(P31+Q31=1,0.5,1)))))</f>
        <v/>
      </c>
      <c r="T31" s="299" t="str">
        <f>IF(P31+Q31=0,"",IF(ISNA(R32),"",IF(R32="","",VLOOKUP(R32,Para1!$D$67:$G$79,4,FALSE)*(IF(P31+Q31=1,0.5,1)))))</f>
        <v/>
      </c>
      <c r="U31" s="299" t="str">
        <f t="shared" si="2"/>
        <v/>
      </c>
      <c r="V31" s="299" t="str">
        <f t="shared" si="3"/>
        <v/>
      </c>
      <c r="W31" s="299">
        <f t="shared" si="4"/>
        <v>0</v>
      </c>
      <c r="X31" s="299"/>
    </row>
    <row r="32" spans="1:24" ht="17" customHeight="1" x14ac:dyDescent="0.15">
      <c r="A32" s="102" t="s">
        <v>20</v>
      </c>
      <c r="B32" s="142" t="str">
        <f>IF(B31=Para1!$F$153,Para1!$F$109,IF(B31=Para1!$F$109,Para1!$F$148,IF(B31=Para1!$F$148,Para1!$F$111,IF(B31=Para1!$F$111,Para1!$F$120,IF(B31=Para1!$F$120,Para1!$F$170,IF(B31=Para1!$F$170,Para1!$F$173,Para1!$F$153))))))</f>
        <v>Thu</v>
      </c>
      <c r="C32" s="186"/>
      <c r="D32" s="315"/>
      <c r="E32" s="298"/>
      <c r="F32" s="295"/>
      <c r="G32" s="294"/>
      <c r="H32" s="294"/>
      <c r="I32" s="296"/>
      <c r="J32" s="310"/>
      <c r="K32" s="378"/>
      <c r="L32" s="379"/>
      <c r="M32" s="129"/>
      <c r="N32" s="197"/>
      <c r="O32" s="299"/>
      <c r="P32" s="367">
        <f t="shared" si="5"/>
        <v>1</v>
      </c>
      <c r="Q32" s="367">
        <f t="shared" si="5"/>
        <v>1</v>
      </c>
      <c r="R32" s="299" t="str">
        <f>IF(VLOOKUP(A32,Para1!$B$67:$E$72,2,FALSE)="12.",VLOOKUP(A32,Para1!$B$67:$E$72,3,FALSE),"")</f>
        <v/>
      </c>
      <c r="S32" s="299" t="str">
        <f>IF((P32+Q32)=0,"",IF(ISNA(R32),"",IF(R32="","",VLOOKUP(R32,Para1!$D$67:$G$79,3,FALSE)*(IF(P32+Q32=1,0.5,1)))))</f>
        <v/>
      </c>
      <c r="T32" s="299" t="str">
        <f>IF(P32+Q32=0,"",IF(ISNA(R33),"",IF(R33="","",VLOOKUP(R33,Para1!$D$67:$G$79,4,FALSE)*(IF(P32+Q32=1,0.5,1)))))</f>
        <v/>
      </c>
      <c r="U32" s="299" t="str">
        <f t="shared" si="2"/>
        <v/>
      </c>
      <c r="V32" s="299" t="str">
        <f t="shared" si="3"/>
        <v/>
      </c>
      <c r="W32" s="299">
        <f t="shared" si="4"/>
        <v>0</v>
      </c>
      <c r="X32" s="299"/>
    </row>
    <row r="33" spans="1:24" s="39" customFormat="1" ht="17" customHeight="1" x14ac:dyDescent="0.15">
      <c r="A33" s="102" t="s">
        <v>21</v>
      </c>
      <c r="B33" s="142" t="str">
        <f>IF(B32=Para1!$F$153,Para1!$F$109,IF(B32=Para1!$F$109,Para1!$F$148,IF(B32=Para1!$F$148,Para1!$F$111,IF(B32=Para1!$F$111,Para1!$F$120,IF(B32=Para1!$F$120,Para1!$F$170,IF(B32=Para1!$F$170,Para1!$F$173,Para1!$F$153))))))</f>
        <v>Fri</v>
      </c>
      <c r="C33" s="186"/>
      <c r="D33" s="315"/>
      <c r="E33" s="298"/>
      <c r="F33" s="295"/>
      <c r="G33" s="294"/>
      <c r="H33" s="294"/>
      <c r="I33" s="296"/>
      <c r="J33" s="310"/>
      <c r="K33" s="378"/>
      <c r="L33" s="379"/>
      <c r="M33" s="129"/>
      <c r="N33" s="197"/>
      <c r="O33" s="299"/>
      <c r="P33" s="367">
        <f t="shared" si="5"/>
        <v>1</v>
      </c>
      <c r="Q33" s="367">
        <f t="shared" si="5"/>
        <v>1</v>
      </c>
      <c r="R33" s="299" t="e">
        <f>IF(VLOOKUP(A33,Para1!$B$67:$E$72,2,FALSE)="12.",VLOOKUP(A33,Para1!$B$67:$E$72,3,FALSE),"")</f>
        <v>#N/A</v>
      </c>
      <c r="S33" s="299" t="str">
        <f>IF((P33+Q33)=0,"",IF(ISNA(R33),"",IF(R33="","",VLOOKUP(R33,Para1!$D$67:$G$79,3,FALSE)*(IF(P33+Q33=1,0.5,1)))))</f>
        <v/>
      </c>
      <c r="T33" s="299" t="str">
        <f>IF(P33+Q33=0,"",IF(ISNA(R34),"",IF(R34="","",VLOOKUP(R34,Para1!$D$67:$G$79,4,FALSE)*(IF(P33+Q33=1,0.5,1)))))</f>
        <v/>
      </c>
      <c r="U33" s="299" t="str">
        <f t="shared" si="2"/>
        <v/>
      </c>
      <c r="V33" s="299" t="str">
        <f t="shared" si="3"/>
        <v/>
      </c>
      <c r="W33" s="299">
        <f t="shared" si="4"/>
        <v>0</v>
      </c>
      <c r="X33" s="299"/>
    </row>
    <row r="34" spans="1:24" s="39" customFormat="1" ht="17" customHeight="1" x14ac:dyDescent="0.15">
      <c r="A34" s="102" t="s">
        <v>22</v>
      </c>
      <c r="B34" s="142" t="str">
        <f>IF(B33=Para1!$F$153,Para1!$F$109,IF(B33=Para1!$F$109,Para1!$F$148,IF(B33=Para1!$F$148,Para1!$F$111,IF(B33=Para1!$F$111,Para1!$F$120,IF(B33=Para1!$F$120,Para1!$F$170,IF(B33=Para1!$F$170,Para1!$F$173,Para1!$F$153))))))</f>
        <v>Sat</v>
      </c>
      <c r="C34" s="186"/>
      <c r="D34" s="315"/>
      <c r="E34" s="298"/>
      <c r="F34" s="295"/>
      <c r="G34" s="294"/>
      <c r="H34" s="294"/>
      <c r="I34" s="296"/>
      <c r="J34" s="310"/>
      <c r="K34" s="378"/>
      <c r="L34" s="379"/>
      <c r="M34" s="129"/>
      <c r="N34" s="197"/>
      <c r="O34" s="299"/>
      <c r="P34" s="367">
        <f t="shared" si="5"/>
        <v>0</v>
      </c>
      <c r="Q34" s="367">
        <f t="shared" si="5"/>
        <v>0</v>
      </c>
      <c r="R34" s="299" t="str">
        <f>IF(VLOOKUP(A34,Para1!$B$67:$E$72,2,FALSE)="12.",VLOOKUP(A34,Para1!$B$67:$E$72,3,FALSE),"")</f>
        <v/>
      </c>
      <c r="S34" s="299" t="str">
        <f>IF((P34+Q34)=0,"",IF(ISNA(R34),"",IF(R34="","",VLOOKUP(R34,Para1!$D$67:$G$79,3,FALSE)*(IF(P34+Q34=1,0.5,1)))))</f>
        <v/>
      </c>
      <c r="T34" s="299" t="str">
        <f>IF(P34+Q34=0,"",IF(ISNA(R35),"",IF(R35="","",VLOOKUP(R35,Para1!$D$67:$G$79,4,FALSE)*(IF(P34+Q34=1,0.5,1)))))</f>
        <v/>
      </c>
      <c r="U34" s="299" t="str">
        <f t="shared" si="2"/>
        <v/>
      </c>
      <c r="V34" s="299" t="str">
        <f t="shared" si="3"/>
        <v/>
      </c>
      <c r="W34" s="299">
        <f t="shared" si="4"/>
        <v>0</v>
      </c>
      <c r="X34" s="299"/>
    </row>
    <row r="35" spans="1:24" ht="17" customHeight="1" x14ac:dyDescent="0.15">
      <c r="A35" s="102" t="s">
        <v>23</v>
      </c>
      <c r="B35" s="142" t="str">
        <f>IF(B34=Para1!$F$153,Para1!$F$109,IF(B34=Para1!$F$109,Para1!$F$148,IF(B34=Para1!$F$148,Para1!$F$111,IF(B34=Para1!$F$111,Para1!$F$120,IF(B34=Para1!$F$120,Para1!$F$170,IF(B34=Para1!$F$170,Para1!$F$173,Para1!$F$153))))))</f>
        <v>Sun</v>
      </c>
      <c r="C35" s="186"/>
      <c r="D35" s="315"/>
      <c r="E35" s="298"/>
      <c r="F35" s="295"/>
      <c r="G35" s="294"/>
      <c r="H35" s="294"/>
      <c r="I35" s="296"/>
      <c r="J35" s="310"/>
      <c r="K35" s="378"/>
      <c r="L35" s="379"/>
      <c r="M35" s="129"/>
      <c r="N35" s="197"/>
      <c r="O35" s="299"/>
      <c r="P35" s="367">
        <f t="shared" si="5"/>
        <v>0</v>
      </c>
      <c r="Q35" s="367">
        <f t="shared" si="5"/>
        <v>0</v>
      </c>
      <c r="R35" s="299" t="str">
        <f>IF(VLOOKUP(A35,Para1!$B$67:$E$72,2,FALSE)="12.",VLOOKUP(A35,Para1!$B$67:$E$72,3,FALSE),"")</f>
        <v/>
      </c>
      <c r="S35" s="299" t="str">
        <f>IF((P35+Q35)=0,"",IF(ISNA(R35),"",IF(R35="","",VLOOKUP(R35,Para1!$D$67:$G$79,3,FALSE)*(IF(P35+Q35=1,0.5,1)))))</f>
        <v/>
      </c>
      <c r="T35" s="299" t="str">
        <f>IF(P35+Q35=0,"",IF(ISNA(R36),"",IF(R36="","",VLOOKUP(R36,Para1!$D$67:$G$79,4,FALSE)*(IF(P35+Q35=1,0.5,1)))))</f>
        <v/>
      </c>
      <c r="U35" s="299" t="str">
        <f t="shared" si="2"/>
        <v/>
      </c>
      <c r="V35" s="299" t="str">
        <f t="shared" si="3"/>
        <v/>
      </c>
      <c r="W35" s="299">
        <f t="shared" si="4"/>
        <v>0</v>
      </c>
      <c r="X35" s="299"/>
    </row>
    <row r="36" spans="1:24" ht="17" customHeight="1" x14ac:dyDescent="0.15">
      <c r="A36" s="102" t="s">
        <v>24</v>
      </c>
      <c r="B36" s="142" t="str">
        <f>IF(B35=Para1!$F$153,Para1!$F$109,IF(B35=Para1!$F$109,Para1!$F$148,IF(B35=Para1!$F$148,Para1!$F$111,IF(B35=Para1!$F$111,Para1!$F$120,IF(B35=Para1!$F$120,Para1!$F$170,IF(B35=Para1!$F$170,Para1!$F$173,Para1!$F$153))))))</f>
        <v>Mon</v>
      </c>
      <c r="C36" s="186"/>
      <c r="D36" s="315"/>
      <c r="E36" s="298"/>
      <c r="F36" s="295"/>
      <c r="G36" s="294"/>
      <c r="H36" s="294"/>
      <c r="I36" s="296"/>
      <c r="J36" s="310"/>
      <c r="K36" s="378"/>
      <c r="L36" s="379"/>
      <c r="M36" s="129"/>
      <c r="N36" s="197"/>
      <c r="O36" s="299"/>
      <c r="P36" s="367">
        <f t="shared" si="5"/>
        <v>1</v>
      </c>
      <c r="Q36" s="367">
        <f t="shared" si="5"/>
        <v>1</v>
      </c>
      <c r="R36" s="299" t="e">
        <f>IF(VLOOKUP(A36,Para1!$B$67:$E$72,2,FALSE)="12.",VLOOKUP(A36,Para1!$B$67:$E$72,3,FALSE),"")</f>
        <v>#N/A</v>
      </c>
      <c r="S36" s="299" t="str">
        <f>IF((P36+Q36)=0,"",IF(ISNA(R36),"",IF(R36="","",VLOOKUP(R36,Para1!$D$67:$G$79,3,FALSE)*(IF(P36+Q36=1,0.5,1)))))</f>
        <v/>
      </c>
      <c r="T36" s="299" t="str">
        <f>IF(P36+Q36=0,"",IF(ISNA(R37),"",IF(R37="","",VLOOKUP(R37,Para1!$D$67:$G$79,4,FALSE)*(IF(P36+Q36=1,0.5,1)))))</f>
        <v/>
      </c>
      <c r="U36" s="299" t="str">
        <f t="shared" si="2"/>
        <v/>
      </c>
      <c r="V36" s="299" t="str">
        <f t="shared" si="3"/>
        <v/>
      </c>
      <c r="W36" s="299">
        <f t="shared" si="4"/>
        <v>0</v>
      </c>
      <c r="X36" s="299"/>
    </row>
    <row r="37" spans="1:24" ht="17" customHeight="1" x14ac:dyDescent="0.15">
      <c r="A37" s="102" t="s">
        <v>25</v>
      </c>
      <c r="B37" s="142" t="str">
        <f>IF(B36=Para1!$F$153,Para1!$F$109,IF(B36=Para1!$F$109,Para1!$F$148,IF(B36=Para1!$F$148,Para1!$F$111,IF(B36=Para1!$F$111,Para1!$F$120,IF(B36=Para1!$F$120,Para1!$F$170,IF(B36=Para1!$F$170,Para1!$F$173,Para1!$F$153))))))</f>
        <v>Tue</v>
      </c>
      <c r="C37" s="185"/>
      <c r="D37" s="315"/>
      <c r="E37" s="298"/>
      <c r="F37" s="295"/>
      <c r="G37" s="294"/>
      <c r="H37" s="294"/>
      <c r="I37" s="296"/>
      <c r="J37" s="310"/>
      <c r="K37" s="378"/>
      <c r="L37" s="379"/>
      <c r="M37" s="129"/>
      <c r="N37" s="197"/>
      <c r="O37" s="299"/>
      <c r="P37" s="367">
        <f>P30</f>
        <v>1</v>
      </c>
      <c r="Q37" s="367">
        <f>Q30</f>
        <v>1</v>
      </c>
      <c r="R37" s="299" t="e">
        <f>IF(VLOOKUP(A37,Para1!$B$67:$E$72,2,FALSE)="12.",VLOOKUP(A37,Para1!$B$67:$E$72,3,FALSE),"")</f>
        <v>#N/A</v>
      </c>
      <c r="S37" s="299" t="str">
        <f>IF((P37+Q37)=0,"",IF(ISNA(R37),"",IF(R37="","",VLOOKUP(R37,Para1!$D$67:$G$79,3,FALSE)*(IF(P37+Q37=1,0.5,1)))))</f>
        <v/>
      </c>
      <c r="T37" s="299" t="str">
        <f>IF(P37+Q37=0,"",IF(ISNA(R38),"",IF(R38="","",VLOOKUP(R38,Para1!$D$67:$G$79,4,FALSE)*(IF(P37+Q37=1,0.5,1)))))</f>
        <v/>
      </c>
      <c r="U37" s="299" t="str">
        <f t="shared" si="2"/>
        <v/>
      </c>
      <c r="V37" s="299" t="str">
        <f t="shared" si="3"/>
        <v/>
      </c>
      <c r="W37" s="299">
        <f t="shared" si="4"/>
        <v>0</v>
      </c>
      <c r="X37" s="299"/>
    </row>
    <row r="38" spans="1:24" ht="17" customHeight="1" x14ac:dyDescent="0.15">
      <c r="A38" s="102" t="s">
        <v>26</v>
      </c>
      <c r="B38" s="142" t="str">
        <f>IF(B37=Para1!$F$153,Para1!$F$109,IF(B37=Para1!$F$109,Para1!$F$148,IF(B37=Para1!$F$148,Para1!$F$111,IF(B37=Para1!$F$111,Para1!$F$120,IF(B37=Para1!$F$120,Para1!$F$170,IF(B37=Para1!$F$170,Para1!$F$173,Para1!$F$153))))))</f>
        <v>Wed</v>
      </c>
      <c r="C38" s="185"/>
      <c r="D38" s="315"/>
      <c r="E38" s="298"/>
      <c r="F38" s="295"/>
      <c r="G38" s="294"/>
      <c r="H38" s="294"/>
      <c r="I38" s="296"/>
      <c r="J38" s="310"/>
      <c r="K38" s="378"/>
      <c r="L38" s="379"/>
      <c r="M38" s="129"/>
      <c r="N38" s="197"/>
      <c r="O38" s="299"/>
      <c r="P38" s="367">
        <f t="shared" ref="P38:Q43" si="6">P31</f>
        <v>1</v>
      </c>
      <c r="Q38" s="367">
        <f t="shared" si="6"/>
        <v>1</v>
      </c>
      <c r="R38" s="299" t="e">
        <f>IF(VLOOKUP(A38,Para1!$B$67:$E$72,2,FALSE)="12.",VLOOKUP(A38,Para1!$B$67:$E$72,3,FALSE),"")</f>
        <v>#N/A</v>
      </c>
      <c r="S38" s="299" t="str">
        <f>IF((P38+Q38)=0,"",IF(ISNA(R38),"",IF(R38="","",VLOOKUP(R38,Para1!$D$67:$G$79,3,FALSE)*(IF(P38+Q38=1,0.5,1)))))</f>
        <v/>
      </c>
      <c r="T38" s="299" t="str">
        <f>IF(P38+Q38=0,"",IF(ISNA(R39),"",IF(R39="","",VLOOKUP(R39,Para1!$D$67:$G$79,4,FALSE)*(IF(P38+Q38=1,0.5,1)))))</f>
        <v/>
      </c>
      <c r="U38" s="299" t="str">
        <f t="shared" si="2"/>
        <v/>
      </c>
      <c r="V38" s="299" t="str">
        <f t="shared" si="3"/>
        <v/>
      </c>
      <c r="W38" s="299">
        <f t="shared" si="4"/>
        <v>0</v>
      </c>
      <c r="X38" s="299"/>
    </row>
    <row r="39" spans="1:24" ht="17" customHeight="1" x14ac:dyDescent="0.15">
      <c r="A39" s="102" t="s">
        <v>27</v>
      </c>
      <c r="B39" s="142" t="str">
        <f>IF(B38=Para1!$F$153,Para1!$F$109,IF(B38=Para1!$F$109,Para1!$F$148,IF(B38=Para1!$F$148,Para1!$F$111,IF(B38=Para1!$F$111,Para1!$F$120,IF(B38=Para1!$F$120,Para1!$F$170,IF(B38=Para1!$F$170,Para1!$F$173,Para1!$F$153))))))</f>
        <v>Thu</v>
      </c>
      <c r="C39" s="186"/>
      <c r="D39" s="315"/>
      <c r="E39" s="298"/>
      <c r="F39" s="295"/>
      <c r="G39" s="294"/>
      <c r="H39" s="294"/>
      <c r="I39" s="296"/>
      <c r="J39" s="310"/>
      <c r="K39" s="378"/>
      <c r="L39" s="379"/>
      <c r="M39" s="129"/>
      <c r="N39" s="197"/>
      <c r="O39" s="299"/>
      <c r="P39" s="367">
        <f t="shared" si="6"/>
        <v>1</v>
      </c>
      <c r="Q39" s="367">
        <f t="shared" si="6"/>
        <v>1</v>
      </c>
      <c r="R39" s="299" t="e">
        <f>IF(VLOOKUP(A39,Para1!$B$67:$E$72,2,FALSE)="12.",VLOOKUP(A39,Para1!$B$67:$E$72,3,FALSE),"")</f>
        <v>#N/A</v>
      </c>
      <c r="S39" s="299" t="str">
        <f>IF((P39+Q39)=0,"",IF(ISNA(R39),"",IF(R39="","",VLOOKUP(R39,Para1!$D$67:$G$79,3,FALSE)*(IF(P39+Q39=1,0.5,1)))))</f>
        <v/>
      </c>
      <c r="T39" s="299" t="str">
        <f>IF(P39+Q39=0,"",IF(ISNA(R40),"",IF(R40="","",VLOOKUP(R40,Para1!$D$67:$G$79,4,FALSE)*(IF(P39+Q39=1,0.5,1)))))</f>
        <v/>
      </c>
      <c r="U39" s="299" t="str">
        <f t="shared" si="2"/>
        <v/>
      </c>
      <c r="V39" s="299" t="str">
        <f t="shared" si="3"/>
        <v/>
      </c>
      <c r="W39" s="299">
        <f t="shared" si="4"/>
        <v>0</v>
      </c>
      <c r="X39" s="299"/>
    </row>
    <row r="40" spans="1:24" s="39" customFormat="1" ht="17" customHeight="1" x14ac:dyDescent="0.15">
      <c r="A40" s="102" t="s">
        <v>28</v>
      </c>
      <c r="B40" s="142" t="str">
        <f>IF(B39=Para1!$F$153,Para1!$F$109,IF(B39=Para1!$F$109,Para1!$F$148,IF(B39=Para1!$F$148,Para1!$F$111,IF(B39=Para1!$F$111,Para1!$F$120,IF(B39=Para1!$F$120,Para1!$F$170,IF(B39=Para1!$F$170,Para1!$F$173,Para1!$F$153))))))</f>
        <v>Fri</v>
      </c>
      <c r="C40" s="186"/>
      <c r="D40" s="315"/>
      <c r="E40" s="298"/>
      <c r="F40" s="295"/>
      <c r="G40" s="294"/>
      <c r="H40" s="294"/>
      <c r="I40" s="296"/>
      <c r="J40" s="310"/>
      <c r="K40" s="378"/>
      <c r="L40" s="379"/>
      <c r="M40" s="129"/>
      <c r="N40" s="197"/>
      <c r="O40" s="299"/>
      <c r="P40" s="367">
        <f t="shared" si="6"/>
        <v>1</v>
      </c>
      <c r="Q40" s="367">
        <f t="shared" si="6"/>
        <v>1</v>
      </c>
      <c r="R40" s="299" t="e">
        <f>IF(VLOOKUP(A40,Para1!$B$67:$E$72,2,FALSE)="12.",VLOOKUP(A40,Para1!$B$67:$E$72,3,FALSE),"")</f>
        <v>#N/A</v>
      </c>
      <c r="S40" s="299" t="str">
        <f>IF((P40+Q40)=0,"",IF(ISNA(R40),"",IF(R40="","",VLOOKUP(R40,Para1!$D$67:$G$79,3,FALSE)*(IF(P40+Q40=1,0.5,1)))))</f>
        <v/>
      </c>
      <c r="T40" s="299" t="str">
        <f>IF(P40+Q40=0,"",IF(ISNA(R41),"",IF(R41="","",VLOOKUP(R41,Para1!$D$67:$G$79,4,FALSE)*(IF(P40+Q40=1,0.5,1)))))</f>
        <v/>
      </c>
      <c r="U40" s="299" t="str">
        <f t="shared" si="2"/>
        <v/>
      </c>
      <c r="V40" s="299" t="str">
        <f t="shared" si="3"/>
        <v/>
      </c>
      <c r="W40" s="299">
        <f t="shared" si="4"/>
        <v>0</v>
      </c>
      <c r="X40" s="299"/>
    </row>
    <row r="41" spans="1:24" s="39" customFormat="1" ht="17" customHeight="1" x14ac:dyDescent="0.15">
      <c r="A41" s="102" t="s">
        <v>29</v>
      </c>
      <c r="B41" s="142" t="str">
        <f>IF(B40=Para1!$F$153,Para1!$F$109,IF(B40=Para1!$F$109,Para1!$F$148,IF(B40=Para1!$F$148,Para1!$F$111,IF(B40=Para1!$F$111,Para1!$F$120,IF(B40=Para1!$F$120,Para1!$F$170,IF(B40=Para1!$F$170,Para1!$F$173,Para1!$F$153))))))</f>
        <v>Sat</v>
      </c>
      <c r="C41" s="186"/>
      <c r="D41" s="315"/>
      <c r="E41" s="298"/>
      <c r="F41" s="295"/>
      <c r="G41" s="294"/>
      <c r="H41" s="294"/>
      <c r="I41" s="296"/>
      <c r="J41" s="310"/>
      <c r="K41" s="378"/>
      <c r="L41" s="379"/>
      <c r="M41" s="129"/>
      <c r="N41" s="197"/>
      <c r="O41" s="299"/>
      <c r="P41" s="367">
        <f t="shared" si="6"/>
        <v>0</v>
      </c>
      <c r="Q41" s="367">
        <f t="shared" si="6"/>
        <v>0</v>
      </c>
      <c r="R41" s="299" t="e">
        <f>IF(VLOOKUP(A41,Para1!$B$67:$E$72,2,FALSE)="12.",VLOOKUP(A41,Para1!$B$67:$E$72,3,FALSE),"")</f>
        <v>#N/A</v>
      </c>
      <c r="S41" s="299" t="str">
        <f>IF((P41+Q41)=0,"",IF(ISNA(R41),"",IF(R41="","",VLOOKUP(R41,Para1!$D$67:$G$79,3,FALSE)*(IF(P41+Q41=1,0.5,1)))))</f>
        <v/>
      </c>
      <c r="T41" s="299" t="str">
        <f>IF(P41+Q41=0,"",IF(ISNA(R42),"",IF(R42="","",VLOOKUP(R42,Para1!$D$67:$G$79,4,FALSE)*(IF(P41+Q41=1,0.5,1)))))</f>
        <v/>
      </c>
      <c r="U41" s="299" t="str">
        <f t="shared" si="2"/>
        <v/>
      </c>
      <c r="V41" s="299" t="str">
        <f t="shared" si="3"/>
        <v/>
      </c>
      <c r="W41" s="299">
        <f t="shared" si="4"/>
        <v>0</v>
      </c>
      <c r="X41" s="299"/>
    </row>
    <row r="42" spans="1:24" ht="17" customHeight="1" x14ac:dyDescent="0.15">
      <c r="A42" s="102" t="s">
        <v>30</v>
      </c>
      <c r="B42" s="142" t="str">
        <f>IF(B41=Para1!$F$153,Para1!$F$109,IF(B41=Para1!$F$109,Para1!$F$148,IF(B41=Para1!$F$148,Para1!$F$111,IF(B41=Para1!$F$111,Para1!$F$120,IF(B41=Para1!$F$120,Para1!$F$170,IF(B41=Para1!$F$170,Para1!$F$173,Para1!$F$153))))))</f>
        <v>Sun</v>
      </c>
      <c r="C42" s="186"/>
      <c r="D42" s="315"/>
      <c r="E42" s="298"/>
      <c r="F42" s="295"/>
      <c r="G42" s="294"/>
      <c r="H42" s="294"/>
      <c r="I42" s="296"/>
      <c r="J42" s="310"/>
      <c r="K42" s="378"/>
      <c r="L42" s="379"/>
      <c r="M42" s="129"/>
      <c r="N42" s="197"/>
      <c r="O42" s="299"/>
      <c r="P42" s="367">
        <f t="shared" si="6"/>
        <v>0</v>
      </c>
      <c r="Q42" s="367">
        <f t="shared" si="6"/>
        <v>0</v>
      </c>
      <c r="R42" s="299" t="e">
        <f>IF(VLOOKUP(A42,Para1!$B$67:$E$72,2,FALSE)="12.",VLOOKUP(A42,Para1!$B$67:$E$72,3,FALSE),"")</f>
        <v>#N/A</v>
      </c>
      <c r="S42" s="299" t="str">
        <f>IF((P42+Q42)=0,"",IF(ISNA(R42),"",IF(R42="","",VLOOKUP(R42,Para1!$D$67:$G$79,3,FALSE)*(IF(P42+Q42=1,0.5,1)))))</f>
        <v/>
      </c>
      <c r="T42" s="299" t="str">
        <f>IF(P42+Q42=0,"",IF(ISNA(R43),"",IF(R43="","",VLOOKUP(R43,Para1!$D$67:$G$79,4,FALSE)*(IF(P42+Q42=1,0.5,1)))))</f>
        <v/>
      </c>
      <c r="U42" s="299" t="str">
        <f t="shared" si="2"/>
        <v/>
      </c>
      <c r="V42" s="299" t="str">
        <f t="shared" si="3"/>
        <v/>
      </c>
      <c r="W42" s="299">
        <f t="shared" si="4"/>
        <v>0</v>
      </c>
      <c r="X42" s="299"/>
    </row>
    <row r="43" spans="1:24" ht="17" customHeight="1" x14ac:dyDescent="0.15">
      <c r="A43" s="102" t="s">
        <v>31</v>
      </c>
      <c r="B43" s="142" t="str">
        <f>IF(B42=Para1!$F$153,Para1!$F$109,IF(B42=Para1!$F$109,Para1!$F$148,IF(B42=Para1!$F$148,Para1!$F$111,IF(B42=Para1!$F$111,Para1!$F$120,IF(B42=Para1!$F$120,Para1!$F$170,IF(B42=Para1!$F$170,Para1!$F$173,Para1!$F$153))))))</f>
        <v>Mon</v>
      </c>
      <c r="C43" s="186"/>
      <c r="D43" s="315"/>
      <c r="E43" s="298"/>
      <c r="F43" s="295"/>
      <c r="G43" s="294"/>
      <c r="H43" s="294"/>
      <c r="I43" s="296"/>
      <c r="J43" s="310"/>
      <c r="K43" s="378"/>
      <c r="L43" s="379"/>
      <c r="M43" s="129"/>
      <c r="N43" s="197"/>
      <c r="O43" s="299"/>
      <c r="P43" s="367">
        <f t="shared" si="6"/>
        <v>1</v>
      </c>
      <c r="Q43" s="367">
        <f t="shared" si="6"/>
        <v>1</v>
      </c>
      <c r="R43" s="299" t="str">
        <f>IF(VLOOKUP(A43,Para1!$B$67:$E$72,2,FALSE)="12.",VLOOKUP(A43,Para1!$B$67:$E$72,3,FALSE),"")</f>
        <v/>
      </c>
      <c r="S43" s="299" t="str">
        <f>IF((P43+Q43)=0,"",IF(ISNA(R43),"",IF(R43="","",VLOOKUP(R43,Para1!$D$67:$G$79,3,FALSE)*(IF(P43+Q43=1,0.5,1)))))</f>
        <v/>
      </c>
      <c r="T43" s="299" t="str">
        <f>IF(P43+Q43=0,"",IF(ISNA(R44),"",IF(R44="","",VLOOKUP(R44,Para1!$D$67:$G$79,4,FALSE)*(IF(P43+Q43=1,0.5,1)))))</f>
        <v/>
      </c>
      <c r="U43" s="299" t="str">
        <f t="shared" si="2"/>
        <v/>
      </c>
      <c r="V43" s="299" t="str">
        <f t="shared" si="3"/>
        <v/>
      </c>
      <c r="W43" s="299">
        <f t="shared" si="4"/>
        <v>0</v>
      </c>
      <c r="X43" s="299"/>
    </row>
    <row r="44" spans="1:24" ht="17" customHeight="1" x14ac:dyDescent="0.15">
      <c r="A44" s="102" t="s">
        <v>32</v>
      </c>
      <c r="B44" s="142" t="str">
        <f>IF(B43=Para1!$F$153,Para1!$F$109,IF(B43=Para1!$F$109,Para1!$F$148,IF(B43=Para1!$F$148,Para1!$F$111,IF(B43=Para1!$F$111,Para1!$F$120,IF(B43=Para1!$F$120,Para1!$F$170,IF(B43=Para1!$F$170,Para1!$F$173,Para1!$F$153))))))</f>
        <v>Tue</v>
      </c>
      <c r="C44" s="185"/>
      <c r="D44" s="315"/>
      <c r="E44" s="298"/>
      <c r="F44" s="295"/>
      <c r="G44" s="294"/>
      <c r="H44" s="294"/>
      <c r="I44" s="296"/>
      <c r="J44" s="310"/>
      <c r="K44" s="378"/>
      <c r="L44" s="379"/>
      <c r="M44" s="129"/>
      <c r="N44" s="197"/>
      <c r="O44" s="299"/>
      <c r="P44" s="367">
        <f>P37</f>
        <v>1</v>
      </c>
      <c r="Q44" s="367">
        <f>Q37</f>
        <v>1</v>
      </c>
      <c r="R44" s="299" t="e">
        <f>IF(VLOOKUP(A44,Para1!$B$67:$E$72,2,FALSE)="12.",VLOOKUP(A44,Para1!$B$67:$E$72,3,FALSE),"")</f>
        <v>#N/A</v>
      </c>
      <c r="S44" s="299" t="str">
        <f>IF((P44+Q44)=0,"",IF(ISNA(R44),"",IF(R44="","",VLOOKUP(R44,Para1!$D$67:$G$79,3,FALSE)*(IF(P44+Q44=1,0.5,1)))))</f>
        <v/>
      </c>
      <c r="T44" s="299" t="str">
        <f>IF(P44+Q44=0,"",IF(ISNA(R45),"",IF(R45="","",VLOOKUP(R45,Para1!$D$67:$G$79,4,FALSE)*(IF(P44+Q44=1,0.5,1)))))</f>
        <v/>
      </c>
      <c r="U44" s="299" t="str">
        <f t="shared" si="2"/>
        <v/>
      </c>
      <c r="V44" s="299" t="str">
        <f t="shared" si="3"/>
        <v/>
      </c>
      <c r="W44" s="299">
        <f t="shared" si="4"/>
        <v>0</v>
      </c>
      <c r="X44" s="299"/>
    </row>
    <row r="45" spans="1:24" ht="16.5" customHeight="1" x14ac:dyDescent="0.15">
      <c r="A45" s="102" t="s">
        <v>33</v>
      </c>
      <c r="B45" s="142" t="str">
        <f>IF(B44=Para1!$F$153,Para1!$F$109,IF(B44=Para1!$F$109,Para1!$F$148,IF(B44=Para1!$F$148,Para1!$F$111,IF(B44=Para1!$F$111,Para1!$F$120,IF(B44=Para1!$F$120,Para1!$F$170,IF(B44=Para1!$F$170,Para1!$F$173,Para1!$F$153))))))</f>
        <v>Wed</v>
      </c>
      <c r="C45" s="185"/>
      <c r="D45" s="315"/>
      <c r="E45" s="298"/>
      <c r="F45" s="295"/>
      <c r="G45" s="294"/>
      <c r="H45" s="294"/>
      <c r="I45" s="296"/>
      <c r="J45" s="310"/>
      <c r="K45" s="378"/>
      <c r="L45" s="379"/>
      <c r="M45" s="129"/>
      <c r="N45" s="197"/>
      <c r="O45" s="299"/>
      <c r="P45" s="367">
        <f t="shared" ref="P45:Q50" si="7">P38</f>
        <v>1</v>
      </c>
      <c r="Q45" s="367">
        <f t="shared" si="7"/>
        <v>1</v>
      </c>
      <c r="R45" s="299" t="e">
        <f>IF(VLOOKUP(A45,Para1!$B$67:$E$72,2,FALSE)="12.",VLOOKUP(A45,Para1!$B$67:$E$72,3,FALSE),"")</f>
        <v>#N/A</v>
      </c>
      <c r="S45" s="299" t="str">
        <f>IF((P45+Q45)=0,"",IF(ISNA(R45),"",IF(R45="","",VLOOKUP(R45,Para1!$D$67:$G$79,3,FALSE)*(IF(P45+Q45=1,0.5,1)))))</f>
        <v/>
      </c>
      <c r="T45" s="299">
        <f>IF(P45+Q45=0,"",IF(ISNA(R46),"",IF(R46="","",VLOOKUP(R46,Para1!$D$67:$G$79,4,FALSE)*(IF(P45+Q45=1,0.5,1)))))</f>
        <v>0</v>
      </c>
      <c r="U45" s="299" t="str">
        <f t="shared" si="2"/>
        <v/>
      </c>
      <c r="V45" s="299" t="str">
        <f t="shared" si="3"/>
        <v/>
      </c>
      <c r="W45" s="299">
        <f t="shared" si="4"/>
        <v>0</v>
      </c>
      <c r="X45" s="299"/>
    </row>
    <row r="46" spans="1:24" ht="16.5" customHeight="1" x14ac:dyDescent="0.15">
      <c r="A46" s="102" t="s">
        <v>34</v>
      </c>
      <c r="B46" s="142" t="str">
        <f>IF(B45=Para1!$F$153,Para1!$F$109,IF(B45=Para1!$F$109,Para1!$F$148,IF(B45=Para1!$F$148,Para1!$F$111,IF(B45=Para1!$F$111,Para1!$F$120,IF(B45=Para1!$F$120,Para1!$F$170,IF(B45=Para1!$F$170,Para1!$F$173,Para1!$F$153))))))</f>
        <v>Thu</v>
      </c>
      <c r="C46" s="186"/>
      <c r="D46" s="316"/>
      <c r="E46" s="317"/>
      <c r="F46" s="318"/>
      <c r="G46" s="319"/>
      <c r="H46" s="319"/>
      <c r="I46" s="320"/>
      <c r="J46" s="310"/>
      <c r="K46" s="378"/>
      <c r="L46" s="377"/>
      <c r="M46" s="129"/>
      <c r="N46" s="197"/>
      <c r="O46" s="299"/>
      <c r="P46" s="367">
        <f t="shared" si="7"/>
        <v>1</v>
      </c>
      <c r="Q46" s="371">
        <v>0</v>
      </c>
      <c r="R46" s="299" t="s">
        <v>236</v>
      </c>
      <c r="S46" s="299">
        <f>IF((P46+Q46)=0,"",IF(ISNA(R46),"",IF(R46="","",VLOOKUP(R46,Para1!$D$67:$G$79,3,FALSE)*(IF(P46+Q46=1,0.5,1)))))</f>
        <v>2.1</v>
      </c>
      <c r="T46" s="299">
        <f>IF(P46+Q46=0,"",IF(ISNA(R47),"",IF(R47="","",VLOOKUP(R47,Para1!$D$67:$G$79,4,FALSE)*(IF(P46+Q46=1,0.5,1)))))</f>
        <v>0</v>
      </c>
      <c r="U46" s="299">
        <f t="shared" si="2"/>
        <v>0</v>
      </c>
      <c r="V46" s="299">
        <f t="shared" si="3"/>
        <v>0</v>
      </c>
      <c r="W46" s="299">
        <f t="shared" si="4"/>
        <v>0</v>
      </c>
      <c r="X46" s="299"/>
    </row>
    <row r="47" spans="1:24" s="39" customFormat="1" ht="17" customHeight="1" x14ac:dyDescent="0.15">
      <c r="A47" s="102" t="s">
        <v>35</v>
      </c>
      <c r="B47" s="142" t="str">
        <f>IF(B46=Para1!$F$153,Para1!$F$109,IF(B46=Para1!$F$109,Para1!$F$148,IF(B46=Para1!$F$148,Para1!$F$111,IF(B46=Para1!$F$111,Para1!$F$120,IF(B46=Para1!$F$120,Para1!$F$170,IF(B46=Para1!$F$170,Para1!$F$173,Para1!$F$153))))))</f>
        <v>Fri</v>
      </c>
      <c r="C47" s="185"/>
      <c r="D47" s="315"/>
      <c r="E47" s="298"/>
      <c r="F47" s="295"/>
      <c r="G47" s="294"/>
      <c r="H47" s="294"/>
      <c r="I47" s="296"/>
      <c r="J47" s="310"/>
      <c r="K47" s="378"/>
      <c r="L47" s="379"/>
      <c r="M47" s="129"/>
      <c r="N47" s="197"/>
      <c r="O47" s="299"/>
      <c r="P47" s="367">
        <v>0</v>
      </c>
      <c r="Q47" s="367">
        <v>0</v>
      </c>
      <c r="R47" s="299" t="s">
        <v>238</v>
      </c>
      <c r="S47" s="299" t="str">
        <f>IF((P47+Q47)=0,"",IF(ISNA(R47),"",IF(R47="","",VLOOKUP(R47,Para1!$D$67:$G$79,3,FALSE)*(IF(P47+Q47=1,0.5,1)))))</f>
        <v/>
      </c>
      <c r="T47" s="299" t="str">
        <f>IF(P47+Q47=0,"",IF(ISNA(R48),"",IF(R48="","",VLOOKUP(R48,Para1!$D$67:$G$79,4,FALSE)*(IF(P47+Q47=1,0.5,1)))))</f>
        <v/>
      </c>
      <c r="U47" s="299" t="str">
        <f t="shared" si="2"/>
        <v/>
      </c>
      <c r="V47" s="299" t="str">
        <f t="shared" si="3"/>
        <v/>
      </c>
      <c r="W47" s="299">
        <f t="shared" si="4"/>
        <v>0</v>
      </c>
      <c r="X47" s="299"/>
    </row>
    <row r="48" spans="1:24" s="39" customFormat="1" ht="17" customHeight="1" x14ac:dyDescent="0.15">
      <c r="A48" s="102" t="s">
        <v>36</v>
      </c>
      <c r="B48" s="142" t="str">
        <f>IF(B47=Para1!$F$153,Para1!$F$109,IF(B47=Para1!$F$109,Para1!$F$148,IF(B47=Para1!$F$148,Para1!$F$111,IF(B47=Para1!$F$111,Para1!$F$120,IF(B47=Para1!$F$120,Para1!$F$170,IF(B47=Para1!$F$170,Para1!$F$173,Para1!$F$153))))))</f>
        <v>Sat</v>
      </c>
      <c r="C48" s="185"/>
      <c r="D48" s="315"/>
      <c r="E48" s="298"/>
      <c r="F48" s="295"/>
      <c r="G48" s="294"/>
      <c r="H48" s="294"/>
      <c r="I48" s="296"/>
      <c r="J48" s="310"/>
      <c r="K48" s="378"/>
      <c r="L48" s="379"/>
      <c r="M48" s="129"/>
      <c r="N48" s="197"/>
      <c r="O48" s="299"/>
      <c r="P48" s="367">
        <v>0</v>
      </c>
      <c r="Q48" s="367">
        <v>0</v>
      </c>
      <c r="R48" s="299" t="s">
        <v>239</v>
      </c>
      <c r="S48" s="299" t="str">
        <f>IF((P48+Q48)=0,"",IF(ISNA(R48),"",IF(R48="","",VLOOKUP(R48,Para1!$D$67:$G$79,3,FALSE)*(IF(P48+Q48=1,0.5,1)))))</f>
        <v/>
      </c>
      <c r="T48" s="299" t="str">
        <f>IF(P48+Q48=0,"",IF(ISNA(R49),"",IF(R49="","",VLOOKUP(R49,Para1!$D$67:$G$79,4,FALSE)*(IF(P48+Q48=1,0.5,1)))))</f>
        <v/>
      </c>
      <c r="U48" s="299" t="str">
        <f t="shared" si="2"/>
        <v/>
      </c>
      <c r="V48" s="299" t="str">
        <f t="shared" si="3"/>
        <v/>
      </c>
      <c r="W48" s="299">
        <f t="shared" si="4"/>
        <v>0</v>
      </c>
      <c r="X48" s="299"/>
    </row>
    <row r="49" spans="1:27" ht="17" customHeight="1" x14ac:dyDescent="0.15">
      <c r="A49" s="102" t="s">
        <v>37</v>
      </c>
      <c r="B49" s="142" t="str">
        <f>IF(B48=Para1!$F$153,Para1!$F$109,IF(B48=Para1!$F$109,Para1!$F$148,IF(B48=Para1!$F$148,Para1!$F$111,IF(B48=Para1!$F$111,Para1!$F$120,IF(B48=Para1!$F$120,Para1!$F$170,IF(B48=Para1!$F$170,Para1!$F$173,Para1!$F$153))))))</f>
        <v>Sun</v>
      </c>
      <c r="C49" s="186"/>
      <c r="D49" s="315"/>
      <c r="E49" s="298"/>
      <c r="F49" s="295"/>
      <c r="G49" s="294"/>
      <c r="H49" s="294"/>
      <c r="I49" s="296"/>
      <c r="J49" s="310"/>
      <c r="K49" s="378"/>
      <c r="L49" s="379"/>
      <c r="M49" s="129"/>
      <c r="N49" s="197"/>
      <c r="O49" s="299"/>
      <c r="P49" s="367">
        <f t="shared" si="7"/>
        <v>0</v>
      </c>
      <c r="Q49" s="367">
        <f t="shared" si="7"/>
        <v>0</v>
      </c>
      <c r="R49" s="299" t="e">
        <f>IF(VLOOKUP(A49,Para1!$B$67:$E$72,2,FALSE)="12.",VLOOKUP(A49,Para1!$B$67:$E$72,3,FALSE),"")</f>
        <v>#N/A</v>
      </c>
      <c r="S49" s="299" t="str">
        <f>IF((P49+Q49)=0,"",IF(ISNA(R49),"",IF(R49="","",VLOOKUP(R49,Para1!$D$67:$G$79,3,FALSE)*(IF(P49+Q49=1,0.5,1)))))</f>
        <v/>
      </c>
      <c r="T49" s="299" t="str">
        <f>IF(P49+Q49=0,"",IF(ISNA(R50),"",IF(R50="","",VLOOKUP(R50,Para1!$D$67:$G$79,4,FALSE)*(IF(P49+Q49=1,0.5,1)))))</f>
        <v/>
      </c>
      <c r="U49" s="299" t="str">
        <f t="shared" si="2"/>
        <v/>
      </c>
      <c r="V49" s="299" t="str">
        <f t="shared" si="3"/>
        <v/>
      </c>
      <c r="W49" s="299">
        <f t="shared" si="4"/>
        <v>0</v>
      </c>
      <c r="X49" s="299"/>
    </row>
    <row r="50" spans="1:27" ht="17" customHeight="1" x14ac:dyDescent="0.15">
      <c r="A50" s="102" t="s">
        <v>38</v>
      </c>
      <c r="B50" s="142" t="str">
        <f>IF(B49=Para1!$F$153,Para1!$F$109,IF(B49=Para1!$F$109,Para1!$F$148,IF(B49=Para1!$F$148,Para1!$F$111,IF(B49=Para1!$F$111,Para1!$F$120,IF(B49=Para1!$F$120,Para1!$F$170,IF(B49=Para1!$F$170,Para1!$F$173,Para1!$F$153))))))</f>
        <v>Mon</v>
      </c>
      <c r="C50" s="186"/>
      <c r="D50" s="315"/>
      <c r="E50" s="298"/>
      <c r="F50" s="295"/>
      <c r="G50" s="294"/>
      <c r="H50" s="294"/>
      <c r="I50" s="296"/>
      <c r="J50" s="310"/>
      <c r="K50" s="378"/>
      <c r="L50" s="379"/>
      <c r="M50" s="129"/>
      <c r="N50" s="197"/>
      <c r="O50" s="299"/>
      <c r="P50" s="368">
        <f>P43</f>
        <v>1</v>
      </c>
      <c r="Q50" s="368">
        <f t="shared" si="7"/>
        <v>1</v>
      </c>
      <c r="R50" s="299" t="e">
        <f>IF(VLOOKUP(A50,Para1!$B$67:$E$72,2,FALSE)="12.",VLOOKUP(A50,Para1!$B$67:$E$72,3,FALSE),"")</f>
        <v>#N/A</v>
      </c>
      <c r="S50" s="299" t="str">
        <f>IF((P50+Q50)=0,"",IF(ISNA(R50),"",IF(R50="","",VLOOKUP(R50,Para1!$D$67:$G$79,3,FALSE)*(IF(P50+Q50=1,0.5,1)))))</f>
        <v/>
      </c>
      <c r="T50" s="299" t="str">
        <f>IF(P50+Q50=0,"",IF(ISNA(R51),"",IF(R51="","",VLOOKUP(R51,Para1!$D$67:$G$79,4,FALSE)*(IF(P50+Q50=1,0.5,1)))))</f>
        <v/>
      </c>
      <c r="U50" s="299" t="str">
        <f t="shared" si="2"/>
        <v/>
      </c>
      <c r="V50" s="299" t="str">
        <f t="shared" si="3"/>
        <v/>
      </c>
      <c r="W50" s="299">
        <f t="shared" si="4"/>
        <v>0</v>
      </c>
      <c r="X50" s="299"/>
    </row>
    <row r="51" spans="1:27" ht="17" customHeight="1" x14ac:dyDescent="0.15">
      <c r="A51" s="102" t="s">
        <v>39</v>
      </c>
      <c r="B51" s="142" t="str">
        <f>IF(B50=Para1!$F$153,Para1!$F$109,IF(B50=Para1!$F$109,Para1!$F$148,IF(B50=Para1!$F$148,Para1!$F$111,IF(B50=Para1!$F$111,Para1!$F$120,IF(B50=Para1!$F$120,Para1!$F$170,IF(B50=Para1!$F$170,Para1!$F$173,Para1!$F$153))))))</f>
        <v>Tue</v>
      </c>
      <c r="C51" s="185"/>
      <c r="D51" s="315"/>
      <c r="E51" s="298"/>
      <c r="F51" s="295"/>
      <c r="G51" s="294"/>
      <c r="H51" s="294"/>
      <c r="I51" s="296"/>
      <c r="J51" s="310"/>
      <c r="K51" s="378"/>
      <c r="L51" s="379"/>
      <c r="M51" s="129"/>
      <c r="N51" s="197"/>
      <c r="O51" s="299"/>
      <c r="P51" s="339">
        <f>P44</f>
        <v>1</v>
      </c>
      <c r="Q51" s="367">
        <f>Q44</f>
        <v>1</v>
      </c>
      <c r="R51" s="299" t="e">
        <f>IF(VLOOKUP(A51,Para1!$B$67:$E$72,2,FALSE)="12.",VLOOKUP(A51,Para1!$B$67:$E$72,3,FALSE),"")</f>
        <v>#N/A</v>
      </c>
      <c r="S51" s="299" t="str">
        <f>IF((P51+Q51)=0,"",IF(ISNA(R51),"",IF(R51="","",VLOOKUP(R51,Para1!$D$67:$G$79,3,FALSE)*(IF(P51+Q51=1,0.5,1)))))</f>
        <v/>
      </c>
      <c r="T51" s="299" t="str">
        <f>IF(P51+Q51=0,"",IF(ISNA(R52),"",IF(R52="","",VLOOKUP(R52,Para1!$D$67:$G$79,4,FALSE)*(IF(P51+Q51=1,0.5,1)))))</f>
        <v/>
      </c>
      <c r="U51" s="299" t="str">
        <f t="shared" si="2"/>
        <v/>
      </c>
      <c r="V51" s="299" t="str">
        <f t="shared" si="3"/>
        <v/>
      </c>
      <c r="W51" s="299">
        <f t="shared" si="4"/>
        <v>0</v>
      </c>
      <c r="X51" s="299"/>
    </row>
    <row r="52" spans="1:27" ht="16.5" customHeight="1" x14ac:dyDescent="0.15">
      <c r="A52" s="102" t="s">
        <v>40</v>
      </c>
      <c r="B52" s="142" t="str">
        <f>IF(B51=Para1!$F$153,Para1!$F$109,IF(B51=Para1!$F$109,Para1!$F$148,IF(B51=Para1!$F$148,Para1!$F$111,IF(B51=Para1!$F$111,Para1!$F$120,IF(B51=Para1!$F$120,Para1!$F$170,IF(B51=Para1!$F$170,Para1!$F$173,Para1!$F$153))))))</f>
        <v>Wed</v>
      </c>
      <c r="C52" s="185"/>
      <c r="D52" s="315"/>
      <c r="E52" s="298"/>
      <c r="F52" s="295"/>
      <c r="G52" s="294"/>
      <c r="H52" s="294"/>
      <c r="I52" s="296"/>
      <c r="J52" s="310"/>
      <c r="K52" s="378"/>
      <c r="L52" s="379"/>
      <c r="M52" s="129"/>
      <c r="N52" s="197"/>
      <c r="O52" s="299"/>
      <c r="P52" s="339">
        <f t="shared" ref="P52:Q53" si="8">P45</f>
        <v>1</v>
      </c>
      <c r="Q52" s="367">
        <f t="shared" si="8"/>
        <v>1</v>
      </c>
      <c r="R52" s="299" t="e">
        <f>IF(VLOOKUP(A52,Para1!$B$67:$E$72,2,FALSE)="12.",VLOOKUP(A52,Para1!$B$67:$E$72,3,FALSE),"")</f>
        <v>#N/A</v>
      </c>
      <c r="S52" s="299" t="str">
        <f>IF((P52+Q52)=0,"",IF(ISNA(R52),"",IF(R52="","",VLOOKUP(R52,Para1!$D$67:$G$79,3,FALSE)*(IF(P52+Q52=1,0.5,1)))))</f>
        <v/>
      </c>
      <c r="T52" s="299">
        <f>IF(P52+Q52=0,"",IF(ISNA(R53),"",IF(R53="","",VLOOKUP(R53,Para1!$D$67:$G$79,4,FALSE)*(IF(P52+Q52=1,0.5,1)))))</f>
        <v>0</v>
      </c>
      <c r="U52" s="299" t="str">
        <f t="shared" si="2"/>
        <v/>
      </c>
      <c r="V52" s="299" t="str">
        <f t="shared" si="3"/>
        <v/>
      </c>
      <c r="W52" s="299">
        <f t="shared" si="4"/>
        <v>0</v>
      </c>
      <c r="X52" s="299"/>
    </row>
    <row r="53" spans="1:27" ht="17" customHeight="1" thickBot="1" x14ac:dyDescent="0.2">
      <c r="A53" s="102" t="s">
        <v>46</v>
      </c>
      <c r="B53" s="142" t="str">
        <f>IF(B52=Para1!$F$153,Para1!$F$109,IF(B52=Para1!$F$109,Para1!$F$148,IF(B52=Para1!$F$148,Para1!$F$111,IF(B52=Para1!$F$111,Para1!$F$120,IF(B52=Para1!$F$120,Para1!$F$170,IF(B52=Para1!$F$170,Para1!$F$173,Para1!$F$153))))))</f>
        <v>Thu</v>
      </c>
      <c r="C53" s="186"/>
      <c r="D53" s="316"/>
      <c r="E53" s="317"/>
      <c r="F53" s="318"/>
      <c r="G53" s="319"/>
      <c r="H53" s="319"/>
      <c r="I53" s="320"/>
      <c r="J53" s="310"/>
      <c r="K53" s="391"/>
      <c r="L53" s="388"/>
      <c r="M53" s="129"/>
      <c r="N53" s="197"/>
      <c r="O53" s="299"/>
      <c r="P53" s="341">
        <f t="shared" si="8"/>
        <v>1</v>
      </c>
      <c r="Q53" s="372">
        <v>0</v>
      </c>
      <c r="R53" s="299" t="s">
        <v>240</v>
      </c>
      <c r="S53" s="299">
        <f>IF((P53+Q53)=0,"",IF(ISNA(R53),"",IF(R53="","",VLOOKUP(R53,Para1!$D$67:$G$79,3,FALSE)*(IF(P53+Q53=1,0.5,1)))))</f>
        <v>2.1</v>
      </c>
      <c r="T53" s="299"/>
      <c r="U53" s="299">
        <f t="shared" si="2"/>
        <v>0</v>
      </c>
      <c r="V53" s="299">
        <f t="shared" si="3"/>
        <v>0</v>
      </c>
      <c r="W53" s="299">
        <f t="shared" si="4"/>
        <v>0</v>
      </c>
      <c r="X53" s="299"/>
    </row>
    <row r="54" spans="1:27" ht="15" thickTop="1" x14ac:dyDescent="0.15">
      <c r="A54" s="36"/>
      <c r="B54" s="32"/>
      <c r="C54" s="16"/>
      <c r="D54" s="159">
        <f t="shared" ref="D54:I54" si="9">SUM(D23:D53)</f>
        <v>0</v>
      </c>
      <c r="E54" s="92">
        <f t="shared" si="9"/>
        <v>0</v>
      </c>
      <c r="F54" s="31">
        <f t="shared" si="9"/>
        <v>0</v>
      </c>
      <c r="G54" s="31">
        <f t="shared" si="9"/>
        <v>0</v>
      </c>
      <c r="H54" s="31">
        <f t="shared" si="9"/>
        <v>0</v>
      </c>
      <c r="I54" s="146">
        <f t="shared" si="9"/>
        <v>0</v>
      </c>
      <c r="J54" s="130"/>
      <c r="P54" s="622" t="str">
        <f>Para1!F174&amp;" "&amp;Para1!F168</f>
        <v>balance due / half-day</v>
      </c>
      <c r="Q54" s="623"/>
      <c r="R54" s="299">
        <f>SUM(W23:W53)</f>
        <v>0</v>
      </c>
      <c r="S54" s="299">
        <f>SUM(S23:S53)</f>
        <v>4.2</v>
      </c>
      <c r="T54" s="299">
        <f>SUM(T23:T53)</f>
        <v>0</v>
      </c>
      <c r="U54" s="299"/>
      <c r="V54" s="299"/>
      <c r="W54" s="299"/>
      <c r="X54" s="299"/>
    </row>
    <row r="55" spans="1:27" ht="15" thickBot="1" x14ac:dyDescent="0.2">
      <c r="A55" s="37"/>
      <c r="B55" s="33"/>
      <c r="C55" s="33"/>
      <c r="D55" s="598">
        <f t="shared" ref="D55:I55" si="10">D54*24</f>
        <v>0</v>
      </c>
      <c r="E55" s="595">
        <f t="shared" si="10"/>
        <v>0</v>
      </c>
      <c r="F55" s="587">
        <f t="shared" si="10"/>
        <v>0</v>
      </c>
      <c r="G55" s="587">
        <f t="shared" si="10"/>
        <v>0</v>
      </c>
      <c r="H55" s="587">
        <f t="shared" si="10"/>
        <v>0</v>
      </c>
      <c r="I55" s="588">
        <f t="shared" si="10"/>
        <v>0</v>
      </c>
      <c r="J55" s="311"/>
      <c r="M55" s="163" t="str">
        <f>Para1!G2</f>
        <v>AE v1_01 20.08.2019</v>
      </c>
      <c r="P55" s="624">
        <f>(Para1!M60/100*$G$3)/((SUM(P23:Q45)+P46+P53+SUM(P47:Q52))-R54)/24</f>
        <v>0.17500000000000002</v>
      </c>
      <c r="Q55" s="625"/>
      <c r="R55" s="299"/>
      <c r="S55" s="299"/>
      <c r="T55" s="299"/>
      <c r="U55" s="299"/>
      <c r="V55" s="299"/>
      <c r="W55" s="299"/>
      <c r="X55" s="299"/>
    </row>
    <row r="56" spans="1:27" ht="15" thickTop="1" x14ac:dyDescent="0.15">
      <c r="D56" s="11"/>
      <c r="K56" s="16"/>
      <c r="Q56" s="16"/>
      <c r="R56" s="494"/>
      <c r="S56" s="494"/>
      <c r="T56" s="494"/>
      <c r="U56" s="494"/>
      <c r="V56" s="494"/>
      <c r="W56" s="494"/>
      <c r="X56" s="494"/>
      <c r="Y56" s="16"/>
      <c r="Z56" s="16"/>
      <c r="AA56" s="16"/>
    </row>
    <row r="57" spans="1:27"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x14ac:dyDescent="0.15">
      <c r="A58" s="5"/>
      <c r="B58" s="5"/>
      <c r="C58" s="5"/>
      <c r="D58" s="5"/>
      <c r="E58" s="5"/>
      <c r="F58" s="5"/>
      <c r="G58" s="5"/>
      <c r="H58" s="5"/>
      <c r="I58" s="562"/>
      <c r="J58" s="562"/>
      <c r="K58" s="562"/>
      <c r="L58" s="562"/>
    </row>
    <row r="59" spans="1:27" ht="22.5" customHeight="1" x14ac:dyDescent="0.15">
      <c r="A59" s="5"/>
      <c r="B59" s="5"/>
      <c r="C59" s="5"/>
      <c r="D59" s="5"/>
      <c r="E59" s="5"/>
      <c r="F59" s="563" t="str">
        <f>Para1!F191&amp;" "&amp;Para1!F193</f>
        <v>signature manager</v>
      </c>
      <c r="G59" s="5"/>
      <c r="H59" s="564"/>
      <c r="I59" s="565"/>
      <c r="J59" s="565"/>
      <c r="K59" s="565"/>
      <c r="L59" s="565"/>
    </row>
    <row r="60" spans="1:27" x14ac:dyDescent="0.15">
      <c r="D60" s="11"/>
    </row>
    <row r="61" spans="1:27" ht="22.5" customHeight="1" x14ac:dyDescent="0.15">
      <c r="A61" s="42"/>
      <c r="B61" s="136"/>
      <c r="C61" s="136"/>
      <c r="D61" s="133"/>
      <c r="E61" s="45"/>
      <c r="F61" s="133"/>
      <c r="G61" s="141"/>
      <c r="H61" s="99"/>
      <c r="I61" s="48"/>
      <c r="J61" s="141"/>
      <c r="L61" s="132"/>
      <c r="M61" s="46"/>
      <c r="Q61" s="58"/>
    </row>
    <row r="62" spans="1:27" x14ac:dyDescent="0.15">
      <c r="A62" s="37"/>
      <c r="B62" s="16"/>
      <c r="C62" s="16"/>
      <c r="D62" s="136"/>
      <c r="E62" s="16"/>
      <c r="F62" s="16"/>
      <c r="G62" s="16"/>
      <c r="H62" s="99"/>
      <c r="I62" s="16"/>
      <c r="J62" s="16"/>
    </row>
    <row r="63" spans="1:27" x14ac:dyDescent="0.15">
      <c r="A63" s="37"/>
      <c r="B63" s="16"/>
      <c r="C63" s="16"/>
      <c r="D63" s="136"/>
      <c r="E63" s="16"/>
      <c r="F63" s="16"/>
      <c r="G63" s="16"/>
      <c r="H63" s="99"/>
      <c r="I63" s="16"/>
      <c r="J63" s="16"/>
    </row>
    <row r="64" spans="1:27" x14ac:dyDescent="0.15">
      <c r="A64" s="37"/>
      <c r="B64" s="16"/>
      <c r="C64" s="16"/>
      <c r="D64" s="136"/>
      <c r="E64" s="16"/>
      <c r="F64" s="16"/>
      <c r="G64" s="16"/>
      <c r="H64" s="99"/>
      <c r="I64" s="16"/>
      <c r="J64" s="16"/>
    </row>
    <row r="65" spans="1:10" x14ac:dyDescent="0.15">
      <c r="A65" s="37"/>
      <c r="B65" s="16"/>
      <c r="C65" s="16"/>
      <c r="D65" s="136"/>
      <c r="E65" s="16"/>
      <c r="F65" s="16"/>
      <c r="G65" s="16"/>
      <c r="H65" s="99"/>
      <c r="I65" s="16"/>
      <c r="J65" s="16"/>
    </row>
  </sheetData>
  <sheetProtection password="CF1F" sheet="1" objects="1" scenarios="1"/>
  <mergeCells count="29">
    <mergeCell ref="P54:Q54"/>
    <mergeCell ref="P55:Q55"/>
    <mergeCell ref="J9:K9"/>
    <mergeCell ref="J10:K10"/>
    <mergeCell ref="P20:Q20"/>
    <mergeCell ref="P21:P22"/>
    <mergeCell ref="Q21:Q22"/>
    <mergeCell ref="F21:F22"/>
    <mergeCell ref="G21:G22"/>
    <mergeCell ref="K20:L20"/>
    <mergeCell ref="M20:N20"/>
    <mergeCell ref="K21:K22"/>
    <mergeCell ref="L21:L22"/>
    <mergeCell ref="A1:B1"/>
    <mergeCell ref="A3:B3"/>
    <mergeCell ref="D1:E1"/>
    <mergeCell ref="A21:B21"/>
    <mergeCell ref="D21:D22"/>
    <mergeCell ref="E21:E22"/>
    <mergeCell ref="D20:I20"/>
    <mergeCell ref="A22:B22"/>
    <mergeCell ref="C16:E16"/>
    <mergeCell ref="C17:E17"/>
    <mergeCell ref="C18:E18"/>
    <mergeCell ref="B13:E13"/>
    <mergeCell ref="C14:E14"/>
    <mergeCell ref="C15:E15"/>
    <mergeCell ref="I21:I22"/>
    <mergeCell ref="H21:H22"/>
  </mergeCells>
  <phoneticPr fontId="0" type="noConversion"/>
  <conditionalFormatting sqref="A23:B53">
    <cfRule type="expression" dxfId="11" priority="6">
      <formula>$S23=0</formula>
    </cfRule>
    <cfRule type="expression" dxfId="10" priority="7">
      <formula>$P23+$Q23=0</formula>
    </cfRule>
  </conditionalFormatting>
  <conditionalFormatting sqref="D23:I53">
    <cfRule type="expression" dxfId="9" priority="4">
      <formula>$P23+$Q23=1</formula>
    </cfRule>
    <cfRule type="expression" dxfId="8" priority="5">
      <formula>$P23+$Q23=0</formula>
    </cfRule>
  </conditionalFormatting>
  <conditionalFormatting sqref="D23:I53 K23:L53 P23:Q53">
    <cfRule type="expression" dxfId="7" priority="3">
      <formula>$S23=0</formula>
    </cfRule>
  </conditionalFormatting>
  <conditionalFormatting sqref="K23:K53 P23:P53">
    <cfRule type="expression" dxfId="6" priority="2">
      <formula>$P23=0</formula>
    </cfRule>
  </conditionalFormatting>
  <conditionalFormatting sqref="L23:L53 Q23:Q53">
    <cfRule type="expression" dxfId="5"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E00-000000000000}">
      <formula1>0</formula1>
      <formula2>25</formula2>
    </dataValidation>
  </dataValidations>
  <pageMargins left="0.41" right="0.41" top="0.79" bottom="0.39370078740157483" header="0.28999999999999998" footer="0.15748031496062992"/>
  <pageSetup paperSize="9" scale="65" fitToHeight="0" orientation="portrait" verticalDpi="300" r:id="rId1"/>
  <headerFooter alignWithMargins="0">
    <oddHeader>&amp;C&amp;"Arial,Fett Kursiv"&amp;16Absenzenerfassung -  &amp;A</oddHeader>
    <oddFooter>&amp;L&amp;Z&amp;F</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N24"/>
  <sheetViews>
    <sheetView showGridLines="0" topLeftCell="B1" zoomScaleNormal="100" workbookViewId="0">
      <selection activeCell="B1" sqref="B1"/>
    </sheetView>
  </sheetViews>
  <sheetFormatPr baseColWidth="10" defaultRowHeight="19" customHeight="1" x14ac:dyDescent="0.15"/>
  <cols>
    <col min="1" max="1" width="3.83203125" customWidth="1"/>
    <col min="2" max="2" width="10.6640625" customWidth="1"/>
    <col min="3" max="4" width="13.6640625" customWidth="1"/>
    <col min="5" max="11" width="15.6640625" customWidth="1"/>
    <col min="12" max="12" width="42.5" customWidth="1"/>
  </cols>
  <sheetData>
    <row r="1" spans="2:14" s="52" customFormat="1" ht="10.5" customHeight="1" x14ac:dyDescent="0.15">
      <c r="B1" s="413" t="str">
        <f>Para1!F196</f>
        <v xml:space="preserve">first name: </v>
      </c>
      <c r="C1" s="685" t="str">
        <f>'Jahresübersicht (Overview)'!C2</f>
        <v>Christina</v>
      </c>
      <c r="D1" s="686"/>
      <c r="E1" s="55" t="str">
        <f>Para1!F159</f>
        <v xml:space="preserve">surname: </v>
      </c>
      <c r="F1" s="164" t="str">
        <f>'Jahresübersicht (Overview)'!G2</f>
        <v>Wapp</v>
      </c>
      <c r="G1" s="677" t="str">
        <f>Para1!F133</f>
        <v xml:space="preserve">year of birth (4-digit): </v>
      </c>
      <c r="H1" s="677"/>
      <c r="I1" s="56">
        <f>'Jahresübersicht (Overview)'!K2</f>
        <v>1993</v>
      </c>
    </row>
    <row r="2" spans="2:14" s="52" customFormat="1" ht="6" customHeight="1" x14ac:dyDescent="0.15">
      <c r="B2" s="54"/>
      <c r="C2" s="54"/>
      <c r="D2" s="54"/>
      <c r="E2" s="54"/>
      <c r="F2" s="54"/>
      <c r="G2" s="54"/>
      <c r="H2" s="54"/>
      <c r="I2" s="54"/>
      <c r="J2" s="54"/>
    </row>
    <row r="3" spans="2:14" s="52" customFormat="1" ht="13" x14ac:dyDescent="0.15">
      <c r="B3" s="55" t="str">
        <f>Para1!F165</f>
        <v xml:space="preserve">pers.-no.: </v>
      </c>
      <c r="C3" s="687">
        <f>'Jahresübersicht (Overview)'!C4</f>
        <v>0</v>
      </c>
      <c r="D3" s="688"/>
      <c r="E3" s="55" t="str">
        <f>Para1!F113</f>
        <v xml:space="preserve">starting date: </v>
      </c>
      <c r="F3" s="689">
        <f>'Jahresübersicht (Overview)'!G4</f>
        <v>42596</v>
      </c>
      <c r="G3" s="686"/>
      <c r="H3" s="502">
        <f>IF(SUM('Jahresübersicht (Overview)'!$C$8:$L$8)=0,0,ROUND(AVERAGE('Jahresübersicht (Overview)'!$C$8:$L$8)/(10-FREQUENCY('Jahresübersicht (Overview)'!$C$8:$L$8,0))*10,0))</f>
        <v>100</v>
      </c>
      <c r="I3" s="54"/>
      <c r="J3" s="54"/>
    </row>
    <row r="4" spans="2:14" s="52" customFormat="1" ht="13" x14ac:dyDescent="0.15">
      <c r="B4" s="54"/>
      <c r="C4" s="54"/>
      <c r="D4" s="54"/>
      <c r="E4" s="54"/>
      <c r="F4" s="54"/>
      <c r="G4" s="54"/>
      <c r="H4" s="54"/>
      <c r="I4" s="54"/>
      <c r="J4" s="54"/>
      <c r="M4" s="411"/>
      <c r="N4" s="411"/>
    </row>
    <row r="5" spans="2:14" s="52" customFormat="1" ht="16" x14ac:dyDescent="0.2">
      <c r="B5" s="53" t="str">
        <f>Para1!F201&amp;" per 31.12."&amp;Para1!C2</f>
        <v>key figures per 31.12.2020</v>
      </c>
      <c r="M5" s="411"/>
      <c r="N5" s="411"/>
    </row>
    <row r="6" spans="2:14" s="52" customFormat="1" ht="12.75" customHeight="1" x14ac:dyDescent="0.15">
      <c r="B6" s="684" t="str">
        <f>Para1!J212</f>
        <v>Here you can see all your absences as of 31.12. which are relevant for the Time Management Tool.</v>
      </c>
      <c r="C6" s="684"/>
      <c r="D6" s="684"/>
      <c r="E6" s="684"/>
      <c r="F6" s="684"/>
      <c r="G6" s="684"/>
      <c r="H6" s="684"/>
      <c r="I6" s="684"/>
      <c r="J6" s="684"/>
      <c r="K6" s="684"/>
      <c r="L6" s="394"/>
      <c r="M6" s="411"/>
      <c r="N6" s="411"/>
    </row>
    <row r="7" spans="2:14" s="52" customFormat="1" ht="13.5" customHeight="1" thickBot="1" x14ac:dyDescent="0.2">
      <c r="B7" s="683" t="str">
        <f>Para1!J213</f>
        <v xml:space="preserve"> </v>
      </c>
      <c r="C7" s="683"/>
      <c r="D7" s="683"/>
      <c r="E7" s="683"/>
      <c r="F7" s="683"/>
      <c r="G7" s="683"/>
      <c r="H7" s="683"/>
      <c r="I7" s="683"/>
      <c r="J7" s="683"/>
      <c r="K7" s="683"/>
      <c r="L7" s="394"/>
      <c r="M7" s="411"/>
      <c r="N7" s="411"/>
    </row>
    <row r="8" spans="2:14" s="52" customFormat="1" ht="14" thickTop="1" x14ac:dyDescent="0.15">
      <c r="B8" s="168"/>
      <c r="C8" s="169"/>
      <c r="D8" s="169"/>
      <c r="E8" s="673" t="str">
        <f>" Ø "&amp;Para1!F97&amp;" (Jan. - Dez.): "&amp;IF(SUM('Jahresübersicht (Overview)'!$C$8:$N$8)=0,0,ROUND(AVERAGE('Jahresübersicht (Overview)'!$C$8:$N$8)/(10-FREQUENCY('Jahresübersicht (Overview)'!$C$8:$N$8,0))*10,0))&amp;"%"</f>
        <v xml:space="preserve"> Ø level of employment (Jan. - Dez.): 139%</v>
      </c>
      <c r="F8" s="674"/>
      <c r="G8" s="675"/>
      <c r="H8" s="680" t="str">
        <f>Para1!J206</f>
        <v>Split among several contracts (hh:mm)</v>
      </c>
      <c r="I8" s="681"/>
      <c r="J8" s="681"/>
      <c r="K8" s="682"/>
      <c r="M8" s="410"/>
    </row>
    <row r="9" spans="2:14" s="52" customFormat="1" ht="13" x14ac:dyDescent="0.15">
      <c r="B9" s="170"/>
      <c r="C9" s="171"/>
      <c r="D9" s="171"/>
      <c r="E9" s="330"/>
      <c r="F9" s="331" t="s">
        <v>2</v>
      </c>
      <c r="G9" s="589" t="str">
        <f>Para1!F108</f>
        <v>decimal</v>
      </c>
      <c r="H9" s="172">
        <v>0</v>
      </c>
      <c r="I9" s="172">
        <v>0</v>
      </c>
      <c r="J9" s="172">
        <v>0</v>
      </c>
      <c r="K9" s="173">
        <v>0</v>
      </c>
      <c r="L9" s="676" t="str">
        <f>IF(SUM(H9:K9)=0,"",IF($H$3=(SUM(H9:K9)*100),"",Para1!J216))</f>
        <v/>
      </c>
      <c r="M9" s="411"/>
    </row>
    <row r="10" spans="2:14" ht="19" customHeight="1" x14ac:dyDescent="0.15">
      <c r="B10" s="669" t="str">
        <f>Para1!F117&amp;" "&amp;Para1!F171</f>
        <v>holiday balance</v>
      </c>
      <c r="C10" s="670"/>
      <c r="D10" s="670"/>
      <c r="E10" s="178"/>
      <c r="F10" s="175">
        <f>Dezember!E11</f>
        <v>3.1208333333333331</v>
      </c>
      <c r="G10" s="590">
        <f>F10*24</f>
        <v>74.899999999999991</v>
      </c>
      <c r="H10" s="503" t="str">
        <f>IF($F10&lt;&gt;0,IF(H$9&lt;&gt;0,H$9/$H$3*$F10*100,"-"),"-")</f>
        <v>-</v>
      </c>
      <c r="I10" s="503" t="str">
        <f t="shared" ref="I10:K21" si="0">IF($F10&lt;&gt;0,IF(I$9&lt;&gt;0,I$9/$H$3*$F10*100,"-"),"-")</f>
        <v>-</v>
      </c>
      <c r="J10" s="503" t="str">
        <f t="shared" si="0"/>
        <v>-</v>
      </c>
      <c r="K10" s="504" t="str">
        <f t="shared" si="0"/>
        <v>-</v>
      </c>
      <c r="L10" s="676"/>
      <c r="M10" s="412"/>
    </row>
    <row r="11" spans="2:14" ht="19" customHeight="1" x14ac:dyDescent="0.15">
      <c r="B11" s="671" t="str">
        <f>Para1!F102&amp;" "&amp;Para1!F121&amp;" "&amp;Para1!F178</f>
        <v>taken free days</v>
      </c>
      <c r="C11" s="672"/>
      <c r="D11" s="672"/>
      <c r="E11" s="177"/>
      <c r="F11" s="174">
        <f>SUM('Jahresübersicht (Overview)'!C15:N15)</f>
        <v>0.52500000000000002</v>
      </c>
      <c r="G11" s="591">
        <f t="shared" ref="G11:G21" si="1">F11*24</f>
        <v>12.600000000000001</v>
      </c>
      <c r="H11" s="505" t="str">
        <f t="shared" ref="H11:H21" si="2">IF($F11&lt;&gt;0,IF(H$9&lt;&gt;0,H$9/$H$3*$F11*100,"-"),"-")</f>
        <v>-</v>
      </c>
      <c r="I11" s="505" t="str">
        <f t="shared" si="0"/>
        <v>-</v>
      </c>
      <c r="J11" s="505" t="str">
        <f t="shared" si="0"/>
        <v>-</v>
      </c>
      <c r="K11" s="506" t="str">
        <f t="shared" si="0"/>
        <v>-</v>
      </c>
      <c r="L11" s="676"/>
      <c r="M11" s="412"/>
    </row>
    <row r="12" spans="2:14" ht="19" customHeight="1" x14ac:dyDescent="0.15">
      <c r="B12" s="669" t="str">
        <f>Para1!F150</f>
        <v>military/civil def./civil serv.</v>
      </c>
      <c r="C12" s="670"/>
      <c r="D12" s="670"/>
      <c r="E12" s="178"/>
      <c r="F12" s="175">
        <f>Dezember!N17</f>
        <v>0</v>
      </c>
      <c r="G12" s="592">
        <f t="shared" si="1"/>
        <v>0</v>
      </c>
      <c r="H12" s="507" t="str">
        <f t="shared" si="2"/>
        <v>-</v>
      </c>
      <c r="I12" s="507" t="str">
        <f t="shared" si="0"/>
        <v>-</v>
      </c>
      <c r="J12" s="507" t="str">
        <f t="shared" si="0"/>
        <v>-</v>
      </c>
      <c r="K12" s="508" t="str">
        <f t="shared" si="0"/>
        <v>-</v>
      </c>
      <c r="M12" s="412"/>
    </row>
    <row r="13" spans="2:14" ht="19" customHeight="1" x14ac:dyDescent="0.15">
      <c r="B13" s="671" t="str">
        <f>Para1!F141</f>
        <v>illness</v>
      </c>
      <c r="C13" s="672"/>
      <c r="D13" s="672"/>
      <c r="E13" s="177"/>
      <c r="F13" s="174">
        <f>Dezember!N8</f>
        <v>0</v>
      </c>
      <c r="G13" s="591">
        <f t="shared" si="1"/>
        <v>0</v>
      </c>
      <c r="H13" s="505" t="str">
        <f t="shared" si="2"/>
        <v>-</v>
      </c>
      <c r="I13" s="505" t="str">
        <f t="shared" si="0"/>
        <v>-</v>
      </c>
      <c r="J13" s="505" t="str">
        <f t="shared" si="0"/>
        <v>-</v>
      </c>
      <c r="K13" s="506" t="str">
        <f t="shared" si="0"/>
        <v>-</v>
      </c>
      <c r="M13" s="412"/>
    </row>
    <row r="14" spans="2:14" ht="19" customHeight="1" x14ac:dyDescent="0.15">
      <c r="B14" s="669" t="str">
        <f>Para1!F190&amp;" "&amp;Para1!F99</f>
        <v>accident work related</v>
      </c>
      <c r="C14" s="670"/>
      <c r="D14" s="670"/>
      <c r="E14" s="178"/>
      <c r="F14" s="175">
        <f>Dezember!N9</f>
        <v>0</v>
      </c>
      <c r="G14" s="592">
        <f t="shared" si="1"/>
        <v>0</v>
      </c>
      <c r="H14" s="503" t="str">
        <f t="shared" si="2"/>
        <v>-</v>
      </c>
      <c r="I14" s="503" t="str">
        <f t="shared" si="0"/>
        <v>-</v>
      </c>
      <c r="J14" s="503" t="str">
        <f t="shared" si="0"/>
        <v>-</v>
      </c>
      <c r="K14" s="504" t="str">
        <f t="shared" si="0"/>
        <v>-</v>
      </c>
      <c r="M14" s="412"/>
    </row>
    <row r="15" spans="2:14" ht="19" customHeight="1" x14ac:dyDescent="0.15">
      <c r="B15" s="671" t="str">
        <f>Para1!F190&amp;" "&amp;Para1!F161&amp;" "&amp;Para1!F99</f>
        <v>accident not work related</v>
      </c>
      <c r="C15" s="672"/>
      <c r="D15" s="672"/>
      <c r="E15" s="177"/>
      <c r="F15" s="174">
        <f>Dezember!N10</f>
        <v>0</v>
      </c>
      <c r="G15" s="591">
        <f t="shared" si="1"/>
        <v>0</v>
      </c>
      <c r="H15" s="505" t="str">
        <f t="shared" si="2"/>
        <v>-</v>
      </c>
      <c r="I15" s="505" t="str">
        <f t="shared" si="0"/>
        <v>-</v>
      </c>
      <c r="J15" s="505" t="str">
        <f t="shared" si="0"/>
        <v>-</v>
      </c>
      <c r="K15" s="506" t="str">
        <f t="shared" si="0"/>
        <v>-</v>
      </c>
      <c r="M15" s="412"/>
    </row>
    <row r="16" spans="2:14" ht="19" customHeight="1" x14ac:dyDescent="0.15">
      <c r="B16" s="669" t="str">
        <f>Para1!F157</f>
        <v>parental leave</v>
      </c>
      <c r="C16" s="670"/>
      <c r="D16" s="670"/>
      <c r="E16" s="178"/>
      <c r="F16" s="175">
        <f>Dezember!N16</f>
        <v>0</v>
      </c>
      <c r="G16" s="592">
        <f t="shared" si="1"/>
        <v>0</v>
      </c>
      <c r="H16" s="503" t="str">
        <f t="shared" si="2"/>
        <v>-</v>
      </c>
      <c r="I16" s="503" t="str">
        <f t="shared" si="0"/>
        <v>-</v>
      </c>
      <c r="J16" s="503" t="str">
        <f t="shared" si="0"/>
        <v>-</v>
      </c>
      <c r="K16" s="504" t="str">
        <f t="shared" si="0"/>
        <v>-</v>
      </c>
    </row>
    <row r="17" spans="2:11" ht="19" customHeight="1" x14ac:dyDescent="0.15">
      <c r="B17" s="671" t="str">
        <f>Para1!F142</f>
        <v>short vacation</v>
      </c>
      <c r="C17" s="672"/>
      <c r="D17" s="672"/>
      <c r="E17" s="177"/>
      <c r="F17" s="174">
        <f>Dezember!N11+Dezember!N14</f>
        <v>0</v>
      </c>
      <c r="G17" s="591">
        <f t="shared" si="1"/>
        <v>0</v>
      </c>
      <c r="H17" s="505" t="str">
        <f t="shared" si="2"/>
        <v>-</v>
      </c>
      <c r="I17" s="505" t="str">
        <f t="shared" si="0"/>
        <v>-</v>
      </c>
      <c r="J17" s="505" t="str">
        <f t="shared" si="0"/>
        <v>-</v>
      </c>
      <c r="K17" s="506" t="str">
        <f t="shared" si="0"/>
        <v>-</v>
      </c>
    </row>
    <row r="18" spans="2:11" ht="19" customHeight="1" x14ac:dyDescent="0.15">
      <c r="B18" s="669" t="str">
        <f>Para1!F192&amp;" "&amp;Para1!F189</f>
        <v>leave unpaid</v>
      </c>
      <c r="C18" s="670"/>
      <c r="D18" s="670"/>
      <c r="E18" s="178"/>
      <c r="F18" s="175">
        <f>Dezember!N15</f>
        <v>0</v>
      </c>
      <c r="G18" s="592">
        <f t="shared" si="1"/>
        <v>0</v>
      </c>
      <c r="H18" s="503" t="str">
        <f t="shared" si="2"/>
        <v>-</v>
      </c>
      <c r="I18" s="503" t="str">
        <f t="shared" si="0"/>
        <v>-</v>
      </c>
      <c r="J18" s="503" t="str">
        <f t="shared" si="0"/>
        <v>-</v>
      </c>
      <c r="K18" s="504" t="str">
        <f t="shared" si="0"/>
        <v>-</v>
      </c>
    </row>
    <row r="19" spans="2:11" ht="19" customHeight="1" x14ac:dyDescent="0.15">
      <c r="B19" s="671" t="str">
        <f>Para1!F198</f>
        <v>training / education</v>
      </c>
      <c r="C19" s="672"/>
      <c r="D19" s="672"/>
      <c r="E19" s="177"/>
      <c r="F19" s="174">
        <f>Dezember!N12</f>
        <v>0</v>
      </c>
      <c r="G19" s="591">
        <f t="shared" si="1"/>
        <v>0</v>
      </c>
      <c r="H19" s="505" t="str">
        <f t="shared" si="2"/>
        <v>-</v>
      </c>
      <c r="I19" s="505" t="str">
        <f t="shared" si="0"/>
        <v>-</v>
      </c>
      <c r="J19" s="505" t="str">
        <f t="shared" si="0"/>
        <v>-</v>
      </c>
      <c r="K19" s="506" t="str">
        <f t="shared" si="0"/>
        <v>-</v>
      </c>
    </row>
    <row r="20" spans="2:11" ht="19" customHeight="1" x14ac:dyDescent="0.15">
      <c r="B20" s="669" t="str">
        <f>Para1!F119</f>
        <v>reduction of holiday</v>
      </c>
      <c r="C20" s="670"/>
      <c r="D20" s="670"/>
      <c r="E20" s="178"/>
      <c r="F20" s="175">
        <f>SUM('Jahresübersicht (Overview)'!C16:N16)</f>
        <v>0</v>
      </c>
      <c r="G20" s="592">
        <f t="shared" si="1"/>
        <v>0</v>
      </c>
      <c r="H20" s="503" t="str">
        <f t="shared" si="2"/>
        <v>-</v>
      </c>
      <c r="I20" s="503" t="str">
        <f t="shared" si="0"/>
        <v>-</v>
      </c>
      <c r="J20" s="503" t="str">
        <f t="shared" si="0"/>
        <v>-</v>
      </c>
      <c r="K20" s="504" t="str">
        <f t="shared" si="0"/>
        <v>-</v>
      </c>
    </row>
    <row r="21" spans="2:11" ht="19" customHeight="1" thickBot="1" x14ac:dyDescent="0.2">
      <c r="B21" s="678" t="str">
        <f>Para1!F163</f>
        <v>public office</v>
      </c>
      <c r="C21" s="679"/>
      <c r="D21" s="679"/>
      <c r="E21" s="179"/>
      <c r="F21" s="176">
        <f>Dezember!N13</f>
        <v>0</v>
      </c>
      <c r="G21" s="593">
        <f t="shared" si="1"/>
        <v>0</v>
      </c>
      <c r="H21" s="509" t="str">
        <f t="shared" si="2"/>
        <v>-</v>
      </c>
      <c r="I21" s="509" t="str">
        <f t="shared" si="0"/>
        <v>-</v>
      </c>
      <c r="J21" s="509" t="str">
        <f t="shared" si="0"/>
        <v>-</v>
      </c>
      <c r="K21" s="510" t="str">
        <f t="shared" si="0"/>
        <v>-</v>
      </c>
    </row>
    <row r="22" spans="2:11" ht="19" customHeight="1" thickTop="1" x14ac:dyDescent="0.15">
      <c r="K22" s="163" t="str">
        <f>Para1!G2</f>
        <v>AE v1_01 20.08.2019</v>
      </c>
    </row>
    <row r="24" spans="2:11" ht="19" customHeight="1" x14ac:dyDescent="0.2">
      <c r="B24" s="165" t="str">
        <f>Para1!F106</f>
        <v>date</v>
      </c>
      <c r="C24" s="137"/>
      <c r="E24" s="166" t="str">
        <f>Para1!F191&amp;" "&amp;Para1!F152</f>
        <v>signature employee</v>
      </c>
      <c r="F24" s="167"/>
      <c r="G24" s="325"/>
      <c r="I24" s="23" t="str">
        <f>Para1!F191&amp;" "&amp;Para1!F193</f>
        <v>signature manager</v>
      </c>
      <c r="J24" s="167"/>
      <c r="K24" s="326"/>
    </row>
  </sheetData>
  <sheetProtection algorithmName="SHA-512" hashValue="Bw44wnQpQURbRSYdT9EzmDOG0uoOk/ydlrNgpPEdRlFoTmg4Hd2SiKZlHEfxurXxBJt9PoM11oMnK0gzD/loOA==" saltValue="s9D+j5Zpg5yrTDWRi7OTSw==" spinCount="100000" sheet="1" objects="1" scenarios="1"/>
  <mergeCells count="21">
    <mergeCell ref="L9:L11"/>
    <mergeCell ref="G1:H1"/>
    <mergeCell ref="B21:D21"/>
    <mergeCell ref="B15:D15"/>
    <mergeCell ref="B16:D16"/>
    <mergeCell ref="B17:D17"/>
    <mergeCell ref="B18:D18"/>
    <mergeCell ref="B20:D20"/>
    <mergeCell ref="B19:D19"/>
    <mergeCell ref="H8:K8"/>
    <mergeCell ref="B7:K7"/>
    <mergeCell ref="B6:K6"/>
    <mergeCell ref="B14:D14"/>
    <mergeCell ref="C1:D1"/>
    <mergeCell ref="C3:D3"/>
    <mergeCell ref="F3:G3"/>
    <mergeCell ref="B12:D12"/>
    <mergeCell ref="B13:D13"/>
    <mergeCell ref="B10:D10"/>
    <mergeCell ref="B11:D11"/>
    <mergeCell ref="E8:G8"/>
  </mergeCells>
  <phoneticPr fontId="19" type="noConversion"/>
  <conditionalFormatting sqref="F10:F21">
    <cfRule type="cellIs" dxfId="4" priority="3" stopIfTrue="1" operator="lessThan">
      <formula>0</formula>
    </cfRule>
  </conditionalFormatting>
  <conditionalFormatting sqref="H10:K10">
    <cfRule type="cellIs" dxfId="3" priority="2" stopIfTrue="1" operator="lessThan">
      <formula>0</formula>
    </cfRule>
  </conditionalFormatting>
  <conditionalFormatting sqref="H10:K21">
    <cfRule type="cellIs" dxfId="2" priority="1" stopIfTrue="1" operator="lessThan">
      <formula>0</formula>
    </cfRule>
  </conditionalFormatting>
  <pageMargins left="0.78740157499999996" right="0.78740157499999996" top="0.984251969" bottom="0.984251969" header="0.4921259845" footer="0.4921259845"/>
  <pageSetup paperSize="9" scale="86" fitToHeight="0" orientation="landscape" r:id="rId1"/>
  <headerFooter alignWithMargins="0">
    <oddHeader>&amp;C&amp;"Arial,Fett Kursiv"&amp;16Absenzenerfassung -  &amp;A</oddHeader>
    <oddFooter>&amp;L&amp;Z&amp;F</oddFooter>
  </headerFooter>
  <colBreaks count="1" manualBreakCount="1">
    <brk id="11"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6"/>
  <dimension ref="A1:S59"/>
  <sheetViews>
    <sheetView showGridLines="0" zoomScaleNormal="100" workbookViewId="0">
      <selection activeCell="B6" sqref="B6"/>
    </sheetView>
  </sheetViews>
  <sheetFormatPr baseColWidth="10" defaultRowHeight="13" x14ac:dyDescent="0.15"/>
  <cols>
    <col min="1" max="1" width="3.1640625" customWidth="1"/>
    <col min="2" max="2" width="14.6640625" customWidth="1"/>
    <col min="3" max="3" width="14.5" style="4" customWidth="1"/>
    <col min="4" max="4" width="14" customWidth="1"/>
    <col min="5" max="5" width="11.6640625" customWidth="1"/>
    <col min="6" max="6" width="14.6640625" customWidth="1"/>
    <col min="7" max="7" width="14.5" customWidth="1"/>
    <col min="10" max="11" width="14.6640625" customWidth="1"/>
  </cols>
  <sheetData>
    <row r="1" spans="2:17" s="2" customFormat="1" ht="36.75" customHeight="1" x14ac:dyDescent="0.15">
      <c r="B1" s="40" t="str">
        <f>Para1!F187</f>
        <v>calculationtool</v>
      </c>
      <c r="D1" s="3"/>
      <c r="H1" s="61"/>
      <c r="I1" s="61"/>
      <c r="J1" s="61"/>
      <c r="K1" s="423"/>
      <c r="L1" s="61"/>
      <c r="M1" s="61"/>
      <c r="N1" s="61"/>
      <c r="O1" s="61"/>
      <c r="P1" s="61"/>
      <c r="Q1" s="61"/>
    </row>
    <row r="2" spans="2:17" s="2" customFormat="1" ht="18" x14ac:dyDescent="0.15">
      <c r="B2" s="40" t="str">
        <f>Para1!F151&amp;" in "&amp;Para1!F127</f>
        <v>minutes in hundredth</v>
      </c>
      <c r="D2" s="3"/>
      <c r="F2" s="40" t="str">
        <f>Para1!F127&amp;" in "&amp;Para1!F151</f>
        <v>hundredth in minutes</v>
      </c>
      <c r="H2" s="61"/>
      <c r="I2" s="61"/>
      <c r="J2" s="61"/>
      <c r="K2" s="423"/>
      <c r="L2" s="61"/>
      <c r="M2" s="61"/>
      <c r="N2" s="61"/>
      <c r="O2" s="61"/>
      <c r="P2" s="61"/>
      <c r="Q2" s="61"/>
    </row>
    <row r="3" spans="2:17" ht="4.5" customHeight="1" thickBot="1" x14ac:dyDescent="0.2">
      <c r="C3"/>
      <c r="D3" s="4"/>
      <c r="H3" s="58"/>
      <c r="I3" s="58"/>
      <c r="J3" s="58"/>
      <c r="K3" s="147"/>
      <c r="L3" s="58"/>
      <c r="M3" s="58"/>
      <c r="N3" s="58"/>
      <c r="O3" s="58"/>
      <c r="P3" s="58"/>
      <c r="Q3" s="58"/>
    </row>
    <row r="4" spans="2:17" ht="20.25" customHeight="1" thickTop="1" x14ac:dyDescent="0.2">
      <c r="B4" s="67" t="str">
        <f>Para1!F151</f>
        <v>minutes</v>
      </c>
      <c r="C4" s="68" t="str">
        <f>Para1!F127</f>
        <v>hundredth</v>
      </c>
      <c r="D4" s="4"/>
      <c r="F4" s="67" t="str">
        <f>Para1!F127</f>
        <v>hundredth</v>
      </c>
      <c r="G4" s="68" t="str">
        <f>Para1!F151</f>
        <v>minutes</v>
      </c>
      <c r="H4" s="58"/>
      <c r="I4" s="58"/>
      <c r="J4" s="58"/>
      <c r="K4" s="147"/>
      <c r="L4" s="58"/>
      <c r="M4" s="58"/>
      <c r="N4" s="58"/>
      <c r="O4" s="58"/>
      <c r="P4" s="58"/>
      <c r="Q4" s="58"/>
    </row>
    <row r="5" spans="2:17" ht="5.25" customHeight="1" x14ac:dyDescent="0.15">
      <c r="B5" s="69"/>
      <c r="C5" s="70"/>
      <c r="D5" s="4"/>
      <c r="F5" s="69"/>
      <c r="G5" s="70"/>
      <c r="H5" s="58"/>
      <c r="I5" s="58"/>
      <c r="J5" s="58"/>
      <c r="K5" s="147"/>
      <c r="L5" s="58"/>
      <c r="M5" s="58"/>
      <c r="N5" s="58"/>
      <c r="O5" s="58"/>
      <c r="P5" s="58"/>
      <c r="Q5" s="58"/>
    </row>
    <row r="6" spans="2:17" ht="17" thickBot="1" x14ac:dyDescent="0.25">
      <c r="B6" s="71">
        <v>24</v>
      </c>
      <c r="C6" s="72">
        <f>ROUND(B6*10/600,2)</f>
        <v>0.4</v>
      </c>
      <c r="D6" s="4"/>
      <c r="F6" s="71">
        <v>0.4</v>
      </c>
      <c r="G6" s="72">
        <f>ROUND(F6/10*600,2)</f>
        <v>24</v>
      </c>
      <c r="H6" s="58"/>
      <c r="I6" s="58"/>
      <c r="J6" s="58"/>
      <c r="K6" s="147"/>
      <c r="L6" s="58"/>
      <c r="M6" s="58"/>
      <c r="N6" s="58"/>
      <c r="O6" s="58"/>
      <c r="P6" s="58"/>
      <c r="Q6" s="58"/>
    </row>
    <row r="7" spans="2:17" ht="14" thickTop="1" x14ac:dyDescent="0.15">
      <c r="C7"/>
      <c r="H7" s="58"/>
      <c r="I7" s="58"/>
      <c r="J7" s="58"/>
      <c r="K7" s="147"/>
      <c r="L7" s="58"/>
      <c r="M7" s="58"/>
      <c r="N7" s="58"/>
      <c r="O7" s="58"/>
      <c r="P7" s="58"/>
      <c r="Q7" s="58"/>
    </row>
    <row r="8" spans="2:17" x14ac:dyDescent="0.15">
      <c r="C8"/>
      <c r="H8" s="58"/>
      <c r="I8" s="58"/>
      <c r="J8" s="58"/>
      <c r="K8" s="147"/>
      <c r="L8" s="58"/>
      <c r="M8" s="58"/>
      <c r="N8" s="58"/>
      <c r="O8" s="58"/>
      <c r="P8" s="58"/>
      <c r="Q8" s="58"/>
    </row>
    <row r="9" spans="2:17" ht="18" x14ac:dyDescent="0.15">
      <c r="B9" s="40" t="str">
        <f>Para1!F176&amp;" ("&amp;Para1!F108&amp;") in "&amp;Para1!F176&amp;" (hh:mm)"</f>
        <v>hours (decimal) in hours (hh:mm)</v>
      </c>
      <c r="C9" s="2"/>
      <c r="D9" s="3"/>
      <c r="E9" s="2"/>
      <c r="F9" s="40" t="str">
        <f>Para1!F176&amp;" (hh:mm) in "&amp;Para1!F176&amp;" ("&amp;Para1!F108&amp;")"</f>
        <v>hours (hh:mm) in hours (decimal)</v>
      </c>
      <c r="G9" s="2"/>
      <c r="H9" s="58"/>
      <c r="I9" s="58"/>
      <c r="J9" s="58"/>
      <c r="K9" s="147"/>
      <c r="L9" s="58"/>
      <c r="M9" s="58"/>
      <c r="N9" s="58"/>
      <c r="O9" s="58"/>
      <c r="P9" s="58"/>
      <c r="Q9" s="58"/>
    </row>
    <row r="10" spans="2:17" ht="4.5" customHeight="1" thickBot="1" x14ac:dyDescent="0.2">
      <c r="C10"/>
      <c r="D10" s="4"/>
      <c r="H10" s="58"/>
      <c r="I10" s="58"/>
      <c r="J10" s="58"/>
      <c r="K10" s="147"/>
      <c r="L10" s="58"/>
      <c r="M10" s="58"/>
      <c r="N10" s="58"/>
      <c r="O10" s="58"/>
      <c r="P10" s="58"/>
      <c r="Q10" s="58"/>
    </row>
    <row r="11" spans="2:17" ht="17" thickTop="1" x14ac:dyDescent="0.2">
      <c r="B11" s="67" t="str">
        <f>Para1!F108</f>
        <v>decimal</v>
      </c>
      <c r="C11" s="68" t="s">
        <v>2</v>
      </c>
      <c r="D11" s="4"/>
      <c r="F11" s="67" t="s">
        <v>2</v>
      </c>
      <c r="G11" s="68" t="str">
        <f>Para1!F108</f>
        <v>decimal</v>
      </c>
      <c r="H11" s="58"/>
      <c r="I11" s="58"/>
      <c r="J11" s="58"/>
      <c r="K11" s="147"/>
      <c r="L11" s="58"/>
      <c r="M11" s="58"/>
      <c r="N11" s="58"/>
      <c r="O11" s="58"/>
      <c r="P11" s="58"/>
      <c r="Q11" s="58"/>
    </row>
    <row r="12" spans="2:17" ht="4.5" customHeight="1" x14ac:dyDescent="0.15">
      <c r="B12" s="69"/>
      <c r="C12" s="70"/>
      <c r="D12" s="4"/>
      <c r="F12" s="69"/>
      <c r="G12" s="70"/>
      <c r="H12" s="58"/>
      <c r="I12" s="58"/>
      <c r="J12" s="58"/>
      <c r="K12" s="147"/>
      <c r="L12" s="58"/>
      <c r="M12" s="58"/>
      <c r="N12" s="58"/>
      <c r="O12" s="58"/>
      <c r="P12" s="58"/>
      <c r="Q12" s="58"/>
    </row>
    <row r="13" spans="2:17" ht="17" thickBot="1" x14ac:dyDescent="0.25">
      <c r="B13" s="71">
        <v>2.5</v>
      </c>
      <c r="C13" s="73">
        <f>B13/24</f>
        <v>0.10416666666666667</v>
      </c>
      <c r="D13" s="4"/>
      <c r="F13" s="74">
        <v>0.10416666666666667</v>
      </c>
      <c r="G13" s="72">
        <f>F13*24</f>
        <v>2.5</v>
      </c>
      <c r="H13" s="58"/>
      <c r="I13" s="58"/>
      <c r="J13" s="58"/>
      <c r="K13" s="147"/>
      <c r="L13" s="58"/>
      <c r="M13" s="58"/>
      <c r="N13" s="58"/>
      <c r="O13" s="58"/>
      <c r="P13" s="58"/>
      <c r="Q13" s="58"/>
    </row>
    <row r="14" spans="2:17" ht="14" thickTop="1" x14ac:dyDescent="0.15">
      <c r="C14"/>
      <c r="H14" s="58"/>
      <c r="I14" s="58"/>
      <c r="J14" s="58"/>
      <c r="K14" s="147"/>
      <c r="L14" s="58"/>
      <c r="M14" s="58"/>
      <c r="N14" s="58"/>
      <c r="O14" s="58"/>
      <c r="P14" s="58"/>
      <c r="Q14" s="58"/>
    </row>
    <row r="15" spans="2:17" x14ac:dyDescent="0.15">
      <c r="C15"/>
      <c r="H15" s="58"/>
      <c r="I15" s="58"/>
      <c r="J15" s="58"/>
      <c r="K15" s="147"/>
      <c r="L15" s="58"/>
      <c r="M15" s="58"/>
      <c r="N15" s="58"/>
      <c r="O15" s="58"/>
      <c r="P15" s="58"/>
      <c r="Q15" s="58"/>
    </row>
    <row r="16" spans="2:17" ht="18" x14ac:dyDescent="0.15">
      <c r="B16" s="40" t="str">
        <f>Para1!F178&amp;" ("&amp;Para1!F108&amp;") in "&amp;Para1!F176&amp;" ("&amp;Para1!F108&amp;")"</f>
        <v>days (decimal) in hours (decimal)</v>
      </c>
      <c r="C16"/>
      <c r="D16" s="4"/>
      <c r="F16" s="40" t="str">
        <f>Para1!F176&amp;" ("&amp;Para1!F108&amp;") in "&amp;Para1!F178&amp;" ("&amp;Para1!F108&amp;")"</f>
        <v>hours (decimal) in days (decimal)</v>
      </c>
      <c r="H16" s="58"/>
      <c r="I16" s="58"/>
      <c r="J16" s="58"/>
      <c r="K16" s="147"/>
      <c r="L16" s="58"/>
      <c r="M16" s="58"/>
      <c r="N16" s="58"/>
      <c r="O16" s="58"/>
      <c r="P16" s="58"/>
      <c r="Q16" s="58"/>
    </row>
    <row r="17" spans="2:19" x14ac:dyDescent="0.15">
      <c r="B17" s="420" t="s">
        <v>291</v>
      </c>
      <c r="C17" s="134"/>
      <c r="D17" s="333"/>
      <c r="E17" s="134"/>
      <c r="F17" s="420" t="s">
        <v>292</v>
      </c>
      <c r="H17" s="58"/>
      <c r="I17" s="58"/>
      <c r="J17" s="58"/>
      <c r="K17" s="147"/>
      <c r="L17" s="58"/>
      <c r="M17" s="58"/>
      <c r="N17" s="58"/>
      <c r="O17" s="58"/>
      <c r="P17" s="58"/>
      <c r="Q17" s="58"/>
    </row>
    <row r="18" spans="2:19" ht="4.5" customHeight="1" thickBot="1" x14ac:dyDescent="0.2">
      <c r="C18"/>
      <c r="D18" s="4"/>
      <c r="H18" s="58"/>
      <c r="I18" s="58"/>
      <c r="J18" s="58"/>
      <c r="K18" s="147"/>
      <c r="L18" s="58"/>
      <c r="M18" s="58"/>
      <c r="N18" s="58"/>
      <c r="O18" s="58"/>
      <c r="P18" s="58"/>
      <c r="Q18" s="58"/>
    </row>
    <row r="19" spans="2:19" ht="17" thickTop="1" x14ac:dyDescent="0.2">
      <c r="B19" s="67" t="str">
        <f>Para1!F178</f>
        <v>days</v>
      </c>
      <c r="C19" s="68" t="str">
        <f>Para1!F176</f>
        <v>hours</v>
      </c>
      <c r="F19" s="67" t="str">
        <f>Para1!F176</f>
        <v>hours</v>
      </c>
      <c r="G19" s="68" t="str">
        <f>Para1!F178</f>
        <v>days</v>
      </c>
      <c r="H19" s="58"/>
      <c r="I19" s="58"/>
      <c r="J19" s="58"/>
      <c r="K19" s="147"/>
      <c r="L19" s="58"/>
      <c r="M19" s="58"/>
      <c r="N19" s="58"/>
      <c r="O19" s="58"/>
      <c r="P19" s="58"/>
      <c r="Q19" s="58"/>
    </row>
    <row r="20" spans="2:19" ht="4.5" customHeight="1" x14ac:dyDescent="0.15">
      <c r="B20" s="69"/>
      <c r="C20" s="70"/>
      <c r="F20" s="69"/>
      <c r="G20" s="70"/>
      <c r="H20" s="58"/>
      <c r="I20" s="58"/>
      <c r="J20" s="58"/>
      <c r="K20" s="147"/>
      <c r="L20" s="58"/>
      <c r="M20" s="58"/>
      <c r="N20" s="58"/>
      <c r="O20" s="58"/>
      <c r="P20" s="58"/>
      <c r="Q20" s="58"/>
    </row>
    <row r="21" spans="2:19" ht="17" thickBot="1" x14ac:dyDescent="0.25">
      <c r="B21" s="71">
        <v>2</v>
      </c>
      <c r="C21" s="72">
        <f>ROUND(B21*8.4,2)</f>
        <v>16.8</v>
      </c>
      <c r="F21" s="71">
        <v>16.8</v>
      </c>
      <c r="G21" s="72">
        <f>ROUND(F21/8.4,2)</f>
        <v>2</v>
      </c>
      <c r="H21" s="58"/>
      <c r="I21" s="58"/>
      <c r="J21" s="58"/>
      <c r="K21" s="147"/>
      <c r="L21" s="58"/>
      <c r="M21" s="58"/>
      <c r="N21" s="58"/>
      <c r="O21" s="58"/>
      <c r="P21" s="58"/>
      <c r="Q21" s="58"/>
    </row>
    <row r="22" spans="2:19" ht="14" thickTop="1" x14ac:dyDescent="0.15">
      <c r="C22"/>
      <c r="H22" s="58"/>
      <c r="I22" s="58"/>
      <c r="J22" s="58"/>
      <c r="K22" s="147"/>
      <c r="L22" s="58"/>
      <c r="M22" s="58"/>
      <c r="N22" s="58"/>
      <c r="O22" s="58"/>
      <c r="P22" s="58"/>
      <c r="Q22" s="58"/>
    </row>
    <row r="23" spans="2:19" x14ac:dyDescent="0.15">
      <c r="C23"/>
      <c r="H23" s="58"/>
      <c r="I23" s="58"/>
      <c r="J23" s="58"/>
      <c r="K23" s="147"/>
      <c r="L23" s="58"/>
      <c r="M23" s="58"/>
      <c r="N23" s="58"/>
      <c r="O23" s="58"/>
      <c r="P23" s="58"/>
      <c r="Q23" s="58"/>
    </row>
    <row r="24" spans="2:19" ht="18" x14ac:dyDescent="0.15">
      <c r="B24" s="40" t="str">
        <f>Para1!F178&amp;" ("&amp;Para1!F108&amp;") in "&amp;Para1!F176&amp;" (hh:mm)"</f>
        <v>days (decimal) in hours (hh:mm)</v>
      </c>
      <c r="C24"/>
      <c r="D24" s="4"/>
      <c r="F24" s="40" t="str">
        <f>Para1!F176&amp;" (hh:mm) in "&amp;Para1!F178&amp;" ("&amp;Para1!F108&amp;")"</f>
        <v>hours (hh:mm) in days (decimal)</v>
      </c>
      <c r="H24" s="58"/>
      <c r="I24" s="58"/>
      <c r="J24" s="62"/>
      <c r="K24" s="59"/>
      <c r="L24" s="59"/>
      <c r="M24" s="59"/>
      <c r="N24" s="58"/>
      <c r="O24" s="58"/>
      <c r="P24" s="58"/>
      <c r="Q24" s="58"/>
    </row>
    <row r="25" spans="2:19" x14ac:dyDescent="0.15">
      <c r="B25" s="421" t="s">
        <v>293</v>
      </c>
      <c r="C25"/>
      <c r="D25" s="4"/>
      <c r="F25" s="421" t="s">
        <v>294</v>
      </c>
      <c r="H25" s="58"/>
      <c r="I25" s="58"/>
      <c r="J25" s="59"/>
      <c r="K25" s="59"/>
      <c r="L25" s="59"/>
      <c r="M25" s="59"/>
      <c r="N25" s="58"/>
      <c r="O25" s="58"/>
      <c r="P25" s="58"/>
      <c r="Q25" s="58"/>
    </row>
    <row r="26" spans="2:19" ht="4.5" customHeight="1" thickBot="1" x14ac:dyDescent="0.2">
      <c r="C26"/>
      <c r="D26" s="4"/>
      <c r="H26" s="58"/>
      <c r="I26" s="58"/>
      <c r="J26" s="59"/>
      <c r="K26" s="59"/>
      <c r="L26" s="59"/>
      <c r="M26" s="59"/>
      <c r="N26" s="58"/>
      <c r="O26" s="58"/>
      <c r="P26" s="58"/>
      <c r="Q26" s="58"/>
    </row>
    <row r="27" spans="2:19" ht="17" thickTop="1" x14ac:dyDescent="0.2">
      <c r="B27" s="67" t="str">
        <f>Para1!F178</f>
        <v>days</v>
      </c>
      <c r="C27" s="68" t="str">
        <f>Para1!F176</f>
        <v>hours</v>
      </c>
      <c r="F27" s="67" t="str">
        <f>Para1!F176</f>
        <v>hours</v>
      </c>
      <c r="G27" s="68" t="str">
        <f>Para1!F178</f>
        <v>days</v>
      </c>
      <c r="H27" s="58"/>
      <c r="I27" s="58"/>
      <c r="J27" s="63"/>
      <c r="K27" s="63"/>
      <c r="L27" s="59"/>
      <c r="M27" s="59"/>
      <c r="N27" s="58"/>
      <c r="O27" s="58"/>
      <c r="P27" s="58"/>
      <c r="Q27" s="58"/>
    </row>
    <row r="28" spans="2:19" ht="4.5" customHeight="1" x14ac:dyDescent="0.15">
      <c r="B28" s="69"/>
      <c r="C28" s="70"/>
      <c r="F28" s="69"/>
      <c r="G28" s="70"/>
      <c r="H28" s="58"/>
      <c r="I28" s="58"/>
      <c r="J28" s="64"/>
      <c r="K28" s="64"/>
      <c r="L28" s="59"/>
      <c r="M28" s="59"/>
      <c r="N28" s="58"/>
      <c r="O28" s="58"/>
      <c r="P28" s="58"/>
      <c r="Q28" s="58"/>
    </row>
    <row r="29" spans="2:19" ht="17" thickBot="1" x14ac:dyDescent="0.25">
      <c r="B29" s="71">
        <v>1</v>
      </c>
      <c r="C29" s="73">
        <f>D29*B29</f>
        <v>0.35</v>
      </c>
      <c r="D29" s="41">
        <v>0.35</v>
      </c>
      <c r="F29" s="74">
        <v>0.35</v>
      </c>
      <c r="G29" s="72">
        <f>F29/H29</f>
        <v>1</v>
      </c>
      <c r="H29" s="65">
        <v>0.35</v>
      </c>
      <c r="I29" s="58"/>
      <c r="J29" s="57"/>
      <c r="K29" s="422"/>
      <c r="L29" s="59"/>
      <c r="M29" s="59"/>
      <c r="N29" s="58"/>
      <c r="O29" s="58"/>
      <c r="P29" s="58"/>
      <c r="Q29" s="58"/>
    </row>
    <row r="30" spans="2:19" ht="14" thickTop="1" x14ac:dyDescent="0.15">
      <c r="C30"/>
      <c r="H30" s="58"/>
      <c r="I30" s="58"/>
      <c r="J30" s="59"/>
      <c r="K30" s="59"/>
      <c r="L30" s="59"/>
      <c r="M30" s="59"/>
      <c r="N30" s="58"/>
      <c r="O30" s="58"/>
      <c r="P30" s="58"/>
      <c r="Q30" s="58"/>
    </row>
    <row r="31" spans="2:19" x14ac:dyDescent="0.15">
      <c r="C31"/>
      <c r="H31" s="58"/>
      <c r="I31" s="58"/>
      <c r="J31" s="59"/>
      <c r="K31" s="59"/>
      <c r="L31" s="59"/>
      <c r="M31" s="59"/>
      <c r="N31" s="58"/>
      <c r="O31" s="58"/>
      <c r="P31" s="58"/>
      <c r="Q31" s="58"/>
    </row>
    <row r="32" spans="2:19" ht="18" x14ac:dyDescent="0.15">
      <c r="B32" s="40" t="str">
        <f>Para1!F96&amp;" "&amp;Para1!F112&amp;" "&amp;Para1!F179&amp;" "&amp;Para1!J209</f>
        <v>calculation average daily work-time for a variable part time job</v>
      </c>
      <c r="C32"/>
      <c r="H32" s="58"/>
      <c r="I32" s="58"/>
      <c r="J32" s="59"/>
      <c r="K32" s="59"/>
      <c r="L32" s="59"/>
      <c r="M32" s="59"/>
      <c r="N32" s="58"/>
      <c r="O32" s="58"/>
      <c r="P32" s="58"/>
      <c r="Q32" s="58"/>
      <c r="R32" s="58"/>
      <c r="S32" s="58"/>
    </row>
    <row r="33" spans="1:19" x14ac:dyDescent="0.15">
      <c r="C33"/>
      <c r="H33" s="58"/>
      <c r="I33" s="58"/>
      <c r="J33" s="59"/>
      <c r="K33" s="59"/>
      <c r="L33" s="59"/>
      <c r="M33" s="59"/>
      <c r="N33" s="58"/>
      <c r="O33" s="58"/>
      <c r="P33" s="58"/>
      <c r="Q33" s="58"/>
      <c r="R33" s="58"/>
      <c r="S33" s="58"/>
    </row>
    <row r="34" spans="1:19" ht="4.5" customHeight="1" thickBot="1" x14ac:dyDescent="0.2">
      <c r="C34"/>
      <c r="H34" s="58"/>
      <c r="I34" s="58"/>
      <c r="J34" s="59"/>
      <c r="K34" s="59"/>
      <c r="L34" s="59"/>
      <c r="M34" s="59"/>
      <c r="N34" s="58"/>
      <c r="O34" s="58"/>
      <c r="P34" s="58"/>
      <c r="Q34" s="58"/>
      <c r="R34" s="58"/>
      <c r="S34" s="58"/>
    </row>
    <row r="35" spans="1:19" ht="17" thickTop="1" x14ac:dyDescent="0.2">
      <c r="B35" s="67" t="s">
        <v>77</v>
      </c>
      <c r="C35" s="690" t="str">
        <f>Para1!F179</f>
        <v>daily work-time</v>
      </c>
      <c r="D35" s="691"/>
      <c r="H35" s="58"/>
      <c r="I35" s="58"/>
      <c r="J35" s="59"/>
      <c r="K35" s="59"/>
      <c r="L35" s="59"/>
      <c r="M35" s="59"/>
      <c r="N35" s="58"/>
      <c r="O35" s="58"/>
      <c r="P35" s="58"/>
      <c r="Q35" s="58"/>
      <c r="R35" s="58"/>
      <c r="S35" s="58"/>
    </row>
    <row r="36" spans="1:19" ht="4.5" customHeight="1" x14ac:dyDescent="0.15">
      <c r="B36" s="69"/>
      <c r="C36" s="425"/>
      <c r="D36" s="426"/>
      <c r="H36" s="58"/>
      <c r="I36" s="58"/>
      <c r="J36" s="59"/>
      <c r="K36" s="59"/>
      <c r="L36" s="59"/>
      <c r="M36" s="59"/>
      <c r="N36" s="58"/>
      <c r="O36" s="58"/>
      <c r="P36" s="58"/>
      <c r="Q36" s="58"/>
      <c r="R36" s="58"/>
      <c r="S36" s="58"/>
    </row>
    <row r="37" spans="1:19" ht="17" thickBot="1" x14ac:dyDescent="0.25">
      <c r="B37" s="75">
        <v>90</v>
      </c>
      <c r="C37" s="692">
        <f>8.4*(0+B37/100)/24</f>
        <v>0.315</v>
      </c>
      <c r="D37" s="693"/>
      <c r="H37" s="58"/>
      <c r="I37" s="58"/>
      <c r="J37" s="59"/>
      <c r="K37" s="59"/>
      <c r="L37" s="59"/>
      <c r="M37" s="59"/>
      <c r="N37" s="58"/>
      <c r="O37" s="58"/>
      <c r="P37" s="58"/>
      <c r="Q37" s="58"/>
      <c r="R37" s="58"/>
      <c r="S37" s="58"/>
    </row>
    <row r="38" spans="1:19" ht="13.5" customHeight="1" thickTop="1" x14ac:dyDescent="0.2">
      <c r="A38" s="58"/>
      <c r="B38" s="57"/>
      <c r="C38" s="76"/>
      <c r="D38" s="58"/>
      <c r="E38" s="58"/>
      <c r="F38" s="58"/>
      <c r="G38" s="58"/>
      <c r="H38" s="58"/>
      <c r="I38" s="58"/>
      <c r="J38" s="59"/>
      <c r="K38" s="59"/>
      <c r="L38" s="59"/>
      <c r="M38" s="59"/>
      <c r="N38" s="58"/>
      <c r="O38" s="58"/>
      <c r="P38" s="58"/>
      <c r="Q38" s="58"/>
      <c r="R38" s="58"/>
      <c r="S38" s="58"/>
    </row>
    <row r="39" spans="1:19" ht="16" x14ac:dyDescent="0.2">
      <c r="A39" s="58"/>
      <c r="B39" s="57"/>
      <c r="C39" s="76"/>
      <c r="D39" s="58"/>
      <c r="E39" s="58"/>
      <c r="F39" s="58"/>
      <c r="G39" s="58"/>
      <c r="H39" s="58"/>
      <c r="I39" s="58"/>
      <c r="J39" s="59"/>
      <c r="K39" s="59"/>
      <c r="L39" s="59"/>
      <c r="M39" s="60"/>
      <c r="N39" s="58"/>
      <c r="O39" s="58"/>
      <c r="P39" s="58"/>
      <c r="Q39" s="58"/>
      <c r="R39" s="58"/>
      <c r="S39" s="58"/>
    </row>
    <row r="40" spans="1:19" ht="19" thickBot="1" x14ac:dyDescent="0.25">
      <c r="A40" s="58"/>
      <c r="B40" s="112" t="str">
        <f>Para1!F96&amp;" "&amp;Para1!F112&amp;" "&amp;Para1!F179&amp;" "&amp;Para1!J208</f>
        <v>calculation average daily work-time for a part time job with regulated working time</v>
      </c>
      <c r="C40" s="76"/>
      <c r="D40" s="58"/>
      <c r="E40" s="58"/>
      <c r="F40" s="58"/>
      <c r="G40" s="58"/>
      <c r="H40" s="58"/>
      <c r="I40" s="58"/>
      <c r="K40" s="134"/>
    </row>
    <row r="41" spans="1:19" ht="17" thickTop="1" x14ac:dyDescent="0.2">
      <c r="A41" s="58"/>
      <c r="B41" s="113" t="str">
        <f>Para1!F89&amp;" "&amp;Para1!F126&amp;" "&amp;Para1!F167&amp;" "&amp;Para1!F200</f>
        <v>number of half-days per week</v>
      </c>
      <c r="C41" s="114"/>
      <c r="D41" s="115"/>
      <c r="E41" s="115"/>
      <c r="F41" s="116">
        <v>8</v>
      </c>
      <c r="G41" s="117"/>
      <c r="H41" s="58"/>
      <c r="I41" s="58"/>
      <c r="K41" s="134"/>
    </row>
    <row r="42" spans="1:19" ht="16" x14ac:dyDescent="0.2">
      <c r="A42" s="58"/>
      <c r="B42" s="118" t="str">
        <f>Para1!F97&amp;" in %"</f>
        <v>level of employment in %</v>
      </c>
      <c r="C42" s="76"/>
      <c r="D42" s="52"/>
      <c r="E42" s="52"/>
      <c r="F42" s="119">
        <v>90</v>
      </c>
      <c r="G42" s="120"/>
      <c r="H42" s="58"/>
      <c r="I42" s="58"/>
      <c r="K42" s="134"/>
    </row>
    <row r="43" spans="1:19" ht="16" x14ac:dyDescent="0.2">
      <c r="A43" s="58"/>
      <c r="B43" s="118" t="str">
        <f>Para1!F112&amp;" "&amp;Para1!F126&amp;"-"&amp;Para1!F174</f>
        <v>average half-days-balance due</v>
      </c>
      <c r="C43" s="76"/>
      <c r="D43" s="52"/>
      <c r="E43" s="52"/>
      <c r="F43" s="121"/>
      <c r="G43" s="122">
        <f>42/100*F42/F41/24</f>
        <v>0.19687499999999999</v>
      </c>
      <c r="H43" s="58"/>
      <c r="I43" s="58"/>
      <c r="K43" s="134"/>
    </row>
    <row r="44" spans="1:19" ht="17" thickBot="1" x14ac:dyDescent="0.25">
      <c r="A44" s="58"/>
      <c r="B44" s="123" t="str">
        <f>Para1!F112&amp;" "&amp;Para1!F179</f>
        <v>average daily work-time</v>
      </c>
      <c r="C44" s="124"/>
      <c r="D44" s="125"/>
      <c r="E44" s="125"/>
      <c r="F44" s="126"/>
      <c r="G44" s="127">
        <f>42/100*F42/F41/24*2</f>
        <v>0.39374999999999999</v>
      </c>
      <c r="H44" s="58"/>
      <c r="I44" s="58"/>
      <c r="K44" s="134"/>
    </row>
    <row r="45" spans="1:19" ht="17" thickTop="1" x14ac:dyDescent="0.2">
      <c r="A45" s="58"/>
      <c r="B45" s="57"/>
      <c r="C45" s="76"/>
      <c r="D45" s="58"/>
      <c r="E45" s="58"/>
      <c r="F45" s="58"/>
      <c r="G45" s="58"/>
      <c r="H45" s="58"/>
      <c r="I45" s="58"/>
      <c r="K45" s="134"/>
    </row>
    <row r="46" spans="1:19" ht="16" x14ac:dyDescent="0.2">
      <c r="A46" s="58"/>
      <c r="B46" s="57"/>
      <c r="C46" s="76"/>
      <c r="D46" s="58"/>
      <c r="E46" s="58"/>
      <c r="F46" s="58"/>
      <c r="G46" s="58"/>
      <c r="H46" s="58"/>
      <c r="I46" s="58"/>
      <c r="K46" s="134"/>
    </row>
    <row r="47" spans="1:19" ht="19" thickBot="1" x14ac:dyDescent="0.25">
      <c r="B47" s="424" t="str">
        <f>Para1!F186&amp;" "&amp;Para1!J210</f>
        <v>translation for an employment-change in the middle of the month</v>
      </c>
      <c r="C47"/>
      <c r="H47" s="58"/>
      <c r="I47" s="58"/>
      <c r="K47" s="134"/>
    </row>
    <row r="48" spans="1:19" ht="17" thickTop="1" x14ac:dyDescent="0.2">
      <c r="B48" s="77" t="str">
        <f>Para1!F89&amp;" "&amp;Para1!F92&amp;" "&amp;Para1!F128&amp;" "&amp;Para1!F154&amp;", "&amp;Para1!F180</f>
        <v>number of work days in this month, total</v>
      </c>
      <c r="C48" s="78"/>
      <c r="D48" s="78"/>
      <c r="E48" s="79"/>
      <c r="F48" s="80">
        <v>21</v>
      </c>
      <c r="G48" s="81"/>
      <c r="H48" s="58"/>
      <c r="I48" s="58"/>
      <c r="K48" s="134"/>
    </row>
    <row r="49" spans="1:11" ht="16" x14ac:dyDescent="0.2">
      <c r="B49" s="82" t="str">
        <f>Para1!F89&amp;" "&amp;Para1!F202&amp;" "&amp;Para1!F92&amp;": "&amp;Para1!F86</f>
        <v>number of of effective work days: old / new</v>
      </c>
      <c r="C49" s="83"/>
      <c r="D49" s="83"/>
      <c r="E49" s="4"/>
      <c r="F49" s="50">
        <v>7</v>
      </c>
      <c r="G49" s="84">
        <v>14</v>
      </c>
      <c r="K49" s="134"/>
    </row>
    <row r="50" spans="1:11" ht="16" x14ac:dyDescent="0.2">
      <c r="B50" s="82" t="str">
        <f>Para1!F97&amp;" in %: "&amp;Para1!F86</f>
        <v>level of employment in %: old / new</v>
      </c>
      <c r="C50" s="83"/>
      <c r="D50" s="83"/>
      <c r="E50" s="4"/>
      <c r="F50" s="51">
        <v>0.6</v>
      </c>
      <c r="G50" s="85">
        <v>1</v>
      </c>
      <c r="K50" s="134"/>
    </row>
    <row r="51" spans="1:11" ht="17" thickBot="1" x14ac:dyDescent="0.25">
      <c r="B51" s="86" t="str">
        <f>Para1!F97&amp;" "&amp;Para1!F154&amp;" "&amp;Para1!F149&amp;" "&amp;Para1!F197</f>
        <v>level of employment month with change</v>
      </c>
      <c r="C51" s="87"/>
      <c r="D51" s="427"/>
      <c r="E51" s="88"/>
      <c r="F51" s="89"/>
      <c r="G51" s="90">
        <f>IF(F48="","",(F49/F48*F50)+(G49/F48*G50))</f>
        <v>0.86666666666666659</v>
      </c>
      <c r="K51" s="134"/>
    </row>
    <row r="52" spans="1:11" ht="17" thickTop="1" x14ac:dyDescent="0.2">
      <c r="A52" s="58"/>
      <c r="B52" s="57"/>
      <c r="C52" s="76"/>
      <c r="D52" s="58"/>
      <c r="E52" s="58"/>
      <c r="F52" s="58"/>
      <c r="G52" s="58"/>
      <c r="H52" s="58"/>
      <c r="I52" s="58"/>
      <c r="J52" s="134"/>
      <c r="K52" s="134"/>
    </row>
    <row r="53" spans="1:11" ht="16" x14ac:dyDescent="0.2">
      <c r="A53" s="58"/>
      <c r="B53" s="57"/>
      <c r="C53" s="76"/>
      <c r="D53" s="58"/>
      <c r="E53" s="58"/>
      <c r="F53" s="58"/>
      <c r="G53" s="58"/>
      <c r="H53" s="58"/>
      <c r="I53" s="58"/>
      <c r="J53" s="134"/>
      <c r="K53" s="134"/>
    </row>
    <row r="54" spans="1:11" ht="19" thickBot="1" x14ac:dyDescent="0.25">
      <c r="B54" s="424" t="str">
        <f>Para1!F186&amp;" "&amp;Para1!J207</f>
        <v>translation for an employment-beginn in the middle of the month</v>
      </c>
      <c r="C54"/>
      <c r="H54" s="58"/>
      <c r="I54" s="58"/>
      <c r="K54" s="134"/>
    </row>
    <row r="55" spans="1:11" ht="17" thickTop="1" x14ac:dyDescent="0.2">
      <c r="B55" s="77" t="str">
        <f>Para1!F89&amp;" "&amp;Para1!F92&amp;" "&amp;Para1!F128&amp;" "&amp;Para1!F154&amp;", "&amp;Para1!F180</f>
        <v>number of work days in this month, total</v>
      </c>
      <c r="C55" s="78"/>
      <c r="D55" s="78"/>
      <c r="E55" s="79"/>
      <c r="F55" s="128">
        <v>22</v>
      </c>
      <c r="H55" s="58"/>
      <c r="I55" s="58"/>
      <c r="K55" s="134"/>
    </row>
    <row r="56" spans="1:11" ht="16" x14ac:dyDescent="0.2">
      <c r="B56" s="82" t="str">
        <f>Para1!F89&amp;" "&amp;Para1!F202&amp;" "&amp;Para1!F92</f>
        <v>number of of effective work days</v>
      </c>
      <c r="C56" s="83"/>
      <c r="D56" s="83"/>
      <c r="E56" s="4"/>
      <c r="F56" s="84">
        <v>11</v>
      </c>
      <c r="K56" s="134"/>
    </row>
    <row r="57" spans="1:11" ht="16" x14ac:dyDescent="0.2">
      <c r="B57" s="82" t="str">
        <f>Para1!F97&amp;" in %"</f>
        <v>level of employment in %</v>
      </c>
      <c r="C57" s="83"/>
      <c r="D57" s="83"/>
      <c r="E57" s="4"/>
      <c r="F57" s="85">
        <v>1</v>
      </c>
      <c r="K57" s="134"/>
    </row>
    <row r="58" spans="1:11" ht="17" thickBot="1" x14ac:dyDescent="0.25">
      <c r="B58" s="86" t="str">
        <f>Para1!F97&amp;" "&amp;Para1!F114</f>
        <v>level of employment month of entry</v>
      </c>
      <c r="C58" s="87"/>
      <c r="D58" s="87"/>
      <c r="E58" s="88"/>
      <c r="F58" s="90">
        <f>IF(F55="","",(F56/F55*F57))</f>
        <v>0.5</v>
      </c>
      <c r="K58" s="134"/>
    </row>
    <row r="59" spans="1:11" ht="14" thickTop="1" x14ac:dyDescent="0.15">
      <c r="K59" s="134"/>
    </row>
  </sheetData>
  <sheetProtection password="CF1F" sheet="1" objects="1" scenarios="1"/>
  <mergeCells count="2">
    <mergeCell ref="C35:D35"/>
    <mergeCell ref="C37:D37"/>
  </mergeCells>
  <phoneticPr fontId="0" type="noConversion"/>
  <pageMargins left="0.4" right="0.54" top="0.984251969" bottom="0.984251969" header="0.4921259845" footer="0.4921259845"/>
  <pageSetup paperSize="9" scale="84" orientation="portrait" r:id="rId1"/>
  <headerFooter alignWithMargins="0">
    <oddHeader>&amp;C&amp;"Arial,Fett Kursiv"&amp;16Absenzenerfassung -  &amp;A</oddHeader>
    <oddFooter>&amp;L&amp;Z&amp;F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7">
    <pageSetUpPr fitToPage="1"/>
  </sheetPr>
  <dimension ref="A2:AD298"/>
  <sheetViews>
    <sheetView showGridLines="0" zoomScaleNormal="100" workbookViewId="0">
      <selection activeCell="B66" sqref="B66"/>
    </sheetView>
  </sheetViews>
  <sheetFormatPr baseColWidth="10" defaultRowHeight="13" x14ac:dyDescent="0.15"/>
  <cols>
    <col min="1" max="1" width="4.83203125" customWidth="1"/>
    <col min="4" max="5" width="9" customWidth="1"/>
  </cols>
  <sheetData>
    <row r="2" spans="2:11" x14ac:dyDescent="0.15">
      <c r="B2" s="193" t="s">
        <v>50</v>
      </c>
      <c r="C2" s="194">
        <v>2020</v>
      </c>
      <c r="D2" s="193"/>
      <c r="E2" s="701" t="s">
        <v>90</v>
      </c>
      <c r="F2" s="702"/>
      <c r="G2" s="699" t="s">
        <v>440</v>
      </c>
      <c r="H2" s="700"/>
    </row>
    <row r="3" spans="2:11" x14ac:dyDescent="0.15">
      <c r="B3" s="134" t="s">
        <v>47</v>
      </c>
      <c r="C3" s="255">
        <f>C2-'Jahresübersicht (Overview)'!K2</f>
        <v>27</v>
      </c>
    </row>
    <row r="4" spans="2:11" x14ac:dyDescent="0.15">
      <c r="B4" s="1"/>
      <c r="C4" s="703" t="s">
        <v>55</v>
      </c>
      <c r="D4" s="704"/>
      <c r="E4" s="705"/>
      <c r="F4" s="704" t="s">
        <v>216</v>
      </c>
      <c r="G4" s="704"/>
      <c r="H4" s="704"/>
      <c r="I4" s="704" t="s">
        <v>217</v>
      </c>
      <c r="J4" s="704"/>
      <c r="K4" s="705"/>
    </row>
    <row r="5" spans="2:11" ht="28" x14ac:dyDescent="0.15">
      <c r="B5" s="253" t="s">
        <v>47</v>
      </c>
      <c r="C5" s="253" t="s">
        <v>48</v>
      </c>
      <c r="D5" s="253" t="s">
        <v>49</v>
      </c>
      <c r="E5" s="253" t="s">
        <v>69</v>
      </c>
      <c r="F5" s="253" t="s">
        <v>48</v>
      </c>
      <c r="G5" s="253" t="s">
        <v>49</v>
      </c>
      <c r="H5" s="253" t="s">
        <v>68</v>
      </c>
      <c r="I5" s="253" t="s">
        <v>48</v>
      </c>
      <c r="J5" s="253" t="s">
        <v>49</v>
      </c>
      <c r="K5" s="253" t="s">
        <v>68</v>
      </c>
    </row>
    <row r="6" spans="2:11" x14ac:dyDescent="0.15">
      <c r="B6" s="140">
        <v>15</v>
      </c>
      <c r="C6" s="140">
        <v>28</v>
      </c>
      <c r="D6" s="140">
        <v>28</v>
      </c>
      <c r="E6" s="140">
        <v>32</v>
      </c>
      <c r="F6" s="140">
        <f t="shared" ref="F6:H37" si="0">C6*8.4</f>
        <v>235.20000000000002</v>
      </c>
      <c r="G6" s="140">
        <f t="shared" si="0"/>
        <v>235.20000000000002</v>
      </c>
      <c r="H6" s="140">
        <f t="shared" si="0"/>
        <v>268.8</v>
      </c>
      <c r="I6" s="254">
        <f t="shared" ref="I6:K37" si="1">F6/24</f>
        <v>9.8000000000000007</v>
      </c>
      <c r="J6" s="254">
        <f t="shared" si="1"/>
        <v>9.8000000000000007</v>
      </c>
      <c r="K6" s="254">
        <f t="shared" si="1"/>
        <v>11.200000000000001</v>
      </c>
    </row>
    <row r="7" spans="2:11" x14ac:dyDescent="0.15">
      <c r="B7" s="140">
        <v>16</v>
      </c>
      <c r="C7" s="140">
        <v>28</v>
      </c>
      <c r="D7" s="140">
        <v>28</v>
      </c>
      <c r="E7" s="140">
        <v>32</v>
      </c>
      <c r="F7" s="140">
        <f t="shared" si="0"/>
        <v>235.20000000000002</v>
      </c>
      <c r="G7" s="140">
        <f t="shared" si="0"/>
        <v>235.20000000000002</v>
      </c>
      <c r="H7" s="140">
        <f t="shared" si="0"/>
        <v>268.8</v>
      </c>
      <c r="I7" s="254">
        <f t="shared" si="1"/>
        <v>9.8000000000000007</v>
      </c>
      <c r="J7" s="254">
        <f t="shared" si="1"/>
        <v>9.8000000000000007</v>
      </c>
      <c r="K7" s="254">
        <f t="shared" si="1"/>
        <v>11.200000000000001</v>
      </c>
    </row>
    <row r="8" spans="2:11" x14ac:dyDescent="0.15">
      <c r="B8" s="140">
        <v>17</v>
      </c>
      <c r="C8" s="140">
        <v>28</v>
      </c>
      <c r="D8" s="140">
        <v>28</v>
      </c>
      <c r="E8" s="140">
        <v>32</v>
      </c>
      <c r="F8" s="140">
        <f t="shared" si="0"/>
        <v>235.20000000000002</v>
      </c>
      <c r="G8" s="140">
        <f t="shared" si="0"/>
        <v>235.20000000000002</v>
      </c>
      <c r="H8" s="140">
        <f t="shared" si="0"/>
        <v>268.8</v>
      </c>
      <c r="I8" s="254">
        <f t="shared" si="1"/>
        <v>9.8000000000000007</v>
      </c>
      <c r="J8" s="254">
        <f t="shared" si="1"/>
        <v>9.8000000000000007</v>
      </c>
      <c r="K8" s="254">
        <f t="shared" si="1"/>
        <v>11.200000000000001</v>
      </c>
    </row>
    <row r="9" spans="2:11" x14ac:dyDescent="0.15">
      <c r="B9" s="140">
        <v>18</v>
      </c>
      <c r="C9" s="140">
        <v>28</v>
      </c>
      <c r="D9" s="140">
        <v>28</v>
      </c>
      <c r="E9" s="140">
        <v>32</v>
      </c>
      <c r="F9" s="140">
        <f t="shared" si="0"/>
        <v>235.20000000000002</v>
      </c>
      <c r="G9" s="140">
        <f t="shared" si="0"/>
        <v>235.20000000000002</v>
      </c>
      <c r="H9" s="140">
        <f t="shared" si="0"/>
        <v>268.8</v>
      </c>
      <c r="I9" s="254">
        <f t="shared" si="1"/>
        <v>9.8000000000000007</v>
      </c>
      <c r="J9" s="254">
        <f t="shared" si="1"/>
        <v>9.8000000000000007</v>
      </c>
      <c r="K9" s="254">
        <f t="shared" si="1"/>
        <v>11.200000000000001</v>
      </c>
    </row>
    <row r="10" spans="2:11" x14ac:dyDescent="0.15">
      <c r="B10" s="140">
        <v>19</v>
      </c>
      <c r="C10" s="140">
        <v>28</v>
      </c>
      <c r="D10" s="140">
        <v>28</v>
      </c>
      <c r="E10" s="140">
        <v>32</v>
      </c>
      <c r="F10" s="140">
        <f t="shared" si="0"/>
        <v>235.20000000000002</v>
      </c>
      <c r="G10" s="140">
        <f t="shared" si="0"/>
        <v>235.20000000000002</v>
      </c>
      <c r="H10" s="140">
        <f t="shared" si="0"/>
        <v>268.8</v>
      </c>
      <c r="I10" s="254">
        <f t="shared" si="1"/>
        <v>9.8000000000000007</v>
      </c>
      <c r="J10" s="254">
        <f t="shared" si="1"/>
        <v>9.8000000000000007</v>
      </c>
      <c r="K10" s="254">
        <f t="shared" si="1"/>
        <v>11.200000000000001</v>
      </c>
    </row>
    <row r="11" spans="2:11" x14ac:dyDescent="0.15">
      <c r="B11" s="140">
        <v>20</v>
      </c>
      <c r="C11" s="140">
        <v>28</v>
      </c>
      <c r="D11" s="140">
        <v>28</v>
      </c>
      <c r="E11" s="140">
        <v>32</v>
      </c>
      <c r="F11" s="140">
        <f t="shared" si="0"/>
        <v>235.20000000000002</v>
      </c>
      <c r="G11" s="140">
        <f t="shared" si="0"/>
        <v>235.20000000000002</v>
      </c>
      <c r="H11" s="140">
        <f t="shared" si="0"/>
        <v>268.8</v>
      </c>
      <c r="I11" s="254">
        <f t="shared" si="1"/>
        <v>9.8000000000000007</v>
      </c>
      <c r="J11" s="254">
        <f t="shared" si="1"/>
        <v>9.8000000000000007</v>
      </c>
      <c r="K11" s="254">
        <f t="shared" si="1"/>
        <v>11.200000000000001</v>
      </c>
    </row>
    <row r="12" spans="2:11" x14ac:dyDescent="0.15">
      <c r="B12" s="140">
        <v>21</v>
      </c>
      <c r="C12" s="140">
        <v>25</v>
      </c>
      <c r="D12" s="140">
        <v>25</v>
      </c>
      <c r="E12" s="140">
        <v>32</v>
      </c>
      <c r="F12" s="140">
        <f t="shared" si="0"/>
        <v>210</v>
      </c>
      <c r="G12" s="140">
        <f t="shared" si="0"/>
        <v>210</v>
      </c>
      <c r="H12" s="140">
        <f t="shared" si="0"/>
        <v>268.8</v>
      </c>
      <c r="I12" s="254">
        <f t="shared" si="1"/>
        <v>8.75</v>
      </c>
      <c r="J12" s="254">
        <f t="shared" si="1"/>
        <v>8.75</v>
      </c>
      <c r="K12" s="254">
        <f t="shared" si="1"/>
        <v>11.200000000000001</v>
      </c>
    </row>
    <row r="13" spans="2:11" x14ac:dyDescent="0.15">
      <c r="B13" s="140">
        <v>22</v>
      </c>
      <c r="C13" s="140">
        <v>25</v>
      </c>
      <c r="D13" s="140">
        <v>25</v>
      </c>
      <c r="E13" s="140">
        <v>32</v>
      </c>
      <c r="F13" s="140">
        <f t="shared" si="0"/>
        <v>210</v>
      </c>
      <c r="G13" s="140">
        <f t="shared" si="0"/>
        <v>210</v>
      </c>
      <c r="H13" s="140">
        <f t="shared" si="0"/>
        <v>268.8</v>
      </c>
      <c r="I13" s="254">
        <f t="shared" si="1"/>
        <v>8.75</v>
      </c>
      <c r="J13" s="254">
        <f t="shared" si="1"/>
        <v>8.75</v>
      </c>
      <c r="K13" s="254">
        <f t="shared" si="1"/>
        <v>11.200000000000001</v>
      </c>
    </row>
    <row r="14" spans="2:11" x14ac:dyDescent="0.15">
      <c r="B14" s="140">
        <v>23</v>
      </c>
      <c r="C14" s="140">
        <v>25</v>
      </c>
      <c r="D14" s="140">
        <v>25</v>
      </c>
      <c r="E14" s="140">
        <v>32</v>
      </c>
      <c r="F14" s="140">
        <f t="shared" si="0"/>
        <v>210</v>
      </c>
      <c r="G14" s="140">
        <f t="shared" si="0"/>
        <v>210</v>
      </c>
      <c r="H14" s="140">
        <f t="shared" si="0"/>
        <v>268.8</v>
      </c>
      <c r="I14" s="254">
        <f t="shared" si="1"/>
        <v>8.75</v>
      </c>
      <c r="J14" s="254">
        <f t="shared" si="1"/>
        <v>8.75</v>
      </c>
      <c r="K14" s="254">
        <f t="shared" si="1"/>
        <v>11.200000000000001</v>
      </c>
    </row>
    <row r="15" spans="2:11" x14ac:dyDescent="0.15">
      <c r="B15" s="140">
        <v>24</v>
      </c>
      <c r="C15" s="140">
        <v>25</v>
      </c>
      <c r="D15" s="140">
        <v>25</v>
      </c>
      <c r="E15" s="140">
        <v>32</v>
      </c>
      <c r="F15" s="140">
        <f t="shared" si="0"/>
        <v>210</v>
      </c>
      <c r="G15" s="140">
        <f t="shared" si="0"/>
        <v>210</v>
      </c>
      <c r="H15" s="140">
        <f t="shared" si="0"/>
        <v>268.8</v>
      </c>
      <c r="I15" s="254">
        <f t="shared" si="1"/>
        <v>8.75</v>
      </c>
      <c r="J15" s="254">
        <f t="shared" si="1"/>
        <v>8.75</v>
      </c>
      <c r="K15" s="254">
        <f t="shared" si="1"/>
        <v>11.200000000000001</v>
      </c>
    </row>
    <row r="16" spans="2:11" x14ac:dyDescent="0.15">
      <c r="B16" s="140">
        <v>25</v>
      </c>
      <c r="C16" s="140">
        <v>25</v>
      </c>
      <c r="D16" s="140">
        <v>25</v>
      </c>
      <c r="E16" s="140">
        <v>32</v>
      </c>
      <c r="F16" s="140">
        <f t="shared" si="0"/>
        <v>210</v>
      </c>
      <c r="G16" s="140">
        <f t="shared" si="0"/>
        <v>210</v>
      </c>
      <c r="H16" s="140">
        <f t="shared" si="0"/>
        <v>268.8</v>
      </c>
      <c r="I16" s="254">
        <f t="shared" si="1"/>
        <v>8.75</v>
      </c>
      <c r="J16" s="254">
        <f t="shared" si="1"/>
        <v>8.75</v>
      </c>
      <c r="K16" s="254">
        <f t="shared" si="1"/>
        <v>11.200000000000001</v>
      </c>
    </row>
    <row r="17" spans="2:11" x14ac:dyDescent="0.15">
      <c r="B17" s="140">
        <v>26</v>
      </c>
      <c r="C17" s="140">
        <v>25</v>
      </c>
      <c r="D17" s="140">
        <v>25</v>
      </c>
      <c r="E17" s="140">
        <v>32</v>
      </c>
      <c r="F17" s="140">
        <f t="shared" si="0"/>
        <v>210</v>
      </c>
      <c r="G17" s="140">
        <f t="shared" si="0"/>
        <v>210</v>
      </c>
      <c r="H17" s="140">
        <f t="shared" si="0"/>
        <v>268.8</v>
      </c>
      <c r="I17" s="254">
        <f t="shared" si="1"/>
        <v>8.75</v>
      </c>
      <c r="J17" s="254">
        <f t="shared" si="1"/>
        <v>8.75</v>
      </c>
      <c r="K17" s="254">
        <f t="shared" si="1"/>
        <v>11.200000000000001</v>
      </c>
    </row>
    <row r="18" spans="2:11" x14ac:dyDescent="0.15">
      <c r="B18" s="140">
        <v>27</v>
      </c>
      <c r="C18" s="140">
        <v>25</v>
      </c>
      <c r="D18" s="140">
        <v>25</v>
      </c>
      <c r="E18" s="140">
        <v>32</v>
      </c>
      <c r="F18" s="140">
        <f t="shared" si="0"/>
        <v>210</v>
      </c>
      <c r="G18" s="140">
        <f t="shared" si="0"/>
        <v>210</v>
      </c>
      <c r="H18" s="140">
        <f t="shared" si="0"/>
        <v>268.8</v>
      </c>
      <c r="I18" s="254">
        <f t="shared" si="1"/>
        <v>8.75</v>
      </c>
      <c r="J18" s="254">
        <f t="shared" si="1"/>
        <v>8.75</v>
      </c>
      <c r="K18" s="254">
        <f t="shared" si="1"/>
        <v>11.200000000000001</v>
      </c>
    </row>
    <row r="19" spans="2:11" x14ac:dyDescent="0.15">
      <c r="B19" s="140">
        <v>28</v>
      </c>
      <c r="C19" s="140">
        <v>25</v>
      </c>
      <c r="D19" s="140">
        <v>25</v>
      </c>
      <c r="E19" s="140">
        <v>32</v>
      </c>
      <c r="F19" s="140">
        <f t="shared" si="0"/>
        <v>210</v>
      </c>
      <c r="G19" s="140">
        <f t="shared" si="0"/>
        <v>210</v>
      </c>
      <c r="H19" s="140">
        <f t="shared" si="0"/>
        <v>268.8</v>
      </c>
      <c r="I19" s="254">
        <f t="shared" si="1"/>
        <v>8.75</v>
      </c>
      <c r="J19" s="254">
        <f t="shared" si="1"/>
        <v>8.75</v>
      </c>
      <c r="K19" s="254">
        <f t="shared" si="1"/>
        <v>11.200000000000001</v>
      </c>
    </row>
    <row r="20" spans="2:11" x14ac:dyDescent="0.15">
      <c r="B20" s="140">
        <v>29</v>
      </c>
      <c r="C20" s="140">
        <v>25</v>
      </c>
      <c r="D20" s="140">
        <v>25</v>
      </c>
      <c r="E20" s="140">
        <v>32</v>
      </c>
      <c r="F20" s="140">
        <f t="shared" si="0"/>
        <v>210</v>
      </c>
      <c r="G20" s="140">
        <f t="shared" si="0"/>
        <v>210</v>
      </c>
      <c r="H20" s="140">
        <f t="shared" si="0"/>
        <v>268.8</v>
      </c>
      <c r="I20" s="254">
        <f t="shared" si="1"/>
        <v>8.75</v>
      </c>
      <c r="J20" s="254">
        <f t="shared" si="1"/>
        <v>8.75</v>
      </c>
      <c r="K20" s="254">
        <f t="shared" si="1"/>
        <v>11.200000000000001</v>
      </c>
    </row>
    <row r="21" spans="2:11" x14ac:dyDescent="0.15">
      <c r="B21" s="140">
        <v>30</v>
      </c>
      <c r="C21" s="140">
        <v>25</v>
      </c>
      <c r="D21" s="140">
        <v>25</v>
      </c>
      <c r="E21" s="140">
        <v>32</v>
      </c>
      <c r="F21" s="140">
        <f t="shared" si="0"/>
        <v>210</v>
      </c>
      <c r="G21" s="140">
        <f t="shared" si="0"/>
        <v>210</v>
      </c>
      <c r="H21" s="140">
        <f t="shared" si="0"/>
        <v>268.8</v>
      </c>
      <c r="I21" s="254">
        <f t="shared" si="1"/>
        <v>8.75</v>
      </c>
      <c r="J21" s="254">
        <f t="shared" si="1"/>
        <v>8.75</v>
      </c>
      <c r="K21" s="254">
        <f t="shared" si="1"/>
        <v>11.200000000000001</v>
      </c>
    </row>
    <row r="22" spans="2:11" x14ac:dyDescent="0.15">
      <c r="B22" s="140">
        <v>31</v>
      </c>
      <c r="C22" s="140">
        <v>25</v>
      </c>
      <c r="D22" s="140">
        <v>25</v>
      </c>
      <c r="E22" s="140">
        <v>32</v>
      </c>
      <c r="F22" s="140">
        <f t="shared" si="0"/>
        <v>210</v>
      </c>
      <c r="G22" s="140">
        <f t="shared" si="0"/>
        <v>210</v>
      </c>
      <c r="H22" s="140">
        <f t="shared" si="0"/>
        <v>268.8</v>
      </c>
      <c r="I22" s="254">
        <f t="shared" si="1"/>
        <v>8.75</v>
      </c>
      <c r="J22" s="254">
        <f t="shared" si="1"/>
        <v>8.75</v>
      </c>
      <c r="K22" s="254">
        <f t="shared" si="1"/>
        <v>11.200000000000001</v>
      </c>
    </row>
    <row r="23" spans="2:11" x14ac:dyDescent="0.15">
      <c r="B23" s="140">
        <v>32</v>
      </c>
      <c r="C23" s="140">
        <v>25</v>
      </c>
      <c r="D23" s="140">
        <v>25</v>
      </c>
      <c r="E23" s="140">
        <v>32</v>
      </c>
      <c r="F23" s="140">
        <f t="shared" si="0"/>
        <v>210</v>
      </c>
      <c r="G23" s="140">
        <f t="shared" si="0"/>
        <v>210</v>
      </c>
      <c r="H23" s="140">
        <f t="shared" si="0"/>
        <v>268.8</v>
      </c>
      <c r="I23" s="254">
        <f t="shared" si="1"/>
        <v>8.75</v>
      </c>
      <c r="J23" s="254">
        <f t="shared" si="1"/>
        <v>8.75</v>
      </c>
      <c r="K23" s="254">
        <f t="shared" si="1"/>
        <v>11.200000000000001</v>
      </c>
    </row>
    <row r="24" spans="2:11" x14ac:dyDescent="0.15">
      <c r="B24" s="140">
        <v>33</v>
      </c>
      <c r="C24" s="140">
        <v>25</v>
      </c>
      <c r="D24" s="140">
        <v>25</v>
      </c>
      <c r="E24" s="140">
        <v>32</v>
      </c>
      <c r="F24" s="140">
        <f t="shared" si="0"/>
        <v>210</v>
      </c>
      <c r="G24" s="140">
        <f t="shared" si="0"/>
        <v>210</v>
      </c>
      <c r="H24" s="140">
        <f t="shared" si="0"/>
        <v>268.8</v>
      </c>
      <c r="I24" s="254">
        <f t="shared" si="1"/>
        <v>8.75</v>
      </c>
      <c r="J24" s="254">
        <f t="shared" si="1"/>
        <v>8.75</v>
      </c>
      <c r="K24" s="254">
        <f t="shared" si="1"/>
        <v>11.200000000000001</v>
      </c>
    </row>
    <row r="25" spans="2:11" x14ac:dyDescent="0.15">
      <c r="B25" s="140">
        <v>34</v>
      </c>
      <c r="C25" s="140">
        <v>25</v>
      </c>
      <c r="D25" s="140">
        <v>25</v>
      </c>
      <c r="E25" s="140">
        <v>32</v>
      </c>
      <c r="F25" s="140">
        <f t="shared" si="0"/>
        <v>210</v>
      </c>
      <c r="G25" s="140">
        <f t="shared" si="0"/>
        <v>210</v>
      </c>
      <c r="H25" s="140">
        <f t="shared" si="0"/>
        <v>268.8</v>
      </c>
      <c r="I25" s="254">
        <f t="shared" si="1"/>
        <v>8.75</v>
      </c>
      <c r="J25" s="254">
        <f t="shared" si="1"/>
        <v>8.75</v>
      </c>
      <c r="K25" s="254">
        <f t="shared" si="1"/>
        <v>11.200000000000001</v>
      </c>
    </row>
    <row r="26" spans="2:11" x14ac:dyDescent="0.15">
      <c r="B26" s="140">
        <v>35</v>
      </c>
      <c r="C26" s="140">
        <v>25</v>
      </c>
      <c r="D26" s="140">
        <v>25</v>
      </c>
      <c r="E26" s="140">
        <v>32</v>
      </c>
      <c r="F26" s="140">
        <f t="shared" si="0"/>
        <v>210</v>
      </c>
      <c r="G26" s="140">
        <f t="shared" si="0"/>
        <v>210</v>
      </c>
      <c r="H26" s="140">
        <f t="shared" si="0"/>
        <v>268.8</v>
      </c>
      <c r="I26" s="254">
        <f t="shared" si="1"/>
        <v>8.75</v>
      </c>
      <c r="J26" s="254">
        <f t="shared" si="1"/>
        <v>8.75</v>
      </c>
      <c r="K26" s="254">
        <f t="shared" si="1"/>
        <v>11.200000000000001</v>
      </c>
    </row>
    <row r="27" spans="2:11" x14ac:dyDescent="0.15">
      <c r="B27" s="140">
        <v>36</v>
      </c>
      <c r="C27" s="140">
        <v>25</v>
      </c>
      <c r="D27" s="140">
        <v>25</v>
      </c>
      <c r="E27" s="140">
        <v>32</v>
      </c>
      <c r="F27" s="140">
        <f t="shared" si="0"/>
        <v>210</v>
      </c>
      <c r="G27" s="140">
        <f t="shared" si="0"/>
        <v>210</v>
      </c>
      <c r="H27" s="140">
        <f t="shared" si="0"/>
        <v>268.8</v>
      </c>
      <c r="I27" s="254">
        <f t="shared" si="1"/>
        <v>8.75</v>
      </c>
      <c r="J27" s="254">
        <f t="shared" si="1"/>
        <v>8.75</v>
      </c>
      <c r="K27" s="254">
        <f t="shared" si="1"/>
        <v>11.200000000000001</v>
      </c>
    </row>
    <row r="28" spans="2:11" x14ac:dyDescent="0.15">
      <c r="B28" s="140">
        <v>37</v>
      </c>
      <c r="C28" s="140">
        <v>25</v>
      </c>
      <c r="D28" s="140">
        <v>25</v>
      </c>
      <c r="E28" s="140">
        <v>32</v>
      </c>
      <c r="F28" s="140">
        <f t="shared" si="0"/>
        <v>210</v>
      </c>
      <c r="G28" s="140">
        <f t="shared" si="0"/>
        <v>210</v>
      </c>
      <c r="H28" s="140">
        <f t="shared" si="0"/>
        <v>268.8</v>
      </c>
      <c r="I28" s="254">
        <f t="shared" si="1"/>
        <v>8.75</v>
      </c>
      <c r="J28" s="254">
        <f t="shared" si="1"/>
        <v>8.75</v>
      </c>
      <c r="K28" s="254">
        <f t="shared" si="1"/>
        <v>11.200000000000001</v>
      </c>
    </row>
    <row r="29" spans="2:11" x14ac:dyDescent="0.15">
      <c r="B29" s="140">
        <v>38</v>
      </c>
      <c r="C29" s="140">
        <v>25</v>
      </c>
      <c r="D29" s="140">
        <v>25</v>
      </c>
      <c r="E29" s="140">
        <v>32</v>
      </c>
      <c r="F29" s="140">
        <f t="shared" si="0"/>
        <v>210</v>
      </c>
      <c r="G29" s="140">
        <f t="shared" si="0"/>
        <v>210</v>
      </c>
      <c r="H29" s="140">
        <f t="shared" si="0"/>
        <v>268.8</v>
      </c>
      <c r="I29" s="254">
        <f t="shared" si="1"/>
        <v>8.75</v>
      </c>
      <c r="J29" s="254">
        <f t="shared" si="1"/>
        <v>8.75</v>
      </c>
      <c r="K29" s="254">
        <f t="shared" si="1"/>
        <v>11.200000000000001</v>
      </c>
    </row>
    <row r="30" spans="2:11" x14ac:dyDescent="0.15">
      <c r="B30" s="140">
        <v>39</v>
      </c>
      <c r="C30" s="140">
        <v>25</v>
      </c>
      <c r="D30" s="140">
        <v>25</v>
      </c>
      <c r="E30" s="140">
        <v>32</v>
      </c>
      <c r="F30" s="140">
        <f t="shared" si="0"/>
        <v>210</v>
      </c>
      <c r="G30" s="140">
        <f t="shared" si="0"/>
        <v>210</v>
      </c>
      <c r="H30" s="140">
        <f t="shared" si="0"/>
        <v>268.8</v>
      </c>
      <c r="I30" s="254">
        <f t="shared" si="1"/>
        <v>8.75</v>
      </c>
      <c r="J30" s="254">
        <f t="shared" si="1"/>
        <v>8.75</v>
      </c>
      <c r="K30" s="254">
        <f t="shared" si="1"/>
        <v>11.200000000000001</v>
      </c>
    </row>
    <row r="31" spans="2:11" x14ac:dyDescent="0.15">
      <c r="B31" s="140">
        <v>40</v>
      </c>
      <c r="C31" s="140">
        <v>25</v>
      </c>
      <c r="D31" s="140">
        <v>25</v>
      </c>
      <c r="E31" s="140">
        <v>32</v>
      </c>
      <c r="F31" s="140">
        <f t="shared" si="0"/>
        <v>210</v>
      </c>
      <c r="G31" s="140">
        <f t="shared" si="0"/>
        <v>210</v>
      </c>
      <c r="H31" s="140">
        <f t="shared" si="0"/>
        <v>268.8</v>
      </c>
      <c r="I31" s="254">
        <f t="shared" si="1"/>
        <v>8.75</v>
      </c>
      <c r="J31" s="254">
        <f t="shared" si="1"/>
        <v>8.75</v>
      </c>
      <c r="K31" s="254">
        <f t="shared" si="1"/>
        <v>11.200000000000001</v>
      </c>
    </row>
    <row r="32" spans="2:11" x14ac:dyDescent="0.15">
      <c r="B32" s="140">
        <v>41</v>
      </c>
      <c r="C32" s="140">
        <v>25</v>
      </c>
      <c r="D32" s="140">
        <v>25</v>
      </c>
      <c r="E32" s="140">
        <v>32</v>
      </c>
      <c r="F32" s="140">
        <f t="shared" si="0"/>
        <v>210</v>
      </c>
      <c r="G32" s="140">
        <f t="shared" si="0"/>
        <v>210</v>
      </c>
      <c r="H32" s="140">
        <f t="shared" si="0"/>
        <v>268.8</v>
      </c>
      <c r="I32" s="254">
        <f t="shared" si="1"/>
        <v>8.75</v>
      </c>
      <c r="J32" s="254">
        <f t="shared" si="1"/>
        <v>8.75</v>
      </c>
      <c r="K32" s="254">
        <f t="shared" si="1"/>
        <v>11.200000000000001</v>
      </c>
    </row>
    <row r="33" spans="2:11" x14ac:dyDescent="0.15">
      <c r="B33" s="140">
        <v>42</v>
      </c>
      <c r="C33" s="140">
        <v>25</v>
      </c>
      <c r="D33" s="140">
        <v>25</v>
      </c>
      <c r="E33" s="140">
        <v>32</v>
      </c>
      <c r="F33" s="140">
        <f t="shared" si="0"/>
        <v>210</v>
      </c>
      <c r="G33" s="140">
        <f t="shared" si="0"/>
        <v>210</v>
      </c>
      <c r="H33" s="140">
        <f t="shared" si="0"/>
        <v>268.8</v>
      </c>
      <c r="I33" s="254">
        <f t="shared" si="1"/>
        <v>8.75</v>
      </c>
      <c r="J33" s="254">
        <f t="shared" si="1"/>
        <v>8.75</v>
      </c>
      <c r="K33" s="254">
        <f t="shared" si="1"/>
        <v>11.200000000000001</v>
      </c>
    </row>
    <row r="34" spans="2:11" x14ac:dyDescent="0.15">
      <c r="B34" s="140">
        <v>43</v>
      </c>
      <c r="C34" s="140">
        <v>25</v>
      </c>
      <c r="D34" s="140">
        <v>25</v>
      </c>
      <c r="E34" s="140">
        <v>32</v>
      </c>
      <c r="F34" s="140">
        <f t="shared" si="0"/>
        <v>210</v>
      </c>
      <c r="G34" s="140">
        <f t="shared" si="0"/>
        <v>210</v>
      </c>
      <c r="H34" s="140">
        <f t="shared" si="0"/>
        <v>268.8</v>
      </c>
      <c r="I34" s="254">
        <f t="shared" si="1"/>
        <v>8.75</v>
      </c>
      <c r="J34" s="254">
        <f t="shared" si="1"/>
        <v>8.75</v>
      </c>
      <c r="K34" s="254">
        <f t="shared" si="1"/>
        <v>11.200000000000001</v>
      </c>
    </row>
    <row r="35" spans="2:11" x14ac:dyDescent="0.15">
      <c r="B35" s="140">
        <v>44</v>
      </c>
      <c r="C35" s="140">
        <v>25</v>
      </c>
      <c r="D35" s="140">
        <v>25</v>
      </c>
      <c r="E35" s="140">
        <v>32</v>
      </c>
      <c r="F35" s="140">
        <f t="shared" si="0"/>
        <v>210</v>
      </c>
      <c r="G35" s="140">
        <f t="shared" si="0"/>
        <v>210</v>
      </c>
      <c r="H35" s="140">
        <f t="shared" si="0"/>
        <v>268.8</v>
      </c>
      <c r="I35" s="254">
        <f t="shared" si="1"/>
        <v>8.75</v>
      </c>
      <c r="J35" s="254">
        <f t="shared" si="1"/>
        <v>8.75</v>
      </c>
      <c r="K35" s="254">
        <f t="shared" si="1"/>
        <v>11.200000000000001</v>
      </c>
    </row>
    <row r="36" spans="2:11" x14ac:dyDescent="0.15">
      <c r="B36" s="140">
        <v>45</v>
      </c>
      <c r="C36" s="140">
        <v>25</v>
      </c>
      <c r="D36" s="140">
        <v>28</v>
      </c>
      <c r="E36" s="140">
        <v>32</v>
      </c>
      <c r="F36" s="140">
        <f t="shared" si="0"/>
        <v>210</v>
      </c>
      <c r="G36" s="140">
        <f t="shared" si="0"/>
        <v>235.20000000000002</v>
      </c>
      <c r="H36" s="140">
        <f t="shared" si="0"/>
        <v>268.8</v>
      </c>
      <c r="I36" s="254">
        <f t="shared" si="1"/>
        <v>8.75</v>
      </c>
      <c r="J36" s="254">
        <f t="shared" si="1"/>
        <v>9.8000000000000007</v>
      </c>
      <c r="K36" s="254">
        <f t="shared" si="1"/>
        <v>11.200000000000001</v>
      </c>
    </row>
    <row r="37" spans="2:11" x14ac:dyDescent="0.15">
      <c r="B37" s="140">
        <v>46</v>
      </c>
      <c r="C37" s="140">
        <v>25</v>
      </c>
      <c r="D37" s="140">
        <v>28</v>
      </c>
      <c r="E37" s="140">
        <v>32</v>
      </c>
      <c r="F37" s="140">
        <f t="shared" si="0"/>
        <v>210</v>
      </c>
      <c r="G37" s="140">
        <f t="shared" si="0"/>
        <v>235.20000000000002</v>
      </c>
      <c r="H37" s="140">
        <f t="shared" si="0"/>
        <v>268.8</v>
      </c>
      <c r="I37" s="254">
        <f t="shared" si="1"/>
        <v>8.75</v>
      </c>
      <c r="J37" s="254">
        <f t="shared" si="1"/>
        <v>9.8000000000000007</v>
      </c>
      <c r="K37" s="254">
        <f t="shared" si="1"/>
        <v>11.200000000000001</v>
      </c>
    </row>
    <row r="38" spans="2:11" x14ac:dyDescent="0.15">
      <c r="B38" s="140">
        <v>47</v>
      </c>
      <c r="C38" s="140">
        <v>25</v>
      </c>
      <c r="D38" s="140">
        <v>28</v>
      </c>
      <c r="E38" s="140">
        <v>32</v>
      </c>
      <c r="F38" s="140">
        <f t="shared" ref="F38:H56" si="2">C38*8.4</f>
        <v>210</v>
      </c>
      <c r="G38" s="140">
        <f t="shared" si="2"/>
        <v>235.20000000000002</v>
      </c>
      <c r="H38" s="140">
        <f t="shared" si="2"/>
        <v>268.8</v>
      </c>
      <c r="I38" s="254">
        <f t="shared" ref="I38:K56" si="3">F38/24</f>
        <v>8.75</v>
      </c>
      <c r="J38" s="254">
        <f t="shared" si="3"/>
        <v>9.8000000000000007</v>
      </c>
      <c r="K38" s="254">
        <f t="shared" si="3"/>
        <v>11.200000000000001</v>
      </c>
    </row>
    <row r="39" spans="2:11" x14ac:dyDescent="0.15">
      <c r="B39" s="140">
        <v>48</v>
      </c>
      <c r="C39" s="140">
        <v>25</v>
      </c>
      <c r="D39" s="140">
        <v>28</v>
      </c>
      <c r="E39" s="140">
        <v>32</v>
      </c>
      <c r="F39" s="140">
        <f t="shared" si="2"/>
        <v>210</v>
      </c>
      <c r="G39" s="140">
        <f t="shared" si="2"/>
        <v>235.20000000000002</v>
      </c>
      <c r="H39" s="140">
        <f t="shared" si="2"/>
        <v>268.8</v>
      </c>
      <c r="I39" s="254">
        <f t="shared" si="3"/>
        <v>8.75</v>
      </c>
      <c r="J39" s="254">
        <f t="shared" si="3"/>
        <v>9.8000000000000007</v>
      </c>
      <c r="K39" s="254">
        <f t="shared" si="3"/>
        <v>11.200000000000001</v>
      </c>
    </row>
    <row r="40" spans="2:11" x14ac:dyDescent="0.15">
      <c r="B40" s="140">
        <v>49</v>
      </c>
      <c r="C40" s="140">
        <v>25</v>
      </c>
      <c r="D40" s="140">
        <v>28</v>
      </c>
      <c r="E40" s="140">
        <v>32</v>
      </c>
      <c r="F40" s="140">
        <f t="shared" si="2"/>
        <v>210</v>
      </c>
      <c r="G40" s="140">
        <f t="shared" si="2"/>
        <v>235.20000000000002</v>
      </c>
      <c r="H40" s="140">
        <f t="shared" si="2"/>
        <v>268.8</v>
      </c>
      <c r="I40" s="254">
        <f t="shared" si="3"/>
        <v>8.75</v>
      </c>
      <c r="J40" s="254">
        <f t="shared" si="3"/>
        <v>9.8000000000000007</v>
      </c>
      <c r="K40" s="254">
        <f t="shared" si="3"/>
        <v>11.200000000000001</v>
      </c>
    </row>
    <row r="41" spans="2:11" x14ac:dyDescent="0.15">
      <c r="B41" s="140">
        <v>50</v>
      </c>
      <c r="C41" s="140">
        <v>28</v>
      </c>
      <c r="D41" s="140">
        <v>28</v>
      </c>
      <c r="E41" s="140">
        <v>32</v>
      </c>
      <c r="F41" s="140">
        <f t="shared" si="2"/>
        <v>235.20000000000002</v>
      </c>
      <c r="G41" s="140">
        <f t="shared" si="2"/>
        <v>235.20000000000002</v>
      </c>
      <c r="H41" s="140">
        <f t="shared" si="2"/>
        <v>268.8</v>
      </c>
      <c r="I41" s="254">
        <f t="shared" si="3"/>
        <v>9.8000000000000007</v>
      </c>
      <c r="J41" s="254">
        <f t="shared" si="3"/>
        <v>9.8000000000000007</v>
      </c>
      <c r="K41" s="254">
        <f t="shared" si="3"/>
        <v>11.200000000000001</v>
      </c>
    </row>
    <row r="42" spans="2:11" x14ac:dyDescent="0.15">
      <c r="B42" s="140">
        <v>51</v>
      </c>
      <c r="C42" s="140">
        <v>28</v>
      </c>
      <c r="D42" s="140">
        <v>28</v>
      </c>
      <c r="E42" s="140">
        <v>32</v>
      </c>
      <c r="F42" s="140">
        <f t="shared" si="2"/>
        <v>235.20000000000002</v>
      </c>
      <c r="G42" s="140">
        <f t="shared" si="2"/>
        <v>235.20000000000002</v>
      </c>
      <c r="H42" s="140">
        <f t="shared" si="2"/>
        <v>268.8</v>
      </c>
      <c r="I42" s="254">
        <f t="shared" si="3"/>
        <v>9.8000000000000007</v>
      </c>
      <c r="J42" s="254">
        <f t="shared" si="3"/>
        <v>9.8000000000000007</v>
      </c>
      <c r="K42" s="254">
        <f t="shared" si="3"/>
        <v>11.200000000000001</v>
      </c>
    </row>
    <row r="43" spans="2:11" x14ac:dyDescent="0.15">
      <c r="B43" s="140">
        <v>52</v>
      </c>
      <c r="C43" s="140">
        <v>28</v>
      </c>
      <c r="D43" s="140">
        <v>28</v>
      </c>
      <c r="E43" s="140">
        <v>32</v>
      </c>
      <c r="F43" s="140">
        <f t="shared" si="2"/>
        <v>235.20000000000002</v>
      </c>
      <c r="G43" s="140">
        <f t="shared" si="2"/>
        <v>235.20000000000002</v>
      </c>
      <c r="H43" s="140">
        <f t="shared" si="2"/>
        <v>268.8</v>
      </c>
      <c r="I43" s="254">
        <f t="shared" si="3"/>
        <v>9.8000000000000007</v>
      </c>
      <c r="J43" s="254">
        <f t="shared" si="3"/>
        <v>9.8000000000000007</v>
      </c>
      <c r="K43" s="254">
        <f t="shared" si="3"/>
        <v>11.200000000000001</v>
      </c>
    </row>
    <row r="44" spans="2:11" x14ac:dyDescent="0.15">
      <c r="B44" s="140">
        <v>53</v>
      </c>
      <c r="C44" s="140">
        <v>28</v>
      </c>
      <c r="D44" s="140">
        <v>28</v>
      </c>
      <c r="E44" s="140">
        <v>32</v>
      </c>
      <c r="F44" s="140">
        <f t="shared" si="2"/>
        <v>235.20000000000002</v>
      </c>
      <c r="G44" s="140">
        <f t="shared" si="2"/>
        <v>235.20000000000002</v>
      </c>
      <c r="H44" s="140">
        <f t="shared" si="2"/>
        <v>268.8</v>
      </c>
      <c r="I44" s="254">
        <f t="shared" si="3"/>
        <v>9.8000000000000007</v>
      </c>
      <c r="J44" s="254">
        <f t="shared" si="3"/>
        <v>9.8000000000000007</v>
      </c>
      <c r="K44" s="254">
        <f t="shared" si="3"/>
        <v>11.200000000000001</v>
      </c>
    </row>
    <row r="45" spans="2:11" x14ac:dyDescent="0.15">
      <c r="B45" s="140">
        <v>54</v>
      </c>
      <c r="C45" s="140">
        <v>28</v>
      </c>
      <c r="D45" s="140">
        <v>28</v>
      </c>
      <c r="E45" s="140">
        <v>32</v>
      </c>
      <c r="F45" s="140">
        <f t="shared" si="2"/>
        <v>235.20000000000002</v>
      </c>
      <c r="G45" s="140">
        <f t="shared" si="2"/>
        <v>235.20000000000002</v>
      </c>
      <c r="H45" s="140">
        <f t="shared" si="2"/>
        <v>268.8</v>
      </c>
      <c r="I45" s="254">
        <f t="shared" si="3"/>
        <v>9.8000000000000007</v>
      </c>
      <c r="J45" s="254">
        <f t="shared" si="3"/>
        <v>9.8000000000000007</v>
      </c>
      <c r="K45" s="254">
        <f t="shared" si="3"/>
        <v>11.200000000000001</v>
      </c>
    </row>
    <row r="46" spans="2:11" x14ac:dyDescent="0.15">
      <c r="B46" s="140">
        <v>55</v>
      </c>
      <c r="C46" s="140">
        <v>28</v>
      </c>
      <c r="D46" s="140">
        <v>33</v>
      </c>
      <c r="E46" s="140">
        <v>32</v>
      </c>
      <c r="F46" s="140">
        <f t="shared" si="2"/>
        <v>235.20000000000002</v>
      </c>
      <c r="G46" s="140">
        <f t="shared" si="2"/>
        <v>277.2</v>
      </c>
      <c r="H46" s="140">
        <f t="shared" si="2"/>
        <v>268.8</v>
      </c>
      <c r="I46" s="254">
        <f t="shared" si="3"/>
        <v>9.8000000000000007</v>
      </c>
      <c r="J46" s="254">
        <f t="shared" si="3"/>
        <v>11.549999999999999</v>
      </c>
      <c r="K46" s="254">
        <f t="shared" si="3"/>
        <v>11.200000000000001</v>
      </c>
    </row>
    <row r="47" spans="2:11" x14ac:dyDescent="0.15">
      <c r="B47" s="140">
        <v>56</v>
      </c>
      <c r="C47" s="140">
        <v>28</v>
      </c>
      <c r="D47" s="140">
        <v>33</v>
      </c>
      <c r="E47" s="140">
        <v>32</v>
      </c>
      <c r="F47" s="140">
        <f t="shared" si="2"/>
        <v>235.20000000000002</v>
      </c>
      <c r="G47" s="140">
        <f t="shared" si="2"/>
        <v>277.2</v>
      </c>
      <c r="H47" s="140">
        <f t="shared" si="2"/>
        <v>268.8</v>
      </c>
      <c r="I47" s="254">
        <f t="shared" si="3"/>
        <v>9.8000000000000007</v>
      </c>
      <c r="J47" s="254">
        <f t="shared" si="3"/>
        <v>11.549999999999999</v>
      </c>
      <c r="K47" s="254">
        <f t="shared" si="3"/>
        <v>11.200000000000001</v>
      </c>
    </row>
    <row r="48" spans="2:11" x14ac:dyDescent="0.15">
      <c r="B48" s="140">
        <v>57</v>
      </c>
      <c r="C48" s="140">
        <v>28</v>
      </c>
      <c r="D48" s="140">
        <v>33</v>
      </c>
      <c r="E48" s="140">
        <v>32</v>
      </c>
      <c r="F48" s="140">
        <f t="shared" si="2"/>
        <v>235.20000000000002</v>
      </c>
      <c r="G48" s="140">
        <f t="shared" si="2"/>
        <v>277.2</v>
      </c>
      <c r="H48" s="140">
        <f t="shared" si="2"/>
        <v>268.8</v>
      </c>
      <c r="I48" s="254">
        <f t="shared" si="3"/>
        <v>9.8000000000000007</v>
      </c>
      <c r="J48" s="254">
        <f t="shared" si="3"/>
        <v>11.549999999999999</v>
      </c>
      <c r="K48" s="254">
        <f t="shared" si="3"/>
        <v>11.200000000000001</v>
      </c>
    </row>
    <row r="49" spans="2:30" x14ac:dyDescent="0.15">
      <c r="B49" s="140">
        <v>58</v>
      </c>
      <c r="C49" s="140">
        <v>28</v>
      </c>
      <c r="D49" s="140">
        <v>33</v>
      </c>
      <c r="E49" s="140">
        <v>32</v>
      </c>
      <c r="F49" s="140">
        <f t="shared" si="2"/>
        <v>235.20000000000002</v>
      </c>
      <c r="G49" s="140">
        <f t="shared" si="2"/>
        <v>277.2</v>
      </c>
      <c r="H49" s="140">
        <f t="shared" si="2"/>
        <v>268.8</v>
      </c>
      <c r="I49" s="254">
        <f t="shared" si="3"/>
        <v>9.8000000000000007</v>
      </c>
      <c r="J49" s="254">
        <f t="shared" si="3"/>
        <v>11.549999999999999</v>
      </c>
      <c r="K49" s="254">
        <f t="shared" si="3"/>
        <v>11.200000000000001</v>
      </c>
    </row>
    <row r="50" spans="2:30" x14ac:dyDescent="0.15">
      <c r="B50" s="140">
        <v>59</v>
      </c>
      <c r="C50" s="140">
        <v>28</v>
      </c>
      <c r="D50" s="140">
        <v>33</v>
      </c>
      <c r="E50" s="140">
        <v>32</v>
      </c>
      <c r="F50" s="140">
        <f t="shared" si="2"/>
        <v>235.20000000000002</v>
      </c>
      <c r="G50" s="140">
        <f t="shared" si="2"/>
        <v>277.2</v>
      </c>
      <c r="H50" s="140">
        <f t="shared" si="2"/>
        <v>268.8</v>
      </c>
      <c r="I50" s="254">
        <f t="shared" si="3"/>
        <v>9.8000000000000007</v>
      </c>
      <c r="J50" s="254">
        <f t="shared" si="3"/>
        <v>11.549999999999999</v>
      </c>
      <c r="K50" s="254">
        <f t="shared" si="3"/>
        <v>11.200000000000001</v>
      </c>
    </row>
    <row r="51" spans="2:30" x14ac:dyDescent="0.15">
      <c r="B51" s="140">
        <v>60</v>
      </c>
      <c r="C51" s="140">
        <v>33</v>
      </c>
      <c r="D51" s="140">
        <v>33</v>
      </c>
      <c r="E51" s="140">
        <v>32</v>
      </c>
      <c r="F51" s="140">
        <f t="shared" si="2"/>
        <v>277.2</v>
      </c>
      <c r="G51" s="140">
        <f t="shared" si="2"/>
        <v>277.2</v>
      </c>
      <c r="H51" s="140">
        <f t="shared" si="2"/>
        <v>268.8</v>
      </c>
      <c r="I51" s="254">
        <f t="shared" si="3"/>
        <v>11.549999999999999</v>
      </c>
      <c r="J51" s="254">
        <f t="shared" si="3"/>
        <v>11.549999999999999</v>
      </c>
      <c r="K51" s="254">
        <f t="shared" si="3"/>
        <v>11.200000000000001</v>
      </c>
    </row>
    <row r="52" spans="2:30" x14ac:dyDescent="0.15">
      <c r="B52" s="140">
        <v>61</v>
      </c>
      <c r="C52" s="140">
        <v>33</v>
      </c>
      <c r="D52" s="140">
        <v>33</v>
      </c>
      <c r="E52" s="140">
        <v>32</v>
      </c>
      <c r="F52" s="140">
        <f t="shared" si="2"/>
        <v>277.2</v>
      </c>
      <c r="G52" s="140">
        <f t="shared" si="2"/>
        <v>277.2</v>
      </c>
      <c r="H52" s="140">
        <f t="shared" si="2"/>
        <v>268.8</v>
      </c>
      <c r="I52" s="254">
        <f t="shared" si="3"/>
        <v>11.549999999999999</v>
      </c>
      <c r="J52" s="254">
        <f t="shared" si="3"/>
        <v>11.549999999999999</v>
      </c>
      <c r="K52" s="254">
        <f t="shared" si="3"/>
        <v>11.200000000000001</v>
      </c>
    </row>
    <row r="53" spans="2:30" x14ac:dyDescent="0.15">
      <c r="B53" s="140">
        <v>62</v>
      </c>
      <c r="C53" s="140">
        <v>33</v>
      </c>
      <c r="D53" s="140">
        <v>33</v>
      </c>
      <c r="E53" s="140">
        <v>32</v>
      </c>
      <c r="F53" s="140">
        <f t="shared" si="2"/>
        <v>277.2</v>
      </c>
      <c r="G53" s="140">
        <f t="shared" si="2"/>
        <v>277.2</v>
      </c>
      <c r="H53" s="140">
        <f t="shared" si="2"/>
        <v>268.8</v>
      </c>
      <c r="I53" s="254">
        <f t="shared" si="3"/>
        <v>11.549999999999999</v>
      </c>
      <c r="J53" s="254">
        <f t="shared" si="3"/>
        <v>11.549999999999999</v>
      </c>
      <c r="K53" s="254">
        <f t="shared" si="3"/>
        <v>11.200000000000001</v>
      </c>
    </row>
    <row r="54" spans="2:30" x14ac:dyDescent="0.15">
      <c r="B54" s="140">
        <v>63</v>
      </c>
      <c r="C54" s="140">
        <v>33</v>
      </c>
      <c r="D54" s="140">
        <v>33</v>
      </c>
      <c r="E54" s="140">
        <v>32</v>
      </c>
      <c r="F54" s="140">
        <f t="shared" si="2"/>
        <v>277.2</v>
      </c>
      <c r="G54" s="140">
        <f t="shared" si="2"/>
        <v>277.2</v>
      </c>
      <c r="H54" s="140">
        <f t="shared" si="2"/>
        <v>268.8</v>
      </c>
      <c r="I54" s="254">
        <f t="shared" si="3"/>
        <v>11.549999999999999</v>
      </c>
      <c r="J54" s="254">
        <f t="shared" si="3"/>
        <v>11.549999999999999</v>
      </c>
      <c r="K54" s="254">
        <f t="shared" si="3"/>
        <v>11.200000000000001</v>
      </c>
    </row>
    <row r="55" spans="2:30" x14ac:dyDescent="0.15">
      <c r="B55" s="140">
        <v>64</v>
      </c>
      <c r="C55" s="140">
        <v>33</v>
      </c>
      <c r="D55" s="140">
        <v>33</v>
      </c>
      <c r="E55" s="140">
        <v>32</v>
      </c>
      <c r="F55" s="140">
        <f t="shared" si="2"/>
        <v>277.2</v>
      </c>
      <c r="G55" s="140">
        <f t="shared" si="2"/>
        <v>277.2</v>
      </c>
      <c r="H55" s="140">
        <f t="shared" si="2"/>
        <v>268.8</v>
      </c>
      <c r="I55" s="254">
        <f t="shared" si="3"/>
        <v>11.549999999999999</v>
      </c>
      <c r="J55" s="254">
        <f t="shared" si="3"/>
        <v>11.549999999999999</v>
      </c>
      <c r="K55" s="254">
        <f t="shared" si="3"/>
        <v>11.200000000000001</v>
      </c>
    </row>
    <row r="56" spans="2:30" x14ac:dyDescent="0.15">
      <c r="B56" s="140">
        <v>65</v>
      </c>
      <c r="C56" s="140">
        <v>33</v>
      </c>
      <c r="D56" s="140">
        <v>33</v>
      </c>
      <c r="E56" s="140">
        <v>32</v>
      </c>
      <c r="F56" s="140">
        <f t="shared" si="2"/>
        <v>277.2</v>
      </c>
      <c r="G56" s="140">
        <f t="shared" si="2"/>
        <v>277.2</v>
      </c>
      <c r="H56" s="140">
        <f t="shared" si="2"/>
        <v>268.8</v>
      </c>
      <c r="I56" s="254">
        <f t="shared" si="3"/>
        <v>11.549999999999999</v>
      </c>
      <c r="J56" s="254">
        <f t="shared" si="3"/>
        <v>11.549999999999999</v>
      </c>
      <c r="K56" s="254">
        <f t="shared" si="3"/>
        <v>11.200000000000001</v>
      </c>
    </row>
    <row r="57" spans="2:30" x14ac:dyDescent="0.15">
      <c r="B57" s="4"/>
      <c r="C57" s="4"/>
      <c r="D57" s="4"/>
      <c r="E57" s="4"/>
      <c r="F57" s="4"/>
      <c r="G57" s="4"/>
      <c r="H57" s="4"/>
      <c r="I57" s="262"/>
      <c r="J57" s="262"/>
      <c r="K57" s="262"/>
    </row>
    <row r="58" spans="2:30" x14ac:dyDescent="0.15">
      <c r="B58" s="343" t="s">
        <v>241</v>
      </c>
      <c r="C58" s="236"/>
      <c r="D58" s="344"/>
      <c r="E58" s="236"/>
      <c r="F58" s="344"/>
      <c r="G58" s="236"/>
      <c r="H58" s="344"/>
      <c r="I58" s="236"/>
      <c r="J58" s="344"/>
      <c r="K58" s="236"/>
      <c r="L58" s="236"/>
      <c r="M58" s="345"/>
    </row>
    <row r="59" spans="2:30" x14ac:dyDescent="0.15">
      <c r="B59" s="346" t="s">
        <v>96</v>
      </c>
      <c r="C59" s="347">
        <v>176.4</v>
      </c>
      <c r="D59" s="346" t="s">
        <v>97</v>
      </c>
      <c r="E59" s="347">
        <v>168</v>
      </c>
      <c r="F59" s="346" t="s">
        <v>57</v>
      </c>
      <c r="G59" s="347">
        <v>184.8</v>
      </c>
      <c r="H59" s="346" t="s">
        <v>58</v>
      </c>
      <c r="I59" s="347">
        <v>167</v>
      </c>
      <c r="J59" s="346" t="s">
        <v>59</v>
      </c>
      <c r="K59" s="347">
        <v>167</v>
      </c>
      <c r="L59" s="346" t="s">
        <v>60</v>
      </c>
      <c r="M59" s="347">
        <v>176.4</v>
      </c>
    </row>
    <row r="60" spans="2:30" x14ac:dyDescent="0.15">
      <c r="B60" s="346" t="s">
        <v>61</v>
      </c>
      <c r="C60" s="347">
        <v>192.2</v>
      </c>
      <c r="D60" s="346" t="s">
        <v>62</v>
      </c>
      <c r="E60" s="347">
        <v>176.4</v>
      </c>
      <c r="F60" s="346" t="s">
        <v>63</v>
      </c>
      <c r="G60" s="347">
        <v>184.8</v>
      </c>
      <c r="H60" s="346" t="s">
        <v>64</v>
      </c>
      <c r="I60" s="347">
        <v>184.8</v>
      </c>
      <c r="J60" s="346" t="s">
        <v>65</v>
      </c>
      <c r="K60" s="347">
        <v>176.4</v>
      </c>
      <c r="L60" s="346" t="s">
        <v>66</v>
      </c>
      <c r="M60" s="347">
        <v>176.4</v>
      </c>
    </row>
    <row r="61" spans="2:30" x14ac:dyDescent="0.15">
      <c r="B61" s="135"/>
      <c r="C61" s="333"/>
      <c r="D61" s="135"/>
      <c r="E61" s="333"/>
      <c r="F61" s="135"/>
      <c r="G61" s="333"/>
      <c r="H61" s="135"/>
      <c r="I61" s="333"/>
      <c r="J61" s="135"/>
      <c r="K61" s="333"/>
      <c r="L61" s="135"/>
      <c r="M61" s="333"/>
    </row>
    <row r="63" spans="2:30" x14ac:dyDescent="0.15">
      <c r="B63" s="710" t="s">
        <v>218</v>
      </c>
      <c r="C63" s="710"/>
      <c r="D63" s="710"/>
      <c r="E63" s="263" t="s">
        <v>15</v>
      </c>
      <c r="F63" s="264"/>
      <c r="G63" s="265" t="str">
        <f>IF(Information!D8="Deutsch",Para1!$E$63,VLOOKUP(Para1!$E$63,Para1!$B$83:$G$197,3,FALSE))</f>
        <v>Wed</v>
      </c>
      <c r="H63" s="266"/>
      <c r="I63" s="266"/>
      <c r="J63" s="266"/>
      <c r="K63" s="4"/>
      <c r="L63" s="4"/>
      <c r="M63" s="4"/>
      <c r="N63" s="267"/>
      <c r="O63" s="267"/>
      <c r="P63" s="267"/>
      <c r="Q63" s="267"/>
      <c r="R63" s="267"/>
      <c r="S63" s="267"/>
      <c r="T63" s="267"/>
      <c r="U63" s="267"/>
      <c r="V63" s="267"/>
      <c r="W63" s="267"/>
      <c r="X63" s="267"/>
      <c r="Y63" s="267"/>
      <c r="Z63" s="267"/>
      <c r="AA63" s="267"/>
      <c r="AB63" s="267"/>
      <c r="AC63" s="267"/>
      <c r="AD63" s="267"/>
    </row>
    <row r="64" spans="2:30" x14ac:dyDescent="0.15">
      <c r="B64" s="138"/>
      <c r="C64" s="4"/>
      <c r="D64" s="138"/>
      <c r="E64" s="4"/>
      <c r="F64" s="4"/>
      <c r="G64" s="4"/>
      <c r="H64" s="4"/>
      <c r="I64" s="4"/>
      <c r="J64" s="4"/>
      <c r="K64" s="4"/>
      <c r="L64" s="4"/>
      <c r="M64" s="4"/>
      <c r="N64" s="267"/>
      <c r="O64" s="267"/>
      <c r="P64" s="267"/>
      <c r="Q64" s="267"/>
      <c r="R64" s="267"/>
      <c r="S64" s="267"/>
      <c r="T64" s="267"/>
      <c r="U64" s="267"/>
      <c r="V64" s="267"/>
      <c r="W64" s="267"/>
      <c r="X64" s="267"/>
      <c r="Y64" s="267"/>
      <c r="Z64" s="267"/>
      <c r="AA64" s="267"/>
      <c r="AB64" s="267"/>
      <c r="AC64" s="267"/>
      <c r="AD64" s="267"/>
    </row>
    <row r="65" spans="2:30" x14ac:dyDescent="0.15">
      <c r="B65" s="709" t="s">
        <v>219</v>
      </c>
      <c r="C65" s="709"/>
      <c r="D65" s="709"/>
      <c r="E65" s="709"/>
      <c r="F65" s="709"/>
      <c r="G65" s="709"/>
      <c r="H65" s="709"/>
      <c r="I65" s="709"/>
      <c r="J65" s="709"/>
      <c r="K65" s="709"/>
      <c r="L65" s="709"/>
      <c r="M65" s="709"/>
      <c r="N65" s="267"/>
      <c r="O65" s="268"/>
      <c r="P65" s="267"/>
      <c r="Q65" s="269"/>
      <c r="R65" s="267"/>
      <c r="S65" s="267"/>
      <c r="T65" s="267"/>
      <c r="U65" s="267"/>
      <c r="V65" s="267"/>
      <c r="W65" s="267"/>
      <c r="X65" s="267"/>
      <c r="Y65" s="267"/>
      <c r="Z65" s="267"/>
      <c r="AA65" s="267"/>
      <c r="AB65" s="267"/>
      <c r="AC65" s="267"/>
      <c r="AD65" s="267"/>
    </row>
    <row r="66" spans="2:30" x14ac:dyDescent="0.15">
      <c r="B66" s="270" t="s">
        <v>220</v>
      </c>
      <c r="C66" s="270" t="s">
        <v>56</v>
      </c>
      <c r="D66" s="236"/>
      <c r="E66" s="271"/>
      <c r="F66" s="272" t="s">
        <v>221</v>
      </c>
      <c r="G66" s="273" t="s">
        <v>222</v>
      </c>
      <c r="H66" s="711" t="s">
        <v>223</v>
      </c>
      <c r="I66" s="712"/>
      <c r="J66" s="712"/>
      <c r="K66" s="712"/>
      <c r="L66" s="712"/>
      <c r="M66" s="713"/>
      <c r="N66" s="267"/>
      <c r="T66" s="267"/>
      <c r="U66" s="267"/>
      <c r="V66" s="267"/>
      <c r="W66" s="267"/>
      <c r="X66" s="267"/>
      <c r="Y66" s="267"/>
      <c r="Z66" s="267"/>
      <c r="AA66" s="267"/>
      <c r="AB66" s="267"/>
      <c r="AC66" s="267"/>
      <c r="AD66" s="267"/>
    </row>
    <row r="67" spans="2:30" x14ac:dyDescent="0.15">
      <c r="B67" s="274" t="s">
        <v>20</v>
      </c>
      <c r="C67" s="274" t="s">
        <v>10</v>
      </c>
      <c r="D67" s="714" t="s">
        <v>224</v>
      </c>
      <c r="E67" s="715"/>
      <c r="F67" s="272">
        <v>0</v>
      </c>
      <c r="G67" s="275">
        <v>1</v>
      </c>
      <c r="N67" s="267"/>
      <c r="U67" s="267"/>
      <c r="V67" s="267"/>
      <c r="W67" s="267"/>
      <c r="X67" s="267"/>
      <c r="Y67" s="267"/>
      <c r="Z67" s="267"/>
      <c r="AA67" s="267"/>
      <c r="AB67" s="267"/>
      <c r="AC67" s="267"/>
      <c r="AD67" s="267"/>
    </row>
    <row r="68" spans="2:30" x14ac:dyDescent="0.15">
      <c r="B68" s="274" t="s">
        <v>22</v>
      </c>
      <c r="C68" s="274" t="s">
        <v>10</v>
      </c>
      <c r="D68" s="276" t="s">
        <v>225</v>
      </c>
      <c r="E68" s="277"/>
      <c r="F68" s="278"/>
      <c r="G68" s="279"/>
      <c r="N68" s="280"/>
      <c r="U68" s="281"/>
      <c r="V68" s="282"/>
      <c r="W68" s="707"/>
      <c r="X68" s="708"/>
      <c r="Y68" s="267"/>
      <c r="Z68" s="267"/>
      <c r="AA68" s="267"/>
      <c r="AB68" s="267"/>
      <c r="AC68" s="267"/>
      <c r="AD68" s="267"/>
    </row>
    <row r="69" spans="2:30" x14ac:dyDescent="0.15">
      <c r="B69" s="274" t="s">
        <v>23</v>
      </c>
      <c r="C69" s="274" t="s">
        <v>10</v>
      </c>
      <c r="D69" s="276" t="s">
        <v>226</v>
      </c>
      <c r="E69" s="277"/>
      <c r="F69" s="283">
        <v>0</v>
      </c>
      <c r="G69" s="284"/>
      <c r="U69" s="281"/>
      <c r="V69" s="282"/>
      <c r="W69" s="707"/>
      <c r="X69" s="708"/>
      <c r="Y69" s="267"/>
      <c r="Z69" s="267"/>
      <c r="AA69" s="267"/>
      <c r="AB69" s="267"/>
      <c r="AC69" s="267"/>
      <c r="AD69" s="267"/>
    </row>
    <row r="70" spans="2:30" x14ac:dyDescent="0.15">
      <c r="B70" s="274" t="s">
        <v>31</v>
      </c>
      <c r="C70" s="274" t="s">
        <v>12</v>
      </c>
      <c r="D70" s="276" t="s">
        <v>227</v>
      </c>
      <c r="E70" s="277"/>
      <c r="F70" s="272">
        <v>0</v>
      </c>
      <c r="G70" s="275">
        <v>1</v>
      </c>
      <c r="N70" s="280"/>
      <c r="U70" s="281"/>
      <c r="V70" s="282"/>
      <c r="W70" s="707"/>
      <c r="X70" s="708"/>
      <c r="Y70" s="267"/>
      <c r="Z70" s="267"/>
      <c r="AA70" s="267"/>
      <c r="AB70" s="267"/>
      <c r="AC70" s="267"/>
      <c r="AD70" s="267"/>
    </row>
    <row r="71" spans="2:30" x14ac:dyDescent="0.15">
      <c r="B71" s="274" t="s">
        <v>46</v>
      </c>
      <c r="C71" s="274" t="s">
        <v>12</v>
      </c>
      <c r="D71" s="276" t="s">
        <v>228</v>
      </c>
      <c r="E71" s="285"/>
      <c r="F71" s="278"/>
      <c r="G71" s="279"/>
      <c r="N71" s="280"/>
      <c r="U71" s="286"/>
      <c r="V71" s="286"/>
      <c r="W71" s="286"/>
      <c r="X71" s="286"/>
      <c r="Y71" s="267"/>
      <c r="Z71" s="267"/>
      <c r="AA71" s="267"/>
      <c r="AB71" s="267"/>
      <c r="AC71" s="267"/>
      <c r="AD71" s="267"/>
    </row>
    <row r="72" spans="2:30" x14ac:dyDescent="0.15">
      <c r="B72" s="274" t="s">
        <v>4</v>
      </c>
      <c r="C72" s="274" t="s">
        <v>14</v>
      </c>
      <c r="D72" s="276" t="s">
        <v>229</v>
      </c>
      <c r="E72" s="285"/>
      <c r="F72" s="272">
        <v>0</v>
      </c>
      <c r="G72" s="287"/>
      <c r="N72" s="280"/>
      <c r="U72" s="267"/>
      <c r="V72" s="267"/>
      <c r="W72" s="267"/>
      <c r="X72" s="267"/>
      <c r="Y72" s="267"/>
      <c r="Z72" s="267"/>
      <c r="AA72" s="267"/>
      <c r="AB72" s="267"/>
      <c r="AC72" s="267"/>
      <c r="AD72" s="267"/>
    </row>
    <row r="73" spans="2:30" x14ac:dyDescent="0.15">
      <c r="B73" s="288" t="s">
        <v>4</v>
      </c>
      <c r="C73" s="288" t="s">
        <v>4</v>
      </c>
      <c r="D73" s="706" t="s">
        <v>230</v>
      </c>
      <c r="E73" s="706"/>
      <c r="F73" s="288" t="s">
        <v>231</v>
      </c>
      <c r="G73" s="287"/>
      <c r="H73" s="709" t="s">
        <v>232</v>
      </c>
      <c r="I73" s="709"/>
      <c r="J73" s="709"/>
      <c r="K73" s="709"/>
      <c r="L73" s="709"/>
      <c r="M73" s="709"/>
      <c r="N73" s="280"/>
      <c r="T73" s="267"/>
      <c r="U73" s="267"/>
      <c r="V73" s="267"/>
      <c r="W73" s="267"/>
      <c r="X73" s="267"/>
      <c r="Y73" s="267"/>
      <c r="Z73" s="267"/>
      <c r="AA73" s="267"/>
      <c r="AB73" s="267"/>
      <c r="AC73" s="267"/>
      <c r="AD73" s="267"/>
    </row>
    <row r="74" spans="2:30" x14ac:dyDescent="0.15">
      <c r="B74" s="288" t="s">
        <v>6</v>
      </c>
      <c r="C74" s="288" t="s">
        <v>4</v>
      </c>
      <c r="D74" s="706" t="s">
        <v>233</v>
      </c>
      <c r="E74" s="706"/>
      <c r="F74" s="288" t="s">
        <v>231</v>
      </c>
      <c r="G74" s="287"/>
      <c r="H74" s="289"/>
      <c r="I74" s="289"/>
      <c r="J74" s="225"/>
      <c r="K74" s="225"/>
      <c r="L74" s="290"/>
      <c r="M74" s="291"/>
      <c r="N74" s="280"/>
      <c r="T74" s="267"/>
      <c r="U74" s="267"/>
      <c r="V74" s="267"/>
      <c r="W74" s="267"/>
      <c r="X74" s="267"/>
      <c r="Y74" s="267"/>
      <c r="Z74" s="267"/>
      <c r="AA74" s="267"/>
      <c r="AB74" s="267"/>
      <c r="AC74" s="267"/>
      <c r="AD74" s="267"/>
    </row>
    <row r="75" spans="2:30" x14ac:dyDescent="0.15">
      <c r="B75" s="288" t="s">
        <v>4</v>
      </c>
      <c r="C75" s="288" t="s">
        <v>18</v>
      </c>
      <c r="D75" s="706" t="s">
        <v>234</v>
      </c>
      <c r="E75" s="706"/>
      <c r="F75" s="288" t="s">
        <v>231</v>
      </c>
      <c r="G75" s="287" t="s">
        <v>235</v>
      </c>
      <c r="H75" s="289"/>
      <c r="I75" s="289"/>
      <c r="J75" s="225"/>
      <c r="K75" s="225"/>
      <c r="L75" s="290"/>
      <c r="M75" s="291"/>
      <c r="N75" s="280"/>
      <c r="T75" s="267"/>
      <c r="U75" s="267"/>
      <c r="V75" s="267"/>
      <c r="W75" s="267"/>
      <c r="X75" s="267"/>
      <c r="Y75" s="267"/>
      <c r="Z75" s="267"/>
      <c r="AA75" s="267"/>
      <c r="AB75" s="267"/>
      <c r="AC75" s="267"/>
      <c r="AD75" s="267"/>
    </row>
    <row r="76" spans="2:30" x14ac:dyDescent="0.15">
      <c r="B76" s="288" t="s">
        <v>34</v>
      </c>
      <c r="C76" s="288" t="s">
        <v>22</v>
      </c>
      <c r="D76" s="706" t="s">
        <v>236</v>
      </c>
      <c r="E76" s="706"/>
      <c r="F76" s="288" t="s">
        <v>237</v>
      </c>
      <c r="G76" s="287"/>
      <c r="H76" s="289"/>
      <c r="I76" s="289"/>
      <c r="J76" s="225"/>
      <c r="K76" s="225"/>
      <c r="L76" s="290"/>
      <c r="M76" s="291"/>
      <c r="N76" s="280"/>
      <c r="T76" s="267"/>
      <c r="U76" s="267"/>
      <c r="V76" s="267"/>
      <c r="AB76" s="267"/>
      <c r="AC76" s="267"/>
      <c r="AD76" s="267"/>
    </row>
    <row r="77" spans="2:30" x14ac:dyDescent="0.15">
      <c r="B77" s="288" t="s">
        <v>35</v>
      </c>
      <c r="C77" s="288" t="s">
        <v>22</v>
      </c>
      <c r="D77" s="706" t="s">
        <v>238</v>
      </c>
      <c r="E77" s="706"/>
      <c r="F77" s="288" t="s">
        <v>231</v>
      </c>
      <c r="G77" s="284"/>
      <c r="H77" s="289"/>
      <c r="I77" s="289"/>
      <c r="J77" s="225"/>
      <c r="K77" s="225"/>
      <c r="L77" s="290"/>
      <c r="M77" s="291"/>
      <c r="N77" s="292"/>
      <c r="O77" s="4"/>
      <c r="P77" s="4"/>
      <c r="T77" s="267"/>
      <c r="U77" s="267"/>
      <c r="V77" s="267"/>
      <c r="AB77" s="267"/>
      <c r="AC77" s="267"/>
      <c r="AD77" s="267"/>
    </row>
    <row r="78" spans="2:30" x14ac:dyDescent="0.15">
      <c r="B78" s="288" t="s">
        <v>36</v>
      </c>
      <c r="C78" s="288" t="s">
        <v>22</v>
      </c>
      <c r="D78" s="706" t="s">
        <v>239</v>
      </c>
      <c r="E78" s="706"/>
      <c r="F78" s="288" t="s">
        <v>231</v>
      </c>
      <c r="G78" s="284"/>
      <c r="H78" s="289"/>
      <c r="I78" s="289"/>
      <c r="J78" s="225"/>
      <c r="K78" s="225"/>
      <c r="L78" s="290"/>
      <c r="M78" s="291"/>
      <c r="N78" s="292"/>
      <c r="O78" s="4"/>
      <c r="P78" s="4"/>
      <c r="T78" s="267"/>
      <c r="U78" s="267"/>
      <c r="V78" s="267"/>
      <c r="AB78" s="267"/>
      <c r="AC78" s="267"/>
      <c r="AD78" s="267"/>
    </row>
    <row r="79" spans="2:30" x14ac:dyDescent="0.15">
      <c r="B79" s="288" t="s">
        <v>46</v>
      </c>
      <c r="C79" s="288" t="s">
        <v>22</v>
      </c>
      <c r="D79" s="706" t="s">
        <v>240</v>
      </c>
      <c r="E79" s="706"/>
      <c r="F79" s="283">
        <v>4.2</v>
      </c>
      <c r="G79" s="208"/>
      <c r="H79" s="289"/>
      <c r="I79" s="289"/>
      <c r="J79" s="225"/>
      <c r="K79" s="225"/>
      <c r="L79" s="290"/>
      <c r="M79" s="291"/>
      <c r="N79" s="292"/>
      <c r="O79" s="4"/>
      <c r="P79" s="4"/>
      <c r="T79" s="267"/>
      <c r="U79" s="267"/>
      <c r="V79" s="267"/>
      <c r="AB79" s="267"/>
      <c r="AC79" s="267"/>
      <c r="AD79" s="267"/>
    </row>
    <row r="80" spans="2:30" x14ac:dyDescent="0.15">
      <c r="B80" s="4"/>
      <c r="C80" s="4"/>
      <c r="D80" s="4"/>
      <c r="E80" s="4"/>
      <c r="F80" s="4"/>
      <c r="G80" s="4"/>
      <c r="H80" s="4"/>
      <c r="I80" s="262"/>
      <c r="J80" s="262"/>
      <c r="K80" s="262"/>
      <c r="O80" s="727" t="s">
        <v>381</v>
      </c>
      <c r="P80" s="728"/>
      <c r="Q80" s="513" t="s">
        <v>382</v>
      </c>
    </row>
    <row r="82" spans="2:7" x14ac:dyDescent="0.15">
      <c r="B82" s="203" t="s">
        <v>98</v>
      </c>
      <c r="C82" s="204"/>
      <c r="D82" s="205" t="s">
        <v>99</v>
      </c>
      <c r="E82" s="206"/>
      <c r="F82" s="207" t="s">
        <v>100</v>
      </c>
      <c r="G82" s="208"/>
    </row>
    <row r="83" spans="2:7" x14ac:dyDescent="0.15">
      <c r="B83" s="209" t="s">
        <v>89</v>
      </c>
      <c r="C83" s="210"/>
      <c r="D83" s="211" t="s">
        <v>101</v>
      </c>
      <c r="E83" s="210"/>
      <c r="F83" s="212" t="str">
        <f>IF(Information!$D$8="Deutsch",B83,D83)</f>
        <v>absences</v>
      </c>
      <c r="G83" s="213"/>
    </row>
    <row r="84" spans="2:7" x14ac:dyDescent="0.15">
      <c r="B84" s="214" t="s">
        <v>51</v>
      </c>
      <c r="C84" s="210"/>
      <c r="D84" s="211" t="s">
        <v>102</v>
      </c>
      <c r="E84" s="210"/>
      <c r="F84" s="212" t="str">
        <f>IF(Information!$D$8="Deutsch",B84,D84)</f>
        <v>curr. mnth</v>
      </c>
      <c r="G84" s="213"/>
    </row>
    <row r="85" spans="2:7" x14ac:dyDescent="0.15">
      <c r="B85" s="209" t="s">
        <v>58</v>
      </c>
      <c r="C85" s="210"/>
      <c r="D85" s="211" t="s">
        <v>58</v>
      </c>
      <c r="E85" s="210"/>
      <c r="F85" s="212" t="str">
        <f>IF(Information!$D$8="Deutsch",B85,D85)</f>
        <v>April</v>
      </c>
      <c r="G85" s="215"/>
    </row>
    <row r="86" spans="2:7" x14ac:dyDescent="0.15">
      <c r="B86" s="418" t="s">
        <v>301</v>
      </c>
      <c r="C86" s="210"/>
      <c r="D86" s="211" t="s">
        <v>302</v>
      </c>
      <c r="E86" s="210"/>
      <c r="F86" s="212" t="str">
        <f>IF(Information!$D$8="Deutsch",B86,D86)</f>
        <v>old / new</v>
      </c>
      <c r="G86" s="215"/>
    </row>
    <row r="87" spans="2:7" x14ac:dyDescent="0.15">
      <c r="B87" s="729" t="s">
        <v>326</v>
      </c>
      <c r="C87" s="730"/>
      <c r="D87" s="211" t="s">
        <v>327</v>
      </c>
      <c r="E87" s="210"/>
      <c r="F87" s="212" t="str">
        <f>IF(Information!$D$8="Deutsch",B87,D87)</f>
        <v>Alteration in</v>
      </c>
      <c r="G87" s="215"/>
    </row>
    <row r="88" spans="2:7" x14ac:dyDescent="0.15">
      <c r="B88" s="209" t="s">
        <v>103</v>
      </c>
      <c r="C88" s="210"/>
      <c r="D88" s="211" t="s">
        <v>104</v>
      </c>
      <c r="E88" s="210"/>
      <c r="F88" s="212" t="str">
        <f>IF(Information!$D$8="Deutsch",B88,D88)</f>
        <v>begin of the</v>
      </c>
      <c r="G88" s="215"/>
    </row>
    <row r="89" spans="2:7" x14ac:dyDescent="0.15">
      <c r="B89" s="209" t="s">
        <v>253</v>
      </c>
      <c r="C89" s="210"/>
      <c r="D89" s="211" t="s">
        <v>254</v>
      </c>
      <c r="E89" s="210"/>
      <c r="F89" s="212" t="str">
        <f>IF(Information!$D$8="Deutsch",B89,D89)</f>
        <v>number of</v>
      </c>
      <c r="G89" s="215"/>
    </row>
    <row r="90" spans="2:7" x14ac:dyDescent="0.15">
      <c r="B90" s="216" t="s">
        <v>105</v>
      </c>
      <c r="C90" s="210"/>
      <c r="D90" s="211" t="s">
        <v>375</v>
      </c>
      <c r="E90" s="210"/>
      <c r="F90" s="212" t="str">
        <f>IF(Information!$D$8="Deutsch",B90,D90)</f>
        <v>working hours templ.</v>
      </c>
      <c r="G90" s="215"/>
    </row>
    <row r="91" spans="2:7" x14ac:dyDescent="0.15">
      <c r="B91" s="216" t="s">
        <v>105</v>
      </c>
      <c r="C91" s="210"/>
      <c r="D91" s="211" t="s">
        <v>374</v>
      </c>
      <c r="E91" s="210"/>
      <c r="F91" s="212" t="str">
        <f>IF(Information!$D$8="Deutsch",B91,D91)</f>
        <v>working hours template</v>
      </c>
      <c r="G91" s="215"/>
    </row>
    <row r="92" spans="2:7" x14ac:dyDescent="0.15">
      <c r="B92" s="226" t="s">
        <v>305</v>
      </c>
      <c r="C92" s="210"/>
      <c r="D92" s="211" t="s">
        <v>306</v>
      </c>
      <c r="E92" s="210"/>
      <c r="F92" s="212" t="str">
        <f>IF(Information!$D$8="Deutsch",B92,D92)</f>
        <v>work days</v>
      </c>
      <c r="G92" s="215"/>
    </row>
    <row r="93" spans="2:7" x14ac:dyDescent="0.15">
      <c r="B93" s="209" t="s">
        <v>106</v>
      </c>
      <c r="C93" s="210"/>
      <c r="D93" s="211" t="s">
        <v>107</v>
      </c>
      <c r="E93" s="210"/>
      <c r="F93" s="212" t="str">
        <f>IF(Information!$D$8="Deutsch",B93,D93)</f>
        <v>labour time</v>
      </c>
      <c r="G93" s="213"/>
    </row>
    <row r="94" spans="2:7" x14ac:dyDescent="0.15">
      <c r="B94" s="209" t="s">
        <v>62</v>
      </c>
      <c r="C94" s="217"/>
      <c r="D94" s="211" t="s">
        <v>62</v>
      </c>
      <c r="E94" s="210"/>
      <c r="F94" s="212" t="str">
        <f>IF(Information!$D$8="Deutsch",B94,D94)</f>
        <v>August</v>
      </c>
      <c r="G94" s="213"/>
    </row>
    <row r="95" spans="2:7" x14ac:dyDescent="0.15">
      <c r="B95" s="209" t="s">
        <v>95</v>
      </c>
      <c r="C95" s="217"/>
      <c r="D95" s="211" t="s">
        <v>108</v>
      </c>
      <c r="E95" s="210"/>
      <c r="F95" s="212" t="str">
        <f>IF(Information!$D$8="Deutsch",B95,D95)</f>
        <v xml:space="preserve">comment: </v>
      </c>
      <c r="G95" s="213"/>
    </row>
    <row r="96" spans="2:7" x14ac:dyDescent="0.15">
      <c r="B96" s="418" t="s">
        <v>298</v>
      </c>
      <c r="C96" s="419"/>
      <c r="D96" s="211" t="s">
        <v>296</v>
      </c>
      <c r="E96" s="210"/>
      <c r="F96" s="212" t="str">
        <f>IF(Information!$D$8="Deutsch",B96,D96)</f>
        <v>calculation</v>
      </c>
      <c r="G96" s="213"/>
    </row>
    <row r="97" spans="2:7" x14ac:dyDescent="0.15">
      <c r="B97" s="218" t="s">
        <v>109</v>
      </c>
      <c r="C97" s="217"/>
      <c r="D97" s="211" t="s">
        <v>110</v>
      </c>
      <c r="E97" s="210"/>
      <c r="F97" s="212" t="str">
        <f>IF(Information!$D$8="Deutsch",B97,D97)</f>
        <v>level of employment</v>
      </c>
      <c r="G97" s="213"/>
    </row>
    <row r="98" spans="2:7" x14ac:dyDescent="0.15">
      <c r="B98" s="218" t="s">
        <v>77</v>
      </c>
      <c r="C98" s="217"/>
      <c r="D98" s="211" t="s">
        <v>255</v>
      </c>
      <c r="E98" s="210"/>
      <c r="F98" s="212" t="str">
        <f>IF(Information!$D$8="Deutsch",B98,D98)</f>
        <v>lvl of emp.</v>
      </c>
      <c r="G98" s="213"/>
    </row>
    <row r="99" spans="2:7" x14ac:dyDescent="0.15">
      <c r="B99" s="218" t="s">
        <v>79</v>
      </c>
      <c r="C99" s="217"/>
      <c r="D99" s="211" t="s">
        <v>111</v>
      </c>
      <c r="E99" s="210"/>
      <c r="F99" s="212" t="str">
        <f>IF(Information!$D$8="Deutsch",B99,D99)</f>
        <v>work related</v>
      </c>
      <c r="G99" s="213"/>
    </row>
    <row r="100" spans="2:7" x14ac:dyDescent="0.15">
      <c r="B100" s="218" t="s">
        <v>112</v>
      </c>
      <c r="C100" s="217"/>
      <c r="D100" s="211" t="s">
        <v>392</v>
      </c>
      <c r="E100" s="210"/>
      <c r="F100" s="212" t="str">
        <f>IF(Information!$D$8="Deutsch",B100,D100)</f>
        <v>work. rel.</v>
      </c>
      <c r="G100" s="213"/>
    </row>
    <row r="101" spans="2:7" x14ac:dyDescent="0.15">
      <c r="B101" s="218" t="s">
        <v>113</v>
      </c>
      <c r="C101" s="217"/>
      <c r="D101" s="211" t="s">
        <v>114</v>
      </c>
      <c r="E101" s="210"/>
      <c r="F101" s="212" t="str">
        <f>IF(Information!$D$8="Deutsch",B101,D101)</f>
        <v>paid</v>
      </c>
      <c r="G101" s="213"/>
    </row>
    <row r="102" spans="2:7" x14ac:dyDescent="0.15">
      <c r="B102" s="218" t="s">
        <v>287</v>
      </c>
      <c r="C102" s="217"/>
      <c r="D102" s="211" t="s">
        <v>288</v>
      </c>
      <c r="E102" s="210"/>
      <c r="F102" s="212" t="str">
        <f>IF(Information!$D$8="Deutsch",B102,D102)</f>
        <v>taken</v>
      </c>
      <c r="G102" s="213"/>
    </row>
    <row r="103" spans="2:7" x14ac:dyDescent="0.15">
      <c r="B103" s="209" t="s">
        <v>115</v>
      </c>
      <c r="C103" s="217"/>
      <c r="D103" s="211" t="s">
        <v>116</v>
      </c>
      <c r="E103" s="210"/>
      <c r="F103" s="212" t="str">
        <f>IF(Information!$D$8="Deutsch",B103,D103)</f>
        <v>hours taken curr. month</v>
      </c>
      <c r="G103" s="213"/>
    </row>
    <row r="104" spans="2:7" x14ac:dyDescent="0.15">
      <c r="B104" s="209" t="s">
        <v>117</v>
      </c>
      <c r="C104" s="217"/>
      <c r="D104" s="211" t="s">
        <v>118</v>
      </c>
      <c r="E104" s="210"/>
      <c r="F104" s="212" t="str">
        <f>IF(Information!$D$8="Deutsch",B104,D104)</f>
        <v>(please enter in hours and minutes)</v>
      </c>
      <c r="G104" s="213"/>
    </row>
    <row r="105" spans="2:7" x14ac:dyDescent="0.15">
      <c r="B105" s="209" t="s">
        <v>119</v>
      </c>
      <c r="C105" s="217"/>
      <c r="D105" s="211" t="s">
        <v>120</v>
      </c>
      <c r="E105" s="210"/>
      <c r="F105" s="212" t="str">
        <f>IF(Information!$D$8="Deutsch",B105,D105)</f>
        <v>letters</v>
      </c>
      <c r="G105" s="213"/>
    </row>
    <row r="106" spans="2:7" x14ac:dyDescent="0.15">
      <c r="B106" s="209" t="s">
        <v>3</v>
      </c>
      <c r="C106" s="217"/>
      <c r="D106" s="211" t="s">
        <v>121</v>
      </c>
      <c r="E106" s="210"/>
      <c r="F106" s="212" t="str">
        <f>IF(Information!$D$8="Deutsch",B106,D106)</f>
        <v>date</v>
      </c>
      <c r="G106" s="213"/>
    </row>
    <row r="107" spans="2:7" x14ac:dyDescent="0.15">
      <c r="B107" s="209" t="s">
        <v>66</v>
      </c>
      <c r="C107" s="219"/>
      <c r="D107" s="211" t="s">
        <v>395</v>
      </c>
      <c r="E107" s="210"/>
      <c r="F107" s="212" t="str">
        <f>IF(Information!$D$8="Deutsch",B107,D107)</f>
        <v>December</v>
      </c>
      <c r="G107" s="213"/>
    </row>
    <row r="108" spans="2:7" x14ac:dyDescent="0.15">
      <c r="B108" s="209" t="s">
        <v>1</v>
      </c>
      <c r="C108" s="219"/>
      <c r="D108" s="211" t="s">
        <v>122</v>
      </c>
      <c r="E108" s="210"/>
      <c r="F108" s="212" t="str">
        <f>IF(Information!$D$8="Deutsch",B108,D108)</f>
        <v>decimal</v>
      </c>
      <c r="G108" s="213"/>
    </row>
    <row r="109" spans="2:7" x14ac:dyDescent="0.15">
      <c r="B109" s="220" t="s">
        <v>13</v>
      </c>
      <c r="D109" s="211" t="s">
        <v>123</v>
      </c>
      <c r="E109" s="210"/>
      <c r="F109" s="212" t="str">
        <f>IF(Information!$D$8="Deutsch",B109,D109)</f>
        <v>Tue</v>
      </c>
      <c r="G109" s="213"/>
    </row>
    <row r="110" spans="2:7" x14ac:dyDescent="0.15">
      <c r="B110" s="209" t="s">
        <v>124</v>
      </c>
      <c r="C110" s="219"/>
      <c r="D110" s="211" t="s">
        <v>125</v>
      </c>
      <c r="E110" s="210"/>
      <c r="F110" s="212" t="str">
        <f>IF(Information!$D$8="Deutsch",B110,D110)</f>
        <v>difference</v>
      </c>
      <c r="G110" s="213"/>
    </row>
    <row r="111" spans="2:7" x14ac:dyDescent="0.15">
      <c r="B111" s="221" t="s">
        <v>17</v>
      </c>
      <c r="C111" s="222"/>
      <c r="D111" s="211" t="s">
        <v>126</v>
      </c>
      <c r="E111" s="210"/>
      <c r="F111" s="212" t="str">
        <f>IF(Information!$D$8="Deutsch",B111,D111)</f>
        <v>Thu</v>
      </c>
      <c r="G111" s="213"/>
    </row>
    <row r="112" spans="2:7" x14ac:dyDescent="0.15">
      <c r="B112" s="220" t="s">
        <v>336</v>
      </c>
      <c r="D112" s="211" t="s">
        <v>299</v>
      </c>
      <c r="E112" s="210"/>
      <c r="F112" s="212" t="str">
        <f>IF(Information!$D$8="Deutsch",B112,D112)</f>
        <v>average</v>
      </c>
      <c r="G112" s="213"/>
    </row>
    <row r="113" spans="2:7" x14ac:dyDescent="0.15">
      <c r="B113" s="209" t="s">
        <v>43</v>
      </c>
      <c r="C113" s="210"/>
      <c r="D113" s="211" t="s">
        <v>127</v>
      </c>
      <c r="E113" s="210"/>
      <c r="F113" s="212" t="str">
        <f>IF(Information!$D$8="Deutsch",B113,D113)</f>
        <v xml:space="preserve">starting date: </v>
      </c>
      <c r="G113" s="213"/>
    </row>
    <row r="114" spans="2:7" x14ac:dyDescent="0.15">
      <c r="B114" s="418" t="s">
        <v>313</v>
      </c>
      <c r="C114" s="210"/>
      <c r="D114" s="211" t="s">
        <v>314</v>
      </c>
      <c r="E114" s="210"/>
      <c r="F114" s="212" t="str">
        <f>IF(Information!$D$8="Deutsch",B114,D114)</f>
        <v>month of entry</v>
      </c>
      <c r="G114" s="213"/>
    </row>
    <row r="115" spans="2:7" x14ac:dyDescent="0.15">
      <c r="B115" s="209" t="s">
        <v>128</v>
      </c>
      <c r="C115" s="210"/>
      <c r="D115" s="211" t="s">
        <v>129</v>
      </c>
      <c r="E115" s="210"/>
      <c r="F115" s="212" t="str">
        <f>IF(Information!$D$8="Deutsch",B115,D115)</f>
        <v>end of the</v>
      </c>
      <c r="G115" s="213"/>
    </row>
    <row r="116" spans="2:7" x14ac:dyDescent="0.15">
      <c r="B116" s="209" t="s">
        <v>97</v>
      </c>
      <c r="C116" s="210"/>
      <c r="D116" s="211" t="s">
        <v>396</v>
      </c>
      <c r="E116" s="210"/>
      <c r="F116" s="212" t="str">
        <f>IF(Information!$D$8="Deutsch",B116,D116)</f>
        <v>February</v>
      </c>
      <c r="G116" s="213"/>
    </row>
    <row r="117" spans="2:7" x14ac:dyDescent="0.15">
      <c r="B117" s="209" t="s">
        <v>87</v>
      </c>
      <c r="C117" s="217"/>
      <c r="D117" s="211" t="s">
        <v>341</v>
      </c>
      <c r="E117" s="210"/>
      <c r="F117" s="212" t="str">
        <f>IF(Information!$D$8="Deutsch",B117,D117)</f>
        <v>holiday</v>
      </c>
      <c r="G117" s="213"/>
    </row>
    <row r="118" spans="2:7" x14ac:dyDescent="0.15">
      <c r="B118" s="209" t="s">
        <v>130</v>
      </c>
      <c r="C118" s="217"/>
      <c r="D118" s="211" t="s">
        <v>340</v>
      </c>
      <c r="E118" s="210"/>
      <c r="F118" s="212" t="str">
        <f>IF(Information!$D$8="Deutsch",B118,D118)</f>
        <v>holiday taken</v>
      </c>
      <c r="G118" s="213"/>
    </row>
    <row r="119" spans="2:7" x14ac:dyDescent="0.15">
      <c r="B119" s="209" t="s">
        <v>91</v>
      </c>
      <c r="C119" s="210"/>
      <c r="D119" s="211" t="s">
        <v>339</v>
      </c>
      <c r="E119" s="210"/>
      <c r="F119" s="212" t="str">
        <f>IF(Information!$D$8="Deutsch",B119,D119)</f>
        <v>reduction of holiday</v>
      </c>
      <c r="G119" s="213"/>
    </row>
    <row r="120" spans="2:7" x14ac:dyDescent="0.15">
      <c r="B120" s="221" t="s">
        <v>5</v>
      </c>
      <c r="C120" s="222"/>
      <c r="D120" s="211" t="s">
        <v>131</v>
      </c>
      <c r="E120" s="210"/>
      <c r="F120" s="212" t="str">
        <f>IF(Information!$D$8="Deutsch",B120,D120)</f>
        <v>Fri</v>
      </c>
      <c r="G120" s="213"/>
    </row>
    <row r="121" spans="2:7" x14ac:dyDescent="0.15">
      <c r="B121" s="220" t="s">
        <v>289</v>
      </c>
      <c r="C121" s="4"/>
      <c r="D121" s="211" t="s">
        <v>290</v>
      </c>
      <c r="E121" s="210"/>
      <c r="F121" s="212" t="str">
        <f>IF(Information!$D$8="Deutsch",B121,D121)</f>
        <v>free</v>
      </c>
      <c r="G121" s="213"/>
    </row>
    <row r="122" spans="2:7" x14ac:dyDescent="0.15">
      <c r="B122" s="221" t="s">
        <v>132</v>
      </c>
      <c r="C122" s="222"/>
      <c r="D122" s="211" t="s">
        <v>133</v>
      </c>
      <c r="E122" s="210"/>
      <c r="F122" s="212" t="str">
        <f>IF(Information!$D$8="Deutsch",B122,D122)</f>
        <v>for</v>
      </c>
      <c r="G122" s="213"/>
    </row>
    <row r="123" spans="2:7" x14ac:dyDescent="0.15">
      <c r="B123" s="218" t="s">
        <v>67</v>
      </c>
      <c r="C123" s="210"/>
      <c r="D123" s="211" t="s">
        <v>134</v>
      </c>
      <c r="E123" s="210"/>
      <c r="F123" s="212" t="str">
        <f>IF(Information!$D$8="Deutsch",B123,D123)</f>
        <v>salary class</v>
      </c>
      <c r="G123" s="213"/>
    </row>
    <row r="124" spans="2:7" x14ac:dyDescent="0.15">
      <c r="B124" s="218" t="s">
        <v>135</v>
      </c>
      <c r="C124" s="210"/>
      <c r="D124" s="211" t="s">
        <v>136</v>
      </c>
      <c r="E124" s="210"/>
      <c r="F124" s="212" t="str">
        <f>IF(Information!$D$8="Deutsch",B124,D124)</f>
        <v>go</v>
      </c>
      <c r="G124" s="213"/>
    </row>
    <row r="125" spans="2:7" x14ac:dyDescent="0.15">
      <c r="B125" s="209" t="s">
        <v>137</v>
      </c>
      <c r="C125" s="210"/>
      <c r="D125" s="221" t="s">
        <v>138</v>
      </c>
      <c r="E125" s="210"/>
      <c r="F125" s="212" t="str">
        <f>IF(Information!$D$8="Deutsch",B125,D125)</f>
        <v>advance</v>
      </c>
      <c r="G125" s="213"/>
    </row>
    <row r="126" spans="2:7" x14ac:dyDescent="0.15">
      <c r="B126" s="418" t="s">
        <v>307</v>
      </c>
      <c r="C126" s="210"/>
      <c r="D126" s="221" t="s">
        <v>308</v>
      </c>
      <c r="E126" s="210"/>
      <c r="F126" s="212" t="str">
        <f>IF(Information!$D$8="Deutsch",B126,D126)</f>
        <v>half-days</v>
      </c>
      <c r="G126" s="213"/>
    </row>
    <row r="127" spans="2:7" x14ac:dyDescent="0.15">
      <c r="B127" s="209" t="s">
        <v>70</v>
      </c>
      <c r="C127" s="210"/>
      <c r="D127" s="221" t="s">
        <v>397</v>
      </c>
      <c r="E127" s="210"/>
      <c r="F127" s="212" t="str">
        <f>IF(Information!$D$8="Deutsch",B127,D127)</f>
        <v>hundredth</v>
      </c>
      <c r="G127" s="213"/>
    </row>
    <row r="128" spans="2:7" x14ac:dyDescent="0.15">
      <c r="B128" s="418" t="s">
        <v>319</v>
      </c>
      <c r="C128" s="210"/>
      <c r="D128" s="221" t="s">
        <v>320</v>
      </c>
      <c r="E128" s="210"/>
      <c r="F128" s="212" t="str">
        <f>IF(Information!$D$8="Deutsch",B128,D128)</f>
        <v>in this</v>
      </c>
      <c r="G128" s="213"/>
    </row>
    <row r="129" spans="2:8" x14ac:dyDescent="0.15">
      <c r="B129" s="209" t="s">
        <v>139</v>
      </c>
      <c r="C129" s="210"/>
      <c r="D129" s="221" t="s">
        <v>140</v>
      </c>
      <c r="E129" s="210"/>
      <c r="F129" s="212" t="str">
        <f>IF(Information!$D$8="Deutsch",B129,D129)</f>
        <v>incl.</v>
      </c>
      <c r="G129" s="213"/>
    </row>
    <row r="130" spans="2:8" x14ac:dyDescent="0.15">
      <c r="B130" s="209" t="s">
        <v>141</v>
      </c>
      <c r="C130" s="210"/>
      <c r="D130" s="221" t="s">
        <v>142</v>
      </c>
      <c r="E130" s="210"/>
      <c r="F130" s="212" t="str">
        <f>IF(Information!$D$8="Deutsch",B130,D130)</f>
        <v>actual</v>
      </c>
      <c r="G130" s="213"/>
    </row>
    <row r="131" spans="2:8" x14ac:dyDescent="0.15">
      <c r="B131" s="209" t="s">
        <v>94</v>
      </c>
      <c r="C131" s="210"/>
      <c r="D131" s="211" t="s">
        <v>143</v>
      </c>
      <c r="E131" s="210"/>
      <c r="F131" s="212" t="str">
        <f>IF(Information!$D$8="Deutsch",B131,D131)</f>
        <v xml:space="preserve">year: </v>
      </c>
      <c r="G131" s="213"/>
    </row>
    <row r="132" spans="2:8" x14ac:dyDescent="0.15">
      <c r="B132" s="209" t="s">
        <v>82</v>
      </c>
      <c r="C132" s="210"/>
      <c r="D132" s="211" t="s">
        <v>144</v>
      </c>
      <c r="E132" s="210"/>
      <c r="F132" s="212" t="str">
        <f>IF(Information!$D$8="Deutsch",B132,D132)</f>
        <v>Overview</v>
      </c>
      <c r="G132" s="213"/>
    </row>
    <row r="133" spans="2:8" x14ac:dyDescent="0.15">
      <c r="B133" s="209" t="s">
        <v>93</v>
      </c>
      <c r="C133" s="210"/>
      <c r="D133" s="211" t="s">
        <v>145</v>
      </c>
      <c r="E133" s="210"/>
      <c r="F133" s="212" t="str">
        <f>IF(Information!$D$8="Deutsch",B133,D133)</f>
        <v xml:space="preserve">year of birth (4-digit): </v>
      </c>
      <c r="G133" s="213"/>
    </row>
    <row r="134" spans="2:8" x14ac:dyDescent="0.15">
      <c r="B134" s="209" t="s">
        <v>96</v>
      </c>
      <c r="C134" s="210"/>
      <c r="D134" s="211" t="s">
        <v>398</v>
      </c>
      <c r="E134" s="210"/>
      <c r="F134" s="212" t="str">
        <f>IF(Information!$D$8="Deutsch",B134,D134)</f>
        <v>January</v>
      </c>
      <c r="G134" s="213"/>
    </row>
    <row r="135" spans="2:8" x14ac:dyDescent="0.15">
      <c r="B135" s="209" t="s">
        <v>146</v>
      </c>
      <c r="C135" s="210"/>
      <c r="D135" s="211" t="s">
        <v>147</v>
      </c>
      <c r="E135" s="210"/>
      <c r="F135" s="212" t="str">
        <f>IF(Information!$D$8="Deutsch",B135,D135)</f>
        <v>JAZ-compensation</v>
      </c>
      <c r="G135" s="213"/>
    </row>
    <row r="136" spans="2:8" x14ac:dyDescent="0.15">
      <c r="B136" s="209" t="s">
        <v>61</v>
      </c>
      <c r="C136" s="210"/>
      <c r="D136" s="211" t="s">
        <v>399</v>
      </c>
      <c r="E136" s="210"/>
      <c r="F136" s="212" t="str">
        <f>IF(Information!$D$8="Deutsch",B136,D136)</f>
        <v>July</v>
      </c>
      <c r="G136" s="213"/>
    </row>
    <row r="137" spans="2:8" x14ac:dyDescent="0.15">
      <c r="B137" s="209" t="s">
        <v>60</v>
      </c>
      <c r="C137" s="210"/>
      <c r="D137" s="211" t="s">
        <v>400</v>
      </c>
      <c r="E137" s="210"/>
      <c r="F137" s="212" t="str">
        <f>IF(Information!$D$8="Deutsch",B137,D137)</f>
        <v>June</v>
      </c>
      <c r="G137" s="213"/>
    </row>
    <row r="138" spans="2:8" x14ac:dyDescent="0.15">
      <c r="B138" s="209" t="s">
        <v>148</v>
      </c>
      <c r="C138" s="219"/>
      <c r="D138" s="211" t="s">
        <v>149</v>
      </c>
      <c r="E138" s="210"/>
      <c r="F138" s="212" t="str">
        <f>IF(Information!$D$8="Deutsch",B138,D138)</f>
        <v>compensation</v>
      </c>
      <c r="G138" s="213"/>
    </row>
    <row r="139" spans="2:8" x14ac:dyDescent="0.15">
      <c r="B139" s="209" t="s">
        <v>150</v>
      </c>
      <c r="C139" s="219"/>
      <c r="D139" s="211" t="s">
        <v>151</v>
      </c>
      <c r="E139" s="210"/>
      <c r="F139" s="212" t="str">
        <f>IF(Information!$D$8="Deutsch",B139,D139)</f>
        <v>come</v>
      </c>
      <c r="G139" s="213"/>
    </row>
    <row r="140" spans="2:8" x14ac:dyDescent="0.15">
      <c r="B140" s="209" t="s">
        <v>76</v>
      </c>
      <c r="C140" s="219"/>
      <c r="D140" s="211" t="s">
        <v>152</v>
      </c>
      <c r="E140" s="210"/>
      <c r="F140" s="212" t="str">
        <f>IF(Information!$D$8="Deutsch",B140,D140)</f>
        <v>comment</v>
      </c>
      <c r="G140" s="213"/>
    </row>
    <row r="141" spans="2:8" x14ac:dyDescent="0.15">
      <c r="B141" s="209" t="s">
        <v>71</v>
      </c>
      <c r="C141" s="210"/>
      <c r="D141" s="211" t="s">
        <v>153</v>
      </c>
      <c r="E141" s="210"/>
      <c r="F141" s="212" t="str">
        <f>IF(Information!$D$8="Deutsch",B141,D141)</f>
        <v>illness</v>
      </c>
      <c r="G141" s="213"/>
    </row>
    <row r="142" spans="2:8" x14ac:dyDescent="0.15">
      <c r="B142" s="209" t="s">
        <v>80</v>
      </c>
      <c r="C142" s="210"/>
      <c r="D142" s="211" t="s">
        <v>154</v>
      </c>
      <c r="E142" s="210"/>
      <c r="F142" s="212" t="str">
        <f>IF(Information!$D$8="Deutsch",B142,D142)</f>
        <v>short vacation</v>
      </c>
      <c r="G142" s="213"/>
      <c r="H142" s="332"/>
    </row>
    <row r="143" spans="2:8" x14ac:dyDescent="0.15">
      <c r="B143" s="209" t="s">
        <v>155</v>
      </c>
      <c r="C143" s="210"/>
      <c r="D143" s="211" t="s">
        <v>156</v>
      </c>
      <c r="E143" s="210"/>
      <c r="F143" s="212" t="str">
        <f>IF(Information!$D$8="Deutsch",B143,D143)</f>
        <v>comptime account</v>
      </c>
      <c r="G143" s="213"/>
    </row>
    <row r="144" spans="2:8" x14ac:dyDescent="0.15">
      <c r="B144" s="209" t="s">
        <v>157</v>
      </c>
      <c r="C144" s="210"/>
      <c r="D144" s="211" t="s">
        <v>158</v>
      </c>
      <c r="E144" s="210"/>
      <c r="F144" s="212" t="str">
        <f>IF(Information!$D$8="Deutsch",B144,D144)</f>
        <v>comptime account balance</v>
      </c>
      <c r="G144" s="213"/>
    </row>
    <row r="145" spans="2:8" x14ac:dyDescent="0.15">
      <c r="B145" s="209" t="s">
        <v>159</v>
      </c>
      <c r="C145" s="210"/>
      <c r="D145" s="211" t="s">
        <v>160</v>
      </c>
      <c r="E145" s="210"/>
      <c r="F145" s="212" t="str">
        <f>IF(Information!$D$8="Deutsch",B145,D145)</f>
        <v>hours taken</v>
      </c>
      <c r="G145" s="213"/>
    </row>
    <row r="146" spans="2:8" x14ac:dyDescent="0.15">
      <c r="B146" s="209" t="s">
        <v>59</v>
      </c>
      <c r="C146" s="210"/>
      <c r="D146" s="211" t="s">
        <v>401</v>
      </c>
      <c r="E146" s="215"/>
      <c r="F146" s="212" t="str">
        <f>IF(Information!$D$8="Deutsch",B146,D146)</f>
        <v>May</v>
      </c>
      <c r="G146" s="213"/>
    </row>
    <row r="147" spans="2:8" x14ac:dyDescent="0.15">
      <c r="B147" s="209" t="s">
        <v>57</v>
      </c>
      <c r="C147" s="210"/>
      <c r="D147" s="211" t="s">
        <v>402</v>
      </c>
      <c r="E147" s="210"/>
      <c r="F147" s="212" t="str">
        <f>IF(Information!$D$8="Deutsch",B147,D147)</f>
        <v>March</v>
      </c>
      <c r="G147" s="213"/>
    </row>
    <row r="148" spans="2:8" x14ac:dyDescent="0.15">
      <c r="B148" s="220" t="s">
        <v>15</v>
      </c>
      <c r="C148" s="210"/>
      <c r="D148" s="211" t="s">
        <v>161</v>
      </c>
      <c r="E148" s="210"/>
      <c r="F148" s="212" t="str">
        <f>IF(Information!$D$8="Deutsch",B148,D148)</f>
        <v>Wed</v>
      </c>
      <c r="G148" s="213"/>
    </row>
    <row r="149" spans="2:8" x14ac:dyDescent="0.15">
      <c r="B149" s="221" t="s">
        <v>315</v>
      </c>
      <c r="C149" s="210"/>
      <c r="D149" s="211" t="s">
        <v>316</v>
      </c>
      <c r="E149" s="210"/>
      <c r="F149" s="212" t="str">
        <f>IF(Information!$D$8="Deutsch",B149,D149)</f>
        <v>with</v>
      </c>
      <c r="G149" s="213"/>
    </row>
    <row r="150" spans="2:8" x14ac:dyDescent="0.15">
      <c r="B150" s="209" t="s">
        <v>162</v>
      </c>
      <c r="C150" s="210"/>
      <c r="D150" s="211" t="s">
        <v>163</v>
      </c>
      <c r="E150" s="210"/>
      <c r="F150" s="212" t="str">
        <f>IF(Information!$D$8="Deutsch",B150,D150)</f>
        <v>military/civil def./civil serv.</v>
      </c>
      <c r="G150" s="213"/>
    </row>
    <row r="151" spans="2:8" x14ac:dyDescent="0.15">
      <c r="B151" s="209" t="s">
        <v>53</v>
      </c>
      <c r="C151" s="210"/>
      <c r="D151" s="211" t="s">
        <v>164</v>
      </c>
      <c r="E151" s="210"/>
      <c r="F151" s="212" t="str">
        <f>IF(Information!$D$8="Deutsch",B151,D151)</f>
        <v>minutes</v>
      </c>
      <c r="G151" s="213"/>
    </row>
    <row r="152" spans="2:8" x14ac:dyDescent="0.15">
      <c r="B152" s="209" t="s">
        <v>165</v>
      </c>
      <c r="C152" s="210"/>
      <c r="D152" s="211" t="s">
        <v>166</v>
      </c>
      <c r="E152" s="210"/>
      <c r="F152" s="212" t="str">
        <f>IF(Information!$D$8="Deutsch",B152,D152)</f>
        <v>employee</v>
      </c>
      <c r="G152" s="213"/>
    </row>
    <row r="153" spans="2:8" x14ac:dyDescent="0.15">
      <c r="B153" s="220" t="s">
        <v>11</v>
      </c>
      <c r="C153" s="210"/>
      <c r="D153" s="211" t="s">
        <v>167</v>
      </c>
      <c r="E153" s="210"/>
      <c r="F153" s="212" t="str">
        <f>IF(Information!$D$8="Deutsch",B153,D153)</f>
        <v>Mon</v>
      </c>
      <c r="G153" s="213"/>
    </row>
    <row r="154" spans="2:8" x14ac:dyDescent="0.15">
      <c r="B154" s="209" t="s">
        <v>56</v>
      </c>
      <c r="C154" s="210"/>
      <c r="D154" s="211" t="s">
        <v>168</v>
      </c>
      <c r="E154" s="210"/>
      <c r="F154" s="212" t="str">
        <f>IF(Information!$D$8="Deutsch",B154,D154)</f>
        <v>month</v>
      </c>
      <c r="G154" s="213"/>
    </row>
    <row r="155" spans="2:8" x14ac:dyDescent="0.15">
      <c r="B155" s="526" t="s">
        <v>83</v>
      </c>
      <c r="C155" s="210"/>
      <c r="D155" s="211" t="s">
        <v>394</v>
      </c>
      <c r="E155" s="210"/>
      <c r="F155" s="212" t="str">
        <f>IF(Information!$D$8="Deutsch",B155,D155)</f>
        <v>monthly sheets</v>
      </c>
      <c r="G155" s="213"/>
    </row>
    <row r="156" spans="2:8" x14ac:dyDescent="0.15">
      <c r="B156" s="209" t="s">
        <v>169</v>
      </c>
      <c r="C156" s="210"/>
      <c r="D156" s="211" t="s">
        <v>170</v>
      </c>
      <c r="E156" s="210"/>
      <c r="F156" s="212" t="str">
        <f>IF(Information!$D$8="Deutsch",B156,D156)</f>
        <v>monthly due ref. to lvl of emp</v>
      </c>
      <c r="G156" s="213"/>
    </row>
    <row r="157" spans="2:8" x14ac:dyDescent="0.15">
      <c r="B157" s="209" t="s">
        <v>425</v>
      </c>
      <c r="C157" s="210"/>
      <c r="D157" s="211" t="s">
        <v>426</v>
      </c>
      <c r="E157" s="210"/>
      <c r="F157" s="212" t="str">
        <f>IF(Information!$D$8="Deutsch",B157,D157)</f>
        <v>parental leave</v>
      </c>
      <c r="G157" s="213"/>
      <c r="H157" s="332"/>
    </row>
    <row r="158" spans="2:8" x14ac:dyDescent="0.15">
      <c r="B158" s="209" t="s">
        <v>171</v>
      </c>
      <c r="C158" s="210"/>
      <c r="D158" s="211" t="s">
        <v>172</v>
      </c>
      <c r="E158" s="210"/>
      <c r="F158" s="212" t="str">
        <f>IF(Information!$D$8="Deutsch",B158,D158)</f>
        <v>afternoon</v>
      </c>
      <c r="G158" s="213"/>
      <c r="H158" s="332"/>
    </row>
    <row r="159" spans="2:8" x14ac:dyDescent="0.15">
      <c r="B159" s="209" t="s">
        <v>42</v>
      </c>
      <c r="C159" s="210"/>
      <c r="D159" s="211" t="s">
        <v>173</v>
      </c>
      <c r="E159" s="210"/>
      <c r="F159" s="212" t="str">
        <f>IF(Information!$D$8="Deutsch",B159,D159)</f>
        <v xml:space="preserve">surname: </v>
      </c>
      <c r="G159" s="213"/>
    </row>
    <row r="160" spans="2:8" x14ac:dyDescent="0.15">
      <c r="B160" s="428" t="s">
        <v>260</v>
      </c>
      <c r="C160" s="210"/>
      <c r="D160" s="211" t="s">
        <v>325</v>
      </c>
      <c r="E160" s="210"/>
      <c r="F160" s="212" t="str">
        <f>IF(Information!$D$8="Deutsch",B160,D160)</f>
        <v>NEW</v>
      </c>
      <c r="G160" s="213"/>
    </row>
    <row r="161" spans="2:8" x14ac:dyDescent="0.15">
      <c r="B161" s="209" t="s">
        <v>174</v>
      </c>
      <c r="C161" s="210"/>
      <c r="D161" s="211" t="s">
        <v>175</v>
      </c>
      <c r="E161" s="210"/>
      <c r="F161" s="212" t="str">
        <f>IF(Information!$D$8="Deutsch",B161,D161)</f>
        <v>not</v>
      </c>
      <c r="G161" s="213"/>
    </row>
    <row r="162" spans="2:8" x14ac:dyDescent="0.15">
      <c r="B162" s="209" t="s">
        <v>65</v>
      </c>
      <c r="C162" s="210"/>
      <c r="D162" s="211" t="s">
        <v>65</v>
      </c>
      <c r="E162" s="210"/>
      <c r="F162" s="212" t="str">
        <f>IF(Information!$D$8="Deutsch",B162,D162)</f>
        <v>November</v>
      </c>
      <c r="G162" s="213"/>
      <c r="H162" s="332"/>
    </row>
    <row r="163" spans="2:8" x14ac:dyDescent="0.15">
      <c r="B163" s="209" t="s">
        <v>73</v>
      </c>
      <c r="C163" s="210"/>
      <c r="D163" s="211" t="s">
        <v>176</v>
      </c>
      <c r="E163" s="210"/>
      <c r="F163" s="212" t="str">
        <f>IF(Information!$D$8="Deutsch",B163,D163)</f>
        <v>public office</v>
      </c>
      <c r="G163" s="213"/>
    </row>
    <row r="164" spans="2:8" x14ac:dyDescent="0.15">
      <c r="B164" s="209" t="s">
        <v>64</v>
      </c>
      <c r="C164" s="210"/>
      <c r="D164" s="211" t="s">
        <v>403</v>
      </c>
      <c r="E164" s="210"/>
      <c r="F164" s="212" t="str">
        <f>IF(Information!$D$8="Deutsch",B164,D164)</f>
        <v>October</v>
      </c>
      <c r="G164" s="213"/>
    </row>
    <row r="165" spans="2:8" x14ac:dyDescent="0.15">
      <c r="B165" s="218" t="s">
        <v>44</v>
      </c>
      <c r="C165" s="210"/>
      <c r="D165" s="211" t="s">
        <v>177</v>
      </c>
      <c r="E165" s="210"/>
      <c r="F165" s="212" t="str">
        <f>IF(Information!$D$8="Deutsch",B165,D165)</f>
        <v xml:space="preserve">pers.-no.: </v>
      </c>
      <c r="G165" s="215"/>
    </row>
    <row r="166" spans="2:8" x14ac:dyDescent="0.15">
      <c r="B166" s="223" t="s">
        <v>92</v>
      </c>
      <c r="C166" s="210"/>
      <c r="D166" s="211" t="s">
        <v>178</v>
      </c>
      <c r="E166" s="210"/>
      <c r="F166" s="212" t="str">
        <f>IF(Information!$D$8="Deutsch",B166,D166)</f>
        <v>personal data</v>
      </c>
      <c r="G166" s="215"/>
    </row>
    <row r="167" spans="2:8" x14ac:dyDescent="0.15">
      <c r="B167" s="223" t="s">
        <v>311</v>
      </c>
      <c r="C167" s="210"/>
      <c r="D167" s="211" t="s">
        <v>312</v>
      </c>
      <c r="E167" s="210"/>
      <c r="F167" s="212" t="str">
        <f>IF(Information!$D$8="Deutsch",B167,D167)</f>
        <v>per</v>
      </c>
      <c r="G167" s="215"/>
    </row>
    <row r="168" spans="2:8" x14ac:dyDescent="0.15">
      <c r="B168" s="223" t="s">
        <v>179</v>
      </c>
      <c r="C168" s="210"/>
      <c r="D168" s="211" t="s">
        <v>180</v>
      </c>
      <c r="E168" s="210"/>
      <c r="F168" s="212" t="str">
        <f>IF(Information!$D$8="Deutsch",B168,D168)</f>
        <v>/ half-day</v>
      </c>
      <c r="G168" s="213"/>
    </row>
    <row r="169" spans="2:8" x14ac:dyDescent="0.15">
      <c r="B169" s="209" t="s">
        <v>63</v>
      </c>
      <c r="C169" s="210"/>
      <c r="D169" s="211" t="s">
        <v>63</v>
      </c>
      <c r="E169" s="210"/>
      <c r="F169" s="212" t="str">
        <f>IF(Information!$D$8="Deutsch",B169,D169)</f>
        <v>September</v>
      </c>
      <c r="G169" s="213"/>
    </row>
    <row r="170" spans="2:8" x14ac:dyDescent="0.15">
      <c r="B170" s="220" t="s">
        <v>7</v>
      </c>
      <c r="C170" s="210"/>
      <c r="D170" s="211" t="s">
        <v>181</v>
      </c>
      <c r="E170" s="210"/>
      <c r="F170" s="212" t="str">
        <f>IF(Information!$D$8="Deutsch",B170,D170)</f>
        <v>Sat</v>
      </c>
      <c r="G170" s="213"/>
    </row>
    <row r="171" spans="2:8" x14ac:dyDescent="0.15">
      <c r="B171" s="209" t="s">
        <v>84</v>
      </c>
      <c r="C171" s="210"/>
      <c r="D171" s="211" t="s">
        <v>406</v>
      </c>
      <c r="E171" s="210"/>
      <c r="F171" s="212" t="str">
        <f>IF(Information!$D$8="Deutsch",B171,D171)</f>
        <v>balance</v>
      </c>
      <c r="G171" s="213"/>
    </row>
    <row r="172" spans="2:8" x14ac:dyDescent="0.15">
      <c r="B172" s="209" t="s">
        <v>75</v>
      </c>
      <c r="C172" s="210"/>
      <c r="D172" s="211" t="s">
        <v>182</v>
      </c>
      <c r="E172" s="210"/>
      <c r="F172" s="212" t="str">
        <f>IF(Information!$D$8="Deutsch",B172,D172)</f>
        <v>current balance</v>
      </c>
      <c r="G172" s="213"/>
    </row>
    <row r="173" spans="2:8" x14ac:dyDescent="0.15">
      <c r="B173" s="220" t="s">
        <v>9</v>
      </c>
      <c r="C173" s="210"/>
      <c r="D173" s="211" t="s">
        <v>183</v>
      </c>
      <c r="E173" s="210"/>
      <c r="F173" s="212" t="str">
        <f>IF(Information!$D$8="Deutsch",B173,D173)</f>
        <v>Sun</v>
      </c>
      <c r="G173" s="213"/>
    </row>
    <row r="174" spans="2:8" x14ac:dyDescent="0.15">
      <c r="B174" s="209" t="s">
        <v>184</v>
      </c>
      <c r="C174" s="210"/>
      <c r="D174" s="211" t="s">
        <v>185</v>
      </c>
      <c r="E174" s="210"/>
      <c r="F174" s="212" t="str">
        <f>IF(Information!$D$8="Deutsch",B174,D174)</f>
        <v>balance due</v>
      </c>
      <c r="G174" s="213"/>
    </row>
    <row r="175" spans="2:8" x14ac:dyDescent="0.15">
      <c r="B175" s="209" t="s">
        <v>186</v>
      </c>
      <c r="C175" s="210"/>
      <c r="D175" s="211" t="s">
        <v>187</v>
      </c>
      <c r="E175" s="210"/>
      <c r="F175" s="212" t="str">
        <f>IF(Information!$D$8="Deutsch",B175,D175)</f>
        <v>feeding 01.01</v>
      </c>
      <c r="G175" s="213"/>
    </row>
    <row r="176" spans="2:8" x14ac:dyDescent="0.15">
      <c r="B176" s="209" t="s">
        <v>54</v>
      </c>
      <c r="C176" s="210"/>
      <c r="D176" s="211" t="s">
        <v>188</v>
      </c>
      <c r="E176" s="210"/>
      <c r="F176" s="212" t="str">
        <f>IF(Information!$D$8="Deutsch",B176,D176)</f>
        <v>hours</v>
      </c>
      <c r="G176" s="213"/>
    </row>
    <row r="177" spans="2:8" x14ac:dyDescent="0.15">
      <c r="B177" s="209" t="s">
        <v>189</v>
      </c>
      <c r="C177" s="210"/>
      <c r="D177" s="211" t="s">
        <v>190</v>
      </c>
      <c r="E177" s="210"/>
      <c r="F177" s="212" t="str">
        <f>IF(Information!$D$8="Deutsch",B177,D177)</f>
        <v>current sum</v>
      </c>
      <c r="G177" s="213"/>
    </row>
    <row r="178" spans="2:8" x14ac:dyDescent="0.15">
      <c r="B178" s="209" t="s">
        <v>55</v>
      </c>
      <c r="C178" s="210"/>
      <c r="D178" s="211" t="s">
        <v>191</v>
      </c>
      <c r="E178" s="210"/>
      <c r="F178" s="212" t="str">
        <f>IF(Information!$D$8="Deutsch",B178,D178)</f>
        <v>days</v>
      </c>
      <c r="G178" s="213"/>
    </row>
    <row r="179" spans="2:8" x14ac:dyDescent="0.15">
      <c r="B179" s="418" t="s">
        <v>78</v>
      </c>
      <c r="C179" s="210"/>
      <c r="D179" s="211" t="s">
        <v>300</v>
      </c>
      <c r="E179" s="210"/>
      <c r="F179" s="212" t="str">
        <f>IF(Information!$D$8="Deutsch",B179,D179)</f>
        <v>daily work-time</v>
      </c>
      <c r="G179" s="213"/>
    </row>
    <row r="180" spans="2:8" x14ac:dyDescent="0.15">
      <c r="B180" s="209" t="s">
        <v>45</v>
      </c>
      <c r="C180" s="210"/>
      <c r="D180" s="211" t="s">
        <v>192</v>
      </c>
      <c r="E180" s="210"/>
      <c r="F180" s="212" t="str">
        <f>IF(Information!$D$8="Deutsch",B180,D180)</f>
        <v>total</v>
      </c>
      <c r="G180" s="213"/>
    </row>
    <row r="181" spans="2:8" x14ac:dyDescent="0.15">
      <c r="B181" s="209" t="s">
        <v>393</v>
      </c>
      <c r="C181" s="224"/>
      <c r="D181" s="211" t="s">
        <v>342</v>
      </c>
      <c r="E181" s="210"/>
      <c r="F181" s="212" t="str">
        <f>IF(Information!$D$8="Deutsch",B181,D181)</f>
        <v>current holiday balance</v>
      </c>
      <c r="G181" s="213"/>
    </row>
    <row r="182" spans="2:8" x14ac:dyDescent="0.15">
      <c r="B182" s="209" t="s">
        <v>193</v>
      </c>
      <c r="C182" s="224"/>
      <c r="D182" s="211" t="s">
        <v>358</v>
      </c>
      <c r="E182" s="210"/>
      <c r="F182" s="212" t="str">
        <f>IF(Information!$D$8="Deutsch",B182,D182)</f>
        <v>loyalty premium</v>
      </c>
      <c r="G182" s="213"/>
    </row>
    <row r="183" spans="2:8" x14ac:dyDescent="0.15">
      <c r="B183" s="492" t="s">
        <v>337</v>
      </c>
      <c r="C183" s="224"/>
      <c r="D183" s="211" t="s">
        <v>338</v>
      </c>
      <c r="E183" s="210"/>
      <c r="F183" s="212" t="str">
        <f>IF(Information!$D$8="Deutsch",B183,D183)</f>
        <v>hours to transfer to the next year</v>
      </c>
      <c r="G183" s="213"/>
      <c r="H183" s="332"/>
    </row>
    <row r="184" spans="2:8" x14ac:dyDescent="0.15">
      <c r="B184" s="209" t="s">
        <v>194</v>
      </c>
      <c r="C184" s="224"/>
      <c r="D184" s="211" t="s">
        <v>195</v>
      </c>
      <c r="E184" s="210"/>
      <c r="F184" s="212" t="str">
        <f>IF(Information!$D$8="Deutsch",B184,D184)</f>
        <v>hours left from last year</v>
      </c>
      <c r="G184" s="213"/>
      <c r="H184" s="332"/>
    </row>
    <row r="185" spans="2:8" x14ac:dyDescent="0.15">
      <c r="B185" s="209" t="s">
        <v>196</v>
      </c>
      <c r="C185" s="224"/>
      <c r="D185" s="211" t="s">
        <v>197</v>
      </c>
      <c r="E185" s="210"/>
      <c r="F185" s="212" t="str">
        <f>IF(Information!$D$8="Deutsch",B185,D185)</f>
        <v>hrs f. last year</v>
      </c>
      <c r="G185" s="213"/>
      <c r="H185" s="332"/>
    </row>
    <row r="186" spans="2:8" x14ac:dyDescent="0.15">
      <c r="B186" s="418" t="s">
        <v>295</v>
      </c>
      <c r="C186" s="224"/>
      <c r="D186" s="211" t="s">
        <v>297</v>
      </c>
      <c r="E186" s="210"/>
      <c r="F186" s="212" t="str">
        <f>IF(Information!$D$8="Deutsch",B186,D186)</f>
        <v>translation</v>
      </c>
      <c r="G186" s="213"/>
    </row>
    <row r="187" spans="2:8" x14ac:dyDescent="0.15">
      <c r="B187" s="209" t="s">
        <v>74</v>
      </c>
      <c r="C187" s="224"/>
      <c r="D187" s="211" t="s">
        <v>198</v>
      </c>
      <c r="E187" s="210"/>
      <c r="F187" s="212" t="str">
        <f>IF(Information!$D$8="Deutsch",B187,D187)</f>
        <v>calculationtool</v>
      </c>
      <c r="G187" s="213"/>
    </row>
    <row r="188" spans="2:8" x14ac:dyDescent="0.15">
      <c r="B188" s="209" t="s">
        <v>72</v>
      </c>
      <c r="C188" s="224"/>
      <c r="D188" s="211" t="s">
        <v>199</v>
      </c>
      <c r="E188" s="210"/>
      <c r="F188" s="212" t="str">
        <f>IF(Information!$D$8="Deutsch",B188,D188)</f>
        <v>mandatory!</v>
      </c>
      <c r="G188" s="213"/>
    </row>
    <row r="189" spans="2:8" x14ac:dyDescent="0.15">
      <c r="B189" s="209" t="s">
        <v>200</v>
      </c>
      <c r="C189" s="224"/>
      <c r="D189" s="211" t="s">
        <v>201</v>
      </c>
      <c r="E189" s="210"/>
      <c r="F189" s="212" t="str">
        <f>IF(Information!$D$8="Deutsch",B189,D189)</f>
        <v>unpaid</v>
      </c>
      <c r="G189" s="213"/>
    </row>
    <row r="190" spans="2:8" x14ac:dyDescent="0.15">
      <c r="B190" s="209" t="s">
        <v>85</v>
      </c>
      <c r="C190" s="224"/>
      <c r="D190" s="211" t="s">
        <v>202</v>
      </c>
      <c r="E190" s="210"/>
      <c r="F190" s="212" t="str">
        <f>IF(Information!$D$8="Deutsch",B190,D190)</f>
        <v>accident</v>
      </c>
      <c r="G190" s="213"/>
    </row>
    <row r="191" spans="2:8" x14ac:dyDescent="0.15">
      <c r="B191" s="209" t="s">
        <v>203</v>
      </c>
      <c r="C191" s="219"/>
      <c r="D191" s="211" t="s">
        <v>204</v>
      </c>
      <c r="E191" s="210"/>
      <c r="F191" s="212" t="str">
        <f>IF(Information!$D$8="Deutsch",B191,D191)</f>
        <v>signature</v>
      </c>
      <c r="G191" s="213"/>
    </row>
    <row r="192" spans="2:8" x14ac:dyDescent="0.15">
      <c r="B192" s="209" t="s">
        <v>205</v>
      </c>
      <c r="C192" s="219"/>
      <c r="D192" s="211" t="s">
        <v>206</v>
      </c>
      <c r="E192" s="210"/>
      <c r="F192" s="212" t="str">
        <f>IF(Information!$D$8="Deutsch",B192,D192)</f>
        <v>leave</v>
      </c>
      <c r="G192" s="213"/>
    </row>
    <row r="193" spans="2:30" x14ac:dyDescent="0.15">
      <c r="B193" s="209" t="s">
        <v>207</v>
      </c>
      <c r="C193" s="219"/>
      <c r="D193" s="225" t="s">
        <v>208</v>
      </c>
      <c r="E193" s="210"/>
      <c r="F193" s="212" t="str">
        <f>IF(Information!$D$8="Deutsch",B193,D193)</f>
        <v>manager</v>
      </c>
      <c r="G193" s="213"/>
      <c r="H193" s="332"/>
    </row>
    <row r="194" spans="2:30" x14ac:dyDescent="0.15">
      <c r="B194" s="226" t="s">
        <v>209</v>
      </c>
      <c r="C194" s="210"/>
      <c r="D194" s="227" t="s">
        <v>404</v>
      </c>
      <c r="E194" s="210"/>
      <c r="F194" s="212" t="str">
        <f>IF(Information!$D$8="Deutsch",B194,D194)</f>
        <v>morning</v>
      </c>
      <c r="G194" s="213"/>
    </row>
    <row r="195" spans="2:30" x14ac:dyDescent="0.15">
      <c r="B195" s="229" t="s">
        <v>52</v>
      </c>
      <c r="C195" s="228"/>
      <c r="D195" s="230" t="s">
        <v>210</v>
      </c>
      <c r="E195" s="228"/>
      <c r="F195" s="212" t="str">
        <f>IF(Information!$D$8="Deutsch",B195,D195)</f>
        <v>last mnth(s)</v>
      </c>
      <c r="G195" s="213"/>
    </row>
    <row r="196" spans="2:30" x14ac:dyDescent="0.15">
      <c r="B196" s="231" t="s">
        <v>41</v>
      </c>
      <c r="C196" s="210"/>
      <c r="D196" s="211" t="s">
        <v>211</v>
      </c>
      <c r="E196" s="210"/>
      <c r="F196" s="212" t="str">
        <f>IF(Information!$D$8="Deutsch",B196,D196)</f>
        <v xml:space="preserve">first name: </v>
      </c>
      <c r="G196" s="213"/>
    </row>
    <row r="197" spans="2:30" x14ac:dyDescent="0.15">
      <c r="B197" s="231" t="s">
        <v>317</v>
      </c>
      <c r="C197" s="210"/>
      <c r="D197" s="211" t="s">
        <v>318</v>
      </c>
      <c r="E197" s="210"/>
      <c r="F197" s="212" t="str">
        <f>IF(Information!$D$8="Deutsch",B197,D197)</f>
        <v>change</v>
      </c>
      <c r="G197" s="213"/>
      <c r="H197" s="332"/>
    </row>
    <row r="198" spans="2:30" x14ac:dyDescent="0.15">
      <c r="B198" s="209" t="s">
        <v>81</v>
      </c>
      <c r="C198" s="210"/>
      <c r="D198" s="211" t="s">
        <v>212</v>
      </c>
      <c r="E198" s="222"/>
      <c r="F198" s="212" t="str">
        <f>IF(Information!$D$8="Deutsch",B198,D198)</f>
        <v>training / education</v>
      </c>
      <c r="G198" s="233"/>
      <c r="H198" s="332"/>
    </row>
    <row r="199" spans="2:30" x14ac:dyDescent="0.15">
      <c r="B199" s="229" t="s">
        <v>213</v>
      </c>
      <c r="C199" s="232"/>
      <c r="D199" s="211" t="s">
        <v>212</v>
      </c>
      <c r="E199" s="232"/>
      <c r="F199" s="212" t="str">
        <f>IF(Information!$D$8="Deutsch",B199,D199)</f>
        <v>training / education</v>
      </c>
      <c r="G199" s="233"/>
      <c r="H199" s="134"/>
    </row>
    <row r="200" spans="2:30" x14ac:dyDescent="0.15">
      <c r="B200" s="229" t="s">
        <v>309</v>
      </c>
      <c r="C200" s="232"/>
      <c r="D200" s="211" t="s">
        <v>310</v>
      </c>
      <c r="E200" s="232"/>
      <c r="F200" s="212" t="str">
        <f>IF(Information!$D$8="Deutsch",B200,D200)</f>
        <v>week</v>
      </c>
      <c r="G200" s="235"/>
    </row>
    <row r="201" spans="2:30" x14ac:dyDescent="0.15">
      <c r="B201" s="209" t="s">
        <v>86</v>
      </c>
      <c r="C201" s="234"/>
      <c r="D201" s="211" t="s">
        <v>214</v>
      </c>
      <c r="E201" s="210"/>
      <c r="F201" s="212" t="str">
        <f>IF(Information!$D$8="Deutsch",B201,D201)</f>
        <v>key figures</v>
      </c>
      <c r="G201" s="235"/>
    </row>
    <row r="202" spans="2:30" x14ac:dyDescent="0.15">
      <c r="B202" s="418" t="s">
        <v>303</v>
      </c>
      <c r="C202" s="234"/>
      <c r="D202" s="211" t="s">
        <v>304</v>
      </c>
      <c r="E202" s="210"/>
      <c r="F202" s="212" t="str">
        <f>IF(Information!$D$8="Deutsch",B202,D202)</f>
        <v>of effective</v>
      </c>
      <c r="G202" s="235"/>
    </row>
    <row r="203" spans="2:30" x14ac:dyDescent="0.15">
      <c r="B203" s="397"/>
      <c r="C203" s="225"/>
      <c r="D203" s="225"/>
      <c r="E203" s="225"/>
      <c r="F203" s="398"/>
      <c r="G203" s="567"/>
      <c r="H203" s="567"/>
      <c r="I203" s="567"/>
      <c r="J203" s="567"/>
      <c r="K203" s="567"/>
      <c r="L203" s="567"/>
      <c r="M203" s="567"/>
      <c r="N203" s="399"/>
      <c r="T203" s="267"/>
      <c r="U203" s="267"/>
      <c r="V203" s="267"/>
      <c r="W203" s="267"/>
      <c r="X203" s="267"/>
      <c r="Y203" s="267"/>
      <c r="Z203" s="267"/>
      <c r="AA203" s="267"/>
      <c r="AB203" s="267"/>
      <c r="AC203" s="267"/>
      <c r="AD203" s="267"/>
    </row>
    <row r="204" spans="2:30" x14ac:dyDescent="0.15">
      <c r="B204" s="734" t="s">
        <v>276</v>
      </c>
      <c r="C204" s="735"/>
      <c r="D204" s="735"/>
      <c r="E204" s="735"/>
      <c r="F204" s="735"/>
      <c r="G204" s="736"/>
      <c r="H204" s="736"/>
      <c r="I204" s="737"/>
      <c r="J204" s="732" t="s">
        <v>100</v>
      </c>
      <c r="K204" s="732"/>
      <c r="L204" s="732"/>
      <c r="M204" s="732"/>
      <c r="N204" s="399"/>
      <c r="T204" s="267"/>
      <c r="U204" s="267"/>
      <c r="V204" s="267"/>
      <c r="W204" s="267"/>
      <c r="X204" s="267"/>
      <c r="Y204" s="267"/>
      <c r="Z204" s="267"/>
      <c r="AA204" s="267"/>
      <c r="AB204" s="267"/>
      <c r="AC204" s="267"/>
      <c r="AD204" s="267"/>
    </row>
    <row r="205" spans="2:30" x14ac:dyDescent="0.15">
      <c r="B205" s="731" t="s">
        <v>98</v>
      </c>
      <c r="C205" s="731"/>
      <c r="D205" s="731"/>
      <c r="E205" s="731"/>
      <c r="F205" s="738" t="s">
        <v>99</v>
      </c>
      <c r="G205" s="739"/>
      <c r="H205" s="739"/>
      <c r="I205" s="740"/>
      <c r="M205" s="222"/>
      <c r="N205" s="399"/>
      <c r="T205" s="267"/>
      <c r="U205" s="267"/>
      <c r="V205" s="267"/>
      <c r="W205" s="267"/>
      <c r="X205" s="267"/>
      <c r="Y205" s="267"/>
      <c r="Z205" s="267"/>
      <c r="AA205" s="267"/>
      <c r="AB205" s="267"/>
      <c r="AC205" s="267"/>
      <c r="AD205" s="267"/>
    </row>
    <row r="206" spans="2:30" x14ac:dyDescent="0.15">
      <c r="B206" s="726" t="s">
        <v>431</v>
      </c>
      <c r="C206" s="726"/>
      <c r="D206" s="726"/>
      <c r="E206" s="697"/>
      <c r="F206" s="558" t="s">
        <v>432</v>
      </c>
      <c r="G206" s="528"/>
      <c r="H206" s="528"/>
      <c r="I206" s="557"/>
      <c r="J206" s="694" t="str">
        <f>IF(Information!$D$8="Deutsch",B206,F206)</f>
        <v>Split among several contracts (hh:mm)</v>
      </c>
      <c r="K206" s="694"/>
      <c r="L206" s="694"/>
      <c r="M206" s="694"/>
      <c r="N206" s="402"/>
      <c r="T206" s="267"/>
      <c r="U206" s="267"/>
      <c r="V206" s="267"/>
      <c r="W206" s="267"/>
      <c r="X206" s="267"/>
      <c r="Y206" s="267"/>
      <c r="Z206" s="267"/>
      <c r="AA206" s="267"/>
      <c r="AB206" s="267"/>
      <c r="AC206" s="267"/>
      <c r="AD206" s="267"/>
    </row>
    <row r="207" spans="2:30" x14ac:dyDescent="0.15">
      <c r="B207" s="400" t="s">
        <v>277</v>
      </c>
      <c r="C207" s="401"/>
      <c r="D207" s="401"/>
      <c r="E207" s="552"/>
      <c r="F207" s="556" t="s">
        <v>278</v>
      </c>
      <c r="G207" s="528"/>
      <c r="H207" s="528"/>
      <c r="I207" s="557"/>
      <c r="J207" s="694" t="str">
        <f>IF(Information!$D$8="Deutsch",B207,F207)</f>
        <v>for an employment-beginn in the middle of the month</v>
      </c>
      <c r="K207" s="694"/>
      <c r="L207" s="694"/>
      <c r="M207" s="694"/>
      <c r="N207" s="399"/>
      <c r="T207" s="267"/>
      <c r="U207" s="267"/>
      <c r="V207" s="267"/>
      <c r="W207" s="267"/>
      <c r="X207" s="267"/>
      <c r="Y207" s="267"/>
      <c r="Z207" s="267"/>
      <c r="AA207" s="267"/>
      <c r="AB207" s="267"/>
      <c r="AC207" s="267"/>
      <c r="AD207" s="267"/>
    </row>
    <row r="208" spans="2:30" x14ac:dyDescent="0.15">
      <c r="B208" s="695" t="s">
        <v>279</v>
      </c>
      <c r="C208" s="696"/>
      <c r="D208" s="696"/>
      <c r="E208" s="696"/>
      <c r="F208" s="556" t="s">
        <v>280</v>
      </c>
      <c r="G208" s="528"/>
      <c r="H208" s="528"/>
      <c r="I208" s="557"/>
      <c r="J208" s="694" t="str">
        <f>IF(Information!$D$8="Deutsch",B208,F208)</f>
        <v>for a part time job with regulated working time</v>
      </c>
      <c r="K208" s="694"/>
      <c r="L208" s="694"/>
      <c r="M208" s="694"/>
      <c r="N208" s="399"/>
      <c r="T208" s="267"/>
      <c r="U208" s="267"/>
      <c r="V208" s="267"/>
      <c r="W208" s="267"/>
      <c r="X208" s="267"/>
      <c r="Y208" s="267"/>
      <c r="Z208" s="267"/>
      <c r="AA208" s="267"/>
      <c r="AB208" s="267"/>
      <c r="AC208" s="267"/>
      <c r="AD208" s="267"/>
    </row>
    <row r="209" spans="1:30" x14ac:dyDescent="0.15">
      <c r="B209" s="695" t="s">
        <v>281</v>
      </c>
      <c r="C209" s="696"/>
      <c r="D209" s="696"/>
      <c r="E209" s="696"/>
      <c r="F209" s="556" t="s">
        <v>282</v>
      </c>
      <c r="G209" s="528"/>
      <c r="H209" s="528"/>
      <c r="I209" s="557"/>
      <c r="J209" s="694" t="str">
        <f>IF(Information!$D$8="Deutsch",B209,F209)</f>
        <v>for a variable part time job</v>
      </c>
      <c r="K209" s="694"/>
      <c r="L209" s="694"/>
      <c r="M209" s="694"/>
      <c r="N209" s="402"/>
      <c r="T209" s="267"/>
      <c r="U209" s="267"/>
      <c r="V209" s="267"/>
      <c r="W209" s="267"/>
      <c r="X209" s="267"/>
      <c r="Y209" s="267"/>
      <c r="Z209" s="267"/>
      <c r="AA209" s="267"/>
      <c r="AB209" s="267"/>
      <c r="AC209" s="267"/>
      <c r="AD209" s="267"/>
    </row>
    <row r="210" spans="1:30" x14ac:dyDescent="0.15">
      <c r="B210" s="400" t="s">
        <v>283</v>
      </c>
      <c r="C210" s="403"/>
      <c r="D210" s="403"/>
      <c r="E210" s="555"/>
      <c r="F210" s="556" t="s">
        <v>284</v>
      </c>
      <c r="G210" s="566"/>
      <c r="H210" s="566"/>
      <c r="I210" s="566"/>
      <c r="J210" s="694" t="str">
        <f>IF(Information!$D$8="Deutsch",B210,F210)</f>
        <v>for an employment-change in the middle of the month</v>
      </c>
      <c r="K210" s="694"/>
      <c r="L210" s="694"/>
      <c r="M210" s="694"/>
      <c r="N210" s="399"/>
      <c r="T210" s="267"/>
      <c r="U210" s="267"/>
      <c r="V210" s="267"/>
      <c r="W210" s="267"/>
      <c r="X210" s="267"/>
      <c r="Y210" s="267"/>
      <c r="Z210" s="267"/>
      <c r="AA210" s="267"/>
      <c r="AB210" s="267"/>
      <c r="AC210" s="267"/>
      <c r="AD210" s="267"/>
    </row>
    <row r="211" spans="1:30" s="134" customFormat="1" ht="12.75" customHeight="1" x14ac:dyDescent="0.15">
      <c r="A211"/>
      <c r="B211" s="733" t="s">
        <v>117</v>
      </c>
      <c r="C211" s="733"/>
      <c r="D211" s="733"/>
      <c r="E211" s="729"/>
      <c r="F211" s="566" t="s">
        <v>118</v>
      </c>
      <c r="G211" s="407"/>
      <c r="H211" s="408"/>
      <c r="I211" s="409"/>
      <c r="J211" s="694" t="str">
        <f>IF(Information!$D$8="Deutsch",B211,F211)</f>
        <v>(please enter in hours and minutes)</v>
      </c>
      <c r="K211" s="694"/>
      <c r="L211" s="694"/>
      <c r="M211" s="694"/>
      <c r="N211" s="399"/>
      <c r="T211" s="333"/>
      <c r="U211" s="333"/>
      <c r="V211" s="333"/>
      <c r="W211" s="333"/>
      <c r="X211" s="333"/>
      <c r="Y211" s="333"/>
      <c r="Z211" s="333"/>
      <c r="AA211" s="333"/>
      <c r="AB211" s="333"/>
      <c r="AC211" s="333"/>
      <c r="AD211" s="333"/>
    </row>
    <row r="212" spans="1:30" s="134" customFormat="1" x14ac:dyDescent="0.15">
      <c r="B212" s="404" t="s">
        <v>433</v>
      </c>
      <c r="C212" s="405"/>
      <c r="D212" s="405"/>
      <c r="E212" s="405"/>
      <c r="F212" s="406" t="s">
        <v>434</v>
      </c>
      <c r="G212" s="415"/>
      <c r="H212" s="416"/>
      <c r="I212" s="417"/>
      <c r="J212" s="694" t="str">
        <f>IF(Information!$D$8="Deutsch",B212,F212)</f>
        <v>Here you can see all your absences as of 31.12. which are relevant for the Time Management Tool.</v>
      </c>
      <c r="K212" s="694"/>
      <c r="L212" s="694"/>
      <c r="M212" s="694"/>
      <c r="N212" s="399"/>
      <c r="T212" s="333"/>
      <c r="U212" s="333"/>
      <c r="V212" s="333"/>
      <c r="W212" s="333"/>
      <c r="X212" s="333"/>
      <c r="Y212" s="333"/>
      <c r="Z212" s="333"/>
      <c r="AA212" s="333"/>
      <c r="AB212" s="333"/>
      <c r="AC212" s="333"/>
      <c r="AD212" s="333"/>
    </row>
    <row r="213" spans="1:30" s="134" customFormat="1" x14ac:dyDescent="0.15">
      <c r="B213" s="414" t="s">
        <v>285</v>
      </c>
      <c r="C213" s="234"/>
      <c r="D213" s="234"/>
      <c r="E213" s="234"/>
      <c r="F213" s="212" t="s">
        <v>286</v>
      </c>
      <c r="G213" s="415"/>
      <c r="H213" s="416"/>
      <c r="I213" s="417"/>
      <c r="J213" s="694" t="str">
        <f>IF(Information!$D$8="Deutsch",B213,F213)</f>
        <v xml:space="preserve"> </v>
      </c>
      <c r="K213" s="694"/>
      <c r="L213" s="694"/>
      <c r="M213" s="694"/>
      <c r="N213" s="399"/>
      <c r="T213" s="333"/>
      <c r="U213" s="333"/>
      <c r="V213" s="333"/>
      <c r="W213" s="333"/>
      <c r="X213" s="333"/>
      <c r="Y213" s="333"/>
      <c r="Z213" s="333"/>
      <c r="AA213" s="333"/>
      <c r="AB213" s="333"/>
      <c r="AC213" s="333"/>
      <c r="AD213" s="333"/>
    </row>
    <row r="214" spans="1:30" s="134" customFormat="1" x14ac:dyDescent="0.15">
      <c r="B214" s="414" t="s">
        <v>330</v>
      </c>
      <c r="C214" s="234"/>
      <c r="D214" s="234"/>
      <c r="E214" s="234"/>
      <c r="F214" s="212" t="s">
        <v>343</v>
      </c>
      <c r="G214" s="498"/>
      <c r="H214" s="499"/>
      <c r="I214" s="501"/>
      <c r="J214" s="694" t="str">
        <f>IF(Information!$D$8="Deutsch",B214,F214)</f>
        <v>(Calculated automatically)</v>
      </c>
      <c r="K214" s="694"/>
      <c r="L214" s="694"/>
      <c r="M214" s="694"/>
      <c r="N214" s="399"/>
      <c r="T214" s="333"/>
      <c r="U214" s="333"/>
      <c r="V214" s="333"/>
      <c r="W214" s="333"/>
      <c r="X214" s="333"/>
      <c r="Y214" s="333"/>
      <c r="Z214" s="333"/>
      <c r="AA214" s="333"/>
      <c r="AB214" s="333"/>
      <c r="AC214" s="333"/>
      <c r="AD214" s="333"/>
    </row>
    <row r="215" spans="1:30" s="134" customFormat="1" x14ac:dyDescent="0.15">
      <c r="B215" s="497" t="s">
        <v>370</v>
      </c>
      <c r="C215" s="232"/>
      <c r="D215" s="232"/>
      <c r="E215" s="232"/>
      <c r="F215" s="500" t="s">
        <v>371</v>
      </c>
      <c r="G215" s="415"/>
      <c r="H215" s="416"/>
      <c r="I215" s="417"/>
      <c r="J215" s="694" t="str">
        <f>IF(Information!$D$8="Deutsch",B215,F215)</f>
        <v>employment details</v>
      </c>
      <c r="K215" s="694"/>
      <c r="L215" s="694"/>
      <c r="M215" s="694"/>
      <c r="N215" s="399"/>
      <c r="T215" s="333"/>
      <c r="U215" s="333"/>
      <c r="V215" s="333"/>
      <c r="W215" s="333"/>
      <c r="X215" s="333"/>
      <c r="Y215" s="333"/>
      <c r="Z215" s="333"/>
      <c r="AA215" s="333"/>
      <c r="AB215" s="333"/>
      <c r="AC215" s="333"/>
      <c r="AD215" s="333"/>
    </row>
    <row r="216" spans="1:30" s="134" customFormat="1" x14ac:dyDescent="0.15">
      <c r="B216" s="414" t="s">
        <v>372</v>
      </c>
      <c r="C216" s="234"/>
      <c r="D216" s="234"/>
      <c r="E216" s="234"/>
      <c r="F216" s="212" t="s">
        <v>373</v>
      </c>
      <c r="G216" s="415"/>
      <c r="H216" s="416"/>
      <c r="I216" s="417"/>
      <c r="J216" s="694" t="str">
        <f>IF(Information!$D$8="Deutsch",B216,F216)</f>
        <v>Sum of all part-employments are not equal the average level of employment!</v>
      </c>
      <c r="K216" s="694"/>
      <c r="L216" s="694"/>
      <c r="M216" s="694"/>
      <c r="N216" s="399"/>
      <c r="T216" s="333"/>
      <c r="U216" s="333"/>
      <c r="V216" s="333"/>
      <c r="W216" s="333"/>
      <c r="X216" s="333"/>
      <c r="Y216" s="333"/>
      <c r="Z216" s="333"/>
      <c r="AA216" s="333"/>
      <c r="AB216" s="333"/>
      <c r="AC216" s="333"/>
      <c r="AD216" s="333"/>
    </row>
    <row r="217" spans="1:30" s="134" customFormat="1" x14ac:dyDescent="0.15">
      <c r="B217" s="521" t="s">
        <v>418</v>
      </c>
      <c r="C217" s="225"/>
      <c r="D217" s="225"/>
      <c r="E217" s="225"/>
      <c r="F217" s="212" t="s">
        <v>389</v>
      </c>
      <c r="G217" s="415"/>
      <c r="H217" s="416"/>
      <c r="I217" s="417"/>
      <c r="J217" s="694" t="str">
        <f>IF(Information!$D$8="Deutsch",B217,F217)</f>
        <v>Required minimum holiday deduction</v>
      </c>
      <c r="K217" s="694"/>
      <c r="L217" s="694"/>
      <c r="M217" s="694"/>
      <c r="N217" s="399"/>
      <c r="T217" s="333"/>
      <c r="U217" s="333"/>
      <c r="V217" s="333"/>
      <c r="W217" s="333"/>
      <c r="X217" s="333"/>
      <c r="Y217" s="333"/>
      <c r="Z217" s="333"/>
      <c r="AA217" s="333"/>
      <c r="AB217" s="333"/>
      <c r="AC217" s="333"/>
      <c r="AD217" s="333"/>
    </row>
    <row r="218" spans="1:30" s="134" customFormat="1" x14ac:dyDescent="0.15">
      <c r="B218" s="512" t="s">
        <v>379</v>
      </c>
      <c r="C218" s="234"/>
      <c r="D218" s="234"/>
      <c r="E218" s="210"/>
      <c r="F218" s="519" t="s">
        <v>388</v>
      </c>
      <c r="G218" s="415"/>
      <c r="H218" s="416"/>
      <c r="I218" s="417"/>
      <c r="J218" s="694" t="str">
        <f>IF(Information!$D$8="Deutsch",B218,F218)</f>
        <v>Holiday: Min. deduction not (yet) O.K.</v>
      </c>
      <c r="K218" s="694"/>
      <c r="L218" s="694"/>
      <c r="M218" s="694"/>
      <c r="N218" s="399"/>
      <c r="T218" s="333"/>
      <c r="U218" s="333"/>
      <c r="V218" s="333"/>
      <c r="W218" s="333"/>
      <c r="X218" s="333"/>
      <c r="Y218" s="333"/>
      <c r="Z218" s="333"/>
      <c r="AA218" s="333"/>
      <c r="AB218" s="333"/>
      <c r="AC218" s="333"/>
      <c r="AD218" s="333"/>
    </row>
    <row r="219" spans="1:30" s="134" customFormat="1" x14ac:dyDescent="0.15">
      <c r="B219" s="414" t="s">
        <v>387</v>
      </c>
      <c r="C219" s="234"/>
      <c r="D219" s="234"/>
      <c r="E219" s="234"/>
      <c r="F219" s="520" t="s">
        <v>386</v>
      </c>
      <c r="G219" s="415"/>
      <c r="H219" s="416"/>
      <c r="I219" s="417"/>
      <c r="J219" s="694" t="str">
        <f>IF(Information!$D$8="Deutsch",B219,F219)</f>
        <v>Holidays taken</v>
      </c>
      <c r="K219" s="694"/>
      <c r="L219" s="694"/>
      <c r="M219" s="694"/>
      <c r="N219" s="399"/>
      <c r="T219" s="333"/>
      <c r="U219" s="333"/>
      <c r="V219" s="333"/>
      <c r="W219" s="333"/>
      <c r="X219" s="333"/>
      <c r="Y219" s="333"/>
      <c r="Z219" s="333"/>
      <c r="AA219" s="333"/>
      <c r="AB219" s="333"/>
      <c r="AC219" s="333"/>
      <c r="AD219" s="333"/>
    </row>
    <row r="220" spans="1:30" s="134" customFormat="1" x14ac:dyDescent="0.15">
      <c r="B220" s="414" t="s">
        <v>419</v>
      </c>
      <c r="C220" s="234"/>
      <c r="D220" s="234"/>
      <c r="E220" s="234"/>
      <c r="F220" s="519" t="s">
        <v>385</v>
      </c>
      <c r="G220" s="415"/>
      <c r="H220" s="416"/>
      <c r="I220" s="417"/>
      <c r="J220" s="694" t="str">
        <f>IF(Information!$D$8="Deutsch",B220,F220)</f>
        <v>Min. prescribed deduction</v>
      </c>
      <c r="K220" s="694"/>
      <c r="L220" s="694"/>
      <c r="M220" s="694"/>
      <c r="N220" s="399"/>
      <c r="T220" s="333"/>
      <c r="U220" s="333"/>
      <c r="V220" s="333"/>
      <c r="W220" s="333"/>
      <c r="X220" s="333"/>
      <c r="Y220" s="333"/>
      <c r="Z220" s="333"/>
      <c r="AA220" s="333"/>
      <c r="AB220" s="333"/>
      <c r="AC220" s="333"/>
      <c r="AD220" s="333"/>
    </row>
    <row r="221" spans="1:30" x14ac:dyDescent="0.15">
      <c r="A221" s="134"/>
      <c r="B221" s="512" t="s">
        <v>331</v>
      </c>
      <c r="C221" s="234"/>
      <c r="D221" s="234"/>
      <c r="E221" s="234"/>
      <c r="F221" s="212" t="s">
        <v>391</v>
      </c>
      <c r="G221" s="271"/>
      <c r="H221" s="271"/>
      <c r="I221" s="222"/>
      <c r="J221" s="694" t="str">
        <f>IF(Information!$D$8="Deutsch",B221,F221)</f>
        <v>Where you find the information in the absence record 2012:</v>
      </c>
      <c r="K221" s="694"/>
      <c r="L221" s="694"/>
      <c r="M221" s="694"/>
    </row>
    <row r="222" spans="1:30" x14ac:dyDescent="0.15">
      <c r="B222" s="724" t="s">
        <v>405</v>
      </c>
      <c r="C222" s="725"/>
      <c r="D222" s="725"/>
      <c r="E222" s="725"/>
      <c r="F222" s="695" t="s">
        <v>407</v>
      </c>
      <c r="G222" s="698"/>
      <c r="H222" s="698"/>
      <c r="I222" s="716"/>
      <c r="J222" s="694" t="str">
        <f>IF(Information!$D$8="Deutsch",B222,F222)</f>
        <v>As off 2013, at least 20 days off per calendar year must be taken. If these minimum requirements are not met, the difference expires at the end of the calendar year without compensation (Art. 149 PV). Those days cannot be carried over to the following year.</v>
      </c>
      <c r="K222" s="694"/>
      <c r="L222" s="694"/>
      <c r="M222" s="694"/>
    </row>
    <row r="223" spans="1:30" x14ac:dyDescent="0.15">
      <c r="B223" s="569" t="s">
        <v>408</v>
      </c>
      <c r="C223" s="570"/>
      <c r="D223" s="570"/>
      <c r="E223" s="570"/>
      <c r="F223" s="574" t="s">
        <v>411</v>
      </c>
      <c r="G223" s="571"/>
      <c r="H223" s="571"/>
      <c r="I223" s="575"/>
      <c r="J223" s="694" t="str">
        <f>IF(Information!$D$8="Deutsch",B223,F223)</f>
        <v>Holiday balance rounded up to 0:00 in favour of employee!</v>
      </c>
      <c r="K223" s="694"/>
      <c r="L223" s="694"/>
      <c r="M223" s="694"/>
    </row>
    <row r="224" spans="1:30" x14ac:dyDescent="0.15">
      <c r="B224" s="572" t="s">
        <v>409</v>
      </c>
      <c r="C224" s="573"/>
      <c r="D224" s="573"/>
      <c r="E224" s="573"/>
      <c r="F224" s="554" t="s">
        <v>410</v>
      </c>
      <c r="G224" s="552"/>
      <c r="H224" s="552"/>
      <c r="I224" s="553"/>
      <c r="J224" s="694" t="str">
        <f>IF(Information!$D$8="Deutsch",B224,F224)</f>
        <v>Holiday taken not in accordance with regulations!</v>
      </c>
      <c r="K224" s="694"/>
      <c r="L224" s="694"/>
      <c r="M224" s="694"/>
    </row>
    <row r="225" spans="1:13" x14ac:dyDescent="0.15">
      <c r="G225" s="498"/>
      <c r="H225" s="499"/>
      <c r="I225" s="499"/>
      <c r="J225" s="568"/>
      <c r="K225" s="568"/>
      <c r="L225" s="568"/>
      <c r="M225" s="568"/>
    </row>
    <row r="226" spans="1:13" x14ac:dyDescent="0.15">
      <c r="A226" s="429"/>
      <c r="B226" s="717" t="s">
        <v>323</v>
      </c>
      <c r="C226" s="718"/>
      <c r="D226" s="718"/>
      <c r="E226" s="718"/>
      <c r="F226" s="718"/>
      <c r="G226" s="718"/>
      <c r="H226" s="718"/>
      <c r="I226" s="718"/>
      <c r="J226" s="718"/>
      <c r="K226" s="718"/>
      <c r="L226" s="718"/>
      <c r="M226" s="719"/>
    </row>
    <row r="227" spans="1:13" x14ac:dyDescent="0.15">
      <c r="A227" s="140">
        <v>4</v>
      </c>
      <c r="B227" s="697" t="s">
        <v>324</v>
      </c>
      <c r="C227" s="698"/>
      <c r="D227" s="698"/>
      <c r="E227" s="698"/>
      <c r="F227" s="695" t="s">
        <v>369</v>
      </c>
      <c r="G227" s="696"/>
      <c r="H227" s="696"/>
      <c r="I227" s="723"/>
      <c r="J227" s="698" t="str">
        <f>IF(Information!$D$8="Deutsch",B227,F227)</f>
        <v>Please read this informations before using the Record of Absences!</v>
      </c>
      <c r="K227" s="698"/>
      <c r="L227" s="698"/>
      <c r="M227" s="716"/>
    </row>
    <row r="228" spans="1:13" x14ac:dyDescent="0.15">
      <c r="A228" s="140">
        <v>13</v>
      </c>
      <c r="B228" s="697" t="s">
        <v>258</v>
      </c>
      <c r="C228" s="698"/>
      <c r="D228" s="698"/>
      <c r="E228" s="698"/>
      <c r="F228" s="695" t="s">
        <v>380</v>
      </c>
      <c r="G228" s="696"/>
      <c r="H228" s="696"/>
      <c r="I228" s="723"/>
      <c r="J228" s="698" t="str">
        <f>IF(Information!$D$8="Deutsch",B228,F228)</f>
        <v>Questions, comments and suggestions should be sent to</v>
      </c>
      <c r="K228" s="698"/>
      <c r="L228" s="698"/>
      <c r="M228" s="716"/>
    </row>
    <row r="229" spans="1:13" x14ac:dyDescent="0.15">
      <c r="A229" s="140">
        <v>13</v>
      </c>
      <c r="B229" s="697" t="s">
        <v>259</v>
      </c>
      <c r="C229" s="698"/>
      <c r="D229" s="698"/>
      <c r="E229" s="716"/>
      <c r="F229" s="720" t="s">
        <v>286</v>
      </c>
      <c r="G229" s="721"/>
      <c r="H229" s="721"/>
      <c r="I229" s="722"/>
      <c r="J229" s="698" t="str">
        <f>IF(Information!$D$8="Deutsch",B229,F229)</f>
        <v xml:space="preserve"> </v>
      </c>
      <c r="K229" s="698"/>
      <c r="L229" s="698"/>
      <c r="M229" s="716"/>
    </row>
    <row r="230" spans="1:13" x14ac:dyDescent="0.15">
      <c r="A230" s="140">
        <v>17</v>
      </c>
      <c r="B230" s="697" t="s">
        <v>273</v>
      </c>
      <c r="C230" s="698"/>
      <c r="D230" s="698"/>
      <c r="E230" s="698"/>
      <c r="F230" s="529" t="s">
        <v>344</v>
      </c>
      <c r="G230" s="523"/>
      <c r="H230" s="523"/>
      <c r="I230" s="524"/>
      <c r="J230" s="698" t="str">
        <f>IF(Information!$D$8="Deutsch",B230,F230)</f>
        <v xml:space="preserve"> - The Record of Absences has been completely revised.</v>
      </c>
      <c r="K230" s="698"/>
      <c r="L230" s="698"/>
      <c r="M230" s="716"/>
    </row>
    <row r="231" spans="1:13" x14ac:dyDescent="0.15">
      <c r="A231" s="140">
        <v>18</v>
      </c>
      <c r="B231" s="697" t="s">
        <v>332</v>
      </c>
      <c r="C231" s="698"/>
      <c r="D231" s="698"/>
      <c r="E231" s="716"/>
      <c r="F231" s="525" t="s">
        <v>345</v>
      </c>
      <c r="G231" s="527"/>
      <c r="H231" s="527"/>
      <c r="I231" s="527"/>
      <c r="J231" s="698" t="str">
        <f>IF(Information!$D$8="Deutsch",B231,F231)</f>
        <v xml:space="preserve"> - There is a new file for personal information and transferred data.</v>
      </c>
      <c r="K231" s="698"/>
      <c r="L231" s="698"/>
      <c r="M231" s="716"/>
    </row>
    <row r="232" spans="1:13" x14ac:dyDescent="0.15">
      <c r="A232" s="140">
        <v>19</v>
      </c>
      <c r="B232" s="697" t="s">
        <v>261</v>
      </c>
      <c r="C232" s="698"/>
      <c r="D232" s="698"/>
      <c r="E232" s="698"/>
      <c r="F232" s="529" t="s">
        <v>346</v>
      </c>
      <c r="G232" s="527"/>
      <c r="H232" s="527"/>
      <c r="I232" s="527"/>
      <c r="J232" s="698" t="str">
        <f>IF(Information!$D$8="Deutsch",B232,F232)</f>
        <v xml:space="preserve"> - The Overview of Absences has been abolished. Days absent are now recorded on the individual monthly tables.</v>
      </c>
      <c r="K232" s="698"/>
      <c r="L232" s="698"/>
      <c r="M232" s="716"/>
    </row>
    <row r="233" spans="1:13" x14ac:dyDescent="0.15">
      <c r="A233" s="140">
        <v>20</v>
      </c>
      <c r="B233" s="695" t="s">
        <v>390</v>
      </c>
      <c r="C233" s="698"/>
      <c r="D233" s="698"/>
      <c r="E233" s="698"/>
      <c r="F233" s="529" t="s">
        <v>347</v>
      </c>
      <c r="G233" s="523"/>
      <c r="H233" s="523"/>
      <c r="I233" s="524"/>
      <c r="J233" s="698" t="str">
        <f>IF(Information!$D$8="Deutsch",B233,F233)</f>
        <v xml:space="preserve"> - The working hours template is now incorporated into the monthly tables and as a new feature can be individually adjusted from day to day.</v>
      </c>
      <c r="K233" s="698"/>
      <c r="L233" s="698"/>
      <c r="M233" s="716"/>
    </row>
    <row r="234" spans="1:13" x14ac:dyDescent="0.15">
      <c r="A234" s="140">
        <v>24</v>
      </c>
      <c r="B234" s="695" t="s">
        <v>335</v>
      </c>
      <c r="C234" s="698"/>
      <c r="D234" s="698"/>
      <c r="E234" s="698"/>
      <c r="F234" s="522" t="s">
        <v>348</v>
      </c>
      <c r="G234" s="523"/>
      <c r="H234" s="523"/>
      <c r="I234" s="524"/>
      <c r="J234" s="698" t="str">
        <f>IF(Information!$D$8="Deutsch",B234,F234)</f>
        <v>Click on the tab “Persönliche Daten (pers. data)” on the scroll bar at the bottom of the table and complete the shaded grey fields with the following</v>
      </c>
      <c r="K234" s="698"/>
      <c r="L234" s="698"/>
      <c r="M234" s="716"/>
    </row>
    <row r="235" spans="1:13" x14ac:dyDescent="0.15">
      <c r="A235" s="140">
        <v>25</v>
      </c>
      <c r="B235" s="697" t="s">
        <v>262</v>
      </c>
      <c r="C235" s="698"/>
      <c r="D235" s="698"/>
      <c r="E235" s="698"/>
      <c r="F235" s="522" t="s">
        <v>351</v>
      </c>
      <c r="G235" s="523"/>
      <c r="H235" s="523"/>
      <c r="I235" s="524"/>
      <c r="J235" s="698" t="str">
        <f>IF(Information!$D$8="Deutsch",B235,F235)</f>
        <v xml:space="preserve">information: first name, family name, date of birth, personnel number, entry date, employment level (BG) and salary classification (GK). </v>
      </c>
      <c r="K235" s="698"/>
      <c r="L235" s="698"/>
      <c r="M235" s="716"/>
    </row>
    <row r="236" spans="1:13" x14ac:dyDescent="0.15">
      <c r="A236" s="140">
        <v>26</v>
      </c>
      <c r="B236" s="697" t="s">
        <v>263</v>
      </c>
      <c r="C236" s="698"/>
      <c r="D236" s="698"/>
      <c r="E236" s="698"/>
      <c r="F236" s="522" t="s">
        <v>349</v>
      </c>
      <c r="G236" s="523"/>
      <c r="H236" s="523"/>
      <c r="I236" s="524"/>
      <c r="J236" s="698" t="str">
        <f>IF(Information!$D$8="Deutsch",B236,F236)</f>
        <v>Use the tabulator key to move from one field to another. The data will be transferred automatically to the monthly tables, and your holiday entitlement</v>
      </c>
      <c r="K236" s="698"/>
      <c r="L236" s="698"/>
      <c r="M236" s="716"/>
    </row>
    <row r="237" spans="1:13" x14ac:dyDescent="0.15">
      <c r="A237" s="140">
        <v>27</v>
      </c>
      <c r="B237" s="697" t="s">
        <v>413</v>
      </c>
      <c r="C237" s="698"/>
      <c r="D237" s="698"/>
      <c r="E237" s="698"/>
      <c r="F237" s="522" t="s">
        <v>350</v>
      </c>
      <c r="G237" s="523"/>
      <c r="H237" s="523"/>
      <c r="I237" s="524"/>
      <c r="J237" s="698" t="str">
        <f>IF(Information!$D$8="Deutsch",B237,F237)</f>
        <v>and planned working time calculated. Trainees should enter the code ‘LE’ in the field ‘salary classification’ (holiday entitlement 32 days).</v>
      </c>
      <c r="K237" s="698"/>
      <c r="L237" s="698"/>
      <c r="M237" s="716"/>
    </row>
    <row r="238" spans="1:13" x14ac:dyDescent="0.15">
      <c r="A238" s="140">
        <v>28</v>
      </c>
      <c r="B238" s="697" t="s">
        <v>264</v>
      </c>
      <c r="C238" s="698"/>
      <c r="D238" s="698"/>
      <c r="E238" s="716"/>
      <c r="F238" s="522" t="s">
        <v>328</v>
      </c>
      <c r="G238" s="523"/>
      <c r="H238" s="523"/>
      <c r="I238" s="524"/>
      <c r="J238" s="698" t="str">
        <f>IF(Information!$D$8="Deutsch",B238,F238)</f>
        <v>Commencement/termination of employment during the year</v>
      </c>
      <c r="K238" s="698"/>
      <c r="L238" s="698"/>
      <c r="M238" s="716"/>
    </row>
    <row r="239" spans="1:13" x14ac:dyDescent="0.15">
      <c r="A239" s="140">
        <v>29</v>
      </c>
      <c r="B239" s="697" t="s">
        <v>265</v>
      </c>
      <c r="C239" s="698"/>
      <c r="D239" s="698"/>
      <c r="E239" s="698"/>
      <c r="F239" s="522" t="s">
        <v>352</v>
      </c>
      <c r="G239" s="523"/>
      <c r="H239" s="523"/>
      <c r="I239" s="524"/>
      <c r="J239" s="698" t="str">
        <f>IF(Information!$D$8="Deutsch",B239,F239)</f>
        <v>If employment is commenced during the course of the year, complete the fields level of employment (BG) and Salary classification (GK) from the month</v>
      </c>
      <c r="K239" s="698"/>
      <c r="L239" s="698"/>
      <c r="M239" s="716"/>
    </row>
    <row r="240" spans="1:13" x14ac:dyDescent="0.15">
      <c r="A240" s="140">
        <v>30</v>
      </c>
      <c r="B240" s="695" t="s">
        <v>333</v>
      </c>
      <c r="C240" s="698"/>
      <c r="D240" s="698"/>
      <c r="E240" s="698"/>
      <c r="F240" s="522" t="s">
        <v>353</v>
      </c>
      <c r="G240" s="523"/>
      <c r="H240" s="523"/>
      <c r="I240" s="524"/>
      <c r="J240" s="698" t="str">
        <f>IF(Information!$D$8="Deutsch",B240,F240)</f>
        <v>of entry. If employment is terminated during the year, enter a "0" for the remaining months. The record then ends with the last month of employment.</v>
      </c>
      <c r="K240" s="698"/>
      <c r="L240" s="698"/>
      <c r="M240" s="716"/>
    </row>
    <row r="241" spans="1:13" x14ac:dyDescent="0.15">
      <c r="A241" s="140">
        <v>31</v>
      </c>
      <c r="B241" s="697" t="s">
        <v>266</v>
      </c>
      <c r="C241" s="698"/>
      <c r="D241" s="698"/>
      <c r="E241" s="716"/>
      <c r="F241" s="522" t="s">
        <v>329</v>
      </c>
      <c r="G241" s="523"/>
      <c r="H241" s="523"/>
      <c r="I241" s="524"/>
      <c r="J241" s="698" t="str">
        <f>IF(Information!$D$8="Deutsch",B241,F241)</f>
        <v>Commencement or change in employment conditions mid-month</v>
      </c>
      <c r="K241" s="698"/>
      <c r="L241" s="698"/>
      <c r="M241" s="716"/>
    </row>
    <row r="242" spans="1:13" x14ac:dyDescent="0.15">
      <c r="A242" s="140">
        <v>33</v>
      </c>
      <c r="B242" s="697" t="s">
        <v>267</v>
      </c>
      <c r="C242" s="698"/>
      <c r="D242" s="698"/>
      <c r="E242" s="698"/>
      <c r="F242" s="522" t="s">
        <v>354</v>
      </c>
      <c r="G242" s="523"/>
      <c r="H242" s="523"/>
      <c r="I242" s="524"/>
      <c r="J242" s="698" t="str">
        <f>IF(Information!$D$8="Deutsch",B242,F242)</f>
        <v xml:space="preserve">When there is a change in employment during the month, the level of employment (BG) must be recalculated. Use “Umrechnung (Calculation)”.  </v>
      </c>
      <c r="K242" s="698"/>
      <c r="L242" s="698"/>
      <c r="M242" s="716"/>
    </row>
    <row r="243" spans="1:13" x14ac:dyDescent="0.15">
      <c r="A243" s="140">
        <v>35</v>
      </c>
      <c r="B243" s="695" t="s">
        <v>334</v>
      </c>
      <c r="C243" s="698"/>
      <c r="D243" s="698"/>
      <c r="E243" s="698"/>
      <c r="F243" s="522" t="s">
        <v>355</v>
      </c>
      <c r="G243" s="527"/>
      <c r="H243" s="527"/>
      <c r="I243" s="527"/>
      <c r="J243" s="698" t="str">
        <f>IF(Information!$D$8="Deutsch",B243,F243)</f>
        <v>If the BG or GK changes during the year, these can be recorded in the corresponding month in the "Persönliche Daten (pers. Data)".</v>
      </c>
      <c r="K243" s="698"/>
      <c r="L243" s="698"/>
      <c r="M243" s="716"/>
    </row>
    <row r="244" spans="1:13" x14ac:dyDescent="0.15">
      <c r="A244" s="140">
        <v>36</v>
      </c>
      <c r="B244" s="697" t="s">
        <v>427</v>
      </c>
      <c r="C244" s="698"/>
      <c r="D244" s="698"/>
      <c r="E244" s="698"/>
      <c r="F244" s="529" t="s">
        <v>428</v>
      </c>
      <c r="G244" s="527"/>
      <c r="H244" s="527"/>
      <c r="I244" s="527"/>
      <c r="J244" s="698" t="str">
        <f>IF(Information!$D$8="Deutsch",B244,F244)</f>
        <v>Enter last years holiday balance as agreed with your supervisor.</v>
      </c>
      <c r="K244" s="698"/>
      <c r="L244" s="698"/>
      <c r="M244" s="716"/>
    </row>
    <row r="245" spans="1:13" x14ac:dyDescent="0.15">
      <c r="A245" s="140">
        <v>37</v>
      </c>
      <c r="B245" s="697" t="s">
        <v>286</v>
      </c>
      <c r="C245" s="698"/>
      <c r="D245" s="698"/>
      <c r="E245" s="698"/>
      <c r="F245" s="529" t="s">
        <v>286</v>
      </c>
      <c r="G245" s="523"/>
      <c r="H245" s="523"/>
      <c r="I245" s="524"/>
      <c r="J245" s="698" t="str">
        <f>IF(Information!$D$8="Deutsch",B245,F245)</f>
        <v xml:space="preserve"> </v>
      </c>
      <c r="K245" s="698"/>
      <c r="L245" s="698"/>
      <c r="M245" s="716"/>
    </row>
    <row r="246" spans="1:13" x14ac:dyDescent="0.15">
      <c r="A246" s="140">
        <v>40</v>
      </c>
      <c r="B246" s="697" t="s">
        <v>414</v>
      </c>
      <c r="C246" s="698"/>
      <c r="D246" s="698"/>
      <c r="E246" s="698"/>
      <c r="F246" s="525" t="s">
        <v>356</v>
      </c>
      <c r="G246" s="527"/>
      <c r="H246" s="527"/>
      <c r="I246" s="527"/>
      <c r="J246" s="698" t="str">
        <f>IF(Information!$D$8="Deutsch",B246,F246)</f>
        <v>This is an overview of your unused holiday entitlement, holiday taken and reduction of holiday.</v>
      </c>
      <c r="K246" s="698"/>
      <c r="L246" s="698"/>
      <c r="M246" s="716"/>
    </row>
    <row r="247" spans="1:13" x14ac:dyDescent="0.15">
      <c r="A247" s="140">
        <v>43</v>
      </c>
      <c r="B247" s="697" t="s">
        <v>268</v>
      </c>
      <c r="C247" s="698"/>
      <c r="D247" s="698"/>
      <c r="E247" s="698"/>
      <c r="F247" s="529" t="s">
        <v>357</v>
      </c>
      <c r="G247" s="527"/>
      <c r="H247" s="527"/>
      <c r="I247" s="527"/>
      <c r="J247" s="698" t="str">
        <f>IF(Information!$D$8="Deutsch",B247,F247)</f>
        <v>Enter here holiday entitlement earned as a result of long-service.</v>
      </c>
      <c r="K247" s="698"/>
      <c r="L247" s="698"/>
      <c r="M247" s="716"/>
    </row>
    <row r="248" spans="1:13" x14ac:dyDescent="0.15">
      <c r="A248" s="140">
        <v>45</v>
      </c>
      <c r="B248" s="697" t="s">
        <v>416</v>
      </c>
      <c r="C248" s="698"/>
      <c r="D248" s="698"/>
      <c r="E248" s="698"/>
      <c r="F248" s="529" t="s">
        <v>367</v>
      </c>
      <c r="G248" s="527"/>
      <c r="H248" s="527"/>
      <c r="I248" s="527"/>
      <c r="J248" s="698" t="str">
        <f>IF(Information!$D$8="Deutsch",B248,F248)</f>
        <v xml:space="preserve">This is an overview of your reduction of holiday, entered manually. Holiday reduction as a result of unpaid leave, lengthy absences due to illness or </v>
      </c>
      <c r="K248" s="698"/>
      <c r="L248" s="698"/>
      <c r="M248" s="716"/>
    </row>
    <row r="249" spans="1:13" x14ac:dyDescent="0.15">
      <c r="A249" s="140">
        <v>46</v>
      </c>
      <c r="B249" s="697" t="s">
        <v>321</v>
      </c>
      <c r="C249" s="698"/>
      <c r="D249" s="698"/>
      <c r="E249" s="698"/>
      <c r="F249" s="529" t="s">
        <v>368</v>
      </c>
      <c r="G249" s="527"/>
      <c r="H249" s="527"/>
      <c r="I249" s="527"/>
      <c r="J249" s="698" t="str">
        <f>IF(Information!$D$8="Deutsch",B249,F249)</f>
        <v>accident should be entered in hours and minutes. Holiday reductions are entered on the individual monthly tables.</v>
      </c>
      <c r="K249" s="698"/>
      <c r="L249" s="698"/>
      <c r="M249" s="716"/>
    </row>
    <row r="250" spans="1:13" x14ac:dyDescent="0.15">
      <c r="A250" s="140">
        <v>47</v>
      </c>
      <c r="B250" s="697" t="s">
        <v>269</v>
      </c>
      <c r="C250" s="698"/>
      <c r="D250" s="698"/>
      <c r="E250" s="698"/>
      <c r="F250" s="695" t="s">
        <v>366</v>
      </c>
      <c r="G250" s="696"/>
      <c r="H250" s="696"/>
      <c r="I250" s="723"/>
      <c r="J250" s="698" t="str">
        <f>IF(Information!$D$8="Deutsch",B250,F250)</f>
        <v>In the case of lengthy absence consult:</v>
      </c>
      <c r="K250" s="698"/>
      <c r="L250" s="698"/>
      <c r="M250" s="716"/>
    </row>
    <row r="251" spans="1:13" x14ac:dyDescent="0.15">
      <c r="A251" s="140">
        <v>49</v>
      </c>
      <c r="B251" s="697" t="s">
        <v>415</v>
      </c>
      <c r="C251" s="698"/>
      <c r="D251" s="698"/>
      <c r="E251" s="698"/>
      <c r="F251" s="529" t="s">
        <v>359</v>
      </c>
      <c r="G251" s="527"/>
      <c r="H251" s="527"/>
      <c r="I251" s="527"/>
      <c r="J251" s="698" t="str">
        <f>IF(Information!$D$8="Deutsch",B251,F251)</f>
        <v>This is an overview of your absences for the whole year.</v>
      </c>
      <c r="K251" s="698"/>
      <c r="L251" s="698"/>
      <c r="M251" s="716"/>
    </row>
    <row r="252" spans="1:13" x14ac:dyDescent="0.15">
      <c r="A252" s="140">
        <v>53</v>
      </c>
      <c r="B252" s="697" t="s">
        <v>270</v>
      </c>
      <c r="C252" s="698"/>
      <c r="D252" s="698"/>
      <c r="E252" s="698"/>
      <c r="F252" s="529" t="s">
        <v>376</v>
      </c>
      <c r="G252" s="527"/>
      <c r="H252" s="527"/>
      <c r="I252" s="527"/>
      <c r="J252" s="698" t="str">
        <f>IF(Information!$D$8="Deutsch",B252,F252)</f>
        <v>Absences in hours should be entered in hours and minutes in the appropriate fields. In the case of a full or half-day absence, take into account the</v>
      </c>
      <c r="K252" s="698"/>
      <c r="L252" s="698"/>
      <c r="M252" s="716"/>
    </row>
    <row r="253" spans="1:13" x14ac:dyDescent="0.15">
      <c r="A253" s="140">
        <v>54</v>
      </c>
      <c r="B253" s="697" t="s">
        <v>274</v>
      </c>
      <c r="C253" s="698"/>
      <c r="D253" s="698"/>
      <c r="E253" s="698"/>
      <c r="F253" s="529" t="s">
        <v>378</v>
      </c>
      <c r="G253" s="527"/>
      <c r="H253" s="527"/>
      <c r="I253" s="527"/>
      <c r="J253" s="698" t="str">
        <f>IF(Information!$D$8="Deutsch",B253,F253)</f>
        <v xml:space="preserve">planned working time for the corresponding day. (The theoretical time to be worked for one half day is found below the column with the working </v>
      </c>
      <c r="K253" s="698"/>
      <c r="L253" s="698"/>
      <c r="M253" s="716"/>
    </row>
    <row r="254" spans="1:13" x14ac:dyDescent="0.15">
      <c r="A254" s="140">
        <v>55</v>
      </c>
      <c r="B254" s="697" t="s">
        <v>275</v>
      </c>
      <c r="C254" s="698"/>
      <c r="D254" s="698"/>
      <c r="E254" s="698"/>
      <c r="F254" s="695" t="s">
        <v>377</v>
      </c>
      <c r="G254" s="696"/>
      <c r="H254" s="696"/>
      <c r="I254" s="723"/>
      <c r="J254" s="698" t="str">
        <f>IF(Information!$D$8="Deutsch",B254,F254)</f>
        <v xml:space="preserve">hours template) </v>
      </c>
      <c r="K254" s="698"/>
      <c r="L254" s="698"/>
      <c r="M254" s="716"/>
    </row>
    <row r="255" spans="1:13" x14ac:dyDescent="0.15">
      <c r="A255" s="140">
        <v>57</v>
      </c>
      <c r="B255" s="697" t="s">
        <v>322</v>
      </c>
      <c r="C255" s="698"/>
      <c r="D255" s="698"/>
      <c r="E255" s="698"/>
      <c r="F255" s="529" t="s">
        <v>360</v>
      </c>
      <c r="G255" s="527"/>
      <c r="H255" s="527"/>
      <c r="I255" s="527"/>
      <c r="J255" s="698" t="str">
        <f>IF(Information!$D$8="Deutsch",B255,F255)</f>
        <v>Absences in days should be entered in the corresponding fields for morning and afternoon. Unlike the absences in hours,entries are not made in hours</v>
      </c>
      <c r="K255" s="698"/>
      <c r="L255" s="698"/>
      <c r="M255" s="716"/>
    </row>
    <row r="256" spans="1:13" x14ac:dyDescent="0.15">
      <c r="A256" s="140">
        <v>58</v>
      </c>
      <c r="B256" s="697" t="s">
        <v>271</v>
      </c>
      <c r="C256" s="698"/>
      <c r="D256" s="698"/>
      <c r="E256" s="698"/>
      <c r="F256" s="529" t="s">
        <v>363</v>
      </c>
      <c r="G256" s="527"/>
      <c r="H256" s="527"/>
      <c r="I256" s="527"/>
      <c r="J256" s="698" t="str">
        <f>IF(Information!$D$8="Deutsch",B256,F256)</f>
        <v>and minutes but by using the corresponding letter. A key to these is found on the monthly tables. The record of absences automatically calculates</v>
      </c>
      <c r="K256" s="698"/>
      <c r="L256" s="698"/>
      <c r="M256" s="716"/>
    </row>
    <row r="257" spans="1:13" x14ac:dyDescent="0.15">
      <c r="A257" s="140">
        <v>59</v>
      </c>
      <c r="B257" s="695" t="s">
        <v>362</v>
      </c>
      <c r="C257" s="698"/>
      <c r="D257" s="698"/>
      <c r="E257" s="698"/>
      <c r="F257" s="695" t="s">
        <v>361</v>
      </c>
      <c r="G257" s="696"/>
      <c r="H257" s="696"/>
      <c r="I257" s="723"/>
      <c r="J257" s="698" t="str">
        <f>IF(Information!$D$8="Deutsch",B257,F257)</f>
        <v>absences taken in hours and minutes.</v>
      </c>
      <c r="K257" s="698"/>
      <c r="L257" s="698"/>
      <c r="M257" s="716"/>
    </row>
    <row r="258" spans="1:13" x14ac:dyDescent="0.15">
      <c r="A258" s="140">
        <v>61</v>
      </c>
      <c r="B258" s="697" t="s">
        <v>272</v>
      </c>
      <c r="C258" s="698"/>
      <c r="D258" s="698"/>
      <c r="E258" s="698"/>
      <c r="F258" s="529" t="s">
        <v>364</v>
      </c>
      <c r="G258" s="527"/>
      <c r="H258" s="527"/>
      <c r="I258" s="527"/>
      <c r="J258" s="698" t="str">
        <f>IF(Information!$D$8="Deutsch",B258,F258)</f>
        <v xml:space="preserve">A new feature is the working hours template. An individual entry can be made for each day. The working hours template is incorporated in the standard </v>
      </c>
      <c r="K258" s="698"/>
      <c r="L258" s="698"/>
      <c r="M258" s="716"/>
    </row>
    <row r="259" spans="1:13" x14ac:dyDescent="0.15">
      <c r="A259" s="140">
        <v>62</v>
      </c>
      <c r="B259" s="695" t="s">
        <v>417</v>
      </c>
      <c r="C259" s="698"/>
      <c r="D259" s="698"/>
      <c r="E259" s="698"/>
      <c r="F259" s="529" t="s">
        <v>365</v>
      </c>
      <c r="G259" s="527"/>
      <c r="H259" s="527"/>
      <c r="I259" s="527"/>
      <c r="J259" s="698" t="str">
        <f>IF(Information!$D$8="Deutsch",B259,F259)</f>
        <v>settings and not in the print area. Further information can be found:</v>
      </c>
      <c r="K259" s="698"/>
      <c r="L259" s="698"/>
      <c r="M259" s="716"/>
    </row>
    <row r="260" spans="1:13" x14ac:dyDescent="0.15">
      <c r="A260" s="140">
        <v>65</v>
      </c>
      <c r="B260" s="697" t="s">
        <v>435</v>
      </c>
      <c r="C260" s="698"/>
      <c r="D260" s="698"/>
      <c r="E260" s="698"/>
      <c r="F260" s="527" t="s">
        <v>437</v>
      </c>
      <c r="G260" s="527"/>
      <c r="H260" s="527"/>
      <c r="I260" s="527"/>
      <c r="J260" s="698" t="str">
        <f>IF(Information!$D$8="Deutsch",B260,F260)</f>
        <v xml:space="preserve">In the worksheet "Zeitkennzahlen (key figures)" you will find a summary of the key figures. It is a requirement of the University of Bern that all </v>
      </c>
      <c r="K260" s="698"/>
      <c r="L260" s="698"/>
      <c r="M260" s="716"/>
    </row>
    <row r="261" spans="1:13" x14ac:dyDescent="0.15">
      <c r="A261" s="140">
        <v>66</v>
      </c>
      <c r="B261" s="697" t="s">
        <v>0</v>
      </c>
      <c r="C261" s="698"/>
      <c r="D261" s="698"/>
      <c r="E261" s="698"/>
      <c r="F261" s="529" t="s">
        <v>438</v>
      </c>
      <c r="G261" s="527"/>
      <c r="H261" s="527"/>
      <c r="I261" s="527"/>
      <c r="J261" s="698" t="str">
        <f>IF(Information!$D$8="Deutsch",B261,F261)</f>
        <v>employees submit an annual report of time worked and/or absences. The relevant date is 31.12. each year and the information must be registered</v>
      </c>
      <c r="K261" s="698"/>
      <c r="L261" s="698"/>
      <c r="M261" s="716"/>
    </row>
    <row r="262" spans="1:13" x14ac:dyDescent="0.15">
      <c r="A262" s="140">
        <v>67</v>
      </c>
      <c r="B262" s="695" t="s">
        <v>436</v>
      </c>
      <c r="C262" s="698"/>
      <c r="D262" s="698"/>
      <c r="E262" s="698"/>
      <c r="F262" s="527" t="s">
        <v>439</v>
      </c>
      <c r="G262" s="527"/>
      <c r="H262" s="527"/>
      <c r="I262" s="527"/>
      <c r="J262" s="698" t="str">
        <f>IF(Information!$D$8="Deutsch",B262,F262)</f>
        <v>by the begin of January by the member of staff responsible in each organisational unit.</v>
      </c>
      <c r="K262" s="698"/>
      <c r="L262" s="698"/>
      <c r="M262" s="716"/>
    </row>
    <row r="263" spans="1:13" x14ac:dyDescent="0.15">
      <c r="A263" s="429">
        <v>68</v>
      </c>
      <c r="B263" s="726"/>
      <c r="C263" s="726"/>
      <c r="D263" s="726"/>
      <c r="E263" s="726"/>
      <c r="F263" s="527"/>
      <c r="G263" s="271"/>
      <c r="H263" s="271"/>
      <c r="I263" s="271"/>
      <c r="J263" s="698">
        <f>IF(Information!$D$8="Deutsch",B263,F263)</f>
        <v>0</v>
      </c>
      <c r="K263" s="698"/>
      <c r="L263" s="698"/>
      <c r="M263" s="716"/>
    </row>
    <row r="264" spans="1:13" x14ac:dyDescent="0.15">
      <c r="A264" s="429">
        <v>68</v>
      </c>
      <c r="B264" s="216"/>
      <c r="C264" s="271"/>
      <c r="D264" s="271"/>
      <c r="E264" s="271"/>
      <c r="F264" s="216"/>
      <c r="G264" s="271"/>
      <c r="H264" s="271"/>
      <c r="I264" s="222"/>
      <c r="J264" s="697">
        <f>IF(Information!$D$8="Deutsch",B264,F264)</f>
        <v>0</v>
      </c>
      <c r="K264" s="698"/>
      <c r="L264" s="698"/>
      <c r="M264" s="716"/>
    </row>
    <row r="266" spans="1:13" x14ac:dyDescent="0.15">
      <c r="G266" s="350"/>
      <c r="H266" s="351"/>
    </row>
    <row r="267" spans="1:13" x14ac:dyDescent="0.15">
      <c r="B267" s="349" t="s">
        <v>242</v>
      </c>
      <c r="C267" s="350"/>
      <c r="D267" s="350"/>
      <c r="E267" s="350"/>
      <c r="F267" s="350"/>
      <c r="G267" s="353" t="s">
        <v>246</v>
      </c>
      <c r="H267" s="354" t="s">
        <v>55</v>
      </c>
    </row>
    <row r="268" spans="1:13" x14ac:dyDescent="0.15">
      <c r="B268" s="352" t="s">
        <v>243</v>
      </c>
      <c r="C268" s="352" t="s">
        <v>244</v>
      </c>
      <c r="D268" s="514" t="s">
        <v>384</v>
      </c>
      <c r="E268" s="515"/>
      <c r="F268" s="353" t="s">
        <v>245</v>
      </c>
      <c r="G268" s="357" t="s">
        <v>4</v>
      </c>
      <c r="H268" s="357" t="s">
        <v>4</v>
      </c>
    </row>
    <row r="269" spans="1:13" ht="16" x14ac:dyDescent="0.15">
      <c r="B269" s="355" t="s">
        <v>98</v>
      </c>
      <c r="C269" s="355" t="s">
        <v>247</v>
      </c>
      <c r="D269" s="356" t="s">
        <v>383</v>
      </c>
      <c r="E269" s="356"/>
      <c r="F269" s="356" t="s">
        <v>11</v>
      </c>
      <c r="G269" s="357" t="s">
        <v>6</v>
      </c>
      <c r="H269" s="357" t="s">
        <v>6</v>
      </c>
      <c r="L269" s="511"/>
    </row>
    <row r="270" spans="1:13" x14ac:dyDescent="0.15">
      <c r="B270" s="355" t="s">
        <v>248</v>
      </c>
      <c r="C270" s="362" t="s">
        <v>249</v>
      </c>
      <c r="D270" s="356" t="s">
        <v>382</v>
      </c>
      <c r="E270" s="356"/>
      <c r="F270" s="356" t="s">
        <v>13</v>
      </c>
      <c r="G270" s="357" t="s">
        <v>8</v>
      </c>
      <c r="H270" s="357" t="s">
        <v>8</v>
      </c>
    </row>
    <row r="271" spans="1:13" ht="16" x14ac:dyDescent="0.15">
      <c r="C271" s="363" t="s">
        <v>250</v>
      </c>
      <c r="D271" s="358"/>
      <c r="E271" s="358"/>
      <c r="F271" s="359" t="s">
        <v>15</v>
      </c>
      <c r="G271" s="357" t="s">
        <v>10</v>
      </c>
      <c r="H271" s="357" t="s">
        <v>10</v>
      </c>
      <c r="L271" s="511"/>
    </row>
    <row r="272" spans="1:13" x14ac:dyDescent="0.15">
      <c r="B272" s="358"/>
      <c r="C272" s="358"/>
      <c r="D272" s="358"/>
      <c r="E272" s="358"/>
      <c r="F272" s="359" t="s">
        <v>17</v>
      </c>
      <c r="G272" s="357" t="s">
        <v>12</v>
      </c>
      <c r="H272" s="357" t="s">
        <v>12</v>
      </c>
    </row>
    <row r="273" spans="2:8" x14ac:dyDescent="0.15">
      <c r="B273" s="358"/>
      <c r="C273" s="358"/>
      <c r="D273" s="358"/>
      <c r="E273" s="358"/>
      <c r="F273" s="359" t="s">
        <v>5</v>
      </c>
      <c r="G273" s="357" t="s">
        <v>14</v>
      </c>
      <c r="H273" s="357" t="s">
        <v>14</v>
      </c>
    </row>
    <row r="274" spans="2:8" x14ac:dyDescent="0.15">
      <c r="B274" s="358"/>
      <c r="C274" s="358"/>
      <c r="D274" s="358"/>
      <c r="E274" s="358"/>
      <c r="F274" s="359" t="s">
        <v>7</v>
      </c>
      <c r="G274" s="357" t="s">
        <v>16</v>
      </c>
      <c r="H274" s="357" t="s">
        <v>16</v>
      </c>
    </row>
    <row r="275" spans="2:8" x14ac:dyDescent="0.15">
      <c r="B275" s="358"/>
      <c r="C275" s="358"/>
      <c r="D275" s="358"/>
      <c r="E275" s="358"/>
      <c r="F275" s="359" t="s">
        <v>9</v>
      </c>
      <c r="G275" s="357" t="s">
        <v>18</v>
      </c>
      <c r="H275" s="357" t="s">
        <v>18</v>
      </c>
    </row>
    <row r="276" spans="2:8" x14ac:dyDescent="0.15">
      <c r="B276" s="358"/>
      <c r="C276" s="358"/>
      <c r="D276" s="358"/>
      <c r="E276" s="358"/>
      <c r="F276" s="358"/>
      <c r="G276" s="357" t="s">
        <v>19</v>
      </c>
      <c r="H276" s="357" t="s">
        <v>19</v>
      </c>
    </row>
    <row r="277" spans="2:8" x14ac:dyDescent="0.15">
      <c r="B277" s="358"/>
      <c r="C277" s="358"/>
      <c r="D277" s="358"/>
      <c r="E277" s="358"/>
      <c r="F277" s="358"/>
      <c r="G277" s="357" t="s">
        <v>20</v>
      </c>
      <c r="H277" s="357" t="s">
        <v>20</v>
      </c>
    </row>
    <row r="278" spans="2:8" x14ac:dyDescent="0.15">
      <c r="B278" s="358"/>
      <c r="C278" s="358"/>
      <c r="D278" s="358"/>
      <c r="E278" s="358"/>
      <c r="F278" s="358"/>
      <c r="G278" s="357" t="s">
        <v>21</v>
      </c>
      <c r="H278" s="357" t="s">
        <v>21</v>
      </c>
    </row>
    <row r="279" spans="2:8" x14ac:dyDescent="0.15">
      <c r="B279" s="358"/>
      <c r="C279" s="358"/>
      <c r="D279" s="358"/>
      <c r="E279" s="358"/>
      <c r="F279" s="358"/>
      <c r="G279" s="357" t="s">
        <v>22</v>
      </c>
      <c r="H279" s="357" t="s">
        <v>22</v>
      </c>
    </row>
    <row r="280" spans="2:8" x14ac:dyDescent="0.15">
      <c r="B280" s="358"/>
      <c r="C280" s="358"/>
      <c r="D280" s="358"/>
      <c r="E280" s="358"/>
      <c r="F280" s="358"/>
      <c r="G280" s="360"/>
      <c r="H280" s="357" t="s">
        <v>23</v>
      </c>
    </row>
    <row r="281" spans="2:8" x14ac:dyDescent="0.15">
      <c r="B281" s="358"/>
      <c r="C281" s="358"/>
      <c r="D281" s="358"/>
      <c r="E281" s="358"/>
      <c r="F281" s="358"/>
      <c r="G281" s="360"/>
      <c r="H281" s="357" t="s">
        <v>24</v>
      </c>
    </row>
    <row r="282" spans="2:8" x14ac:dyDescent="0.15">
      <c r="B282" s="358"/>
      <c r="C282" s="358"/>
      <c r="D282" s="358"/>
      <c r="E282" s="358"/>
      <c r="F282" s="358"/>
      <c r="G282" s="360"/>
      <c r="H282" s="357" t="s">
        <v>25</v>
      </c>
    </row>
    <row r="283" spans="2:8" x14ac:dyDescent="0.15">
      <c r="B283" s="358"/>
      <c r="C283" s="358"/>
      <c r="D283" s="358"/>
      <c r="E283" s="358"/>
      <c r="F283" s="358"/>
      <c r="G283" s="358"/>
      <c r="H283" s="357" t="s">
        <v>26</v>
      </c>
    </row>
    <row r="284" spans="2:8" x14ac:dyDescent="0.15">
      <c r="B284" s="358"/>
      <c r="C284" s="358"/>
      <c r="D284" s="358"/>
      <c r="E284" s="358"/>
      <c r="F284" s="358"/>
      <c r="G284" s="360"/>
      <c r="H284" s="357" t="s">
        <v>27</v>
      </c>
    </row>
    <row r="285" spans="2:8" x14ac:dyDescent="0.15">
      <c r="B285" s="358"/>
      <c r="C285" s="358"/>
      <c r="D285" s="358"/>
      <c r="E285" s="358"/>
      <c r="F285" s="358"/>
      <c r="G285" s="360"/>
      <c r="H285" s="357" t="s">
        <v>28</v>
      </c>
    </row>
    <row r="286" spans="2:8" x14ac:dyDescent="0.15">
      <c r="B286" s="358"/>
      <c r="C286" s="358"/>
      <c r="D286" s="358"/>
      <c r="E286" s="358"/>
      <c r="F286" s="358"/>
      <c r="G286" s="360"/>
      <c r="H286" s="357" t="s">
        <v>29</v>
      </c>
    </row>
    <row r="287" spans="2:8" x14ac:dyDescent="0.15">
      <c r="B287" s="358"/>
      <c r="C287" s="358"/>
      <c r="D287" s="358"/>
      <c r="E287" s="358"/>
      <c r="F287" s="358"/>
      <c r="G287" s="360"/>
      <c r="H287" s="357" t="s">
        <v>30</v>
      </c>
    </row>
    <row r="288" spans="2:8" x14ac:dyDescent="0.15">
      <c r="B288" s="358"/>
      <c r="C288" s="358"/>
      <c r="D288" s="358"/>
      <c r="E288" s="358"/>
      <c r="F288" s="358"/>
      <c r="G288" s="360"/>
      <c r="H288" s="357" t="s">
        <v>31</v>
      </c>
    </row>
    <row r="289" spans="2:8" x14ac:dyDescent="0.15">
      <c r="B289" s="358"/>
      <c r="C289" s="358"/>
      <c r="D289" s="358"/>
      <c r="E289" s="358"/>
      <c r="F289" s="358"/>
      <c r="G289" s="360"/>
      <c r="H289" s="357" t="s">
        <v>32</v>
      </c>
    </row>
    <row r="290" spans="2:8" x14ac:dyDescent="0.15">
      <c r="B290" s="358"/>
      <c r="C290" s="358"/>
      <c r="D290" s="358"/>
      <c r="E290" s="358"/>
      <c r="F290" s="358"/>
      <c r="G290" s="360"/>
      <c r="H290" s="357" t="s">
        <v>33</v>
      </c>
    </row>
    <row r="291" spans="2:8" x14ac:dyDescent="0.15">
      <c r="B291" s="358"/>
      <c r="C291" s="358"/>
      <c r="D291" s="358"/>
      <c r="E291" s="358"/>
      <c r="F291" s="358"/>
      <c r="G291" s="358"/>
      <c r="H291" s="357" t="s">
        <v>34</v>
      </c>
    </row>
    <row r="292" spans="2:8" x14ac:dyDescent="0.15">
      <c r="B292" s="358"/>
      <c r="C292" s="358"/>
      <c r="D292" s="358"/>
      <c r="E292" s="358"/>
      <c r="F292" s="358"/>
      <c r="G292" s="358"/>
      <c r="H292" s="357" t="s">
        <v>35</v>
      </c>
    </row>
    <row r="293" spans="2:8" x14ac:dyDescent="0.15">
      <c r="B293" s="358"/>
      <c r="C293" s="358"/>
      <c r="D293" s="358"/>
      <c r="E293" s="358"/>
      <c r="F293" s="358"/>
      <c r="G293" s="358"/>
      <c r="H293" s="357" t="s">
        <v>36</v>
      </c>
    </row>
    <row r="294" spans="2:8" x14ac:dyDescent="0.15">
      <c r="B294" s="358"/>
      <c r="C294" s="358"/>
      <c r="D294" s="358"/>
      <c r="E294" s="358"/>
      <c r="F294" s="358"/>
      <c r="G294" s="358"/>
      <c r="H294" s="357" t="s">
        <v>37</v>
      </c>
    </row>
    <row r="295" spans="2:8" x14ac:dyDescent="0.15">
      <c r="B295" s="358"/>
      <c r="C295" s="358"/>
      <c r="D295" s="358"/>
      <c r="E295" s="358"/>
      <c r="F295" s="358"/>
      <c r="G295" s="358"/>
      <c r="H295" s="357" t="s">
        <v>38</v>
      </c>
    </row>
    <row r="296" spans="2:8" x14ac:dyDescent="0.15">
      <c r="B296" s="358"/>
      <c r="C296" s="358"/>
      <c r="D296" s="358"/>
      <c r="E296" s="358"/>
      <c r="F296" s="358"/>
      <c r="G296" s="358"/>
      <c r="H296" s="357" t="s">
        <v>39</v>
      </c>
    </row>
    <row r="297" spans="2:8" x14ac:dyDescent="0.15">
      <c r="B297" s="358"/>
      <c r="C297" s="358"/>
      <c r="D297" s="358"/>
      <c r="E297" s="358"/>
      <c r="F297" s="358"/>
      <c r="G297" s="358"/>
      <c r="H297" s="357" t="s">
        <v>40</v>
      </c>
    </row>
    <row r="298" spans="2:8" x14ac:dyDescent="0.15">
      <c r="B298" s="358"/>
      <c r="C298" s="358"/>
      <c r="D298" s="358"/>
      <c r="E298" s="358"/>
      <c r="F298" s="358"/>
      <c r="H298" s="361" t="s">
        <v>46</v>
      </c>
    </row>
  </sheetData>
  <sheetProtection password="CF1F" sheet="1" objects="1" scenarios="1"/>
  <mergeCells count="133">
    <mergeCell ref="O80:P80"/>
    <mergeCell ref="B231:E231"/>
    <mergeCell ref="J231:M231"/>
    <mergeCell ref="B87:C87"/>
    <mergeCell ref="B205:E205"/>
    <mergeCell ref="J204:M204"/>
    <mergeCell ref="B206:E206"/>
    <mergeCell ref="B209:E209"/>
    <mergeCell ref="J209:M209"/>
    <mergeCell ref="J210:M210"/>
    <mergeCell ref="B211:E211"/>
    <mergeCell ref="J211:M211"/>
    <mergeCell ref="J219:M219"/>
    <mergeCell ref="J217:M217"/>
    <mergeCell ref="J214:M214"/>
    <mergeCell ref="J215:M215"/>
    <mergeCell ref="J229:M229"/>
    <mergeCell ref="B229:E229"/>
    <mergeCell ref="B228:E228"/>
    <mergeCell ref="B230:E230"/>
    <mergeCell ref="J230:M230"/>
    <mergeCell ref="B204:I204"/>
    <mergeCell ref="F205:I205"/>
    <mergeCell ref="J224:M224"/>
    <mergeCell ref="J264:M264"/>
    <mergeCell ref="B263:E263"/>
    <mergeCell ref="J263:M263"/>
    <mergeCell ref="B238:E238"/>
    <mergeCell ref="J238:M238"/>
    <mergeCell ref="B261:E261"/>
    <mergeCell ref="B262:E262"/>
    <mergeCell ref="B256:E256"/>
    <mergeCell ref="B257:E257"/>
    <mergeCell ref="B258:E258"/>
    <mergeCell ref="B259:E259"/>
    <mergeCell ref="B260:E260"/>
    <mergeCell ref="B251:E251"/>
    <mergeCell ref="B252:E252"/>
    <mergeCell ref="B253:E253"/>
    <mergeCell ref="B249:E249"/>
    <mergeCell ref="B250:E250"/>
    <mergeCell ref="B242:E242"/>
    <mergeCell ref="B243:E243"/>
    <mergeCell ref="B241:E241"/>
    <mergeCell ref="J241:M241"/>
    <mergeCell ref="B246:E246"/>
    <mergeCell ref="B244:E244"/>
    <mergeCell ref="B254:E254"/>
    <mergeCell ref="B239:E239"/>
    <mergeCell ref="B240:E240"/>
    <mergeCell ref="J236:M236"/>
    <mergeCell ref="J237:M237"/>
    <mergeCell ref="J239:M239"/>
    <mergeCell ref="J240:M240"/>
    <mergeCell ref="J233:M233"/>
    <mergeCell ref="J234:M234"/>
    <mergeCell ref="J235:M235"/>
    <mergeCell ref="B236:E236"/>
    <mergeCell ref="B237:E237"/>
    <mergeCell ref="B255:E255"/>
    <mergeCell ref="B245:E245"/>
    <mergeCell ref="F257:I257"/>
    <mergeCell ref="J261:M261"/>
    <mergeCell ref="J262:M262"/>
    <mergeCell ref="J253:M253"/>
    <mergeCell ref="J254:M254"/>
    <mergeCell ref="J255:M255"/>
    <mergeCell ref="J256:M256"/>
    <mergeCell ref="J257:M257"/>
    <mergeCell ref="J259:M259"/>
    <mergeCell ref="J260:M260"/>
    <mergeCell ref="J247:M247"/>
    <mergeCell ref="J248:M248"/>
    <mergeCell ref="J249:M249"/>
    <mergeCell ref="B247:E247"/>
    <mergeCell ref="B248:E248"/>
    <mergeCell ref="J258:M258"/>
    <mergeCell ref="J252:M252"/>
    <mergeCell ref="J245:M245"/>
    <mergeCell ref="F254:I254"/>
    <mergeCell ref="J243:M243"/>
    <mergeCell ref="J246:M246"/>
    <mergeCell ref="J244:M244"/>
    <mergeCell ref="J212:M212"/>
    <mergeCell ref="J213:M213"/>
    <mergeCell ref="J250:M250"/>
    <mergeCell ref="J251:M251"/>
    <mergeCell ref="J227:M227"/>
    <mergeCell ref="J228:M228"/>
    <mergeCell ref="J216:M216"/>
    <mergeCell ref="J218:M218"/>
    <mergeCell ref="J242:M242"/>
    <mergeCell ref="J221:M221"/>
    <mergeCell ref="J220:M220"/>
    <mergeCell ref="J232:M232"/>
    <mergeCell ref="B226:M226"/>
    <mergeCell ref="F229:I229"/>
    <mergeCell ref="F228:I228"/>
    <mergeCell ref="F227:I227"/>
    <mergeCell ref="F250:I250"/>
    <mergeCell ref="B222:E222"/>
    <mergeCell ref="J222:M222"/>
    <mergeCell ref="F222:I222"/>
    <mergeCell ref="J223:M223"/>
    <mergeCell ref="W68:X68"/>
    <mergeCell ref="W69:X69"/>
    <mergeCell ref="W70:X70"/>
    <mergeCell ref="D73:E73"/>
    <mergeCell ref="H73:M73"/>
    <mergeCell ref="I4:K4"/>
    <mergeCell ref="B63:D63"/>
    <mergeCell ref="B65:M65"/>
    <mergeCell ref="H66:M66"/>
    <mergeCell ref="D67:E67"/>
    <mergeCell ref="G2:H2"/>
    <mergeCell ref="E2:F2"/>
    <mergeCell ref="C4:E4"/>
    <mergeCell ref="F4:H4"/>
    <mergeCell ref="D79:E79"/>
    <mergeCell ref="D74:E74"/>
    <mergeCell ref="D75:E75"/>
    <mergeCell ref="D76:E76"/>
    <mergeCell ref="D77:E77"/>
    <mergeCell ref="D78:E78"/>
    <mergeCell ref="J206:M206"/>
    <mergeCell ref="J207:M207"/>
    <mergeCell ref="B208:E208"/>
    <mergeCell ref="J208:M208"/>
    <mergeCell ref="B227:E227"/>
    <mergeCell ref="B232:E232"/>
    <mergeCell ref="B233:E233"/>
    <mergeCell ref="B234:E234"/>
    <mergeCell ref="B235:E235"/>
  </mergeCells>
  <phoneticPr fontId="0" type="noConversion"/>
  <conditionalFormatting sqref="A82:N298">
    <cfRule type="expression" dxfId="1" priority="5">
      <formula>$Q$80="Aus"</formula>
    </cfRule>
  </conditionalFormatting>
  <conditionalFormatting sqref="B155:E155 G155">
    <cfRule type="expression" dxfId="0" priority="1">
      <formula>$Q$79="Aus"</formula>
    </cfRule>
  </conditionalFormatting>
  <dataValidations count="4">
    <dataValidation type="list" allowBlank="1" showInputMessage="1" showErrorMessage="1" sqref="C67:C72" xr:uid="{00000000-0002-0000-1100-000000000000}">
      <formula1>$G$268:$G$279</formula1>
    </dataValidation>
    <dataValidation type="list" allowBlank="1" showInputMessage="1" showErrorMessage="1" sqref="E63" xr:uid="{00000000-0002-0000-1100-000001000000}">
      <formula1>$F$269:$F$275</formula1>
    </dataValidation>
    <dataValidation type="list" allowBlank="1" showInputMessage="1" showErrorMessage="1" sqref="B67:B72" xr:uid="{00000000-0002-0000-1100-000002000000}">
      <formula1>$H$268:$H$298</formula1>
    </dataValidation>
    <dataValidation type="list" allowBlank="1" showInputMessage="1" showErrorMessage="1" sqref="Q80" xr:uid="{00000000-0002-0000-1100-000003000000}">
      <formula1>$D$269:$D$270</formula1>
    </dataValidation>
  </dataValidations>
  <pageMargins left="0.78740157499999996" right="0.78740157499999996" top="0.984251969" bottom="0.984251969" header="0.4921259845" footer="0.492125984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8"/>
  <sheetViews>
    <sheetView showGridLines="0" zoomScaleNormal="100" workbookViewId="0">
      <selection activeCell="J9" sqref="J9"/>
    </sheetView>
  </sheetViews>
  <sheetFormatPr baseColWidth="10" defaultColWidth="11.5" defaultRowHeight="13" x14ac:dyDescent="0.15"/>
  <cols>
    <col min="1" max="1" width="13.6640625" style="58" customWidth="1"/>
    <col min="2" max="2" width="25.5" style="58" customWidth="1"/>
    <col min="3" max="14" width="13.6640625" style="58" customWidth="1"/>
    <col min="15" max="15" width="10.6640625" style="58" customWidth="1"/>
    <col min="16" max="16384" width="11.5" style="58"/>
  </cols>
  <sheetData>
    <row r="1" spans="1:17" ht="13.5" customHeight="1" thickTop="1" x14ac:dyDescent="0.15">
      <c r="A1" s="431" t="str">
        <f>Para1!F166</f>
        <v>personal data</v>
      </c>
      <c r="B1" s="115"/>
      <c r="C1" s="115"/>
      <c r="D1" s="115"/>
      <c r="E1" s="115"/>
      <c r="F1" s="115"/>
      <c r="G1" s="115"/>
      <c r="H1" s="115"/>
      <c r="I1" s="115"/>
      <c r="J1" s="432"/>
      <c r="K1" s="115"/>
      <c r="L1" s="115"/>
      <c r="M1" s="115"/>
      <c r="N1" s="115"/>
      <c r="O1" s="433"/>
    </row>
    <row r="2" spans="1:17" ht="13.5" customHeight="1" x14ac:dyDescent="0.15">
      <c r="A2" s="434"/>
      <c r="B2" s="435" t="str">
        <f>Para1!F196</f>
        <v xml:space="preserve">first name: </v>
      </c>
      <c r="C2" s="612" t="s">
        <v>441</v>
      </c>
      <c r="D2" s="613"/>
      <c r="E2" s="52"/>
      <c r="F2" s="435" t="str">
        <f>Para1!F159</f>
        <v xml:space="preserve">surname: </v>
      </c>
      <c r="G2" s="612" t="s">
        <v>442</v>
      </c>
      <c r="H2" s="613"/>
      <c r="I2" s="52"/>
      <c r="J2" s="435" t="str">
        <f>Para1!F133</f>
        <v xml:space="preserve">year of birth (4-digit): </v>
      </c>
      <c r="K2" s="430">
        <v>1993</v>
      </c>
      <c r="L2" s="483" t="str">
        <f>Para1!F188</f>
        <v>mandatory!</v>
      </c>
      <c r="M2" s="52"/>
      <c r="N2" s="435" t="str">
        <f>Para1!F131</f>
        <v xml:space="preserve">year: </v>
      </c>
      <c r="O2" s="438">
        <f>Para1!C2</f>
        <v>2020</v>
      </c>
    </row>
    <row r="3" spans="1:17" ht="13.5" customHeight="1" thickBot="1" x14ac:dyDescent="0.2">
      <c r="A3" s="434"/>
      <c r="B3" s="52"/>
      <c r="C3" s="439"/>
      <c r="D3" s="439"/>
      <c r="E3" s="52"/>
      <c r="F3" s="52"/>
      <c r="G3" s="52"/>
      <c r="H3" s="52"/>
      <c r="I3" s="52"/>
      <c r="J3" s="435"/>
      <c r="K3" s="52"/>
      <c r="L3" s="52"/>
      <c r="M3" s="52"/>
      <c r="N3" s="52"/>
      <c r="O3" s="438"/>
    </row>
    <row r="4" spans="1:17" ht="13.5" customHeight="1" thickTop="1" x14ac:dyDescent="0.15">
      <c r="A4" s="431" t="str">
        <f>Para1!J215</f>
        <v>employment details</v>
      </c>
      <c r="B4" s="115"/>
      <c r="C4" s="115"/>
      <c r="D4" s="115"/>
      <c r="E4" s="115"/>
      <c r="F4" s="115"/>
      <c r="G4" s="115"/>
      <c r="H4" s="115"/>
      <c r="I4" s="115"/>
      <c r="J4" s="115"/>
      <c r="K4" s="115"/>
      <c r="L4" s="115"/>
      <c r="M4" s="115"/>
      <c r="N4" s="115"/>
      <c r="O4" s="441"/>
    </row>
    <row r="5" spans="1:17" ht="13.5" customHeight="1" x14ac:dyDescent="0.15">
      <c r="A5" s="434"/>
      <c r="B5" s="435" t="str">
        <f>Para1!F165</f>
        <v xml:space="preserve">pers.-no.: </v>
      </c>
      <c r="C5" s="348"/>
      <c r="D5" s="59"/>
      <c r="E5" s="59"/>
      <c r="F5" s="435" t="str">
        <f>Para1!F113</f>
        <v xml:space="preserve">starting date: </v>
      </c>
      <c r="G5" s="614">
        <v>42596</v>
      </c>
      <c r="H5" s="613"/>
      <c r="I5" s="59"/>
      <c r="N5" s="52"/>
      <c r="O5" s="451"/>
    </row>
    <row r="6" spans="1:17" ht="13.5" customHeight="1" x14ac:dyDescent="0.15">
      <c r="A6" s="434"/>
      <c r="B6" s="435"/>
      <c r="D6" s="59"/>
      <c r="E6" s="59"/>
      <c r="F6" s="475"/>
      <c r="G6" s="476"/>
      <c r="H6" s="436"/>
      <c r="I6" s="59"/>
      <c r="N6" s="52"/>
      <c r="O6" s="451"/>
    </row>
    <row r="7" spans="1:17" ht="13.5" customHeight="1" x14ac:dyDescent="0.15">
      <c r="A7" s="434" t="str">
        <f>Para1!F154</f>
        <v>month</v>
      </c>
      <c r="B7" s="52"/>
      <c r="C7" s="437" t="str">
        <f>Para1!F134</f>
        <v>January</v>
      </c>
      <c r="D7" s="437" t="str">
        <f>Para1!F116</f>
        <v>February</v>
      </c>
      <c r="E7" s="437" t="str">
        <f>Para1!F147</f>
        <v>March</v>
      </c>
      <c r="F7" s="437" t="str">
        <f>Para1!F85</f>
        <v>April</v>
      </c>
      <c r="G7" s="437" t="str">
        <f>Para1!F146</f>
        <v>May</v>
      </c>
      <c r="H7" s="437" t="str">
        <f>Para1!F137</f>
        <v>June</v>
      </c>
      <c r="I7" s="437" t="str">
        <f>Para1!F136</f>
        <v>July</v>
      </c>
      <c r="J7" s="437" t="str">
        <f>Para1!F94</f>
        <v>August</v>
      </c>
      <c r="K7" s="437" t="str">
        <f>Para1!F169</f>
        <v>September</v>
      </c>
      <c r="L7" s="437" t="str">
        <f>Para1!F164</f>
        <v>October</v>
      </c>
      <c r="M7" s="437" t="str">
        <f>Para1!F162</f>
        <v>November</v>
      </c>
      <c r="N7" s="437" t="str">
        <f>Para1!F107</f>
        <v>December</v>
      </c>
      <c r="O7" s="452" t="str">
        <f>Para1!F180&amp;" Ø"</f>
        <v>total Ø</v>
      </c>
    </row>
    <row r="8" spans="1:17" ht="13.5" customHeight="1" x14ac:dyDescent="0.15">
      <c r="A8" s="434" t="str">
        <f>Para1!F97&amp;" in %"</f>
        <v>level of employment in %</v>
      </c>
      <c r="B8" s="52"/>
      <c r="C8" s="348">
        <v>0</v>
      </c>
      <c r="D8" s="348">
        <v>0</v>
      </c>
      <c r="E8" s="348">
        <v>0</v>
      </c>
      <c r="F8" s="348">
        <v>0</v>
      </c>
      <c r="G8" s="348">
        <v>0</v>
      </c>
      <c r="H8" s="348">
        <v>0</v>
      </c>
      <c r="I8" s="348">
        <v>0</v>
      </c>
      <c r="J8" s="348">
        <v>100</v>
      </c>
      <c r="K8" s="348">
        <v>100</v>
      </c>
      <c r="L8" s="348">
        <v>100</v>
      </c>
      <c r="M8" s="348">
        <v>100</v>
      </c>
      <c r="N8" s="348">
        <v>100</v>
      </c>
      <c r="O8" s="477">
        <f>IF(SUM(C8:N8)=0,0,ROUND(AVERAGE($C$8:$N$8)/(12-FREQUENCY($C$8:$N$8,0))*12,0))</f>
        <v>100</v>
      </c>
    </row>
    <row r="9" spans="1:17" ht="13.5" customHeight="1" thickBot="1" x14ac:dyDescent="0.2">
      <c r="A9" s="446" t="str">
        <f>Para1!F123</f>
        <v>salary class</v>
      </c>
      <c r="B9" s="125"/>
      <c r="C9" s="364" t="s">
        <v>247</v>
      </c>
      <c r="D9" s="364" t="str">
        <f>C9</f>
        <v>1-18</v>
      </c>
      <c r="E9" s="364" t="str">
        <f t="shared" ref="E8:N9" si="0">D9</f>
        <v>1-18</v>
      </c>
      <c r="F9" s="364" t="str">
        <f t="shared" si="0"/>
        <v>1-18</v>
      </c>
      <c r="G9" s="364" t="str">
        <f t="shared" si="0"/>
        <v>1-18</v>
      </c>
      <c r="H9" s="364" t="str">
        <f t="shared" si="0"/>
        <v>1-18</v>
      </c>
      <c r="I9" s="364" t="str">
        <f t="shared" si="0"/>
        <v>1-18</v>
      </c>
      <c r="J9" s="364" t="str">
        <f t="shared" si="0"/>
        <v>1-18</v>
      </c>
      <c r="K9" s="364" t="str">
        <f t="shared" si="0"/>
        <v>1-18</v>
      </c>
      <c r="L9" s="364" t="str">
        <f t="shared" si="0"/>
        <v>1-18</v>
      </c>
      <c r="M9" s="364" t="str">
        <f t="shared" si="0"/>
        <v>1-18</v>
      </c>
      <c r="N9" s="365" t="str">
        <f t="shared" si="0"/>
        <v>1-18</v>
      </c>
      <c r="O9" s="449"/>
      <c r="Q9" s="478"/>
    </row>
    <row r="10" spans="1:17" ht="13.5" customHeight="1" thickTop="1" x14ac:dyDescent="0.15">
      <c r="A10" s="479" t="str">
        <f>Para1!F95</f>
        <v xml:space="preserve">comment: </v>
      </c>
      <c r="B10" s="115"/>
      <c r="C10" s="615"/>
      <c r="D10" s="615"/>
      <c r="E10" s="615"/>
      <c r="F10" s="615"/>
      <c r="G10" s="615"/>
      <c r="H10" s="115"/>
      <c r="I10" s="115"/>
      <c r="J10" s="115"/>
      <c r="K10" s="115"/>
      <c r="L10" s="115"/>
      <c r="M10" s="115"/>
      <c r="N10" s="115"/>
      <c r="O10" s="578" t="str">
        <f>Para1!C269</f>
        <v>1-18</v>
      </c>
      <c r="Q10" s="478"/>
    </row>
    <row r="11" spans="1:17" ht="13.5" customHeight="1" x14ac:dyDescent="0.15">
      <c r="A11" s="434"/>
      <c r="B11" s="52"/>
      <c r="C11" s="616"/>
      <c r="D11" s="616"/>
      <c r="E11" s="616"/>
      <c r="F11" s="616"/>
      <c r="G11" s="616"/>
      <c r="H11" s="52"/>
      <c r="I11" s="52"/>
      <c r="J11" s="52"/>
      <c r="K11" s="52"/>
      <c r="L11" s="52"/>
      <c r="M11" s="52"/>
      <c r="N11" s="52"/>
      <c r="O11" s="579" t="str">
        <f>Para1!C270</f>
        <v>19-30</v>
      </c>
      <c r="Q11" s="478"/>
    </row>
    <row r="12" spans="1:17" ht="13.5" customHeight="1" thickBot="1" x14ac:dyDescent="0.2">
      <c r="A12" s="446"/>
      <c r="B12" s="125"/>
      <c r="C12" s="125"/>
      <c r="D12" s="125"/>
      <c r="E12" s="125"/>
      <c r="F12" s="125"/>
      <c r="G12" s="125"/>
      <c r="H12" s="125"/>
      <c r="I12" s="125"/>
      <c r="J12" s="125"/>
      <c r="K12" s="125"/>
      <c r="L12" s="125"/>
      <c r="M12" s="125"/>
      <c r="N12" s="125"/>
      <c r="O12" s="580" t="str">
        <f>Para1!C271</f>
        <v>LE</v>
      </c>
      <c r="Q12" s="478"/>
    </row>
    <row r="13" spans="1:17" ht="5" customHeight="1" thickTop="1" thickBot="1" x14ac:dyDescent="0.2">
      <c r="Q13" s="478"/>
    </row>
    <row r="14" spans="1:17" ht="14" thickTop="1" x14ac:dyDescent="0.15">
      <c r="A14" s="431" t="str">
        <f>Para1!F184&amp;": "&amp;Para1!C2-1&amp;" =&gt; "&amp;Para1!C2</f>
        <v>hours left from last year: 2019 =&gt; 2020</v>
      </c>
      <c r="B14" s="115"/>
      <c r="C14" s="480" t="str">
        <f>Para1!F104</f>
        <v>(please enter in hours and minutes)</v>
      </c>
      <c r="D14" s="115"/>
      <c r="E14" s="115"/>
      <c r="F14" s="115"/>
      <c r="G14" s="433"/>
      <c r="H14" s="481" t="str">
        <f>Para1!F183&amp;": "&amp;Para1!C2&amp;" =&gt; "&amp;Para1!C2+1</f>
        <v>hours to transfer to the next year: 2020 =&gt; 2021</v>
      </c>
      <c r="I14" s="115"/>
      <c r="J14" s="115"/>
      <c r="K14" s="115"/>
      <c r="L14" s="115"/>
      <c r="M14" s="115"/>
      <c r="N14" s="115"/>
      <c r="O14" s="433"/>
      <c r="Q14" s="478"/>
    </row>
    <row r="15" spans="1:17" x14ac:dyDescent="0.15">
      <c r="A15" s="434"/>
      <c r="B15" s="52"/>
      <c r="C15" s="52"/>
      <c r="D15" s="52"/>
      <c r="E15" s="52"/>
      <c r="F15" s="52"/>
      <c r="G15" s="438"/>
      <c r="H15" s="52"/>
      <c r="I15" s="52"/>
      <c r="J15" s="52"/>
      <c r="K15" s="52"/>
      <c r="L15" s="52"/>
      <c r="M15" s="52"/>
      <c r="N15" s="52"/>
      <c r="O15" s="438"/>
      <c r="Q15" s="478"/>
    </row>
    <row r="16" spans="1:17" ht="12.75" customHeight="1" x14ac:dyDescent="0.15">
      <c r="A16" s="453" t="str">
        <f>Para1!F117&amp;"-"&amp;Para1!F171&amp;" in "&amp;Para1!F176</f>
        <v>holiday-balance in hours</v>
      </c>
      <c r="B16" s="52"/>
      <c r="C16" s="583">
        <v>0</v>
      </c>
      <c r="D16" s="582"/>
      <c r="E16" s="52"/>
      <c r="F16" s="52"/>
      <c r="G16" s="438"/>
      <c r="H16" s="483" t="str">
        <f>Para1!F117&amp;"-"&amp;Para1!F171</f>
        <v>holiday-balance</v>
      </c>
      <c r="I16" s="52"/>
      <c r="J16" s="52"/>
      <c r="K16" s="470">
        <f>'Jahresübersicht (Overview)'!O17+IF(K22&lt;0,K22,0)</f>
        <v>0.72916666666666563</v>
      </c>
      <c r="L16" s="576" t="str">
        <f>IF((K16*24+(4.2*O8/100))&lt;0,Para1!J224,IF(K16&gt;0,"",Para1!J223))</f>
        <v/>
      </c>
      <c r="M16" s="550"/>
      <c r="N16" s="550"/>
      <c r="O16" s="551"/>
      <c r="Q16" s="478"/>
    </row>
    <row r="17" spans="1:17" x14ac:dyDescent="0.15">
      <c r="A17" s="434"/>
      <c r="B17" s="52"/>
      <c r="C17" s="52"/>
      <c r="D17" s="52"/>
      <c r="E17" s="52"/>
      <c r="F17" s="52"/>
      <c r="G17" s="438"/>
      <c r="H17" s="52"/>
      <c r="I17" s="52"/>
      <c r="J17" s="52"/>
      <c r="K17" s="496"/>
      <c r="L17" s="550"/>
      <c r="M17" s="550"/>
      <c r="N17" s="550"/>
      <c r="O17" s="551"/>
      <c r="Q17" s="478"/>
    </row>
    <row r="18" spans="1:17" x14ac:dyDescent="0.15">
      <c r="A18" s="610" t="str">
        <f>Para1!F182</f>
        <v>loyalty premium</v>
      </c>
      <c r="B18" s="611"/>
      <c r="C18" s="585">
        <v>0</v>
      </c>
      <c r="D18" s="482"/>
      <c r="E18" s="52"/>
      <c r="F18" s="52"/>
      <c r="G18" s="438"/>
      <c r="H18" s="52"/>
      <c r="J18" s="52"/>
      <c r="L18" s="550"/>
      <c r="M18" s="550"/>
      <c r="N18" s="550"/>
      <c r="O18" s="551"/>
      <c r="P18" s="147"/>
      <c r="Q18" s="478"/>
    </row>
    <row r="19" spans="1:17" x14ac:dyDescent="0.15">
      <c r="A19" s="453"/>
      <c r="B19" s="52"/>
      <c r="C19" s="52"/>
      <c r="D19" s="52"/>
      <c r="E19" s="52"/>
      <c r="F19" s="52"/>
      <c r="G19" s="438"/>
      <c r="H19" s="52"/>
      <c r="I19" s="483" t="str">
        <f>Para1!J217</f>
        <v>Required minimum holiday deduction</v>
      </c>
      <c r="J19" s="52"/>
      <c r="K19" s="496"/>
      <c r="L19" s="550"/>
      <c r="M19" s="550"/>
      <c r="N19" s="550"/>
      <c r="O19" s="551"/>
      <c r="P19" s="147"/>
      <c r="Q19" s="478"/>
    </row>
    <row r="20" spans="1:17" x14ac:dyDescent="0.15">
      <c r="A20" s="453"/>
      <c r="B20" s="52"/>
      <c r="C20" s="60"/>
      <c r="D20" s="484"/>
      <c r="E20" s="52"/>
      <c r="F20" s="52"/>
      <c r="G20" s="59"/>
      <c r="H20" s="434"/>
      <c r="I20" s="52" t="str">
        <f>Para1!J219</f>
        <v>Holidays taken</v>
      </c>
      <c r="J20" s="516"/>
      <c r="K20" s="460">
        <f>'Jahresübersicht (Overview)'!O15</f>
        <v>0.52500000000000002</v>
      </c>
      <c r="L20" s="52"/>
      <c r="M20" s="52"/>
      <c r="N20" s="52"/>
      <c r="O20" s="438"/>
      <c r="P20" s="147"/>
      <c r="Q20" s="478"/>
    </row>
    <row r="21" spans="1:17" x14ac:dyDescent="0.15">
      <c r="A21" s="453"/>
      <c r="B21" s="52"/>
      <c r="C21" s="584"/>
      <c r="D21" s="484"/>
      <c r="E21" s="52"/>
      <c r="F21" s="52"/>
      <c r="G21" s="52"/>
      <c r="H21" s="434"/>
      <c r="I21" s="52" t="str">
        <f>Para1!J220</f>
        <v>Min. prescribed deduction</v>
      </c>
      <c r="J21" s="437"/>
      <c r="K21" s="460">
        <f>(20*(12-FREQUENCY($C$8:$N$8,0))/12*$O$8/100*8.4)/24*(1-'Jahresübersicht (Overview)'!O16/('Jahresübersicht (Overview)'!O14-'Jahresübersicht (Overview)'!D11-'Jahresübersicht (Overview)'!G11))</f>
        <v>2.9166666666666674</v>
      </c>
      <c r="L21" s="52"/>
      <c r="M21" s="516"/>
      <c r="N21" s="460"/>
      <c r="O21" s="438"/>
      <c r="P21" s="147"/>
      <c r="Q21" s="478"/>
    </row>
    <row r="22" spans="1:17" ht="14" thickBot="1" x14ac:dyDescent="0.2">
      <c r="A22" s="446"/>
      <c r="B22" s="125"/>
      <c r="C22" s="125"/>
      <c r="D22" s="125"/>
      <c r="E22" s="125"/>
      <c r="F22" s="125"/>
      <c r="G22" s="125"/>
      <c r="H22" s="446"/>
      <c r="I22" s="125" t="str">
        <f>Para1!F110</f>
        <v>difference</v>
      </c>
      <c r="J22" s="517"/>
      <c r="K22" s="463">
        <f>K20-K21</f>
        <v>-2.3916666666666675</v>
      </c>
      <c r="L22" s="518" t="str">
        <f>IF(K22&lt;0,Para1!J218,"")</f>
        <v>Holiday: Min. deduction not (yet) O.K.</v>
      </c>
      <c r="M22" s="125"/>
      <c r="N22" s="125"/>
      <c r="O22" s="449"/>
      <c r="P22" s="147"/>
      <c r="Q22" s="478"/>
    </row>
    <row r="23" spans="1:17" ht="14" thickTop="1" x14ac:dyDescent="0.15">
      <c r="P23" s="147"/>
      <c r="Q23" s="147"/>
    </row>
    <row r="24" spans="1:17" ht="12.75" customHeight="1" x14ac:dyDescent="0.15">
      <c r="A24" s="609" t="str">
        <f>Para1!J222</f>
        <v>As off 2013, at least 20 days off per calendar year must be taken. If these minimum requirements are not met, the difference expires at the end of the calendar year without compensation (Art. 149 PV). Those days cannot be carried over to the following year.</v>
      </c>
      <c r="B24" s="609"/>
      <c r="C24" s="609"/>
      <c r="D24" s="609"/>
      <c r="E24" s="609"/>
      <c r="F24" s="609"/>
      <c r="G24" s="609"/>
      <c r="H24" s="609"/>
      <c r="I24" s="609"/>
      <c r="J24" s="609"/>
      <c r="K24" s="609"/>
      <c r="L24" s="609"/>
      <c r="M24" s="609"/>
      <c r="N24" s="609"/>
      <c r="O24" s="609"/>
      <c r="P24" s="147"/>
      <c r="Q24" s="147"/>
    </row>
    <row r="25" spans="1:17" x14ac:dyDescent="0.15">
      <c r="A25" s="609"/>
      <c r="B25" s="609"/>
      <c r="C25" s="609"/>
      <c r="D25" s="609"/>
      <c r="E25" s="609"/>
      <c r="F25" s="609"/>
      <c r="G25" s="609"/>
      <c r="H25" s="609"/>
      <c r="I25" s="609"/>
      <c r="J25" s="609"/>
      <c r="K25" s="609"/>
      <c r="L25" s="609"/>
      <c r="M25" s="609"/>
      <c r="N25" s="609"/>
      <c r="O25" s="609"/>
      <c r="P25" s="147"/>
      <c r="Q25" s="147"/>
    </row>
    <row r="26" spans="1:17" x14ac:dyDescent="0.15">
      <c r="P26" s="147"/>
      <c r="Q26" s="147"/>
    </row>
    <row r="27" spans="1:17" x14ac:dyDescent="0.15">
      <c r="B27" s="487"/>
      <c r="P27" s="147"/>
      <c r="Q27" s="147"/>
    </row>
    <row r="28" spans="1:17" x14ac:dyDescent="0.15">
      <c r="A28" s="485"/>
      <c r="P28" s="147"/>
      <c r="Q28" s="147"/>
    </row>
    <row r="29" spans="1:17" x14ac:dyDescent="0.15">
      <c r="A29" s="486"/>
      <c r="P29" s="147"/>
      <c r="Q29" s="147"/>
    </row>
    <row r="30" spans="1:17" x14ac:dyDescent="0.15">
      <c r="P30" s="147"/>
      <c r="Q30" s="147"/>
    </row>
    <row r="31" spans="1:17" x14ac:dyDescent="0.15">
      <c r="Q31" s="147"/>
    </row>
    <row r="32" spans="1:17" x14ac:dyDescent="0.15">
      <c r="H32" s="59"/>
      <c r="I32" s="59"/>
      <c r="J32" s="59"/>
      <c r="K32" s="59"/>
      <c r="Q32" s="147"/>
    </row>
    <row r="33" spans="1:17" x14ac:dyDescent="0.15">
      <c r="H33" s="59"/>
      <c r="I33" s="59"/>
      <c r="J33" s="59"/>
      <c r="K33" s="59"/>
      <c r="Q33" s="147"/>
    </row>
    <row r="34" spans="1:17" x14ac:dyDescent="0.15">
      <c r="H34" s="59"/>
      <c r="I34" s="439"/>
      <c r="J34" s="439"/>
      <c r="K34" s="439"/>
      <c r="Q34" s="147"/>
    </row>
    <row r="35" spans="1:17" x14ac:dyDescent="0.15">
      <c r="H35" s="475"/>
      <c r="I35" s="439"/>
      <c r="J35" s="439"/>
      <c r="K35" s="439"/>
      <c r="Q35" s="147"/>
    </row>
    <row r="36" spans="1:17" x14ac:dyDescent="0.15">
      <c r="H36" s="475"/>
      <c r="I36" s="439"/>
      <c r="J36" s="439"/>
      <c r="K36" s="439"/>
      <c r="Q36" s="147"/>
    </row>
    <row r="37" spans="1:17" x14ac:dyDescent="0.15">
      <c r="B37" s="469"/>
      <c r="H37" s="475"/>
      <c r="I37" s="439"/>
      <c r="J37" s="439"/>
      <c r="K37" s="439"/>
      <c r="Q37" s="147"/>
    </row>
    <row r="38" spans="1:17" x14ac:dyDescent="0.15">
      <c r="H38" s="475"/>
      <c r="I38" s="439"/>
      <c r="J38" s="439"/>
      <c r="K38" s="439"/>
      <c r="Q38" s="147"/>
    </row>
    <row r="39" spans="1:17" x14ac:dyDescent="0.15">
      <c r="A39" s="485"/>
      <c r="H39" s="59"/>
      <c r="I39" s="439"/>
      <c r="J39" s="439"/>
      <c r="K39" s="439"/>
      <c r="Q39" s="147"/>
    </row>
    <row r="40" spans="1:17" x14ac:dyDescent="0.15">
      <c r="H40" s="59"/>
      <c r="I40" s="436"/>
      <c r="J40" s="436"/>
      <c r="K40" s="436"/>
      <c r="Q40" s="147"/>
    </row>
    <row r="41" spans="1:17" x14ac:dyDescent="0.15">
      <c r="H41" s="59"/>
      <c r="I41" s="59"/>
      <c r="J41" s="59"/>
      <c r="K41" s="59"/>
      <c r="Q41" s="147"/>
    </row>
    <row r="42" spans="1:17" x14ac:dyDescent="0.15">
      <c r="H42" s="59"/>
      <c r="I42" s="59"/>
      <c r="J42" s="59"/>
      <c r="K42" s="59"/>
      <c r="Q42" s="147"/>
    </row>
    <row r="43" spans="1:17" x14ac:dyDescent="0.15">
      <c r="H43" s="59"/>
      <c r="I43" s="59"/>
      <c r="J43" s="59"/>
      <c r="K43" s="59"/>
      <c r="Q43" s="147"/>
    </row>
    <row r="44" spans="1:17" x14ac:dyDescent="0.15">
      <c r="H44" s="59"/>
      <c r="I44" s="59"/>
      <c r="J44" s="59"/>
      <c r="K44" s="59"/>
      <c r="Q44" s="147"/>
    </row>
    <row r="45" spans="1:17" x14ac:dyDescent="0.15">
      <c r="Q45" s="147"/>
    </row>
    <row r="46" spans="1:17" x14ac:dyDescent="0.15">
      <c r="Q46" s="147"/>
    </row>
    <row r="47" spans="1:17" x14ac:dyDescent="0.15">
      <c r="Q47" s="147"/>
    </row>
    <row r="48" spans="1:17" x14ac:dyDescent="0.15">
      <c r="B48" s="469"/>
      <c r="Q48" s="147"/>
    </row>
  </sheetData>
  <sheetProtection password="CF1F" sheet="1" objects="1" scenarios="1"/>
  <mergeCells count="6">
    <mergeCell ref="A24:O25"/>
    <mergeCell ref="A18:B18"/>
    <mergeCell ref="C2:D2"/>
    <mergeCell ref="G2:H2"/>
    <mergeCell ref="G5:H5"/>
    <mergeCell ref="C10:G11"/>
  </mergeCells>
  <dataValidations count="1">
    <dataValidation type="list" allowBlank="1" showInputMessage="1" showErrorMessage="1" sqref="C9:N9" xr:uid="{00000000-0002-0000-0100-000000000000}">
      <formula1>$O$10:$O$12</formula1>
    </dataValidation>
  </dataValidations>
  <pageMargins left="0.7" right="0.7" top="0.78740157499999996" bottom="0.78740157499999996" header="0.3" footer="0.3"/>
  <pageSetup paperSize="9" scale="62" fitToHeight="0" orientation="landscape" r:id="rId1"/>
  <headerFooter>
    <oddHeader>&amp;C&amp;"Arial,Fett Kursiv"&amp;16Absenzenerfassung -  &amp;A</oddHeader>
    <oddFooter>&amp;L&amp;Z&amp;F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4"/>
  <sheetViews>
    <sheetView showGridLines="0" topLeftCell="A2" zoomScaleNormal="100" workbookViewId="0">
      <selection activeCell="B34" sqref="B34"/>
    </sheetView>
  </sheetViews>
  <sheetFormatPr baseColWidth="10" defaultRowHeight="13" x14ac:dyDescent="0.15"/>
  <cols>
    <col min="1" max="1" width="13.6640625" customWidth="1"/>
    <col min="2" max="2" width="25.5" customWidth="1"/>
    <col min="3" max="14" width="13.6640625" customWidth="1"/>
    <col min="15" max="15" width="10.6640625" customWidth="1"/>
  </cols>
  <sheetData>
    <row r="1" spans="1:15" ht="13.5" customHeight="1" thickTop="1" x14ac:dyDescent="0.15">
      <c r="A1" s="431" t="str">
        <f>Para1!F166</f>
        <v>personal data</v>
      </c>
      <c r="B1" s="115"/>
      <c r="C1" s="115"/>
      <c r="D1" s="115"/>
      <c r="E1" s="115"/>
      <c r="F1" s="115"/>
      <c r="G1" s="115"/>
      <c r="H1" s="115"/>
      <c r="I1" s="115"/>
      <c r="J1" s="432"/>
      <c r="K1" s="115"/>
      <c r="L1" s="115"/>
      <c r="M1" s="115"/>
      <c r="N1" s="115"/>
      <c r="O1" s="433"/>
    </row>
    <row r="2" spans="1:15" ht="13.5" customHeight="1" x14ac:dyDescent="0.15">
      <c r="A2" s="434"/>
      <c r="B2" s="435" t="str">
        <f>Para1!F196</f>
        <v xml:space="preserve">first name: </v>
      </c>
      <c r="C2" s="617" t="str">
        <f>'Persönliche Daten (pers. data)'!C2</f>
        <v>Christina</v>
      </c>
      <c r="D2" s="618"/>
      <c r="E2" s="52"/>
      <c r="F2" s="435" t="str">
        <f>Para1!F159</f>
        <v xml:space="preserve">surname: </v>
      </c>
      <c r="G2" s="617" t="str">
        <f>'Persönliche Daten (pers. data)'!G2</f>
        <v>Wapp</v>
      </c>
      <c r="H2" s="618"/>
      <c r="I2" s="52"/>
      <c r="J2" s="435" t="str">
        <f>Para1!F133</f>
        <v xml:space="preserve">year of birth (4-digit): </v>
      </c>
      <c r="K2" s="436">
        <f>'Persönliche Daten (pers. data)'!K2</f>
        <v>1993</v>
      </c>
      <c r="L2" s="531"/>
      <c r="M2" s="59"/>
      <c r="N2" s="437" t="str">
        <f>Para1!F131</f>
        <v xml:space="preserve">year: </v>
      </c>
      <c r="O2" s="438">
        <f>Para1!C2</f>
        <v>2020</v>
      </c>
    </row>
    <row r="3" spans="1:15" ht="13.5" customHeight="1" x14ac:dyDescent="0.15">
      <c r="A3" s="434"/>
      <c r="B3" s="52"/>
      <c r="C3" s="439"/>
      <c r="D3" s="439"/>
      <c r="E3" s="52"/>
      <c r="F3" s="52"/>
      <c r="G3" s="59"/>
      <c r="H3" s="59"/>
      <c r="I3" s="52"/>
      <c r="J3" s="435"/>
      <c r="K3" s="59"/>
      <c r="L3" s="59"/>
      <c r="M3" s="59"/>
      <c r="N3" s="52"/>
      <c r="O3" s="438"/>
    </row>
    <row r="4" spans="1:15" ht="13.5" customHeight="1" x14ac:dyDescent="0.15">
      <c r="A4" s="434"/>
      <c r="B4" s="435" t="str">
        <f>Para1!F165</f>
        <v xml:space="preserve">pers.-no.: </v>
      </c>
      <c r="C4" s="436">
        <f>'Persönliche Daten (pers. data)'!C5</f>
        <v>0</v>
      </c>
      <c r="D4" s="59"/>
      <c r="E4" s="52"/>
      <c r="F4" s="435" t="str">
        <f>Para1!F113</f>
        <v xml:space="preserve">starting date: </v>
      </c>
      <c r="G4" s="619">
        <f>'Persönliche Daten (pers. data)'!G5</f>
        <v>42596</v>
      </c>
      <c r="H4" s="618"/>
      <c r="I4" s="52"/>
      <c r="J4" s="435" t="str">
        <f>Para1!F95</f>
        <v xml:space="preserve">comment: </v>
      </c>
      <c r="K4" s="620">
        <f>'Persönliche Daten (pers. data)'!C10</f>
        <v>0</v>
      </c>
      <c r="L4" s="620"/>
      <c r="M4" s="620"/>
      <c r="N4" s="52"/>
      <c r="O4" s="438"/>
    </row>
    <row r="5" spans="1:15" ht="13.5" customHeight="1" thickBot="1" x14ac:dyDescent="0.2">
      <c r="A5" s="434"/>
      <c r="B5" s="52"/>
      <c r="C5" s="52"/>
      <c r="D5" s="52"/>
      <c r="E5" s="52"/>
      <c r="F5" s="52"/>
      <c r="G5" s="52"/>
      <c r="H5" s="52"/>
      <c r="I5" s="52"/>
      <c r="J5" s="52"/>
      <c r="K5" s="621"/>
      <c r="L5" s="621"/>
      <c r="M5" s="621"/>
      <c r="N5" s="52"/>
      <c r="O5" s="438"/>
    </row>
    <row r="6" spans="1:15" ht="13.5" customHeight="1" thickTop="1" x14ac:dyDescent="0.15">
      <c r="A6" s="440"/>
      <c r="B6" s="115"/>
      <c r="C6" s="115"/>
      <c r="D6" s="115"/>
      <c r="E6" s="115"/>
      <c r="F6" s="115"/>
      <c r="G6" s="115"/>
      <c r="H6" s="115"/>
      <c r="I6" s="115"/>
      <c r="J6" s="115"/>
      <c r="K6" s="115"/>
      <c r="L6" s="115"/>
      <c r="M6" s="115"/>
      <c r="N6" s="433"/>
      <c r="O6" s="441"/>
    </row>
    <row r="7" spans="1:15" ht="13.5" customHeight="1" x14ac:dyDescent="0.15">
      <c r="A7" s="434" t="str">
        <f>Para1!F154</f>
        <v>month</v>
      </c>
      <c r="B7" s="52"/>
      <c r="C7" s="437" t="str">
        <f>Para1!F134</f>
        <v>January</v>
      </c>
      <c r="D7" s="437" t="str">
        <f>Para1!F116</f>
        <v>February</v>
      </c>
      <c r="E7" s="437" t="str">
        <f>Para1!F147</f>
        <v>March</v>
      </c>
      <c r="F7" s="437" t="str">
        <f>Para1!F85</f>
        <v>April</v>
      </c>
      <c r="G7" s="437" t="str">
        <f>Para1!F146</f>
        <v>May</v>
      </c>
      <c r="H7" s="437" t="str">
        <f>Para1!F137</f>
        <v>June</v>
      </c>
      <c r="I7" s="437" t="str">
        <f>Para1!F136</f>
        <v>July</v>
      </c>
      <c r="J7" s="437" t="str">
        <f>Para1!F94</f>
        <v>August</v>
      </c>
      <c r="K7" s="437" t="str">
        <f>Para1!F169</f>
        <v>September</v>
      </c>
      <c r="L7" s="437" t="str">
        <f>Para1!F164</f>
        <v>October</v>
      </c>
      <c r="M7" s="437" t="str">
        <f>Para1!F162</f>
        <v>November</v>
      </c>
      <c r="N7" s="442" t="str">
        <f>Para1!F107</f>
        <v>December</v>
      </c>
      <c r="O7" s="443" t="str">
        <f>Para1!F180&amp;" Ø"</f>
        <v>total Ø</v>
      </c>
    </row>
    <row r="8" spans="1:15" ht="13.5" customHeight="1" x14ac:dyDescent="0.15">
      <c r="A8" s="434" t="str">
        <f>Para1!F97&amp;" in %"</f>
        <v>level of employment in %</v>
      </c>
      <c r="B8" s="52"/>
      <c r="C8" s="59">
        <f>'Persönliche Daten (pers. data)'!C8</f>
        <v>0</v>
      </c>
      <c r="D8" s="59">
        <f>'Persönliche Daten (pers. data)'!D8</f>
        <v>0</v>
      </c>
      <c r="E8" s="59">
        <f>'Persönliche Daten (pers. data)'!E8</f>
        <v>0</v>
      </c>
      <c r="F8" s="59">
        <f>'Persönliche Daten (pers. data)'!F8</f>
        <v>0</v>
      </c>
      <c r="G8" s="59">
        <f>'Persönliche Daten (pers. data)'!G8</f>
        <v>0</v>
      </c>
      <c r="H8" s="59">
        <f>'Persönliche Daten (pers. data)'!H8</f>
        <v>0</v>
      </c>
      <c r="I8" s="59">
        <f>'Persönliche Daten (pers. data)'!I8</f>
        <v>0</v>
      </c>
      <c r="J8" s="59">
        <f>'Persönliche Daten (pers. data)'!J8</f>
        <v>100</v>
      </c>
      <c r="K8" s="59">
        <f>'Persönliche Daten (pers. data)'!K8</f>
        <v>100</v>
      </c>
      <c r="L8" s="59">
        <f>'Persönliche Daten (pers. data)'!L8</f>
        <v>100</v>
      </c>
      <c r="M8" s="59">
        <f>'Persönliche Daten (pers. data)'!M8</f>
        <v>100</v>
      </c>
      <c r="N8" s="444">
        <f>'Persönliche Daten (pers. data)'!N8</f>
        <v>100</v>
      </c>
      <c r="O8" s="445">
        <f>IF(SUM(C8:N8)=0,0,ROUND(AVERAGE($C$8:$N$8)/(12-FREQUENCY($C$8:$N$8,0))*12,0))</f>
        <v>100</v>
      </c>
    </row>
    <row r="9" spans="1:15" ht="13.5" customHeight="1" thickBot="1" x14ac:dyDescent="0.2">
      <c r="A9" s="446" t="str">
        <f>Para1!F123</f>
        <v>salary class</v>
      </c>
      <c r="B9" s="125"/>
      <c r="C9" s="447" t="str">
        <f>'Persönliche Daten (pers. data)'!C9</f>
        <v>1-18</v>
      </c>
      <c r="D9" s="447" t="str">
        <f>'Persönliche Daten (pers. data)'!D9</f>
        <v>1-18</v>
      </c>
      <c r="E9" s="447" t="str">
        <f>'Persönliche Daten (pers. data)'!E9</f>
        <v>1-18</v>
      </c>
      <c r="F9" s="447" t="str">
        <f>'Persönliche Daten (pers. data)'!F9</f>
        <v>1-18</v>
      </c>
      <c r="G9" s="447" t="str">
        <f>'Persönliche Daten (pers. data)'!G9</f>
        <v>1-18</v>
      </c>
      <c r="H9" s="447" t="str">
        <f>'Persönliche Daten (pers. data)'!H9</f>
        <v>1-18</v>
      </c>
      <c r="I9" s="447" t="str">
        <f>'Persönliche Daten (pers. data)'!I9</f>
        <v>1-18</v>
      </c>
      <c r="J9" s="447" t="str">
        <f>'Persönliche Daten (pers. data)'!J9</f>
        <v>1-18</v>
      </c>
      <c r="K9" s="447" t="str">
        <f>'Persönliche Daten (pers. data)'!K9</f>
        <v>1-18</v>
      </c>
      <c r="L9" s="447" t="str">
        <f>'Persönliche Daten (pers. data)'!L9</f>
        <v>1-18</v>
      </c>
      <c r="M9" s="447" t="str">
        <f>'Persönliche Daten (pers. data)'!M9</f>
        <v>1-18</v>
      </c>
      <c r="N9" s="448" t="str">
        <f>'Persönliche Daten (pers. data)'!N9</f>
        <v>1-18</v>
      </c>
      <c r="O9" s="449"/>
    </row>
    <row r="10" spans="1:15" ht="5" customHeight="1" thickTop="1" thickBot="1" x14ac:dyDescent="0.2">
      <c r="A10" s="58"/>
      <c r="B10" s="58"/>
      <c r="C10" s="58"/>
      <c r="D10" s="58"/>
      <c r="E10" s="58"/>
      <c r="F10" s="58"/>
      <c r="G10" s="58"/>
      <c r="H10" s="58"/>
      <c r="I10" s="58"/>
      <c r="J10" s="58"/>
      <c r="K10" s="58"/>
      <c r="L10" s="58"/>
      <c r="M10" s="58"/>
      <c r="N10" s="58"/>
      <c r="O10" s="58"/>
    </row>
    <row r="11" spans="1:15" ht="14" thickTop="1" x14ac:dyDescent="0.15">
      <c r="A11" s="431" t="str">
        <f>Para1!F117</f>
        <v>holiday</v>
      </c>
      <c r="B11" s="450"/>
      <c r="C11" s="432" t="str">
        <f>Para1!F184</f>
        <v>hours left from last year</v>
      </c>
      <c r="D11" s="473">
        <f>'Persönliche Daten (pers. data)'!C16</f>
        <v>0</v>
      </c>
      <c r="E11" s="115"/>
      <c r="F11" s="432" t="str">
        <f>Para1!F182</f>
        <v>loyalty premium</v>
      </c>
      <c r="G11" s="544">
        <f>'Persönliche Daten (pers. data)'!C18</f>
        <v>0</v>
      </c>
      <c r="H11" s="471"/>
      <c r="I11" s="472"/>
      <c r="J11" s="473"/>
      <c r="K11" s="474"/>
      <c r="L11" s="472"/>
      <c r="M11" s="473"/>
      <c r="N11" s="115"/>
      <c r="O11" s="441"/>
    </row>
    <row r="12" spans="1:15" x14ac:dyDescent="0.15">
      <c r="A12" s="434"/>
      <c r="B12" s="52"/>
      <c r="C12" s="52"/>
      <c r="D12" s="52"/>
      <c r="E12" s="52"/>
      <c r="F12" s="52"/>
      <c r="G12" s="52"/>
      <c r="H12" s="52"/>
      <c r="I12" s="52"/>
      <c r="J12" s="52"/>
      <c r="K12" s="52"/>
      <c r="L12" s="52"/>
      <c r="M12" s="52"/>
      <c r="N12" s="52"/>
      <c r="O12" s="451"/>
    </row>
    <row r="13" spans="1:15" x14ac:dyDescent="0.15">
      <c r="A13" s="434" t="str">
        <f>Para1!F154</f>
        <v>month</v>
      </c>
      <c r="B13" s="437"/>
      <c r="C13" s="437" t="str">
        <f>Para1!F134</f>
        <v>January</v>
      </c>
      <c r="D13" s="437" t="str">
        <f>Para1!F116</f>
        <v>February</v>
      </c>
      <c r="E13" s="437" t="str">
        <f>Para1!F147</f>
        <v>March</v>
      </c>
      <c r="F13" s="437" t="str">
        <f>Para1!F85</f>
        <v>April</v>
      </c>
      <c r="G13" s="437" t="str">
        <f>Para1!F146</f>
        <v>May</v>
      </c>
      <c r="H13" s="437" t="str">
        <f>Para1!F137</f>
        <v>June</v>
      </c>
      <c r="I13" s="437" t="str">
        <f>Para1!F136</f>
        <v>July</v>
      </c>
      <c r="J13" s="437" t="str">
        <f>Para1!F94</f>
        <v>August</v>
      </c>
      <c r="K13" s="437" t="str">
        <f>Para1!F169</f>
        <v>September</v>
      </c>
      <c r="L13" s="437" t="str">
        <f>Para1!F164</f>
        <v>October</v>
      </c>
      <c r="M13" s="437" t="str">
        <f>Para1!F162</f>
        <v>November</v>
      </c>
      <c r="N13" s="437" t="str">
        <f>Para1!F107</f>
        <v>December</v>
      </c>
      <c r="O13" s="452" t="str">
        <f>Para1!F180</f>
        <v>total</v>
      </c>
    </row>
    <row r="14" spans="1:15" x14ac:dyDescent="0.15">
      <c r="A14" s="453" t="str">
        <f>Para1!F181</f>
        <v>current holiday balance</v>
      </c>
      <c r="B14" s="52"/>
      <c r="C14" s="532">
        <f>IF($K$2="",0,IF(C9="",0,IF(C9="LE",VLOOKUP(Para1!$C$3,Para1!$B$6:$K$56,10,TRUE),(IF(C9="1-18",VLOOKUP(Para1!$C$3,Para1!$B$6:$K$56,8,TRUE),VLOOKUP(Para1!$C$3,Para1!$B$6:$K$56,9,TRUE))))))*C8/(100*12)+$D$11+$G$11</f>
        <v>0</v>
      </c>
      <c r="D14" s="532">
        <f>IF($K$2="",0,IF(D9="",0,IF(D9="LE",VLOOKUP(Para1!$C$3,Para1!$B$6:$K$56,10,TRUE),(IF(D9="1-18",VLOOKUP(Para1!$C$3,Para1!$B$6:$K$56,8,TRUE),VLOOKUP(Para1!$C$3,Para1!$B$6:$K$56,9,TRUE))))))*D8/(100*12)</f>
        <v>0</v>
      </c>
      <c r="E14" s="532">
        <f>IF($K$2="",0,IF(E9="",0,IF(E9="LE",VLOOKUP(Para1!$C$3,Para1!$B$6:$K$56,10,TRUE),(IF(E9="1-18",VLOOKUP(Para1!$C$3,Para1!$B$6:$K$56,8,TRUE),VLOOKUP(Para1!$C$3,Para1!$B$6:$K$56,9,TRUE))))))*E8/(100*12)</f>
        <v>0</v>
      </c>
      <c r="F14" s="532">
        <f>IF($K$2="",0,IF(F9="",0,IF(F9="LE",VLOOKUP(Para1!$C$3,Para1!$B$6:$K$56,10,TRUE),(IF(F9="1-18",VLOOKUP(Para1!$C$3,Para1!$B$6:$K$56,8,TRUE),VLOOKUP(Para1!$C$3,Para1!$B$6:$K$56,9,TRUE))))))*F8/(100*12)</f>
        <v>0</v>
      </c>
      <c r="G14" s="532">
        <f>IF($K$2="",0,IF(G9="",0,IF(G9="LE",VLOOKUP(Para1!$C$3,Para1!$B$6:$K$56,10,TRUE),(IF(G9="1-18",VLOOKUP(Para1!$C$3,Para1!$B$6:$K$56,8,TRUE),VLOOKUP(Para1!$C$3,Para1!$B$6:$K$56,9,TRUE))))))*G8/(100*12)</f>
        <v>0</v>
      </c>
      <c r="H14" s="532">
        <f>IF($K$2="",0,IF(H9="",0,IF(H9="LE",VLOOKUP(Para1!$C$3,Para1!$B$6:$K$56,10,TRUE),(IF(H9="1-18",VLOOKUP(Para1!$C$3,Para1!$B$6:$K$56,8,TRUE),VLOOKUP(Para1!$C$3,Para1!$B$6:$K$56,9,TRUE))))))*H8/(100*12)</f>
        <v>0</v>
      </c>
      <c r="I14" s="532">
        <f>IF($K$2="",0,IF(I9="",0,IF(I9="LE",VLOOKUP(Para1!$C$3,Para1!$B$6:$K$56,10,TRUE),(IF(I9="1-18",VLOOKUP(Para1!$C$3,Para1!$B$6:$K$56,8,TRUE),VLOOKUP(Para1!$C$3,Para1!$B$6:$K$56,9,TRUE))))))*I8/(100*12)</f>
        <v>0</v>
      </c>
      <c r="J14" s="532">
        <f>IF($K$2="",0,IF(J9="",0,IF(J9="LE",VLOOKUP(Para1!$C$3,Para1!$B$6:$K$56,10,TRUE),(IF(J9="1-18",VLOOKUP(Para1!$C$3,Para1!$B$6:$K$56,8,TRUE),VLOOKUP(Para1!$C$3,Para1!$B$6:$K$56,9,TRUE))))))*J8/(100*12)</f>
        <v>0.72916666666666663</v>
      </c>
      <c r="K14" s="532">
        <f>IF($K$2="",0,IF(K9="",0,IF(K9="LE",VLOOKUP(Para1!$C$3,Para1!$B$6:$K$56,10,TRUE),(IF(K9="1-18",VLOOKUP(Para1!$C$3,Para1!$B$6:$K$56,8,TRUE),VLOOKUP(Para1!$C$3,Para1!$B$6:$K$56,9,TRUE))))))*K8/(100*12)</f>
        <v>0.72916666666666663</v>
      </c>
      <c r="L14" s="532">
        <f>IF($K$2="",0,IF(L9="",0,IF(L9="LE",VLOOKUP(Para1!$C$3,Para1!$B$6:$K$56,10,TRUE),(IF(L9="1-18",VLOOKUP(Para1!$C$3,Para1!$B$6:$K$56,8,TRUE),VLOOKUP(Para1!$C$3,Para1!$B$6:$K$56,9,TRUE))))))*L8/(100*12)</f>
        <v>0.72916666666666663</v>
      </c>
      <c r="M14" s="532">
        <f>IF($K$2="",0,IF(M9="",0,IF(M9="LE",VLOOKUP(Para1!$C$3,Para1!$B$6:$K$56,10,TRUE),(IF(M9="1-18",VLOOKUP(Para1!$C$3,Para1!$B$6:$K$56,8,TRUE),VLOOKUP(Para1!$C$3,Para1!$B$6:$K$56,9,TRUE))))))*M8/(100*12)</f>
        <v>0.72916666666666663</v>
      </c>
      <c r="N14" s="532">
        <f>IF($K$2="",0,IF(N9="",0,IF(N9="LE",VLOOKUP(Para1!$C$3,Para1!$B$6:$K$56,10,TRUE),(IF(N9="1-18",VLOOKUP(Para1!$C$3,Para1!$B$6:$K$56,8,TRUE),VLOOKUP(Para1!$C$3,Para1!$B$6:$K$56,9,TRUE))))))*N8/(100*12)</f>
        <v>0.72916666666666663</v>
      </c>
      <c r="O14" s="454">
        <f>SUM(C14:N14)</f>
        <v>3.645833333333333</v>
      </c>
    </row>
    <row r="15" spans="1:15" x14ac:dyDescent="0.15">
      <c r="A15" s="455" t="str">
        <f>"./. "&amp;Para1!F103</f>
        <v>./. hours taken curr. month</v>
      </c>
      <c r="B15" s="456"/>
      <c r="C15" s="457">
        <f>Januar!$E9</f>
        <v>0</v>
      </c>
      <c r="D15" s="457">
        <f>Februar!$E9</f>
        <v>0</v>
      </c>
      <c r="E15" s="457">
        <f>Maerz!$E9</f>
        <v>0</v>
      </c>
      <c r="F15" s="457">
        <f>April!$E$9</f>
        <v>0</v>
      </c>
      <c r="G15" s="457">
        <f>Mai!$E$9</f>
        <v>0</v>
      </c>
      <c r="H15" s="457">
        <f>Juni!$E$9</f>
        <v>0</v>
      </c>
      <c r="I15" s="457">
        <f>Juli!$E$9</f>
        <v>0</v>
      </c>
      <c r="J15" s="457">
        <f>August!$E$9</f>
        <v>0.17500000000000002</v>
      </c>
      <c r="K15" s="457">
        <f>September!$E$9</f>
        <v>0</v>
      </c>
      <c r="L15" s="457">
        <f>Oktober!$E$9</f>
        <v>0.35000000000000003</v>
      </c>
      <c r="M15" s="457">
        <f>November!$E$9</f>
        <v>0</v>
      </c>
      <c r="N15" s="457">
        <f>Dezember!$E$9</f>
        <v>0</v>
      </c>
      <c r="O15" s="458">
        <f>SUM(C15:N15)</f>
        <v>0.52500000000000002</v>
      </c>
    </row>
    <row r="16" spans="1:15" x14ac:dyDescent="0.15">
      <c r="A16" s="434" t="str">
        <f>"./. "&amp;Para1!F119</f>
        <v>./. reduction of holiday</v>
      </c>
      <c r="B16" s="52"/>
      <c r="C16" s="459">
        <f>Januar!$E10</f>
        <v>0</v>
      </c>
      <c r="D16" s="459">
        <f>Februar!$E10</f>
        <v>0</v>
      </c>
      <c r="E16" s="460">
        <f>Maerz!$E10</f>
        <v>0</v>
      </c>
      <c r="F16" s="460">
        <f>April!$E10</f>
        <v>0</v>
      </c>
      <c r="G16" s="460">
        <f>Mai!$E10</f>
        <v>0</v>
      </c>
      <c r="H16" s="460">
        <f>Juni!$E10</f>
        <v>0</v>
      </c>
      <c r="I16" s="460">
        <f>Juli!$E10</f>
        <v>0</v>
      </c>
      <c r="J16" s="460">
        <f>August!$E10</f>
        <v>0</v>
      </c>
      <c r="K16" s="460">
        <f>September!$E10</f>
        <v>0</v>
      </c>
      <c r="L16" s="460">
        <f>Oktober!$E10</f>
        <v>0</v>
      </c>
      <c r="M16" s="460">
        <f>November!$E10</f>
        <v>0</v>
      </c>
      <c r="N16" s="460">
        <f>Dezember!$E10</f>
        <v>0</v>
      </c>
      <c r="O16" s="454">
        <f>SUM(C16:N16)</f>
        <v>0</v>
      </c>
    </row>
    <row r="17" spans="1:15" ht="14" thickBot="1" x14ac:dyDescent="0.2">
      <c r="A17" s="461" t="str">
        <f>Para1!F172</f>
        <v>current balance</v>
      </c>
      <c r="B17" s="462"/>
      <c r="C17" s="463">
        <f>O14-C15-C16</f>
        <v>3.645833333333333</v>
      </c>
      <c r="D17" s="463">
        <f>C17-D15-D16</f>
        <v>3.645833333333333</v>
      </c>
      <c r="E17" s="463">
        <f t="shared" ref="E17:N17" si="0">D17-E15-E16</f>
        <v>3.645833333333333</v>
      </c>
      <c r="F17" s="463">
        <f t="shared" si="0"/>
        <v>3.645833333333333</v>
      </c>
      <c r="G17" s="463">
        <f t="shared" si="0"/>
        <v>3.645833333333333</v>
      </c>
      <c r="H17" s="463">
        <f t="shared" si="0"/>
        <v>3.645833333333333</v>
      </c>
      <c r="I17" s="463">
        <f t="shared" si="0"/>
        <v>3.645833333333333</v>
      </c>
      <c r="J17" s="463">
        <f t="shared" si="0"/>
        <v>3.4708333333333332</v>
      </c>
      <c r="K17" s="463">
        <f t="shared" si="0"/>
        <v>3.4708333333333332</v>
      </c>
      <c r="L17" s="463">
        <f t="shared" si="0"/>
        <v>3.1208333333333331</v>
      </c>
      <c r="M17" s="463">
        <f t="shared" si="0"/>
        <v>3.1208333333333331</v>
      </c>
      <c r="N17" s="463">
        <f t="shared" si="0"/>
        <v>3.1208333333333331</v>
      </c>
      <c r="O17" s="464">
        <f>N17</f>
        <v>3.1208333333333331</v>
      </c>
    </row>
    <row r="18" spans="1:15" ht="5" customHeight="1" thickTop="1" thickBot="1" x14ac:dyDescent="0.2">
      <c r="A18" s="58"/>
      <c r="B18" s="58"/>
      <c r="C18" s="58"/>
      <c r="D18" s="58"/>
      <c r="E18" s="58"/>
      <c r="F18" s="58"/>
      <c r="G18" s="58"/>
      <c r="H18" s="58"/>
      <c r="I18" s="58"/>
      <c r="J18" s="58"/>
      <c r="K18" s="58"/>
      <c r="L18" s="58"/>
      <c r="M18" s="58"/>
      <c r="N18" s="58"/>
      <c r="O18" s="58"/>
    </row>
    <row r="19" spans="1:15" ht="14" thickTop="1" x14ac:dyDescent="0.15">
      <c r="A19" s="431" t="str">
        <f>Para1!F83</f>
        <v>absences</v>
      </c>
      <c r="B19" s="115"/>
      <c r="C19" s="115"/>
      <c r="D19" s="115"/>
      <c r="E19" s="115"/>
      <c r="F19" s="115"/>
      <c r="G19" s="115"/>
      <c r="H19" s="115"/>
      <c r="I19" s="115"/>
      <c r="J19" s="115"/>
      <c r="K19" s="115"/>
      <c r="L19" s="115"/>
      <c r="M19" s="115"/>
      <c r="N19" s="115"/>
      <c r="O19" s="441"/>
    </row>
    <row r="20" spans="1:15" x14ac:dyDescent="0.15">
      <c r="A20" s="434"/>
      <c r="B20" s="52"/>
      <c r="C20" s="52"/>
      <c r="D20" s="52"/>
      <c r="E20" s="52"/>
      <c r="F20" s="52"/>
      <c r="G20" s="52"/>
      <c r="H20" s="52"/>
      <c r="I20" s="52"/>
      <c r="J20" s="52"/>
      <c r="K20" s="52"/>
      <c r="L20" s="52"/>
      <c r="M20" s="52"/>
      <c r="N20" s="52"/>
      <c r="O20" s="451"/>
    </row>
    <row r="21" spans="1:15" x14ac:dyDescent="0.15">
      <c r="A21" s="434" t="str">
        <f>Para1!F154</f>
        <v>month</v>
      </c>
      <c r="B21" s="52"/>
      <c r="C21" s="437" t="str">
        <f>Para1!F134</f>
        <v>January</v>
      </c>
      <c r="D21" s="437" t="str">
        <f>Para1!F116</f>
        <v>February</v>
      </c>
      <c r="E21" s="437" t="str">
        <f>Para1!F147</f>
        <v>March</v>
      </c>
      <c r="F21" s="437" t="str">
        <f>Para1!F85</f>
        <v>April</v>
      </c>
      <c r="G21" s="437" t="str">
        <f>Para1!F146</f>
        <v>May</v>
      </c>
      <c r="H21" s="437" t="str">
        <f>Para1!F137</f>
        <v>June</v>
      </c>
      <c r="I21" s="437" t="str">
        <f>Para1!F136</f>
        <v>July</v>
      </c>
      <c r="J21" s="437" t="str">
        <f>Para1!F94</f>
        <v>August</v>
      </c>
      <c r="K21" s="437" t="str">
        <f>Para1!F169</f>
        <v>September</v>
      </c>
      <c r="L21" s="437" t="str">
        <f>Para1!F164</f>
        <v>October</v>
      </c>
      <c r="M21" s="437" t="str">
        <f>Para1!F162</f>
        <v>November</v>
      </c>
      <c r="N21" s="437" t="str">
        <f>Para1!F107</f>
        <v>December</v>
      </c>
      <c r="O21" s="452" t="str">
        <f>Para1!F180</f>
        <v>total</v>
      </c>
    </row>
    <row r="22" spans="1:15" x14ac:dyDescent="0.15">
      <c r="A22" s="465" t="str">
        <f>Para1!F141</f>
        <v>illness</v>
      </c>
      <c r="B22" s="466"/>
      <c r="C22" s="545">
        <f>Januar!$L8</f>
        <v>0</v>
      </c>
      <c r="D22" s="545">
        <f>Februar!$L8</f>
        <v>0</v>
      </c>
      <c r="E22" s="545">
        <f>Maerz!$L8</f>
        <v>0</v>
      </c>
      <c r="F22" s="545">
        <f>April!$L8</f>
        <v>0</v>
      </c>
      <c r="G22" s="545">
        <f>Mai!$L8</f>
        <v>0</v>
      </c>
      <c r="H22" s="545">
        <f>Juni!$L8</f>
        <v>0</v>
      </c>
      <c r="I22" s="545">
        <f>Juli!$L8</f>
        <v>0</v>
      </c>
      <c r="J22" s="545">
        <f>August!$L8</f>
        <v>0</v>
      </c>
      <c r="K22" s="545">
        <f>September!$L8</f>
        <v>0</v>
      </c>
      <c r="L22" s="545">
        <f>Oktober!$L8</f>
        <v>0</v>
      </c>
      <c r="M22" s="545">
        <f>November!$L8</f>
        <v>0</v>
      </c>
      <c r="N22" s="545">
        <f>Dezember!$L8</f>
        <v>0</v>
      </c>
      <c r="O22" s="467">
        <f>SUM(C22:N22)</f>
        <v>0</v>
      </c>
    </row>
    <row r="23" spans="1:15" x14ac:dyDescent="0.15">
      <c r="A23" s="434" t="str">
        <f>Para1!F190&amp;" "&amp;Para1!F99</f>
        <v>accident work related</v>
      </c>
      <c r="B23" s="52"/>
      <c r="C23" s="546">
        <f>Januar!$L9</f>
        <v>0</v>
      </c>
      <c r="D23" s="546">
        <f>Februar!$L9</f>
        <v>0</v>
      </c>
      <c r="E23" s="546">
        <f>Maerz!$L9</f>
        <v>0</v>
      </c>
      <c r="F23" s="546">
        <f>April!$L9</f>
        <v>0</v>
      </c>
      <c r="G23" s="546">
        <f>Mai!$L9</f>
        <v>0</v>
      </c>
      <c r="H23" s="546">
        <f>Juni!$L9</f>
        <v>0</v>
      </c>
      <c r="I23" s="546">
        <f>Juli!$L9</f>
        <v>0</v>
      </c>
      <c r="J23" s="546">
        <f>August!$L9</f>
        <v>0</v>
      </c>
      <c r="K23" s="546">
        <f>September!$L9</f>
        <v>0</v>
      </c>
      <c r="L23" s="546">
        <f>Oktober!$L9</f>
        <v>0</v>
      </c>
      <c r="M23" s="546">
        <f>November!$L9</f>
        <v>0</v>
      </c>
      <c r="N23" s="546">
        <f>Dezember!$L9</f>
        <v>0</v>
      </c>
      <c r="O23" s="468">
        <f t="shared" ref="O23:O31" si="1">SUM(C23:N23)</f>
        <v>0</v>
      </c>
    </row>
    <row r="24" spans="1:15" x14ac:dyDescent="0.15">
      <c r="A24" s="465" t="str">
        <f>Para1!F190&amp;" "&amp;Para1!F161&amp;" "&amp;Para1!F99</f>
        <v>accident not work related</v>
      </c>
      <c r="B24" s="466"/>
      <c r="C24" s="545">
        <f>Januar!$L10</f>
        <v>0</v>
      </c>
      <c r="D24" s="545">
        <f>Februar!$L10</f>
        <v>0</v>
      </c>
      <c r="E24" s="545">
        <f>Maerz!$L10</f>
        <v>0</v>
      </c>
      <c r="F24" s="545">
        <f>April!$L10</f>
        <v>0</v>
      </c>
      <c r="G24" s="545">
        <f>Mai!$L10</f>
        <v>0</v>
      </c>
      <c r="H24" s="545">
        <f>Juni!$L10</f>
        <v>0</v>
      </c>
      <c r="I24" s="545">
        <f>Juli!$L10</f>
        <v>0</v>
      </c>
      <c r="J24" s="545">
        <f>August!$L10</f>
        <v>0</v>
      </c>
      <c r="K24" s="545">
        <f>September!$L10</f>
        <v>0</v>
      </c>
      <c r="L24" s="545">
        <f>Oktober!$L10</f>
        <v>0</v>
      </c>
      <c r="M24" s="545">
        <f>November!$L10</f>
        <v>0</v>
      </c>
      <c r="N24" s="545">
        <f>Dezember!$L10</f>
        <v>0</v>
      </c>
      <c r="O24" s="467">
        <f t="shared" si="1"/>
        <v>0</v>
      </c>
    </row>
    <row r="25" spans="1:15" x14ac:dyDescent="0.15">
      <c r="A25" s="434" t="str">
        <f>Para1!F142</f>
        <v>short vacation</v>
      </c>
      <c r="B25" s="52"/>
      <c r="C25" s="546">
        <f>Januar!$L11</f>
        <v>0</v>
      </c>
      <c r="D25" s="546">
        <f>Februar!$L11</f>
        <v>0</v>
      </c>
      <c r="E25" s="546">
        <f>Maerz!$L11</f>
        <v>0</v>
      </c>
      <c r="F25" s="546">
        <f>April!$L11</f>
        <v>0</v>
      </c>
      <c r="G25" s="546">
        <f>Mai!$L11</f>
        <v>0</v>
      </c>
      <c r="H25" s="546">
        <f>Juni!$L11</f>
        <v>0</v>
      </c>
      <c r="I25" s="546">
        <f>Juli!$L11</f>
        <v>0</v>
      </c>
      <c r="J25" s="546">
        <f>August!$L11</f>
        <v>0</v>
      </c>
      <c r="K25" s="546">
        <f>September!$L11</f>
        <v>0</v>
      </c>
      <c r="L25" s="546">
        <f>Oktober!$L11</f>
        <v>0</v>
      </c>
      <c r="M25" s="546">
        <f>November!$L11</f>
        <v>0</v>
      </c>
      <c r="N25" s="546">
        <f>Dezember!$L11</f>
        <v>0</v>
      </c>
      <c r="O25" s="468">
        <f t="shared" si="1"/>
        <v>0</v>
      </c>
    </row>
    <row r="26" spans="1:15" x14ac:dyDescent="0.15">
      <c r="A26" s="465" t="str">
        <f>Para1!F198</f>
        <v>training / education</v>
      </c>
      <c r="B26" s="466"/>
      <c r="C26" s="545">
        <f>Januar!$L12</f>
        <v>0</v>
      </c>
      <c r="D26" s="545">
        <f>Februar!$L12</f>
        <v>0</v>
      </c>
      <c r="E26" s="545">
        <f>Maerz!$L12</f>
        <v>0</v>
      </c>
      <c r="F26" s="545">
        <f>April!$L12</f>
        <v>0</v>
      </c>
      <c r="G26" s="545">
        <f>Mai!$L12</f>
        <v>0</v>
      </c>
      <c r="H26" s="545">
        <f>Juni!$L12</f>
        <v>0</v>
      </c>
      <c r="I26" s="545">
        <f>Juli!$L12</f>
        <v>0</v>
      </c>
      <c r="J26" s="545">
        <f>August!$L12</f>
        <v>0</v>
      </c>
      <c r="K26" s="545">
        <f>September!$L12</f>
        <v>0</v>
      </c>
      <c r="L26" s="545">
        <f>Oktober!$L12</f>
        <v>0</v>
      </c>
      <c r="M26" s="545">
        <f>November!$L12</f>
        <v>0</v>
      </c>
      <c r="N26" s="545">
        <f>Dezember!$L12</f>
        <v>0</v>
      </c>
      <c r="O26" s="467">
        <f t="shared" si="1"/>
        <v>0</v>
      </c>
    </row>
    <row r="27" spans="1:15" x14ac:dyDescent="0.15">
      <c r="A27" s="434" t="str">
        <f>Para1!F163</f>
        <v>public office</v>
      </c>
      <c r="B27" s="52"/>
      <c r="C27" s="546">
        <f>Januar!$L13</f>
        <v>0</v>
      </c>
      <c r="D27" s="546">
        <f>Februar!$L13</f>
        <v>0</v>
      </c>
      <c r="E27" s="546">
        <f>Maerz!$L13</f>
        <v>0</v>
      </c>
      <c r="F27" s="546">
        <f>April!$L13</f>
        <v>0</v>
      </c>
      <c r="G27" s="546">
        <f>Mai!$L13</f>
        <v>0</v>
      </c>
      <c r="H27" s="546">
        <f>Juni!$L13</f>
        <v>0</v>
      </c>
      <c r="I27" s="546">
        <f>Juli!$L13</f>
        <v>0</v>
      </c>
      <c r="J27" s="546">
        <f>August!$L13</f>
        <v>0</v>
      </c>
      <c r="K27" s="546">
        <f>September!$L13</f>
        <v>0</v>
      </c>
      <c r="L27" s="546">
        <f>Oktober!$L13</f>
        <v>0</v>
      </c>
      <c r="M27" s="546">
        <f>November!$L13</f>
        <v>0</v>
      </c>
      <c r="N27" s="546">
        <f>Dezember!$L13</f>
        <v>0</v>
      </c>
      <c r="O27" s="468">
        <f t="shared" si="1"/>
        <v>0</v>
      </c>
    </row>
    <row r="28" spans="1:15" x14ac:dyDescent="0.15">
      <c r="A28" s="465" t="str">
        <f>Para1!F192&amp;" "&amp;Para1!F101</f>
        <v>leave paid</v>
      </c>
      <c r="B28" s="466"/>
      <c r="C28" s="545">
        <f>Januar!$L14</f>
        <v>0</v>
      </c>
      <c r="D28" s="545">
        <f>Februar!$L14</f>
        <v>0</v>
      </c>
      <c r="E28" s="545">
        <f>Maerz!$L14</f>
        <v>0</v>
      </c>
      <c r="F28" s="549">
        <f>April!$L14</f>
        <v>0</v>
      </c>
      <c r="G28" s="545">
        <f>Mai!$L14</f>
        <v>0</v>
      </c>
      <c r="H28" s="545">
        <f>Juni!$L14</f>
        <v>0</v>
      </c>
      <c r="I28" s="545">
        <f>Juli!$L14</f>
        <v>0</v>
      </c>
      <c r="J28" s="545">
        <f>August!$L14</f>
        <v>0</v>
      </c>
      <c r="K28" s="545">
        <f>September!$L14</f>
        <v>0</v>
      </c>
      <c r="L28" s="545">
        <f>Oktober!$L14</f>
        <v>0</v>
      </c>
      <c r="M28" s="545">
        <f>November!$L14</f>
        <v>0</v>
      </c>
      <c r="N28" s="545">
        <f>Dezember!$L14</f>
        <v>0</v>
      </c>
      <c r="O28" s="467">
        <f t="shared" si="1"/>
        <v>0</v>
      </c>
    </row>
    <row r="29" spans="1:15" x14ac:dyDescent="0.15">
      <c r="A29" s="434" t="str">
        <f>Para1!F192&amp;" "&amp;Para1!F189</f>
        <v>leave unpaid</v>
      </c>
      <c r="B29" s="52"/>
      <c r="C29" s="546">
        <f>Januar!$L15</f>
        <v>0</v>
      </c>
      <c r="D29" s="546">
        <f>Februar!$L15</f>
        <v>0</v>
      </c>
      <c r="E29" s="546">
        <f>Maerz!$L15</f>
        <v>0</v>
      </c>
      <c r="F29" s="546">
        <f>April!$L15</f>
        <v>0</v>
      </c>
      <c r="G29" s="546">
        <f>Mai!$L15</f>
        <v>0</v>
      </c>
      <c r="H29" s="546">
        <f>Juni!$L15</f>
        <v>0</v>
      </c>
      <c r="I29" s="546">
        <f>Juli!$L15</f>
        <v>0</v>
      </c>
      <c r="J29" s="546">
        <f>August!$L15</f>
        <v>0</v>
      </c>
      <c r="K29" s="546">
        <f>September!$L15</f>
        <v>0</v>
      </c>
      <c r="L29" s="546">
        <f>Oktober!$L15</f>
        <v>0</v>
      </c>
      <c r="M29" s="546">
        <f>November!$L15</f>
        <v>0</v>
      </c>
      <c r="N29" s="546">
        <f>Dezember!$L15</f>
        <v>0</v>
      </c>
      <c r="O29" s="468">
        <f t="shared" si="1"/>
        <v>0</v>
      </c>
    </row>
    <row r="30" spans="1:15" x14ac:dyDescent="0.15">
      <c r="A30" s="465" t="str">
        <f>Para1!F157</f>
        <v>parental leave</v>
      </c>
      <c r="B30" s="466"/>
      <c r="C30" s="545">
        <f>Januar!$L16</f>
        <v>0</v>
      </c>
      <c r="D30" s="545">
        <f>Februar!$L16</f>
        <v>0</v>
      </c>
      <c r="E30" s="545">
        <f>Maerz!$L16</f>
        <v>0</v>
      </c>
      <c r="F30" s="545">
        <f>April!$L16</f>
        <v>0</v>
      </c>
      <c r="G30" s="545">
        <f>Mai!$L16</f>
        <v>0</v>
      </c>
      <c r="H30" s="545">
        <f>Juni!$L16</f>
        <v>0</v>
      </c>
      <c r="I30" s="545">
        <f>Juli!$L16</f>
        <v>0</v>
      </c>
      <c r="J30" s="545">
        <f>August!$L16</f>
        <v>0</v>
      </c>
      <c r="K30" s="545">
        <f>September!$L16</f>
        <v>0</v>
      </c>
      <c r="L30" s="545">
        <f>Oktober!$L16</f>
        <v>0</v>
      </c>
      <c r="M30" s="545">
        <f>November!$L16</f>
        <v>0</v>
      </c>
      <c r="N30" s="545">
        <f>Dezember!$L16</f>
        <v>0</v>
      </c>
      <c r="O30" s="467">
        <f t="shared" si="1"/>
        <v>0</v>
      </c>
    </row>
    <row r="31" spans="1:15" x14ac:dyDescent="0.15">
      <c r="A31" s="434" t="str">
        <f>Para1!F150</f>
        <v>military/civil def./civil serv.</v>
      </c>
      <c r="B31" s="52"/>
      <c r="C31" s="546">
        <f>Januar!$L17</f>
        <v>0</v>
      </c>
      <c r="D31" s="546">
        <f>Februar!$L17</f>
        <v>0</v>
      </c>
      <c r="E31" s="546">
        <f>Maerz!$L17</f>
        <v>0</v>
      </c>
      <c r="F31" s="546">
        <f>April!$L17</f>
        <v>0</v>
      </c>
      <c r="G31" s="546">
        <f>Mai!$L17</f>
        <v>0</v>
      </c>
      <c r="H31" s="546">
        <f>Juni!$L17</f>
        <v>0</v>
      </c>
      <c r="I31" s="546">
        <f>Juli!$L17</f>
        <v>0</v>
      </c>
      <c r="J31" s="546">
        <f>August!$L17</f>
        <v>0</v>
      </c>
      <c r="K31" s="546">
        <f>September!$L17</f>
        <v>0</v>
      </c>
      <c r="L31" s="546">
        <f>Oktober!$L17</f>
        <v>0</v>
      </c>
      <c r="M31" s="546">
        <f>November!$L17</f>
        <v>0</v>
      </c>
      <c r="N31" s="546">
        <f>Dezember!$L17</f>
        <v>0</v>
      </c>
      <c r="O31" s="468">
        <f t="shared" si="1"/>
        <v>0</v>
      </c>
    </row>
    <row r="32" spans="1:15" ht="14" thickBot="1" x14ac:dyDescent="0.2">
      <c r="A32" s="461" t="str">
        <f>Para1!F180</f>
        <v>total</v>
      </c>
      <c r="B32" s="462"/>
      <c r="C32" s="547">
        <f>SUM(C22:C31)</f>
        <v>0</v>
      </c>
      <c r="D32" s="547">
        <f t="shared" ref="D32:N32" si="2">SUM(D22:D31)</f>
        <v>0</v>
      </c>
      <c r="E32" s="547">
        <f t="shared" si="2"/>
        <v>0</v>
      </c>
      <c r="F32" s="547">
        <f t="shared" si="2"/>
        <v>0</v>
      </c>
      <c r="G32" s="547">
        <f t="shared" si="2"/>
        <v>0</v>
      </c>
      <c r="H32" s="547">
        <f t="shared" si="2"/>
        <v>0</v>
      </c>
      <c r="I32" s="547">
        <f t="shared" si="2"/>
        <v>0</v>
      </c>
      <c r="J32" s="547">
        <f t="shared" si="2"/>
        <v>0</v>
      </c>
      <c r="K32" s="547">
        <f t="shared" si="2"/>
        <v>0</v>
      </c>
      <c r="L32" s="547">
        <f t="shared" si="2"/>
        <v>0</v>
      </c>
      <c r="M32" s="547">
        <f t="shared" si="2"/>
        <v>0</v>
      </c>
      <c r="N32" s="547">
        <f t="shared" si="2"/>
        <v>0</v>
      </c>
      <c r="O32" s="464"/>
    </row>
    <row r="33" spans="1:15" ht="14" thickTop="1" x14ac:dyDescent="0.15">
      <c r="O33" s="252" t="str">
        <f>Para1!G2</f>
        <v>AE v1_01 20.08.2019</v>
      </c>
    </row>
    <row r="34" spans="1:15" ht="15.75" customHeight="1" x14ac:dyDescent="0.15">
      <c r="A34" s="94" t="str">
        <f>Para1!F106</f>
        <v>date</v>
      </c>
      <c r="B34" s="244"/>
      <c r="D34" t="str">
        <f>Para1!F191&amp;" "&amp;Para1!F152</f>
        <v>signature employee</v>
      </c>
      <c r="F34" s="244"/>
      <c r="G34" s="244"/>
      <c r="H34" s="244"/>
      <c r="J34" t="str">
        <f>Para1!F191&amp;" "&amp;Para1!F193</f>
        <v>signature manager</v>
      </c>
      <c r="L34" s="244"/>
      <c r="M34" s="244"/>
      <c r="N34" s="244"/>
    </row>
  </sheetData>
  <sheetProtection password="CF1F" sheet="1" objects="1" scenarios="1"/>
  <mergeCells count="4">
    <mergeCell ref="C2:D2"/>
    <mergeCell ref="G2:H2"/>
    <mergeCell ref="G4:H4"/>
    <mergeCell ref="K4:M5"/>
  </mergeCells>
  <conditionalFormatting sqref="C15:N16 C22:N31">
    <cfRule type="cellIs" dxfId="89" priority="1" operator="equal">
      <formula>0</formula>
    </cfRule>
  </conditionalFormatting>
  <pageMargins left="0.70866141732283472" right="0.70866141732283472" top="0.78740157480314965" bottom="0.78740157480314965" header="0.31496062992125984" footer="0.31496062992125984"/>
  <pageSetup paperSize="9" scale="62" fitToHeight="0" orientation="landscape" r:id="rId1"/>
  <headerFooter>
    <oddHeader>&amp;C&amp;"Arial,Fett Kursiv"&amp;16Absenzenerfassung -  &amp;A</oddHeader>
    <oddFooter>&amp;L&amp;Z&amp;F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pageSetUpPr fitToPage="1"/>
  </sheetPr>
  <dimension ref="A1:AQ62"/>
  <sheetViews>
    <sheetView showGridLines="0" topLeftCell="A7"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8" width="12.6640625" style="11" customWidth="1"/>
    <col min="9" max="9" width="12.6640625" style="58" customWidth="1"/>
    <col min="10" max="10" width="2.83203125" style="58" customWidth="1"/>
    <col min="11" max="12" width="12.6640625" style="58" customWidth="1"/>
    <col min="13" max="14" width="11.83203125" style="11" customWidth="1"/>
    <col min="15" max="15" width="11.5" style="11"/>
    <col min="16" max="17" width="12.6640625" style="11" customWidth="1"/>
    <col min="18" max="23" width="0" style="11" hidden="1" customWidth="1"/>
    <col min="24" max="16384" width="11.5" style="11"/>
  </cols>
  <sheetData>
    <row r="1" spans="1:43" x14ac:dyDescent="0.15">
      <c r="A1" s="636" t="str">
        <f>Para1!F196</f>
        <v xml:space="preserve">first name: </v>
      </c>
      <c r="B1" s="636"/>
      <c r="C1" s="180"/>
      <c r="D1" s="642" t="str">
        <f>'Jahresübersicht (Overview)'!C2</f>
        <v>Christina</v>
      </c>
      <c r="E1" s="642"/>
      <c r="F1" s="8" t="str">
        <f>Para1!F159</f>
        <v xml:space="preserve">surname: </v>
      </c>
      <c r="G1" s="28" t="str">
        <f>'Jahresübersicht (Overview)'!G2</f>
        <v>Wapp</v>
      </c>
      <c r="J1" s="8"/>
      <c r="K1" s="8" t="str">
        <f>Para1!F133</f>
        <v xml:space="preserve">year of birth (4-digit): </v>
      </c>
      <c r="L1" s="248">
        <f>'Jahresübersicht (Overview)'!K2</f>
        <v>1993</v>
      </c>
      <c r="N1" s="5"/>
      <c r="O1" s="10"/>
      <c r="P1" s="10"/>
      <c r="AO1" s="58"/>
      <c r="AP1" s="58"/>
    </row>
    <row r="2" spans="1:43" ht="6" customHeight="1" x14ac:dyDescent="0.15">
      <c r="D2" s="7"/>
      <c r="E2" s="7"/>
      <c r="F2" s="7"/>
      <c r="G2" s="7"/>
      <c r="I2" s="7"/>
      <c r="J2" s="7"/>
      <c r="K2" s="7"/>
      <c r="L2" s="7"/>
      <c r="M2" s="5"/>
      <c r="N2" s="5"/>
      <c r="AO2" s="58"/>
      <c r="AP2" s="58"/>
    </row>
    <row r="3" spans="1:43" x14ac:dyDescent="0.15">
      <c r="A3" s="636" t="str">
        <f>Para1!F165</f>
        <v xml:space="preserve">pers.-no.: </v>
      </c>
      <c r="B3" s="636"/>
      <c r="C3" s="180"/>
      <c r="D3" s="28">
        <f>'Jahresübersicht (Overview)'!C4</f>
        <v>0</v>
      </c>
      <c r="E3" s="7"/>
      <c r="F3" s="8" t="str">
        <f>Para1!F97&amp;": "</f>
        <v xml:space="preserve">level of employment: </v>
      </c>
      <c r="G3" s="29">
        <f>'Jahresübersicht (Overview)'!C8</f>
        <v>0</v>
      </c>
      <c r="H3" s="11" t="s">
        <v>215</v>
      </c>
      <c r="J3" s="180"/>
      <c r="K3" s="245" t="str">
        <f>Para1!F113</f>
        <v xml:space="preserve">starting date: </v>
      </c>
      <c r="L3" s="247">
        <f>'Jahresübersicht (Overview)'!G4</f>
        <v>42596</v>
      </c>
      <c r="M3" s="181"/>
      <c r="N3" s="181"/>
      <c r="AL3" s="58"/>
      <c r="AM3" s="58"/>
    </row>
    <row r="4" spans="1:43" ht="6" customHeight="1" x14ac:dyDescent="0.15">
      <c r="A4" s="12"/>
      <c r="B4" s="13"/>
      <c r="C4" s="13"/>
      <c r="D4" s="14"/>
      <c r="E4" s="14"/>
      <c r="F4" s="14"/>
      <c r="G4" s="14"/>
      <c r="H4" s="14"/>
      <c r="I4" s="15"/>
      <c r="J4" s="15"/>
      <c r="K4" s="15"/>
      <c r="L4" s="15"/>
      <c r="M4" s="13"/>
      <c r="N4" s="13"/>
      <c r="AH4" s="16"/>
      <c r="AI4" s="16"/>
      <c r="AJ4" s="16"/>
      <c r="AK4" s="16"/>
      <c r="AL4" s="52"/>
      <c r="AM4" s="52"/>
      <c r="AN4" s="16"/>
      <c r="AO4" s="16"/>
      <c r="AP4" s="16"/>
      <c r="AQ4" s="16"/>
    </row>
    <row r="5" spans="1:43" ht="6" customHeight="1" x14ac:dyDescent="0.15">
      <c r="D5" s="7"/>
      <c r="E5" s="7"/>
      <c r="F5" s="7"/>
      <c r="G5" s="7"/>
      <c r="H5" s="7"/>
      <c r="I5" s="9"/>
      <c r="J5" s="9"/>
      <c r="K5" s="9"/>
      <c r="L5" s="9"/>
      <c r="AL5" s="58"/>
      <c r="AM5" s="58"/>
    </row>
    <row r="6" spans="1:43" ht="15" customHeight="1" x14ac:dyDescent="0.15">
      <c r="D6" s="7"/>
      <c r="E6" s="21"/>
      <c r="F6" s="7"/>
      <c r="G6" s="7"/>
      <c r="H6" s="7"/>
      <c r="I6" s="9"/>
      <c r="J6" s="9"/>
      <c r="K6" s="9"/>
      <c r="L6" s="9"/>
    </row>
    <row r="7" spans="1:43" ht="15" customHeight="1" x14ac:dyDescent="0.15">
      <c r="C7" s="250"/>
      <c r="D7" s="199" t="str">
        <f>Para1!F117</f>
        <v>holiday</v>
      </c>
      <c r="E7" s="195" t="s">
        <v>88</v>
      </c>
      <c r="I7" s="8" t="str">
        <f>Para1!F83</f>
        <v>absences</v>
      </c>
      <c r="J7" s="5" t="s">
        <v>88</v>
      </c>
      <c r="K7" s="5"/>
      <c r="L7" s="18" t="str">
        <f>Para1!F84</f>
        <v>curr. mnth</v>
      </c>
      <c r="M7" s="5"/>
      <c r="N7" s="19" t="str">
        <f>Para1!F171</f>
        <v>balance</v>
      </c>
      <c r="O7" s="101"/>
      <c r="AO7" s="58"/>
      <c r="AP7" s="58"/>
    </row>
    <row r="8" spans="1:43" ht="15" customHeight="1" x14ac:dyDescent="0.15">
      <c r="D8" s="198" t="str">
        <f>Para1!B171&amp;" "&amp;Para1!B88&amp;" "&amp;Para1!B154</f>
        <v>Saldo Anfang Monat</v>
      </c>
      <c r="E8" s="201">
        <f>'Jahresübersicht (Overview)'!O14</f>
        <v>3.645833333333333</v>
      </c>
      <c r="I8" s="21" t="str">
        <f>Para1!F141</f>
        <v>illness</v>
      </c>
      <c r="J8" s="91"/>
      <c r="K8" s="5"/>
      <c r="L8" s="161">
        <f>D54</f>
        <v>0</v>
      </c>
      <c r="M8" s="161"/>
      <c r="N8" s="93">
        <f t="shared" ref="N8:N13" si="0">SUM(L8:M8)</f>
        <v>0</v>
      </c>
      <c r="AN8" s="58"/>
      <c r="AO8" s="58"/>
      <c r="AP8" s="58"/>
    </row>
    <row r="9" spans="1:43" ht="15" customHeight="1" x14ac:dyDescent="0.15">
      <c r="D9" s="198" t="str">
        <f>"./. "&amp;Para1!F118</f>
        <v>./. holiday taken</v>
      </c>
      <c r="E9" s="201">
        <f>COUNTIF($K$23:$L$53,"f")*$P$55-IF(ISNA(F9),0,((S54+T54)/100*G3)/48)-IF(ISNA(G9),0,((S54+T54)/100*G3)/48)</f>
        <v>0</v>
      </c>
      <c r="F9" s="299" t="e">
        <f>INDEX(U23:U53,MATCH("f",U23:U53,0))</f>
        <v>#N/A</v>
      </c>
      <c r="G9" s="299" t="e">
        <f>INDEX(V23:V53,MATCH("f",V23:V53,0))</f>
        <v>#N/A</v>
      </c>
      <c r="I9" s="21" t="str">
        <f>Para1!F190</f>
        <v>accident</v>
      </c>
      <c r="J9" s="641" t="str">
        <f>Para1!F99</f>
        <v>work related</v>
      </c>
      <c r="K9" s="641"/>
      <c r="L9" s="161">
        <f>E54</f>
        <v>0</v>
      </c>
      <c r="M9" s="161"/>
      <c r="N9" s="93">
        <f t="shared" si="0"/>
        <v>0</v>
      </c>
      <c r="X9" s="249"/>
      <c r="Y9" s="161"/>
      <c r="Z9" s="93"/>
      <c r="AN9" s="58"/>
      <c r="AO9" s="58"/>
      <c r="AP9" s="58"/>
    </row>
    <row r="10" spans="1:43" ht="15" customHeight="1" x14ac:dyDescent="0.15">
      <c r="D10" s="198" t="str">
        <f>"./ ."&amp;Para1!F119</f>
        <v>./ .reduction of holiday</v>
      </c>
      <c r="E10" s="530">
        <v>0</v>
      </c>
      <c r="I10" s="21"/>
      <c r="J10" s="641" t="str">
        <f>Para1!F161&amp;" "&amp;Para1!F100</f>
        <v>not work. rel.</v>
      </c>
      <c r="K10" s="641"/>
      <c r="L10" s="161">
        <f>F54</f>
        <v>0</v>
      </c>
      <c r="M10" s="161"/>
      <c r="N10" s="93">
        <f t="shared" si="0"/>
        <v>0</v>
      </c>
      <c r="X10" s="249"/>
      <c r="Y10" s="161"/>
      <c r="Z10" s="93"/>
      <c r="AN10" s="58"/>
      <c r="AO10" s="58"/>
      <c r="AP10" s="58"/>
    </row>
    <row r="11" spans="1:43" ht="15" customHeight="1" thickBot="1" x14ac:dyDescent="0.2">
      <c r="B11" s="251"/>
      <c r="C11" s="251"/>
      <c r="D11" s="245" t="str">
        <f>Para1!F171&amp;" "&amp;Para1!F115&amp;" "&amp;Para1!F154</f>
        <v>balance end of the month</v>
      </c>
      <c r="E11" s="202">
        <f>$E$8-$E$9-$E$10</f>
        <v>3.645833333333333</v>
      </c>
      <c r="I11" s="49" t="str">
        <f>Para1!F142</f>
        <v>short vacation</v>
      </c>
      <c r="J11" s="5"/>
      <c r="K11" s="5"/>
      <c r="L11" s="161">
        <f>G54</f>
        <v>0</v>
      </c>
      <c r="M11" s="161"/>
      <c r="N11" s="93">
        <f t="shared" si="0"/>
        <v>0</v>
      </c>
      <c r="AN11" s="58"/>
      <c r="AO11" s="58"/>
      <c r="AP11" s="58"/>
    </row>
    <row r="12" spans="1:43" ht="15" customHeight="1" thickTop="1" x14ac:dyDescent="0.15">
      <c r="B12" s="542" t="str">
        <f>IF((E11*24+(4.2*'Persönliche Daten (pers. data)'!O8/100))&lt;0,Para1!J224,IF(E11&gt;0,"",Para1!J223))</f>
        <v/>
      </c>
      <c r="I12" s="24" t="str">
        <f>Para1!F198</f>
        <v>training / education</v>
      </c>
      <c r="J12" s="5"/>
      <c r="K12" s="5"/>
      <c r="L12" s="161">
        <f>H54</f>
        <v>0</v>
      </c>
      <c r="M12" s="161"/>
      <c r="N12" s="93">
        <f t="shared" si="0"/>
        <v>0</v>
      </c>
      <c r="AP12" s="58"/>
    </row>
    <row r="13" spans="1:43" ht="15" customHeight="1" x14ac:dyDescent="0.15">
      <c r="B13" s="650" t="str">
        <f>Para1!F105&amp;" "&amp;Para1!F122&amp;" "&amp;Para1!F83&amp;" in "&amp;Para1!F178&amp;":"</f>
        <v>letters for absences in days:</v>
      </c>
      <c r="C13" s="651"/>
      <c r="D13" s="651"/>
      <c r="E13" s="652"/>
      <c r="I13" s="21" t="str">
        <f>Para1!F163</f>
        <v>public office</v>
      </c>
      <c r="J13" s="5"/>
      <c r="K13" s="5"/>
      <c r="L13" s="161">
        <f>I54</f>
        <v>0</v>
      </c>
      <c r="M13" s="161"/>
      <c r="N13" s="93">
        <f t="shared" si="0"/>
        <v>0</v>
      </c>
      <c r="AP13" s="58"/>
    </row>
    <row r="14" spans="1:43" x14ac:dyDescent="0.15">
      <c r="B14" s="302" t="s">
        <v>420</v>
      </c>
      <c r="C14" s="653" t="str">
        <f>Para1!F117</f>
        <v>holiday</v>
      </c>
      <c r="D14" s="653"/>
      <c r="E14" s="654"/>
      <c r="I14" s="200" t="str">
        <f>Para1!F192</f>
        <v>leave</v>
      </c>
      <c r="J14" s="249" t="str">
        <f>Para1!F101</f>
        <v>paid</v>
      </c>
      <c r="L14" s="249">
        <f>COUNTIF($K$23:$L$53,"b")*$P$55-IF(ISNA(O14),0,(($S$54+$T$54)/100*$G$3)/48)-IF(ISNA(P14),0,(($S$54+$T$54)/100*$G$3)/48)</f>
        <v>0</v>
      </c>
      <c r="M14" s="161"/>
      <c r="N14" s="93">
        <f>SUM(L14:M14)</f>
        <v>0</v>
      </c>
      <c r="O14" s="299" t="e">
        <f>INDEX(U23:U53,MATCH("b",U23:U53,0))</f>
        <v>#N/A</v>
      </c>
      <c r="P14" s="299" t="e">
        <f>INDEX(V23:V53,MATCH("b",V23:V53,0))</f>
        <v>#N/A</v>
      </c>
    </row>
    <row r="15" spans="1:43"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c r="N15" s="93">
        <f>SUM(L15:M15)</f>
        <v>0</v>
      </c>
      <c r="O15" s="299" t="e">
        <f>INDEX(U23:U53,MATCH("u",U23:U53,0))</f>
        <v>#N/A</v>
      </c>
      <c r="P15" s="299" t="e">
        <f>INDEX(V23:V53,MATCH("u",V23:V53,0))</f>
        <v>#N/A</v>
      </c>
      <c r="R15" s="182"/>
      <c r="AN15" s="58"/>
      <c r="AO15" s="58"/>
      <c r="AP15" s="58"/>
    </row>
    <row r="16" spans="1:43" ht="15" customHeight="1" x14ac:dyDescent="0.15">
      <c r="B16" s="302" t="s">
        <v>422</v>
      </c>
      <c r="C16" s="653" t="str">
        <f>Para1!F150</f>
        <v>military/civil def./civil serv.</v>
      </c>
      <c r="D16" s="653"/>
      <c r="E16" s="654"/>
      <c r="G16" s="182"/>
      <c r="H16" s="182"/>
      <c r="I16" s="200" t="str">
        <f>Para1!F157</f>
        <v>parental leave</v>
      </c>
      <c r="L16" s="548">
        <f>COUNTIF($K$23:$L$53,"m")*$P$55-IF(ISNA(O16),0,(($S$54+$T$54)/100*$G$3)/48)-IF(ISNA(P16),0,(($S$54+$T$54)/100*$G$3)/48)</f>
        <v>0</v>
      </c>
      <c r="M16" s="161"/>
      <c r="N16" s="93">
        <f>SUM(L16:M16)</f>
        <v>0</v>
      </c>
      <c r="O16" s="299" t="e">
        <f>INDEX(U23:U53,MATCH("m",U23:U53,0))</f>
        <v>#N/A</v>
      </c>
      <c r="P16" s="299" t="e">
        <f>INDEX(V23:V53,MATCH("m",V23:V53,0))</f>
        <v>#N/A</v>
      </c>
      <c r="R16" s="182"/>
      <c r="AN16" s="58"/>
      <c r="AO16" s="58"/>
      <c r="AP16" s="58"/>
    </row>
    <row r="17" spans="1:42" ht="15" customHeight="1" x14ac:dyDescent="0.15">
      <c r="B17" s="303" t="s">
        <v>424</v>
      </c>
      <c r="C17" s="655" t="str">
        <f>Para1!F192&amp;" "&amp;Para1!F101</f>
        <v>leave paid</v>
      </c>
      <c r="D17" s="655"/>
      <c r="E17" s="656"/>
      <c r="G17" s="182"/>
      <c r="H17" s="182"/>
      <c r="I17" s="21" t="str">
        <f>Para1!F150</f>
        <v>military/civil def./civil serv.</v>
      </c>
      <c r="L17" s="548">
        <f>COUNTIF($K$23:$L$53,"z")*$P$55-IF(ISNA(O17),0,(($S$54+$T$54)/100*$G$3)/48)-IF(ISNA(P17),0,(($S$54+$T$54)/100*$G$3)/48)</f>
        <v>0</v>
      </c>
      <c r="M17" s="161"/>
      <c r="N17" s="93">
        <f t="shared" ref="N17" si="1">SUM(L17:M17)</f>
        <v>0</v>
      </c>
      <c r="O17" s="299" t="e">
        <f>INDEX(U23:U53,MATCH("z",U23:U53,0))</f>
        <v>#N/A</v>
      </c>
      <c r="P17" s="299" t="e">
        <f>INDEX(V23:V53,MATCH("z",V23:V53,0))</f>
        <v>#N/A</v>
      </c>
      <c r="AN17" s="58"/>
      <c r="AO17" s="58"/>
      <c r="AP17" s="58"/>
    </row>
    <row r="18" spans="1:42" ht="15" customHeight="1" thickBot="1" x14ac:dyDescent="0.2">
      <c r="B18" s="303" t="s">
        <v>423</v>
      </c>
      <c r="C18" s="653" t="str">
        <f>Para1!F192&amp;" "&amp;Para1!F189</f>
        <v>leave unpaid</v>
      </c>
      <c r="D18" s="653"/>
      <c r="E18" s="654"/>
      <c r="I18" s="8" t="str">
        <f>Para1!F180</f>
        <v>total</v>
      </c>
      <c r="J18" s="11"/>
      <c r="K18" s="11"/>
      <c r="L18" s="162">
        <f>SUM(L8:L17)</f>
        <v>0</v>
      </c>
      <c r="M18" s="162">
        <f>SUM(M8:M17)</f>
        <v>0</v>
      </c>
      <c r="N18" s="162">
        <f>SUM(N8:N17)</f>
        <v>0</v>
      </c>
      <c r="AN18" s="58"/>
      <c r="AO18" s="58"/>
      <c r="AP18" s="58"/>
    </row>
    <row r="19" spans="1:42" ht="35.25" customHeight="1" thickTop="1" thickBot="1" x14ac:dyDescent="0.2">
      <c r="A19" s="25" t="str">
        <f>Para1!F104</f>
        <v>(please enter in hours and minutes)</v>
      </c>
      <c r="B19" s="7"/>
      <c r="C19" s="7"/>
      <c r="D19" s="7"/>
      <c r="E19" s="7"/>
      <c r="F19" s="7"/>
      <c r="G19" s="7"/>
      <c r="H19" s="7"/>
      <c r="I19" s="9"/>
      <c r="J19" s="9"/>
      <c r="K19" s="9"/>
      <c r="L19" s="9"/>
      <c r="AO19" s="58"/>
      <c r="AP19" s="58"/>
    </row>
    <row r="20" spans="1:42"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42" s="26" customFormat="1" ht="18.75" customHeight="1" thickTop="1" x14ac:dyDescent="0.2">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4"/>
      <c r="K21" s="663" t="str">
        <f>Para1!F194</f>
        <v>morning</v>
      </c>
      <c r="L21" s="665" t="str">
        <f>Para1!F158</f>
        <v>afternoon</v>
      </c>
      <c r="M21" s="240"/>
      <c r="N21" s="250"/>
      <c r="O21" s="250"/>
      <c r="P21" s="632" t="str">
        <f>Para1!F194</f>
        <v>morning</v>
      </c>
      <c r="Q21" s="634" t="str">
        <f>Para1!F158</f>
        <v>afternoon</v>
      </c>
    </row>
    <row r="22" spans="1:42" s="26" customFormat="1" ht="15.75" customHeight="1" thickBot="1" x14ac:dyDescent="0.25">
      <c r="A22" s="639" t="str">
        <f>Para1!F106</f>
        <v>date</v>
      </c>
      <c r="B22" s="640"/>
      <c r="C22" s="536"/>
      <c r="D22" s="649"/>
      <c r="E22" s="660"/>
      <c r="F22" s="658"/>
      <c r="G22" s="659"/>
      <c r="H22" s="647"/>
      <c r="I22" s="638"/>
      <c r="J22" s="535"/>
      <c r="K22" s="664"/>
      <c r="L22" s="666"/>
      <c r="M22" s="196"/>
      <c r="N22" s="250"/>
      <c r="O22" s="250"/>
      <c r="P22" s="633"/>
      <c r="Q22" s="635"/>
    </row>
    <row r="23" spans="1:42" ht="17" customHeight="1" thickTop="1" x14ac:dyDescent="0.15">
      <c r="A23" s="327" t="s">
        <v>4</v>
      </c>
      <c r="B23" s="328" t="str">
        <f>Para1!G63</f>
        <v>Wed</v>
      </c>
      <c r="C23" s="185"/>
      <c r="D23" s="143"/>
      <c r="E23" s="111"/>
      <c r="F23" s="110"/>
      <c r="G23" s="111"/>
      <c r="H23" s="111"/>
      <c r="I23" s="144"/>
      <c r="J23" s="183"/>
      <c r="K23" s="376"/>
      <c r="L23" s="377"/>
      <c r="M23" s="131"/>
      <c r="N23" s="197"/>
      <c r="O23" s="297"/>
      <c r="P23" s="32"/>
      <c r="Q23" s="32"/>
      <c r="R23" s="299" t="s">
        <v>230</v>
      </c>
      <c r="S23" s="299" t="str">
        <f>IF((P23+Q23)=0,"",IF(ISNA(R23),"",IF(R23="","",VLOOKUP(R23,Para1!$D$67:$G$79,3,FALSE)*(IF(P23+Q23=1,0.5,1)))))</f>
        <v/>
      </c>
      <c r="T23" s="299" t="str">
        <f>IF(P23+Q23=0,"",IF(ISNA(R24),"",IF(R24="","",VLOOKUP(R24,Para1!$D$67:$G$79,4,FALSE)*(IF(P23+Q23=1,0.5,1)))))</f>
        <v/>
      </c>
      <c r="U23" s="299">
        <f>IF(S23=0,P23+Q23,0)</f>
        <v>0</v>
      </c>
      <c r="V23" s="11" t="str">
        <f>IF(SUM(S23:T23)&gt;0,L23,"")</f>
        <v/>
      </c>
      <c r="W23" s="299">
        <f>IF(S23=0,P23+Q23,0)</f>
        <v>0</v>
      </c>
    </row>
    <row r="24" spans="1:42" ht="17" customHeight="1" thickBot="1" x14ac:dyDescent="0.2">
      <c r="A24" s="329" t="s">
        <v>6</v>
      </c>
      <c r="B24" s="328" t="str">
        <f>IF(B23=Para1!$F$153,Para1!$F$109,IF(B23=Para1!$F$109,Para1!$F$148,IF(B23=Para1!$F$148,Para1!$F$111,IF(B23=Para1!$F$111,Para1!$F$120,IF(B23=Para1!$F$120,Para1!$F$170,IF(B23=Para1!$F$170,Para1!$F$173,Para1!$F$153))))))</f>
        <v>Thu</v>
      </c>
      <c r="C24" s="185"/>
      <c r="D24" s="143"/>
      <c r="E24" s="111"/>
      <c r="F24" s="110"/>
      <c r="G24" s="111"/>
      <c r="H24" s="111"/>
      <c r="I24" s="144"/>
      <c r="J24" s="183"/>
      <c r="K24" s="376"/>
      <c r="L24" s="377"/>
      <c r="M24" s="131"/>
      <c r="N24" s="197"/>
      <c r="O24" s="297"/>
      <c r="P24" s="334"/>
      <c r="Q24" s="334"/>
      <c r="R24" s="299" t="s">
        <v>233</v>
      </c>
      <c r="S24" s="299" t="str">
        <f>IF((P24+Q24)=0,"",IF(ISNA(R24),"",IF(R24="","",VLOOKUP(R24,Para1!$D$67:$G$79,3,FALSE)*(IF(P24+Q24=1,0.5,1)))))</f>
        <v/>
      </c>
      <c r="T24" s="299" t="str">
        <f>IF(P24+Q24=0,"",IF(ISNA(R25),"",IF(R25="","",VLOOKUP(R25,Para1!$D$67:$G$79,4,FALSE)*(IF(P24+Q24=1,0.5,1)))))</f>
        <v/>
      </c>
      <c r="U24" s="299">
        <f t="shared" ref="U24:U53" si="2">IF(S24=0,P24+Q24,0)</f>
        <v>0</v>
      </c>
      <c r="V24" s="11" t="str">
        <f t="shared" ref="V24:V53" si="3">IF(SUM(S24:T24)&gt;0,L24,"")</f>
        <v/>
      </c>
      <c r="W24" s="299">
        <f t="shared" ref="W24:W53" si="4">IF(S24=0,P24+Q24,0)</f>
        <v>0</v>
      </c>
    </row>
    <row r="25" spans="1:42" ht="17" customHeight="1" thickTop="1" x14ac:dyDescent="0.15">
      <c r="A25" s="102" t="s">
        <v>8</v>
      </c>
      <c r="B25" s="142" t="str">
        <f>IF(B24=Para1!$F$153,Para1!$F$109,IF(B24=Para1!$F$109,Para1!$F$148,IF(B24=Para1!$F$148,Para1!$F$111,IF(B24=Para1!$F$111,Para1!$F$120,IF(B24=Para1!$F$120,Para1!$F$170,IF(B24=Para1!$F$170,Para1!$F$173,Para1!$F$153))))))</f>
        <v>Fri</v>
      </c>
      <c r="C25" s="186"/>
      <c r="D25" s="293"/>
      <c r="E25" s="294"/>
      <c r="F25" s="295"/>
      <c r="G25" s="294"/>
      <c r="H25" s="294"/>
      <c r="I25" s="296"/>
      <c r="J25" s="184"/>
      <c r="K25" s="378"/>
      <c r="L25" s="379"/>
      <c r="M25" s="129"/>
      <c r="N25" s="197"/>
      <c r="O25" s="297"/>
      <c r="P25" s="335">
        <f>IF(OR($B25="Sa",$B25="So",$B25="Sat",$B25="Sun"),0,1)</f>
        <v>1</v>
      </c>
      <c r="Q25" s="336">
        <f>IF(OR($B25="Sa",$B25="So",$B25="Sat",$B25="Sun"),0,1)</f>
        <v>1</v>
      </c>
      <c r="R25" s="299" t="e">
        <f>IF(VLOOKUP(A25,Para1!$B$67:$E$72,2,FALSE)="1.",VLOOKUP(A25,Para1!$B$67:$E$72,3,FALSE),"")</f>
        <v>#N/A</v>
      </c>
      <c r="S25" s="299" t="str">
        <f>IF((P25+Q25)=0,"",IF(ISNA(R25),"",IF(R25="","",VLOOKUP(R25,Para1!$D$67:$G$79,3,FALSE)*(IF(P25+Q25=1,0.5,1)))))</f>
        <v/>
      </c>
      <c r="T25" s="299" t="str">
        <f>IF(P25+Q25=0,"",IF(ISNA(R26),"",IF(R26="","",VLOOKUP(R26,Para1!$D$67:$G$79,4,FALSE)*(IF(P25+Q25=1,0.5,1)))))</f>
        <v/>
      </c>
      <c r="U25" s="299">
        <f t="shared" si="2"/>
        <v>0</v>
      </c>
      <c r="V25" s="11" t="str">
        <f t="shared" si="3"/>
        <v/>
      </c>
      <c r="W25" s="299">
        <f t="shared" si="4"/>
        <v>0</v>
      </c>
    </row>
    <row r="26" spans="1:42" ht="17" customHeight="1" x14ac:dyDescent="0.15">
      <c r="A26" s="102" t="s">
        <v>10</v>
      </c>
      <c r="B26" s="142" t="str">
        <f>IF(B25=Para1!$F$153,Para1!$F$109,IF(B25=Para1!$F$109,Para1!$F$148,IF(B25=Para1!$F$148,Para1!$F$111,IF(B25=Para1!$F$111,Para1!$F$120,IF(B25=Para1!$F$120,Para1!$F$170,IF(B25=Para1!$F$170,Para1!$F$173,Para1!$F$153))))))</f>
        <v>Sat</v>
      </c>
      <c r="C26" s="187"/>
      <c r="D26" s="293"/>
      <c r="E26" s="294"/>
      <c r="F26" s="295"/>
      <c r="G26" s="294"/>
      <c r="H26" s="294"/>
      <c r="I26" s="296"/>
      <c r="J26" s="184"/>
      <c r="K26" s="378"/>
      <c r="L26" s="379"/>
      <c r="M26" s="129"/>
      <c r="N26" s="197"/>
      <c r="O26" s="297"/>
      <c r="P26" s="337">
        <f t="shared" ref="P26:Q31" si="5">IF(OR($B26="Sa",$B26="So",$B26="Sat",$B26="Sun"),0,1)</f>
        <v>0</v>
      </c>
      <c r="Q26" s="338">
        <f t="shared" si="5"/>
        <v>0</v>
      </c>
      <c r="R26" s="299" t="e">
        <f>IF(VLOOKUP(A26,Para1!$B$67:$E$72,2,FALSE)="1.",VLOOKUP(A26,Para1!$B$67:$E$72,3,FALSE),"")</f>
        <v>#N/A</v>
      </c>
      <c r="S26" s="299" t="str">
        <f>IF((P26+Q26)=0,"",IF(ISNA(R26),"",IF(R26="","",VLOOKUP(R26,Para1!$D$67:$G$79,3,FALSE)*(IF(P26+Q26=1,0.5,1)))))</f>
        <v/>
      </c>
      <c r="T26" s="299" t="str">
        <f>IF(P26+Q26=0,"",IF(ISNA(R27),"",IF(R27="","",VLOOKUP(R27,Para1!$D$67:$G$79,4,FALSE)*(IF(P26+Q26=1,0.5,1)))))</f>
        <v/>
      </c>
      <c r="U26" s="299">
        <f t="shared" si="2"/>
        <v>0</v>
      </c>
      <c r="V26" s="11" t="str">
        <f t="shared" si="3"/>
        <v/>
      </c>
      <c r="W26" s="299">
        <f t="shared" si="4"/>
        <v>0</v>
      </c>
    </row>
    <row r="27" spans="1:42" ht="17" customHeight="1" x14ac:dyDescent="0.15">
      <c r="A27" s="27" t="s">
        <v>12</v>
      </c>
      <c r="B27" s="142" t="str">
        <f>IF(B26=Para1!$F$153,Para1!$F$109,IF(B26=Para1!$F$109,Para1!$F$148,IF(B26=Para1!$F$148,Para1!$F$111,IF(B26=Para1!$F$111,Para1!$F$120,IF(B26=Para1!$F$120,Para1!$F$170,IF(B26=Para1!$F$170,Para1!$F$173,Para1!$F$153))))))</f>
        <v>Sun</v>
      </c>
      <c r="C27" s="187"/>
      <c r="D27" s="293"/>
      <c r="E27" s="294"/>
      <c r="F27" s="295"/>
      <c r="G27" s="294"/>
      <c r="H27" s="294"/>
      <c r="I27" s="296"/>
      <c r="J27" s="184"/>
      <c r="K27" s="378"/>
      <c r="L27" s="379"/>
      <c r="M27" s="129"/>
      <c r="N27" s="197"/>
      <c r="O27" s="297"/>
      <c r="P27" s="337">
        <f t="shared" si="5"/>
        <v>0</v>
      </c>
      <c r="Q27" s="338">
        <f t="shared" si="5"/>
        <v>0</v>
      </c>
      <c r="R27" s="299" t="e">
        <f>IF(VLOOKUP(A27,Para1!$B$67:$E$72,2,FALSE)="1.",VLOOKUP(A27,Para1!$B$67:$E$72,3,FALSE),"")</f>
        <v>#N/A</v>
      </c>
      <c r="S27" s="299" t="str">
        <f>IF((P27+Q27)=0,"",IF(ISNA(R27),"",IF(R27="","",VLOOKUP(R27,Para1!$D$67:$G$79,3,FALSE)*(IF(P27+Q27=1,0.5,1)))))</f>
        <v/>
      </c>
      <c r="T27" s="299" t="str">
        <f>IF(P27+Q27=0,"",IF(ISNA(R28),"",IF(R28="","",VLOOKUP(R28,Para1!$D$67:$G$79,4,FALSE)*(IF(P27+Q27=1,0.5,1)))))</f>
        <v/>
      </c>
      <c r="U27" s="299">
        <f t="shared" si="2"/>
        <v>0</v>
      </c>
      <c r="V27" s="11" t="str">
        <f t="shared" si="3"/>
        <v/>
      </c>
      <c r="W27" s="299">
        <f t="shared" si="4"/>
        <v>0</v>
      </c>
    </row>
    <row r="28" spans="1:42" ht="17" customHeight="1" x14ac:dyDescent="0.15">
      <c r="A28" s="27" t="s">
        <v>14</v>
      </c>
      <c r="B28" s="142" t="str">
        <f>IF(B27=Para1!$F$153,Para1!$F$109,IF(B27=Para1!$F$109,Para1!$F$148,IF(B27=Para1!$F$148,Para1!$F$111,IF(B27=Para1!$F$111,Para1!$F$120,IF(B27=Para1!$F$120,Para1!$F$170,IF(B27=Para1!$F$170,Para1!$F$173,Para1!$F$153))))))</f>
        <v>Mon</v>
      </c>
      <c r="C28" s="187"/>
      <c r="D28" s="293"/>
      <c r="E28" s="294"/>
      <c r="F28" s="295"/>
      <c r="G28" s="294"/>
      <c r="H28" s="294"/>
      <c r="I28" s="296"/>
      <c r="J28" s="184"/>
      <c r="K28" s="378"/>
      <c r="L28" s="379"/>
      <c r="M28" s="129"/>
      <c r="N28" s="197"/>
      <c r="O28" s="297"/>
      <c r="P28" s="337">
        <f t="shared" si="5"/>
        <v>1</v>
      </c>
      <c r="Q28" s="338">
        <f t="shared" si="5"/>
        <v>1</v>
      </c>
      <c r="R28" s="299" t="e">
        <f>IF(VLOOKUP(A28,Para1!$B$67:$E$72,2,FALSE)="1.",VLOOKUP(A28,Para1!$B$67:$E$72,3,FALSE),"")</f>
        <v>#N/A</v>
      </c>
      <c r="S28" s="299" t="str">
        <f>IF((P28+Q28)=0,"",IF(ISNA(R28),"",IF(R28="","",VLOOKUP(R28,Para1!$D$67:$G$79,3,FALSE)*(IF(P28+Q28=1,0.5,1)))))</f>
        <v/>
      </c>
      <c r="T28" s="299" t="str">
        <f>IF(P28+Q28=0,"",IF(ISNA(R29),"",IF(R29="","",VLOOKUP(R29,Para1!$D$67:$G$79,4,FALSE)*(IF(P28+Q28=1,0.5,1)))))</f>
        <v/>
      </c>
      <c r="U28" s="299">
        <f t="shared" si="2"/>
        <v>0</v>
      </c>
      <c r="V28" s="11" t="str">
        <f t="shared" si="3"/>
        <v/>
      </c>
      <c r="W28" s="299">
        <f t="shared" si="4"/>
        <v>0</v>
      </c>
    </row>
    <row r="29" spans="1:42" ht="17" customHeight="1" x14ac:dyDescent="0.15">
      <c r="A29" s="27" t="s">
        <v>16</v>
      </c>
      <c r="B29" s="142" t="str">
        <f>IF(B28=Para1!$F$153,Para1!$F$109,IF(B28=Para1!$F$109,Para1!$F$148,IF(B28=Para1!$F$148,Para1!$F$111,IF(B28=Para1!$F$111,Para1!$F$120,IF(B28=Para1!$F$120,Para1!$F$170,IF(B28=Para1!$F$170,Para1!$F$173,Para1!$F$153))))))</f>
        <v>Tue</v>
      </c>
      <c r="C29" s="185"/>
      <c r="D29" s="293"/>
      <c r="E29" s="294"/>
      <c r="F29" s="295"/>
      <c r="G29" s="294"/>
      <c r="H29" s="294"/>
      <c r="I29" s="296"/>
      <c r="J29" s="184"/>
      <c r="K29" s="378"/>
      <c r="L29" s="379"/>
      <c r="M29" s="129"/>
      <c r="N29" s="197"/>
      <c r="O29" s="297"/>
      <c r="P29" s="337">
        <f t="shared" si="5"/>
        <v>1</v>
      </c>
      <c r="Q29" s="338">
        <f t="shared" si="5"/>
        <v>1</v>
      </c>
      <c r="R29" s="299" t="e">
        <f>IF(VLOOKUP(A29,Para1!$B$67:$E$72,2,FALSE)="1.",VLOOKUP(A29,Para1!$B$67:$E$72,3,FALSE),"")</f>
        <v>#N/A</v>
      </c>
      <c r="S29" s="299" t="str">
        <f>IF((P29+Q29)=0,"",IF(ISNA(R29),"",IF(R29="","",VLOOKUP(R29,Para1!$D$67:$G$79,3,FALSE)*(IF(P29+Q29=1,0.5,1)))))</f>
        <v/>
      </c>
      <c r="T29" s="299" t="str">
        <f>IF(P29+Q29=0,"",IF(ISNA(R30),"",IF(R30="","",VLOOKUP(R30,Para1!$D$67:$G$79,4,FALSE)*(IF(P29+Q29=1,0.5,1)))))</f>
        <v/>
      </c>
      <c r="U29" s="299">
        <f t="shared" si="2"/>
        <v>0</v>
      </c>
      <c r="V29" s="11" t="str">
        <f t="shared" si="3"/>
        <v/>
      </c>
      <c r="W29" s="299">
        <f t="shared" si="4"/>
        <v>0</v>
      </c>
    </row>
    <row r="30" spans="1:42" ht="17" customHeight="1" x14ac:dyDescent="0.15">
      <c r="A30" s="102" t="s">
        <v>18</v>
      </c>
      <c r="B30" s="142" t="str">
        <f>IF(B29=Para1!$F$153,Para1!$F$109,IF(B29=Para1!$F$109,Para1!$F$148,IF(B29=Para1!$F$148,Para1!$F$111,IF(B29=Para1!$F$111,Para1!$F$120,IF(B29=Para1!$F$120,Para1!$F$170,IF(B29=Para1!$F$170,Para1!$F$173,Para1!$F$153))))))</f>
        <v>Wed</v>
      </c>
      <c r="C30" s="185"/>
      <c r="D30" s="293"/>
      <c r="E30" s="294"/>
      <c r="F30" s="295"/>
      <c r="G30" s="294"/>
      <c r="H30" s="294"/>
      <c r="I30" s="296"/>
      <c r="J30" s="184"/>
      <c r="K30" s="378"/>
      <c r="L30" s="379"/>
      <c r="M30" s="129"/>
      <c r="N30" s="197"/>
      <c r="O30" s="297"/>
      <c r="P30" s="337">
        <f t="shared" si="5"/>
        <v>1</v>
      </c>
      <c r="Q30" s="338">
        <f t="shared" si="5"/>
        <v>1</v>
      </c>
      <c r="R30" s="299" t="e">
        <f>IF(VLOOKUP(A30,Para1!$B$67:$E$72,2,FALSE)="1.",VLOOKUP(A30,Para1!$B$67:$E$72,3,FALSE),"")</f>
        <v>#N/A</v>
      </c>
      <c r="S30" s="299" t="str">
        <f>IF((P30+Q30)=0,"",IF(ISNA(R30),"",IF(R30="","",VLOOKUP(R30,Para1!$D$67:$G$79,3,FALSE)*(IF(P30+Q30=1,0.5,1)))))</f>
        <v/>
      </c>
      <c r="T30" s="299" t="str">
        <f>IF(P30+Q30=0,"",IF(ISNA(R31),"",IF(R31="","",VLOOKUP(R31,Para1!$D$67:$G$79,4,FALSE)*(IF(P30+Q30=1,0.5,1)))))</f>
        <v/>
      </c>
      <c r="U30" s="299">
        <f t="shared" si="2"/>
        <v>0</v>
      </c>
      <c r="V30" s="11" t="str">
        <f t="shared" si="3"/>
        <v/>
      </c>
      <c r="W30" s="299">
        <f t="shared" si="4"/>
        <v>0</v>
      </c>
    </row>
    <row r="31" spans="1:42" ht="17" customHeight="1" x14ac:dyDescent="0.15">
      <c r="A31" s="102" t="s">
        <v>19</v>
      </c>
      <c r="B31" s="142" t="str">
        <f>IF(B30=Para1!$F$153,Para1!$F$109,IF(B30=Para1!$F$109,Para1!$F$148,IF(B30=Para1!$F$148,Para1!$F$111,IF(B30=Para1!$F$111,Para1!$F$120,IF(B30=Para1!$F$120,Para1!$F$170,IF(B30=Para1!$F$170,Para1!$F$173,Para1!$F$153))))))</f>
        <v>Thu</v>
      </c>
      <c r="C31" s="186"/>
      <c r="D31" s="293"/>
      <c r="E31" s="294"/>
      <c r="F31" s="295"/>
      <c r="G31" s="294"/>
      <c r="H31" s="294"/>
      <c r="I31" s="296"/>
      <c r="J31" s="184"/>
      <c r="K31" s="378"/>
      <c r="L31" s="379"/>
      <c r="M31" s="129"/>
      <c r="N31" s="197"/>
      <c r="O31" s="297"/>
      <c r="P31" s="337">
        <f t="shared" si="5"/>
        <v>1</v>
      </c>
      <c r="Q31" s="338">
        <f t="shared" si="5"/>
        <v>1</v>
      </c>
      <c r="R31" s="299" t="e">
        <f>IF(VLOOKUP(A31,Para1!$B$67:$E$72,2,FALSE)="1.",VLOOKUP(A31,Para1!$B$67:$E$72,3,FALSE),"")</f>
        <v>#N/A</v>
      </c>
      <c r="S31" s="299" t="str">
        <f>IF((P31+Q31)=0,"",IF(ISNA(R31),"",IF(R31="","",VLOOKUP(R31,Para1!$D$67:$G$79,3,FALSE)*(IF(P31+Q31=1,0.5,1)))))</f>
        <v/>
      </c>
      <c r="T31" s="299" t="str">
        <f>IF(P31+Q31=0,"",IF(ISNA(R32),"",IF(R32="","",VLOOKUP(R32,Para1!$D$67:$G$79,4,FALSE)*(IF(P31+Q31=1,0.5,1)))))</f>
        <v/>
      </c>
      <c r="U31" s="299">
        <f t="shared" si="2"/>
        <v>0</v>
      </c>
      <c r="V31" s="11" t="str">
        <f t="shared" si="3"/>
        <v/>
      </c>
      <c r="W31" s="299">
        <f t="shared" si="4"/>
        <v>0</v>
      </c>
    </row>
    <row r="32" spans="1:42" ht="17" customHeight="1" x14ac:dyDescent="0.15">
      <c r="A32" s="102" t="s">
        <v>20</v>
      </c>
      <c r="B32" s="142" t="str">
        <f>IF(B31=Para1!$F$153,Para1!$F$109,IF(B31=Para1!$F$109,Para1!$F$148,IF(B31=Para1!$F$148,Para1!$F$111,IF(B31=Para1!$F$111,Para1!$F$120,IF(B31=Para1!$F$120,Para1!$F$170,IF(B31=Para1!$F$170,Para1!$F$173,Para1!$F$153))))))</f>
        <v>Fri</v>
      </c>
      <c r="C32" s="186"/>
      <c r="D32" s="293"/>
      <c r="E32" s="294"/>
      <c r="F32" s="295"/>
      <c r="G32" s="294"/>
      <c r="H32" s="294"/>
      <c r="I32" s="296"/>
      <c r="J32" s="184"/>
      <c r="K32" s="378"/>
      <c r="L32" s="379"/>
      <c r="M32" s="129"/>
      <c r="N32" s="197"/>
      <c r="O32" s="297"/>
      <c r="P32" s="339">
        <f>P25</f>
        <v>1</v>
      </c>
      <c r="Q32" s="340">
        <f>Q25</f>
        <v>1</v>
      </c>
      <c r="R32" s="299" t="str">
        <f>IF(VLOOKUP(A32,Para1!$B$67:$E$72,2,FALSE)="1.",VLOOKUP(A32,Para1!$B$67:$E$72,3,FALSE),"")</f>
        <v/>
      </c>
      <c r="S32" s="299" t="str">
        <f>IF((P32+Q32)=0,"",IF(ISNA(R32),"",IF(R32="","",VLOOKUP(R32,Para1!$D$67:$G$79,3,FALSE)*(IF(P32+Q32=1,0.5,1)))))</f>
        <v/>
      </c>
      <c r="T32" s="299" t="str">
        <f>IF(P32+Q32=0,"",IF(ISNA(R33),"",IF(R33="","",VLOOKUP(R33,Para1!$D$67:$G$79,4,FALSE)*(IF(P32+Q32=1,0.5,1)))))</f>
        <v/>
      </c>
      <c r="U32" s="299">
        <f t="shared" si="2"/>
        <v>0</v>
      </c>
      <c r="V32" s="11" t="str">
        <f t="shared" si="3"/>
        <v/>
      </c>
      <c r="W32" s="299">
        <f t="shared" si="4"/>
        <v>0</v>
      </c>
    </row>
    <row r="33" spans="1:23" ht="17" customHeight="1" x14ac:dyDescent="0.15">
      <c r="A33" s="27" t="s">
        <v>21</v>
      </c>
      <c r="B33" s="142" t="str">
        <f>IF(B32=Para1!$F$153,Para1!$F$109,IF(B32=Para1!$F$109,Para1!$F$148,IF(B32=Para1!$F$148,Para1!$F$111,IF(B32=Para1!$F$111,Para1!$F$120,IF(B32=Para1!$F$120,Para1!$F$170,IF(B32=Para1!$F$170,Para1!$F$173,Para1!$F$153))))))</f>
        <v>Sat</v>
      </c>
      <c r="C33" s="187"/>
      <c r="D33" s="293"/>
      <c r="E33" s="294"/>
      <c r="F33" s="295"/>
      <c r="G33" s="294"/>
      <c r="H33" s="294"/>
      <c r="I33" s="296"/>
      <c r="J33" s="184"/>
      <c r="K33" s="378"/>
      <c r="L33" s="379"/>
      <c r="M33" s="129"/>
      <c r="N33" s="197"/>
      <c r="O33" s="297"/>
      <c r="P33" s="339">
        <f t="shared" ref="P33:Q47" si="6">P26</f>
        <v>0</v>
      </c>
      <c r="Q33" s="340">
        <f t="shared" si="6"/>
        <v>0</v>
      </c>
      <c r="R33" s="299" t="e">
        <f>IF(VLOOKUP(A33,Para1!$B$67:$E$72,2,FALSE)="1.",VLOOKUP(A33,Para1!$B$67:$E$72,3,FALSE),"")</f>
        <v>#N/A</v>
      </c>
      <c r="S33" s="299" t="str">
        <f>IF((P33+Q33)=0,"",IF(ISNA(R33),"",IF(R33="","",VLOOKUP(R33,Para1!$D$67:$G$79,3,FALSE)*(IF(P33+Q33=1,0.5,1)))))</f>
        <v/>
      </c>
      <c r="T33" s="299" t="str">
        <f>IF(P33+Q33=0,"",IF(ISNA(R34),"",IF(R34="","",VLOOKUP(R34,Para1!$D$67:$G$79,4,FALSE)*(IF(P33+Q33=1,0.5,1)))))</f>
        <v/>
      </c>
      <c r="U33" s="299">
        <f t="shared" si="2"/>
        <v>0</v>
      </c>
      <c r="V33" s="11" t="str">
        <f t="shared" si="3"/>
        <v/>
      </c>
      <c r="W33" s="299">
        <f t="shared" si="4"/>
        <v>0</v>
      </c>
    </row>
    <row r="34" spans="1:23" ht="17" customHeight="1" x14ac:dyDescent="0.15">
      <c r="A34" s="27" t="s">
        <v>22</v>
      </c>
      <c r="B34" s="142" t="str">
        <f>IF(B33=Para1!$F$153,Para1!$F$109,IF(B33=Para1!$F$109,Para1!$F$148,IF(B33=Para1!$F$148,Para1!$F$111,IF(B33=Para1!$F$111,Para1!$F$120,IF(B33=Para1!$F$120,Para1!$F$170,IF(B33=Para1!$F$170,Para1!$F$173,Para1!$F$153))))))</f>
        <v>Sun</v>
      </c>
      <c r="C34" s="187"/>
      <c r="D34" s="293"/>
      <c r="E34" s="294"/>
      <c r="F34" s="295"/>
      <c r="G34" s="294"/>
      <c r="H34" s="294"/>
      <c r="I34" s="296"/>
      <c r="J34" s="184"/>
      <c r="K34" s="378"/>
      <c r="L34" s="379"/>
      <c r="M34" s="129"/>
      <c r="N34" s="197"/>
      <c r="O34" s="297"/>
      <c r="P34" s="339">
        <f t="shared" si="6"/>
        <v>0</v>
      </c>
      <c r="Q34" s="340">
        <f t="shared" si="6"/>
        <v>0</v>
      </c>
      <c r="R34" s="299" t="str">
        <f>IF(VLOOKUP(A34,Para1!$B$67:$E$72,2,FALSE)="1.",VLOOKUP(A34,Para1!$B$67:$E$72,3,FALSE),"")</f>
        <v/>
      </c>
      <c r="S34" s="299" t="str">
        <f>IF((P34+Q34)=0,"",IF(ISNA(R34),"",IF(R34="","",VLOOKUP(R34,Para1!$D$67:$G$79,3,FALSE)*(IF(P34+Q34=1,0.5,1)))))</f>
        <v/>
      </c>
      <c r="T34" s="299" t="str">
        <f>IF(P34+Q34=0,"",IF(ISNA(R35),"",IF(R35="","",VLOOKUP(R35,Para1!$D$67:$G$79,4,FALSE)*(IF(P34+Q34=1,0.5,1)))))</f>
        <v/>
      </c>
      <c r="U34" s="299">
        <f t="shared" si="2"/>
        <v>0</v>
      </c>
      <c r="V34" s="11" t="str">
        <f t="shared" si="3"/>
        <v/>
      </c>
      <c r="W34" s="299">
        <f t="shared" si="4"/>
        <v>0</v>
      </c>
    </row>
    <row r="35" spans="1:23" ht="17" customHeight="1" x14ac:dyDescent="0.15">
      <c r="A35" s="27" t="s">
        <v>23</v>
      </c>
      <c r="B35" s="142" t="str">
        <f>IF(B34=Para1!$F$153,Para1!$F$109,IF(B34=Para1!$F$109,Para1!$F$148,IF(B34=Para1!$F$148,Para1!$F$111,IF(B34=Para1!$F$111,Para1!$F$120,IF(B34=Para1!$F$120,Para1!$F$170,IF(B34=Para1!$F$170,Para1!$F$173,Para1!$F$153))))))</f>
        <v>Mon</v>
      </c>
      <c r="C35" s="187"/>
      <c r="D35" s="293"/>
      <c r="E35" s="294"/>
      <c r="F35" s="295"/>
      <c r="G35" s="294"/>
      <c r="H35" s="294"/>
      <c r="I35" s="296"/>
      <c r="J35" s="184"/>
      <c r="K35" s="378"/>
      <c r="L35" s="379"/>
      <c r="M35" s="129"/>
      <c r="N35" s="197"/>
      <c r="O35" s="297"/>
      <c r="P35" s="339">
        <f t="shared" si="6"/>
        <v>1</v>
      </c>
      <c r="Q35" s="340">
        <f t="shared" si="6"/>
        <v>1</v>
      </c>
      <c r="R35" s="299" t="str">
        <f>IF(VLOOKUP(A35,Para1!$B$67:$E$72,2,FALSE)="1.",VLOOKUP(A35,Para1!$B$67:$E$72,3,FALSE),"")</f>
        <v/>
      </c>
      <c r="S35" s="299" t="str">
        <f>IF((P35+Q35)=0,"",IF(ISNA(R35),"",IF(R35="","",VLOOKUP(R35,Para1!$D$67:$G$79,3,FALSE)*(IF(P35+Q35=1,0.5,1)))))</f>
        <v/>
      </c>
      <c r="T35" s="299" t="str">
        <f>IF(P35+Q35=0,"",IF(ISNA(R36),"",IF(R36="","",VLOOKUP(R36,Para1!$D$67:$G$79,4,FALSE)*(IF(P35+Q35=1,0.5,1)))))</f>
        <v/>
      </c>
      <c r="U35" s="299">
        <f t="shared" si="2"/>
        <v>0</v>
      </c>
      <c r="V35" s="11" t="str">
        <f t="shared" si="3"/>
        <v/>
      </c>
      <c r="W35" s="299">
        <f t="shared" si="4"/>
        <v>0</v>
      </c>
    </row>
    <row r="36" spans="1:23" ht="17" customHeight="1" x14ac:dyDescent="0.15">
      <c r="A36" s="27" t="s">
        <v>24</v>
      </c>
      <c r="B36" s="142" t="str">
        <f>IF(B35=Para1!$F$153,Para1!$F$109,IF(B35=Para1!$F$109,Para1!$F$148,IF(B35=Para1!$F$148,Para1!$F$111,IF(B35=Para1!$F$111,Para1!$F$120,IF(B35=Para1!$F$120,Para1!$F$170,IF(B35=Para1!$F$170,Para1!$F$173,Para1!$F$153))))))</f>
        <v>Tue</v>
      </c>
      <c r="C36" s="185"/>
      <c r="D36" s="293"/>
      <c r="E36" s="294"/>
      <c r="F36" s="295"/>
      <c r="G36" s="294"/>
      <c r="H36" s="294"/>
      <c r="I36" s="296"/>
      <c r="J36" s="184"/>
      <c r="K36" s="378"/>
      <c r="L36" s="379"/>
      <c r="M36" s="129"/>
      <c r="N36" s="197"/>
      <c r="O36" s="297"/>
      <c r="P36" s="339">
        <f t="shared" si="6"/>
        <v>1</v>
      </c>
      <c r="Q36" s="340">
        <f t="shared" si="6"/>
        <v>1</v>
      </c>
      <c r="R36" s="299" t="e">
        <f>IF(VLOOKUP(A36,Para1!$B$67:$E$72,2,FALSE)="1.",VLOOKUP(A36,Para1!$B$67:$E$72,3,FALSE),"")</f>
        <v>#N/A</v>
      </c>
      <c r="S36" s="299" t="str">
        <f>IF((P36+Q36)=0,"",IF(ISNA(R36),"",IF(R36="","",VLOOKUP(R36,Para1!$D$67:$G$79,3,FALSE)*(IF(P36+Q36=1,0.5,1)))))</f>
        <v/>
      </c>
      <c r="T36" s="299" t="str">
        <f>IF(P36+Q36=0,"",IF(ISNA(R37),"",IF(R37="","",VLOOKUP(R37,Para1!$D$67:$G$79,4,FALSE)*(IF(P36+Q36=1,0.5,1)))))</f>
        <v/>
      </c>
      <c r="U36" s="299">
        <f t="shared" si="2"/>
        <v>0</v>
      </c>
      <c r="V36" s="11" t="str">
        <f t="shared" si="3"/>
        <v/>
      </c>
      <c r="W36" s="299">
        <f t="shared" si="4"/>
        <v>0</v>
      </c>
    </row>
    <row r="37" spans="1:23" ht="17" customHeight="1" x14ac:dyDescent="0.15">
      <c r="A37" s="102" t="s">
        <v>25</v>
      </c>
      <c r="B37" s="142" t="str">
        <f>IF(B36=Para1!$F$153,Para1!$F$109,IF(B36=Para1!$F$109,Para1!$F$148,IF(B36=Para1!$F$148,Para1!$F$111,IF(B36=Para1!$F$111,Para1!$F$120,IF(B36=Para1!$F$120,Para1!$F$170,IF(B36=Para1!$F$170,Para1!$F$173,Para1!$F$153))))))</f>
        <v>Wed</v>
      </c>
      <c r="C37" s="185"/>
      <c r="D37" s="293"/>
      <c r="E37" s="294"/>
      <c r="F37" s="295"/>
      <c r="G37" s="294"/>
      <c r="H37" s="294"/>
      <c r="I37" s="296"/>
      <c r="J37" s="184"/>
      <c r="K37" s="378"/>
      <c r="L37" s="379"/>
      <c r="M37" s="129"/>
      <c r="N37" s="197"/>
      <c r="O37" s="297"/>
      <c r="P37" s="339">
        <f t="shared" si="6"/>
        <v>1</v>
      </c>
      <c r="Q37" s="340">
        <f t="shared" si="6"/>
        <v>1</v>
      </c>
      <c r="R37" s="299" t="e">
        <f>IF(VLOOKUP(A37,Para1!$B$67:$E$72,2,FALSE)="1.",VLOOKUP(A37,Para1!$B$67:$E$72,3,FALSE),"")</f>
        <v>#N/A</v>
      </c>
      <c r="S37" s="299" t="str">
        <f>IF((P37+Q37)=0,"",IF(ISNA(R37),"",IF(R37="","",VLOOKUP(R37,Para1!$D$67:$G$79,3,FALSE)*(IF(P37+Q37=1,0.5,1)))))</f>
        <v/>
      </c>
      <c r="T37" s="299" t="str">
        <f>IF(P37+Q37=0,"",IF(ISNA(R38),"",IF(R38="","",VLOOKUP(R38,Para1!$D$67:$G$79,4,FALSE)*(IF(P37+Q37=1,0.5,1)))))</f>
        <v/>
      </c>
      <c r="U37" s="299">
        <f t="shared" si="2"/>
        <v>0</v>
      </c>
      <c r="V37" s="11" t="str">
        <f t="shared" si="3"/>
        <v/>
      </c>
      <c r="W37" s="299">
        <f t="shared" si="4"/>
        <v>0</v>
      </c>
    </row>
    <row r="38" spans="1:23" ht="17" customHeight="1" x14ac:dyDescent="0.15">
      <c r="A38" s="102" t="s">
        <v>26</v>
      </c>
      <c r="B38" s="142" t="str">
        <f>IF(B37=Para1!$F$153,Para1!$F$109,IF(B37=Para1!$F$109,Para1!$F$148,IF(B37=Para1!$F$148,Para1!$F$111,IF(B37=Para1!$F$111,Para1!$F$120,IF(B37=Para1!$F$120,Para1!$F$170,IF(B37=Para1!$F$170,Para1!$F$173,Para1!$F$153))))))</f>
        <v>Thu</v>
      </c>
      <c r="C38" s="186"/>
      <c r="D38" s="293"/>
      <c r="E38" s="294"/>
      <c r="F38" s="295"/>
      <c r="G38" s="294"/>
      <c r="H38" s="294"/>
      <c r="I38" s="296"/>
      <c r="J38" s="184"/>
      <c r="K38" s="378"/>
      <c r="L38" s="379"/>
      <c r="M38" s="129"/>
      <c r="N38" s="197"/>
      <c r="O38" s="297"/>
      <c r="P38" s="339">
        <f t="shared" si="6"/>
        <v>1</v>
      </c>
      <c r="Q38" s="340">
        <f t="shared" si="6"/>
        <v>1</v>
      </c>
      <c r="R38" s="299" t="e">
        <f>IF(VLOOKUP(A38,Para1!$B$67:$E$72,2,FALSE)="1.",VLOOKUP(A38,Para1!$B$67:$E$72,3,FALSE),"")</f>
        <v>#N/A</v>
      </c>
      <c r="S38" s="299" t="str">
        <f>IF((P38+Q38)=0,"",IF(ISNA(R38),"",IF(R38="","",VLOOKUP(R38,Para1!$D$67:$G$79,3,FALSE)*(IF(P38+Q38=1,0.5,1)))))</f>
        <v/>
      </c>
      <c r="T38" s="299" t="str">
        <f>IF(P38+Q38=0,"",IF(ISNA(R39),"",IF(R39="","",VLOOKUP(R39,Para1!$D$67:$G$79,4,FALSE)*(IF(P38+Q38=1,0.5,1)))))</f>
        <v/>
      </c>
      <c r="U38" s="299">
        <f t="shared" si="2"/>
        <v>0</v>
      </c>
      <c r="V38" s="11" t="str">
        <f t="shared" si="3"/>
        <v/>
      </c>
      <c r="W38" s="299">
        <f t="shared" si="4"/>
        <v>0</v>
      </c>
    </row>
    <row r="39" spans="1:23" ht="17" customHeight="1" x14ac:dyDescent="0.15">
      <c r="A39" s="27" t="s">
        <v>27</v>
      </c>
      <c r="B39" s="142" t="str">
        <f>IF(B38=Para1!$F$153,Para1!$F$109,IF(B38=Para1!$F$109,Para1!$F$148,IF(B38=Para1!$F$148,Para1!$F$111,IF(B38=Para1!$F$111,Para1!$F$120,IF(B38=Para1!$F$120,Para1!$F$170,IF(B38=Para1!$F$170,Para1!$F$173,Para1!$F$153))))))</f>
        <v>Fri</v>
      </c>
      <c r="C39" s="186"/>
      <c r="D39" s="293"/>
      <c r="E39" s="294"/>
      <c r="F39" s="295"/>
      <c r="G39" s="294"/>
      <c r="H39" s="294"/>
      <c r="I39" s="296"/>
      <c r="J39" s="184"/>
      <c r="K39" s="378"/>
      <c r="L39" s="379"/>
      <c r="M39" s="129"/>
      <c r="N39" s="197"/>
      <c r="O39" s="297"/>
      <c r="P39" s="339">
        <f t="shared" si="6"/>
        <v>1</v>
      </c>
      <c r="Q39" s="340">
        <f t="shared" si="6"/>
        <v>1</v>
      </c>
      <c r="R39" s="299" t="e">
        <f>IF(VLOOKUP(A39,Para1!$B$67:$E$72,2,FALSE)="1.",VLOOKUP(A39,Para1!$B$67:$E$72,3,FALSE),"")</f>
        <v>#N/A</v>
      </c>
      <c r="S39" s="299" t="str">
        <f>IF((P39+Q39)=0,"",IF(ISNA(R39),"",IF(R39="","",VLOOKUP(R39,Para1!$D$67:$G$79,3,FALSE)*(IF(P39+Q39=1,0.5,1)))))</f>
        <v/>
      </c>
      <c r="T39" s="299" t="str">
        <f>IF(P39+Q39=0,"",IF(ISNA(R40),"",IF(R40="","",VLOOKUP(R40,Para1!$D$67:$G$79,4,FALSE)*(IF(P39+Q39=1,0.5,1)))))</f>
        <v/>
      </c>
      <c r="U39" s="299">
        <f t="shared" si="2"/>
        <v>0</v>
      </c>
      <c r="V39" s="11" t="str">
        <f t="shared" si="3"/>
        <v/>
      </c>
      <c r="W39" s="299">
        <f t="shared" si="4"/>
        <v>0</v>
      </c>
    </row>
    <row r="40" spans="1:23" ht="17" customHeight="1" x14ac:dyDescent="0.15">
      <c r="A40" s="27" t="s">
        <v>28</v>
      </c>
      <c r="B40" s="142" t="str">
        <f>IF(B39=Para1!$F$153,Para1!$F$109,IF(B39=Para1!$F$109,Para1!$F$148,IF(B39=Para1!$F$148,Para1!$F$111,IF(B39=Para1!$F$111,Para1!$F$120,IF(B39=Para1!$F$120,Para1!$F$170,IF(B39=Para1!$F$170,Para1!$F$173,Para1!$F$153))))))</f>
        <v>Sat</v>
      </c>
      <c r="C40" s="187"/>
      <c r="D40" s="293"/>
      <c r="E40" s="294"/>
      <c r="F40" s="295"/>
      <c r="G40" s="294"/>
      <c r="H40" s="294"/>
      <c r="I40" s="296"/>
      <c r="J40" s="184"/>
      <c r="K40" s="378"/>
      <c r="L40" s="379"/>
      <c r="M40" s="129"/>
      <c r="N40" s="197"/>
      <c r="O40" s="297"/>
      <c r="P40" s="339">
        <f t="shared" si="6"/>
        <v>0</v>
      </c>
      <c r="Q40" s="340">
        <f t="shared" si="6"/>
        <v>0</v>
      </c>
      <c r="R40" s="299" t="e">
        <f>IF(VLOOKUP(A40,Para1!$B$67:$E$72,2,FALSE)="1.",VLOOKUP(A40,Para1!$B$67:$E$72,3,FALSE),"")</f>
        <v>#N/A</v>
      </c>
      <c r="S40" s="299" t="str">
        <f>IF((P40+Q40)=0,"",IF(ISNA(R40),"",IF(R40="","",VLOOKUP(R40,Para1!$D$67:$G$79,3,FALSE)*(IF(P40+Q40=1,0.5,1)))))</f>
        <v/>
      </c>
      <c r="T40" s="299" t="str">
        <f>IF(P40+Q40=0,"",IF(ISNA(R41),"",IF(R41="","",VLOOKUP(R41,Para1!$D$67:$G$79,4,FALSE)*(IF(P40+Q40=1,0.5,1)))))</f>
        <v/>
      </c>
      <c r="U40" s="299">
        <f t="shared" si="2"/>
        <v>0</v>
      </c>
      <c r="V40" s="11" t="str">
        <f t="shared" si="3"/>
        <v/>
      </c>
      <c r="W40" s="299">
        <f t="shared" si="4"/>
        <v>0</v>
      </c>
    </row>
    <row r="41" spans="1:23" ht="17" customHeight="1" x14ac:dyDescent="0.15">
      <c r="A41" s="27" t="s">
        <v>29</v>
      </c>
      <c r="B41" s="142" t="str">
        <f>IF(B40=Para1!$F$153,Para1!$F$109,IF(B40=Para1!$F$109,Para1!$F$148,IF(B40=Para1!$F$148,Para1!$F$111,IF(B40=Para1!$F$111,Para1!$F$120,IF(B40=Para1!$F$120,Para1!$F$170,IF(B40=Para1!$F$170,Para1!$F$173,Para1!$F$153))))))</f>
        <v>Sun</v>
      </c>
      <c r="C41" s="187"/>
      <c r="D41" s="293"/>
      <c r="E41" s="294"/>
      <c r="F41" s="295"/>
      <c r="G41" s="294"/>
      <c r="H41" s="294"/>
      <c r="I41" s="296"/>
      <c r="J41" s="184"/>
      <c r="K41" s="378"/>
      <c r="L41" s="379"/>
      <c r="M41" s="129"/>
      <c r="N41" s="197"/>
      <c r="O41" s="297"/>
      <c r="P41" s="339">
        <f t="shared" si="6"/>
        <v>0</v>
      </c>
      <c r="Q41" s="340">
        <f t="shared" si="6"/>
        <v>0</v>
      </c>
      <c r="R41" s="299" t="e">
        <f>IF(VLOOKUP(A41,Para1!$B$67:$E$72,2,FALSE)="1.",VLOOKUP(A41,Para1!$B$67:$E$72,3,FALSE),"")</f>
        <v>#N/A</v>
      </c>
      <c r="S41" s="299" t="str">
        <f>IF((P41+Q41)=0,"",IF(ISNA(R41),"",IF(R41="","",VLOOKUP(R41,Para1!$D$67:$G$79,3,FALSE)*(IF(P41+Q41=1,0.5,1)))))</f>
        <v/>
      </c>
      <c r="T41" s="299" t="str">
        <f>IF(P41+Q41=0,"",IF(ISNA(R42),"",IF(R42="","",VLOOKUP(R42,Para1!$D$67:$G$79,4,FALSE)*(IF(P41+Q41=1,0.5,1)))))</f>
        <v/>
      </c>
      <c r="U41" s="299">
        <f t="shared" si="2"/>
        <v>0</v>
      </c>
      <c r="V41" s="11" t="str">
        <f t="shared" si="3"/>
        <v/>
      </c>
      <c r="W41" s="299">
        <f t="shared" si="4"/>
        <v>0</v>
      </c>
    </row>
    <row r="42" spans="1:23" ht="17" customHeight="1" x14ac:dyDescent="0.15">
      <c r="A42" s="27" t="s">
        <v>30</v>
      </c>
      <c r="B42" s="142" t="str">
        <f>IF(B41=Para1!$F$153,Para1!$F$109,IF(B41=Para1!$F$109,Para1!$F$148,IF(B41=Para1!$F$148,Para1!$F$111,IF(B41=Para1!$F$111,Para1!$F$120,IF(B41=Para1!$F$120,Para1!$F$170,IF(B41=Para1!$F$170,Para1!$F$173,Para1!$F$153))))))</f>
        <v>Mon</v>
      </c>
      <c r="C42" s="187"/>
      <c r="D42" s="293"/>
      <c r="E42" s="294"/>
      <c r="F42" s="295"/>
      <c r="G42" s="294"/>
      <c r="H42" s="294"/>
      <c r="I42" s="296"/>
      <c r="J42" s="184"/>
      <c r="K42" s="378"/>
      <c r="L42" s="379"/>
      <c r="M42" s="129"/>
      <c r="N42" s="197"/>
      <c r="O42" s="297"/>
      <c r="P42" s="339">
        <f t="shared" si="6"/>
        <v>1</v>
      </c>
      <c r="Q42" s="340">
        <f t="shared" si="6"/>
        <v>1</v>
      </c>
      <c r="R42" s="299" t="e">
        <f>IF(VLOOKUP(A42,Para1!$B$67:$E$72,2,FALSE)="1.",VLOOKUP(A42,Para1!$B$67:$E$72,3,FALSE),"")</f>
        <v>#N/A</v>
      </c>
      <c r="S42" s="299" t="str">
        <f>IF((P42+Q42)=0,"",IF(ISNA(R42),"",IF(R42="","",VLOOKUP(R42,Para1!$D$67:$G$79,3,FALSE)*(IF(P42+Q42=1,0.5,1)))))</f>
        <v/>
      </c>
      <c r="T42" s="299" t="str">
        <f>IF(P42+Q42=0,"",IF(ISNA(R43),"",IF(R43="","",VLOOKUP(R43,Para1!$D$67:$G$79,4,FALSE)*(IF(P42+Q42=1,0.5,1)))))</f>
        <v/>
      </c>
      <c r="U42" s="299">
        <f t="shared" si="2"/>
        <v>0</v>
      </c>
      <c r="V42" s="11" t="str">
        <f t="shared" si="3"/>
        <v/>
      </c>
      <c r="W42" s="299">
        <f t="shared" si="4"/>
        <v>0</v>
      </c>
    </row>
    <row r="43" spans="1:23" ht="17" customHeight="1" x14ac:dyDescent="0.15">
      <c r="A43" s="27" t="s">
        <v>31</v>
      </c>
      <c r="B43" s="142" t="str">
        <f>IF(B42=Para1!$F$153,Para1!$F$109,IF(B42=Para1!$F$109,Para1!$F$148,IF(B42=Para1!$F$148,Para1!$F$111,IF(B42=Para1!$F$111,Para1!$F$120,IF(B42=Para1!$F$120,Para1!$F$170,IF(B42=Para1!$F$170,Para1!$F$173,Para1!$F$153))))))</f>
        <v>Tue</v>
      </c>
      <c r="C43" s="185"/>
      <c r="D43" s="293"/>
      <c r="E43" s="294"/>
      <c r="F43" s="295"/>
      <c r="G43" s="294"/>
      <c r="H43" s="294"/>
      <c r="I43" s="296"/>
      <c r="J43" s="184"/>
      <c r="K43" s="378"/>
      <c r="L43" s="379"/>
      <c r="M43" s="129"/>
      <c r="N43" s="197"/>
      <c r="O43" s="297"/>
      <c r="P43" s="339">
        <f t="shared" si="6"/>
        <v>1</v>
      </c>
      <c r="Q43" s="340">
        <f t="shared" si="6"/>
        <v>1</v>
      </c>
      <c r="R43" s="299" t="str">
        <f>IF(VLOOKUP(A43,Para1!$B$67:$E$72,2,FALSE)="1.",VLOOKUP(A43,Para1!$B$67:$E$72,3,FALSE),"")</f>
        <v/>
      </c>
      <c r="S43" s="299" t="str">
        <f>IF((P43+Q43)=0,"",IF(ISNA(R43),"",IF(R43="","",VLOOKUP(R43,Para1!$D$67:$G$79,3,FALSE)*(IF(P43+Q43=1,0.5,1)))))</f>
        <v/>
      </c>
      <c r="T43" s="299" t="str">
        <f>IF(P43+Q43=0,"",IF(ISNA(R44),"",IF(R44="","",VLOOKUP(R44,Para1!$D$67:$G$79,4,FALSE)*(IF(P43+Q43=1,0.5,1)))))</f>
        <v/>
      </c>
      <c r="U43" s="299">
        <f t="shared" si="2"/>
        <v>0</v>
      </c>
      <c r="V43" s="11" t="str">
        <f t="shared" si="3"/>
        <v/>
      </c>
      <c r="W43" s="299">
        <f t="shared" si="4"/>
        <v>0</v>
      </c>
    </row>
    <row r="44" spans="1:23" ht="17" customHeight="1" x14ac:dyDescent="0.15">
      <c r="A44" s="102" t="s">
        <v>32</v>
      </c>
      <c r="B44" s="142" t="str">
        <f>IF(B43=Para1!$F$153,Para1!$F$109,IF(B43=Para1!$F$109,Para1!$F$148,IF(B43=Para1!$F$148,Para1!$F$111,IF(B43=Para1!$F$111,Para1!$F$120,IF(B43=Para1!$F$120,Para1!$F$170,IF(B43=Para1!$F$170,Para1!$F$173,Para1!$F$153))))))</f>
        <v>Wed</v>
      </c>
      <c r="C44" s="185"/>
      <c r="D44" s="293"/>
      <c r="E44" s="294"/>
      <c r="F44" s="295"/>
      <c r="G44" s="294"/>
      <c r="H44" s="294"/>
      <c r="I44" s="296"/>
      <c r="J44" s="184"/>
      <c r="K44" s="378"/>
      <c r="L44" s="379"/>
      <c r="M44" s="129"/>
      <c r="N44" s="197"/>
      <c r="O44" s="297"/>
      <c r="P44" s="339">
        <f t="shared" si="6"/>
        <v>1</v>
      </c>
      <c r="Q44" s="340">
        <f t="shared" si="6"/>
        <v>1</v>
      </c>
      <c r="R44" s="299" t="e">
        <f>IF(VLOOKUP(A44,Para1!$B$67:$E$72,2,FALSE)="1.",VLOOKUP(A44,Para1!$B$67:$E$72,3,FALSE),"")</f>
        <v>#N/A</v>
      </c>
      <c r="S44" s="299" t="str">
        <f>IF((P44+Q44)=0,"",IF(ISNA(R44),"",IF(R44="","",VLOOKUP(R44,Para1!$D$67:$G$79,3,FALSE)*(IF(P44+Q44=1,0.5,1)))))</f>
        <v/>
      </c>
      <c r="T44" s="299" t="str">
        <f>IF(P44+Q44=0,"",IF(ISNA(R45),"",IF(R45="","",VLOOKUP(R45,Para1!$D$67:$G$79,4,FALSE)*(IF(P44+Q44=1,0.5,1)))))</f>
        <v/>
      </c>
      <c r="U44" s="299">
        <f t="shared" si="2"/>
        <v>0</v>
      </c>
      <c r="V44" s="11" t="str">
        <f t="shared" si="3"/>
        <v/>
      </c>
      <c r="W44" s="299">
        <f t="shared" si="4"/>
        <v>0</v>
      </c>
    </row>
    <row r="45" spans="1:23" ht="17" customHeight="1" x14ac:dyDescent="0.15">
      <c r="A45" s="102" t="s">
        <v>33</v>
      </c>
      <c r="B45" s="142" t="str">
        <f>IF(B44=Para1!$F$153,Para1!$F$109,IF(B44=Para1!$F$109,Para1!$F$148,IF(B44=Para1!$F$148,Para1!$F$111,IF(B44=Para1!$F$111,Para1!$F$120,IF(B44=Para1!$F$120,Para1!$F$170,IF(B44=Para1!$F$170,Para1!$F$173,Para1!$F$153))))))</f>
        <v>Thu</v>
      </c>
      <c r="C45" s="186"/>
      <c r="D45" s="293"/>
      <c r="E45" s="294"/>
      <c r="F45" s="295"/>
      <c r="G45" s="294"/>
      <c r="H45" s="294"/>
      <c r="I45" s="296"/>
      <c r="J45" s="184"/>
      <c r="K45" s="378"/>
      <c r="L45" s="379"/>
      <c r="M45" s="129"/>
      <c r="N45" s="197"/>
      <c r="O45" s="297"/>
      <c r="P45" s="339">
        <f t="shared" si="6"/>
        <v>1</v>
      </c>
      <c r="Q45" s="340">
        <f t="shared" si="6"/>
        <v>1</v>
      </c>
      <c r="R45" s="299" t="e">
        <f>IF(VLOOKUP(A45,Para1!$B$67:$E$72,2,FALSE)="1.",VLOOKUP(A45,Para1!$B$67:$E$72,3,FALSE),"")</f>
        <v>#N/A</v>
      </c>
      <c r="S45" s="299" t="str">
        <f>IF((P45+Q45)=0,"",IF(ISNA(R45),"",IF(R45="","",VLOOKUP(R45,Para1!$D$67:$G$79,3,FALSE)*(IF(P45+Q45=1,0.5,1)))))</f>
        <v/>
      </c>
      <c r="T45" s="299" t="str">
        <f>IF(P45+Q45=0,"",IF(ISNA(R46),"",IF(R46="","",VLOOKUP(R46,Para1!$D$67:$G$79,4,FALSE)*(IF(P45+Q45=1,0.5,1)))))</f>
        <v/>
      </c>
      <c r="U45" s="299">
        <f t="shared" si="2"/>
        <v>0</v>
      </c>
      <c r="V45" s="11" t="str">
        <f t="shared" si="3"/>
        <v/>
      </c>
      <c r="W45" s="299">
        <f t="shared" si="4"/>
        <v>0</v>
      </c>
    </row>
    <row r="46" spans="1:23" ht="17" customHeight="1" x14ac:dyDescent="0.15">
      <c r="A46" s="27" t="s">
        <v>34</v>
      </c>
      <c r="B46" s="142" t="str">
        <f>IF(B45=Para1!$F$153,Para1!$F$109,IF(B45=Para1!$F$109,Para1!$F$148,IF(B45=Para1!$F$148,Para1!$F$111,IF(B45=Para1!$F$111,Para1!$F$120,IF(B45=Para1!$F$120,Para1!$F$170,IF(B45=Para1!$F$170,Para1!$F$173,Para1!$F$153))))))</f>
        <v>Fri</v>
      </c>
      <c r="C46" s="186"/>
      <c r="D46" s="293"/>
      <c r="E46" s="294"/>
      <c r="F46" s="295"/>
      <c r="G46" s="294"/>
      <c r="H46" s="294"/>
      <c r="I46" s="296"/>
      <c r="J46" s="184"/>
      <c r="K46" s="378"/>
      <c r="L46" s="379"/>
      <c r="M46" s="129"/>
      <c r="N46" s="197"/>
      <c r="O46" s="297"/>
      <c r="P46" s="339">
        <f t="shared" si="6"/>
        <v>1</v>
      </c>
      <c r="Q46" s="340">
        <f t="shared" si="6"/>
        <v>1</v>
      </c>
      <c r="R46" s="299" t="e">
        <f>IF(VLOOKUP(A46,Para1!$B$67:$E$72,2,FALSE)="1.",VLOOKUP(A46,Para1!$B$67:$E$72,3,FALSE),"")</f>
        <v>#N/A</v>
      </c>
      <c r="S46" s="299" t="str">
        <f>IF((P46+Q46)=0,"",IF(ISNA(R46),"",IF(R46="","",VLOOKUP(R46,Para1!$D$67:$G$79,3,FALSE)*(IF(P46+Q46=1,0.5,1)))))</f>
        <v/>
      </c>
      <c r="T46" s="299" t="str">
        <f>IF(P46+Q46=0,"",IF(ISNA(R47),"",IF(R47="","",VLOOKUP(R47,Para1!$D$67:$G$79,4,FALSE)*(IF(P46+Q46=1,0.5,1)))))</f>
        <v/>
      </c>
      <c r="U46" s="299">
        <f t="shared" si="2"/>
        <v>0</v>
      </c>
      <c r="V46" s="11" t="str">
        <f t="shared" si="3"/>
        <v/>
      </c>
      <c r="W46" s="299">
        <f t="shared" si="4"/>
        <v>0</v>
      </c>
    </row>
    <row r="47" spans="1:23" ht="17" customHeight="1" x14ac:dyDescent="0.15">
      <c r="A47" s="27" t="s">
        <v>35</v>
      </c>
      <c r="B47" s="142" t="str">
        <f>IF(B46=Para1!$F$153,Para1!$F$109,IF(B46=Para1!$F$109,Para1!$F$148,IF(B46=Para1!$F$148,Para1!$F$111,IF(B46=Para1!$F$111,Para1!$F$120,IF(B46=Para1!$F$120,Para1!$F$170,IF(B46=Para1!$F$170,Para1!$F$173,Para1!$F$153))))))</f>
        <v>Sat</v>
      </c>
      <c r="C47" s="187"/>
      <c r="D47" s="293"/>
      <c r="E47" s="294"/>
      <c r="F47" s="295"/>
      <c r="G47" s="294"/>
      <c r="H47" s="294"/>
      <c r="I47" s="296"/>
      <c r="J47" s="184"/>
      <c r="K47" s="378"/>
      <c r="L47" s="379"/>
      <c r="M47" s="129"/>
      <c r="N47" s="197"/>
      <c r="O47" s="297"/>
      <c r="P47" s="339">
        <f t="shared" si="6"/>
        <v>0</v>
      </c>
      <c r="Q47" s="340">
        <f t="shared" si="6"/>
        <v>0</v>
      </c>
      <c r="R47" s="299" t="e">
        <f>IF(VLOOKUP(A47,Para1!$B$67:$E$72,2,FALSE)="1.",VLOOKUP(A47,Para1!$B$67:$E$72,3,FALSE),"")</f>
        <v>#N/A</v>
      </c>
      <c r="S47" s="299" t="str">
        <f>IF((P47+Q47)=0,"",IF(ISNA(R47),"",IF(R47="","",VLOOKUP(R47,Para1!$D$67:$G$79,3,FALSE)*(IF(P47+Q47=1,0.5,1)))))</f>
        <v/>
      </c>
      <c r="T47" s="299" t="str">
        <f>IF(P47+Q47=0,"",IF(ISNA(R48),"",IF(R48="","",VLOOKUP(R48,Para1!$D$67:$G$79,4,FALSE)*(IF(P47+Q47=1,0.5,1)))))</f>
        <v/>
      </c>
      <c r="U47" s="299">
        <f t="shared" si="2"/>
        <v>0</v>
      </c>
      <c r="V47" s="11" t="str">
        <f t="shared" si="3"/>
        <v/>
      </c>
      <c r="W47" s="299">
        <f t="shared" si="4"/>
        <v>0</v>
      </c>
    </row>
    <row r="48" spans="1:23" ht="17" customHeight="1" x14ac:dyDescent="0.15">
      <c r="A48" s="27" t="s">
        <v>36</v>
      </c>
      <c r="B48" s="142" t="str">
        <f>IF(B47=Para1!$F$153,Para1!$F$109,IF(B47=Para1!$F$109,Para1!$F$148,IF(B47=Para1!$F$148,Para1!$F$111,IF(B47=Para1!$F$111,Para1!$F$120,IF(B47=Para1!$F$120,Para1!$F$170,IF(B47=Para1!$F$170,Para1!$F$173,Para1!$F$153))))))</f>
        <v>Sun</v>
      </c>
      <c r="C48" s="187"/>
      <c r="D48" s="293"/>
      <c r="E48" s="294"/>
      <c r="F48" s="295"/>
      <c r="G48" s="294"/>
      <c r="H48" s="294"/>
      <c r="I48" s="296"/>
      <c r="J48" s="184"/>
      <c r="K48" s="378"/>
      <c r="L48" s="379"/>
      <c r="M48" s="129"/>
      <c r="N48" s="197"/>
      <c r="O48" s="297"/>
      <c r="P48" s="339">
        <f>P41</f>
        <v>0</v>
      </c>
      <c r="Q48" s="340">
        <f>Q41</f>
        <v>0</v>
      </c>
      <c r="R48" s="299" t="e">
        <f>IF(VLOOKUP(A48,Para1!$B$67:$E$72,2,FALSE)="1.",VLOOKUP(A48,Para1!$B$67:$E$72,3,FALSE),"")</f>
        <v>#N/A</v>
      </c>
      <c r="S48" s="299" t="str">
        <f>IF((P48+Q48)=0,"",IF(ISNA(R48),"",IF(R48="","",VLOOKUP(R48,Para1!$D$67:$G$79,3,FALSE)*(IF(P48+Q48=1,0.5,1)))))</f>
        <v/>
      </c>
      <c r="T48" s="299" t="str">
        <f>IF(P48+Q48=0,"",IF(ISNA(R49),"",IF(R49="","",VLOOKUP(R49,Para1!$D$67:$G$79,4,FALSE)*(IF(P48+Q48=1,0.5,1)))))</f>
        <v/>
      </c>
      <c r="U48" s="299">
        <f t="shared" si="2"/>
        <v>0</v>
      </c>
      <c r="V48" s="11" t="str">
        <f t="shared" si="3"/>
        <v/>
      </c>
      <c r="W48" s="299">
        <f t="shared" si="4"/>
        <v>0</v>
      </c>
    </row>
    <row r="49" spans="1:24" ht="17" customHeight="1" x14ac:dyDescent="0.15">
      <c r="A49" s="27" t="s">
        <v>37</v>
      </c>
      <c r="B49" s="142" t="str">
        <f>IF(B48=Para1!$F$153,Para1!$F$109,IF(B48=Para1!$F$109,Para1!$F$148,IF(B48=Para1!$F$148,Para1!$F$111,IF(B48=Para1!$F$111,Para1!$F$120,IF(B48=Para1!$F$120,Para1!$F$170,IF(B48=Para1!$F$170,Para1!$F$173,Para1!$F$153))))))</f>
        <v>Mon</v>
      </c>
      <c r="C49" s="187"/>
      <c r="D49" s="293"/>
      <c r="E49" s="294"/>
      <c r="F49" s="295"/>
      <c r="G49" s="294"/>
      <c r="H49" s="294"/>
      <c r="I49" s="296"/>
      <c r="J49" s="184"/>
      <c r="K49" s="378"/>
      <c r="L49" s="379"/>
      <c r="M49" s="129"/>
      <c r="N49" s="197"/>
      <c r="O49" s="297"/>
      <c r="P49" s="339">
        <f t="shared" ref="P49:Q53" si="7">P42</f>
        <v>1</v>
      </c>
      <c r="Q49" s="340">
        <f t="shared" si="7"/>
        <v>1</v>
      </c>
      <c r="R49" s="299" t="e">
        <f>IF(VLOOKUP(A49,Para1!$B$67:$E$72,2,FALSE)="1.",VLOOKUP(A49,Para1!$B$67:$E$72,3,FALSE),"")</f>
        <v>#N/A</v>
      </c>
      <c r="S49" s="299" t="str">
        <f>IF((P49+Q49)=0,"",IF(ISNA(R49),"",IF(R49="","",VLOOKUP(R49,Para1!$D$67:$G$79,3,FALSE)*(IF(P49+Q49=1,0.5,1)))))</f>
        <v/>
      </c>
      <c r="T49" s="299" t="str">
        <f>IF(P49+Q49=0,"",IF(ISNA(R50),"",IF(R50="","",VLOOKUP(R50,Para1!$D$67:$G$79,4,FALSE)*(IF(P49+Q49=1,0.5,1)))))</f>
        <v/>
      </c>
      <c r="U49" s="299">
        <f t="shared" si="2"/>
        <v>0</v>
      </c>
      <c r="V49" s="11" t="str">
        <f t="shared" si="3"/>
        <v/>
      </c>
      <c r="W49" s="299">
        <f t="shared" si="4"/>
        <v>0</v>
      </c>
    </row>
    <row r="50" spans="1:24" ht="16.5" customHeight="1" x14ac:dyDescent="0.15">
      <c r="A50" s="27" t="s">
        <v>38</v>
      </c>
      <c r="B50" s="142" t="str">
        <f>IF(B49=Para1!$F$153,Para1!$F$109,IF(B49=Para1!$F$109,Para1!$F$148,IF(B49=Para1!$F$148,Para1!$F$111,IF(B49=Para1!$F$111,Para1!$F$120,IF(B49=Para1!$F$120,Para1!$F$170,IF(B49=Para1!$F$170,Para1!$F$173,Para1!$F$153))))))</f>
        <v>Tue</v>
      </c>
      <c r="C50" s="185"/>
      <c r="D50" s="293"/>
      <c r="E50" s="294"/>
      <c r="F50" s="295"/>
      <c r="G50" s="294"/>
      <c r="H50" s="294"/>
      <c r="I50" s="296"/>
      <c r="J50" s="184"/>
      <c r="K50" s="378"/>
      <c r="L50" s="379"/>
      <c r="M50" s="129"/>
      <c r="N50" s="197"/>
      <c r="O50" s="297"/>
      <c r="P50" s="339">
        <f t="shared" si="7"/>
        <v>1</v>
      </c>
      <c r="Q50" s="340">
        <f t="shared" si="7"/>
        <v>1</v>
      </c>
      <c r="R50" s="299" t="e">
        <f>IF(VLOOKUP(A50,Para1!$B$67:$E$72,2,FALSE)="1.",VLOOKUP(A50,Para1!$B$67:$E$72,3,FALSE),"")</f>
        <v>#N/A</v>
      </c>
      <c r="S50" s="299" t="str">
        <f>IF((P50+Q50)=0,"",IF(ISNA(R50),"",IF(R50="","",VLOOKUP(R50,Para1!$D$67:$G$79,3,FALSE)*(IF(P50+Q50=1,0.5,1)))))</f>
        <v/>
      </c>
      <c r="T50" s="299" t="str">
        <f>IF(P50+Q50=0,"",IF(ISNA(R51),"",IF(R51="","",VLOOKUP(R51,Para1!$D$67:$G$79,4,FALSE)*(IF(P50+Q50=1,0.5,1)))))</f>
        <v/>
      </c>
      <c r="U50" s="299">
        <f t="shared" si="2"/>
        <v>0</v>
      </c>
      <c r="V50" s="11" t="str">
        <f t="shared" si="3"/>
        <v/>
      </c>
      <c r="W50" s="299">
        <f t="shared" si="4"/>
        <v>0</v>
      </c>
    </row>
    <row r="51" spans="1:24" ht="16.5" customHeight="1" x14ac:dyDescent="0.15">
      <c r="A51" s="102" t="s">
        <v>39</v>
      </c>
      <c r="B51" s="142" t="str">
        <f>IF(B50=Para1!$F$153,Para1!$F$109,IF(B50=Para1!$F$109,Para1!$F$148,IF(B50=Para1!$F$148,Para1!$F$111,IF(B50=Para1!$F$111,Para1!$F$120,IF(B50=Para1!$F$120,Para1!$F$170,IF(B50=Para1!$F$170,Para1!$F$173,Para1!$F$153))))))</f>
        <v>Wed</v>
      </c>
      <c r="C51" s="185"/>
      <c r="D51" s="293"/>
      <c r="E51" s="294"/>
      <c r="F51" s="295"/>
      <c r="G51" s="294"/>
      <c r="H51" s="294"/>
      <c r="I51" s="296"/>
      <c r="J51" s="184"/>
      <c r="K51" s="378"/>
      <c r="L51" s="379"/>
      <c r="M51" s="129"/>
      <c r="N51" s="197"/>
      <c r="O51" s="297"/>
      <c r="P51" s="339">
        <f t="shared" si="7"/>
        <v>1</v>
      </c>
      <c r="Q51" s="340">
        <f t="shared" si="7"/>
        <v>1</v>
      </c>
      <c r="R51" s="299" t="e">
        <f>IF(VLOOKUP(A51,Para1!$B$67:$E$72,2,FALSE)="1.",VLOOKUP(A51,Para1!$B$67:$E$72,3,FALSE),"")</f>
        <v>#N/A</v>
      </c>
      <c r="S51" s="299" t="str">
        <f>IF((P51+Q51)=0,"",IF(ISNA(R51),"",IF(R51="","",VLOOKUP(R51,Para1!$D$67:$G$79,3,FALSE)*(IF(P51+Q51=1,0.5,1)))))</f>
        <v/>
      </c>
      <c r="T51" s="299" t="str">
        <f>IF(P51+Q51=0,"",IF(ISNA(R52),"",IF(R52="","",VLOOKUP(R52,Para1!$D$67:$G$79,4,FALSE)*(IF(P51+Q51=1,0.5,1)))))</f>
        <v/>
      </c>
      <c r="U51" s="299">
        <f t="shared" si="2"/>
        <v>0</v>
      </c>
      <c r="V51" s="11" t="str">
        <f t="shared" si="3"/>
        <v/>
      </c>
      <c r="W51" s="299">
        <f t="shared" si="4"/>
        <v>0</v>
      </c>
    </row>
    <row r="52" spans="1:24" ht="16.5" customHeight="1" x14ac:dyDescent="0.15">
      <c r="A52" s="102" t="s">
        <v>40</v>
      </c>
      <c r="B52" s="142" t="str">
        <f>IF(B51=Para1!$F$153,Para1!$F$109,IF(B51=Para1!$F$109,Para1!$F$148,IF(B51=Para1!$F$148,Para1!$F$111,IF(B51=Para1!$F$111,Para1!$F$120,IF(B51=Para1!$F$120,Para1!$F$170,IF(B51=Para1!$F$170,Para1!$F$173,Para1!$F$153))))))</f>
        <v>Thu</v>
      </c>
      <c r="C52" s="186"/>
      <c r="D52" s="293"/>
      <c r="E52" s="294"/>
      <c r="F52" s="295"/>
      <c r="G52" s="294"/>
      <c r="H52" s="294"/>
      <c r="I52" s="296"/>
      <c r="J52" s="184"/>
      <c r="K52" s="378"/>
      <c r="L52" s="379"/>
      <c r="M52" s="129"/>
      <c r="N52" s="197"/>
      <c r="O52" s="297"/>
      <c r="P52" s="339">
        <f t="shared" si="7"/>
        <v>1</v>
      </c>
      <c r="Q52" s="340">
        <f t="shared" si="7"/>
        <v>1</v>
      </c>
      <c r="R52" s="299" t="e">
        <f>IF(VLOOKUP(A52,Para1!$B$67:$E$72,2,FALSE)="1.",VLOOKUP(A52,Para1!$B$67:$E$72,3,FALSE),"")</f>
        <v>#N/A</v>
      </c>
      <c r="S52" s="299" t="str">
        <f>IF((P52+Q52)=0,"",IF(ISNA(R52),"",IF(R52="","",VLOOKUP(R52,Para1!$D$67:$G$79,3,FALSE)*(IF(P52+Q52=1,0.5,1)))))</f>
        <v/>
      </c>
      <c r="T52" s="299" t="str">
        <f>IF(P52+Q52=0,"",IF(ISNA(R53),"",IF(R53="","",VLOOKUP(R53,Para1!$D$67:$G$79,4,FALSE)*(IF(P52+Q52=1,0.5,1)))))</f>
        <v/>
      </c>
      <c r="U52" s="299">
        <f t="shared" si="2"/>
        <v>0</v>
      </c>
      <c r="V52" s="11" t="str">
        <f t="shared" si="3"/>
        <v/>
      </c>
      <c r="W52" s="299">
        <f t="shared" si="4"/>
        <v>0</v>
      </c>
    </row>
    <row r="53" spans="1:24" ht="17" customHeight="1" thickBot="1" x14ac:dyDescent="0.2">
      <c r="A53" s="102" t="s">
        <v>46</v>
      </c>
      <c r="B53" s="142" t="str">
        <f>IF(B52=Para1!$F$153,Para1!$F$109,IF(B52=Para1!$F$109,Para1!$F$148,IF(B52=Para1!$F$148,Para1!$F$111,IF(B52=Para1!$F$111,Para1!$F$120,IF(B52=Para1!$F$120,Para1!$F$170,IF(B52=Para1!$F$170,Para1!$F$173,Para1!$F$153))))))</f>
        <v>Fri</v>
      </c>
      <c r="C53" s="186"/>
      <c r="D53" s="293"/>
      <c r="E53" s="294"/>
      <c r="F53" s="295"/>
      <c r="G53" s="294"/>
      <c r="H53" s="294"/>
      <c r="I53" s="296"/>
      <c r="J53" s="184"/>
      <c r="K53" s="380"/>
      <c r="L53" s="381"/>
      <c r="M53" s="129"/>
      <c r="N53" s="197"/>
      <c r="O53" s="297"/>
      <c r="P53" s="341">
        <f t="shared" si="7"/>
        <v>1</v>
      </c>
      <c r="Q53" s="342">
        <f t="shared" si="7"/>
        <v>1</v>
      </c>
      <c r="R53" s="299" t="str">
        <f>IF(VLOOKUP(A53,Para1!$B$67:$E$72,2,FALSE)="1.",VLOOKUP(A53,Para1!$B$67:$E$72,3,FALSE),"")</f>
        <v/>
      </c>
      <c r="S53" s="299" t="str">
        <f>IF((P53+Q53)=0,"",IF(ISNA(R53),"",IF(R53="","",VLOOKUP(R53,Para1!$D$67:$G$79,3,FALSE)*(IF(P53+Q53=1,0.5,1)))))</f>
        <v/>
      </c>
      <c r="T53" s="299" t="str">
        <f>IF(P53+Q53=0,"",IF(ISNA(Februar!R23),"",IF(Februar!R23="","",VLOOKUP(Februar!R23,Para1!$D$67:$G$79,4,FALSE)*(IF(P53+Q53=1,0.5,1)))))</f>
        <v/>
      </c>
      <c r="U53" s="299">
        <f t="shared" si="2"/>
        <v>0</v>
      </c>
      <c r="V53" s="11" t="str">
        <f t="shared" si="3"/>
        <v/>
      </c>
      <c r="W53" s="299">
        <f t="shared" si="4"/>
        <v>0</v>
      </c>
    </row>
    <row r="54" spans="1:24" ht="15" thickTop="1" x14ac:dyDescent="0.15">
      <c r="A54" s="36"/>
      <c r="B54" s="32"/>
      <c r="C54" s="16"/>
      <c r="D54" s="145">
        <f t="shared" ref="D54:I54" si="8">SUM(D23:D53)</f>
        <v>0</v>
      </c>
      <c r="E54" s="31">
        <f t="shared" si="8"/>
        <v>0</v>
      </c>
      <c r="F54" s="31">
        <f t="shared" si="8"/>
        <v>0</v>
      </c>
      <c r="G54" s="31">
        <f t="shared" si="8"/>
        <v>0</v>
      </c>
      <c r="H54" s="31">
        <f t="shared" si="8"/>
        <v>0</v>
      </c>
      <c r="I54" s="146">
        <f t="shared" si="8"/>
        <v>0</v>
      </c>
      <c r="J54" s="189"/>
      <c r="K54" s="191"/>
      <c r="L54" s="191"/>
      <c r="M54" s="16"/>
      <c r="P54" s="622" t="str">
        <f>Para1!F174&amp;" "&amp;Para1!F168</f>
        <v>balance due / half-day</v>
      </c>
      <c r="Q54" s="623"/>
      <c r="R54" s="299">
        <f>SUM(W23:W53)</f>
        <v>0</v>
      </c>
      <c r="S54" s="299">
        <f>SUM(S23:S53)</f>
        <v>0</v>
      </c>
      <c r="T54" s="299">
        <f>SUM(T23:T53)</f>
        <v>0</v>
      </c>
    </row>
    <row r="55" spans="1:24" ht="15" thickBot="1" x14ac:dyDescent="0.2">
      <c r="D55" s="586">
        <f t="shared" ref="D55:I55" si="9">D54*24</f>
        <v>0</v>
      </c>
      <c r="E55" s="587">
        <f t="shared" si="9"/>
        <v>0</v>
      </c>
      <c r="F55" s="587">
        <f t="shared" si="9"/>
        <v>0</v>
      </c>
      <c r="G55" s="587">
        <f t="shared" si="9"/>
        <v>0</v>
      </c>
      <c r="H55" s="587">
        <f t="shared" si="9"/>
        <v>0</v>
      </c>
      <c r="I55" s="588">
        <f t="shared" si="9"/>
        <v>0</v>
      </c>
      <c r="J55" s="190"/>
      <c r="K55" s="192"/>
      <c r="L55" s="192"/>
      <c r="M55" s="163" t="str">
        <f>Para1!G2</f>
        <v>AE v1_01 20.08.2019</v>
      </c>
      <c r="P55" s="624">
        <f>(Para1!C59/100*$G$3+((S54+T54)/100*$G$3))/(SUM(P23:Q53)-R54)/24</f>
        <v>0</v>
      </c>
      <c r="Q55" s="625"/>
    </row>
    <row r="56" spans="1:24" ht="15" thickTop="1" x14ac:dyDescent="0.15">
      <c r="H56" s="34"/>
      <c r="I56" s="11"/>
      <c r="J56" s="11"/>
      <c r="K56" s="16"/>
      <c r="L56" s="11"/>
      <c r="Q56" s="16"/>
      <c r="R56" s="16"/>
      <c r="S56" s="16"/>
      <c r="T56" s="16"/>
      <c r="U56" s="16"/>
      <c r="V56" s="16"/>
      <c r="W56" s="16"/>
      <c r="X56" s="16"/>
    </row>
    <row r="57" spans="1:24"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row>
    <row r="58" spans="1:24" x14ac:dyDescent="0.15">
      <c r="A58" s="5"/>
      <c r="B58" s="5"/>
      <c r="C58" s="5"/>
      <c r="D58" s="5"/>
      <c r="E58" s="5"/>
      <c r="F58" s="5"/>
      <c r="G58" s="5"/>
      <c r="H58" s="5"/>
      <c r="I58" s="562"/>
      <c r="J58" s="562"/>
      <c r="K58" s="562"/>
      <c r="L58" s="562"/>
    </row>
    <row r="59" spans="1:24" ht="22.5" customHeight="1" x14ac:dyDescent="0.15">
      <c r="A59" s="5"/>
      <c r="B59" s="5"/>
      <c r="C59" s="5"/>
      <c r="D59" s="5"/>
      <c r="E59" s="5"/>
      <c r="F59" s="563" t="str">
        <f>Para1!F191&amp;" "&amp;Para1!F193</f>
        <v>signature manager</v>
      </c>
      <c r="G59" s="5"/>
      <c r="H59" s="564"/>
      <c r="I59" s="565"/>
      <c r="J59" s="565"/>
      <c r="K59" s="565"/>
      <c r="L59" s="565"/>
    </row>
    <row r="60" spans="1:24" x14ac:dyDescent="0.15">
      <c r="H60" s="34"/>
      <c r="I60" s="11"/>
      <c r="J60" s="11"/>
      <c r="K60" s="11"/>
      <c r="L60" s="11"/>
    </row>
    <row r="61" spans="1:24" ht="22.5" customHeight="1" x14ac:dyDescent="0.15">
      <c r="A61" s="42"/>
      <c r="B61" s="43"/>
      <c r="C61" s="43"/>
      <c r="D61" s="44"/>
      <c r="E61" s="45"/>
      <c r="F61" s="44"/>
      <c r="G61" s="141"/>
      <c r="I61" s="132"/>
      <c r="J61" s="132"/>
      <c r="K61" s="132"/>
      <c r="L61" s="132"/>
      <c r="M61" s="132"/>
      <c r="O61" s="46"/>
      <c r="S61" s="58"/>
    </row>
    <row r="62" spans="1:24" x14ac:dyDescent="0.15">
      <c r="I62" s="147"/>
      <c r="J62" s="147"/>
      <c r="K62" s="147"/>
      <c r="L62" s="147"/>
    </row>
  </sheetData>
  <sheetProtection password="CF1F" sheet="1" objects="1" scenarios="1"/>
  <mergeCells count="29">
    <mergeCell ref="C16:E16"/>
    <mergeCell ref="C17:E17"/>
    <mergeCell ref="C18:E18"/>
    <mergeCell ref="M20:N20"/>
    <mergeCell ref="K21:K22"/>
    <mergeCell ref="L21:L22"/>
    <mergeCell ref="A1:B1"/>
    <mergeCell ref="A3:B3"/>
    <mergeCell ref="I21:I22"/>
    <mergeCell ref="A22:B22"/>
    <mergeCell ref="J10:K10"/>
    <mergeCell ref="J9:K9"/>
    <mergeCell ref="D1:E1"/>
    <mergeCell ref="D20:I20"/>
    <mergeCell ref="H21:H22"/>
    <mergeCell ref="D21:D22"/>
    <mergeCell ref="B13:E13"/>
    <mergeCell ref="C14:E14"/>
    <mergeCell ref="C15:E15"/>
    <mergeCell ref="F21:F22"/>
    <mergeCell ref="G21:G22"/>
    <mergeCell ref="E21:E22"/>
    <mergeCell ref="P54:Q54"/>
    <mergeCell ref="P55:Q55"/>
    <mergeCell ref="A21:B21"/>
    <mergeCell ref="K20:L20"/>
    <mergeCell ref="P20:Q20"/>
    <mergeCell ref="P21:P22"/>
    <mergeCell ref="Q21:Q22"/>
  </mergeCells>
  <phoneticPr fontId="0" type="noConversion"/>
  <conditionalFormatting sqref="P25:P53 K25:K53">
    <cfRule type="expression" dxfId="88" priority="7">
      <formula>$P25=0</formula>
    </cfRule>
  </conditionalFormatting>
  <conditionalFormatting sqref="Q25:Q53 L25:L53">
    <cfRule type="expression" dxfId="87" priority="6">
      <formula>$Q25=0</formula>
    </cfRule>
  </conditionalFormatting>
  <conditionalFormatting sqref="A25:B53">
    <cfRule type="expression" dxfId="86" priority="5">
      <formula>$P25+$Q25=0</formula>
    </cfRule>
  </conditionalFormatting>
  <conditionalFormatting sqref="D25:I53">
    <cfRule type="expression" dxfId="85" priority="3">
      <formula>$P25+$Q25=1</formula>
    </cfRule>
    <cfRule type="expression" dxfId="84" priority="4">
      <formula>$P25+$Q25=0</formula>
    </cfRule>
  </conditionalFormatting>
  <conditionalFormatting sqref="P25:Q53 D25:I53 K25:L53">
    <cfRule type="expression" dxfId="83" priority="2">
      <formula>$S25=0</formula>
    </cfRule>
  </conditionalFormatting>
  <conditionalFormatting sqref="A23:B53">
    <cfRule type="expression" dxfId="82" priority="1">
      <formula>$S23=0</formula>
    </cfRule>
  </conditionalFormatting>
  <dataValidations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M23:M53" xr:uid="{00000000-0002-0000-0300-000000000000}">
      <formula1>0</formula1>
      <formula2>25</formula2>
    </dataValidation>
  </dataValidations>
  <pageMargins left="0.39370078740157483" right="0.39370078740157483" top="0.78740157480314965" bottom="0.39370078740157483" header="0.27559055118110237" footer="0.15748031496062992"/>
  <pageSetup paperSize="9" scale="65" fitToHeight="0" orientation="portrait" verticalDpi="300" r:id="rId1"/>
  <headerFooter alignWithMargins="0">
    <oddHeader>&amp;C&amp;"Arial,Fett Kursiv"&amp;16Absenzenerfassung -  &amp;A</oddHeader>
    <oddFooter>&amp;L&amp;Z&amp;F</oddFooter>
  </headerFooter>
  <cellWatches>
    <cellWatch r="M25"/>
  </cellWatche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pageSetUpPr fitToPage="1"/>
  </sheetPr>
  <dimension ref="A1:AA59"/>
  <sheetViews>
    <sheetView showGridLines="0" topLeftCell="A16" zoomScale="85" zoomScaleNormal="85" workbookViewId="0">
      <selection activeCell="D57" sqref="D57"/>
    </sheetView>
  </sheetViews>
  <sheetFormatPr baseColWidth="10" defaultColWidth="11.5" defaultRowHeight="14" x14ac:dyDescent="0.15"/>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7"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c r="O1" s="9"/>
      <c r="P1" s="10"/>
      <c r="Q1" s="58"/>
    </row>
    <row r="2" spans="1:17" ht="6" customHeight="1" x14ac:dyDescent="0.15">
      <c r="D2" s="7"/>
      <c r="E2" s="7"/>
      <c r="F2" s="7"/>
      <c r="G2" s="7"/>
      <c r="H2" s="11"/>
      <c r="I2" s="7"/>
      <c r="J2" s="7"/>
      <c r="K2" s="7"/>
      <c r="L2" s="7"/>
      <c r="M2" s="5"/>
      <c r="N2" s="5"/>
      <c r="O2" s="9"/>
      <c r="Q2" s="58"/>
    </row>
    <row r="3" spans="1:17" x14ac:dyDescent="0.15">
      <c r="A3" s="636" t="str">
        <f>Para1!F165</f>
        <v xml:space="preserve">pers.-no.: </v>
      </c>
      <c r="B3" s="636"/>
      <c r="C3" s="237"/>
      <c r="D3" s="241">
        <f>'Jahresübersicht (Overview)'!C4</f>
        <v>0</v>
      </c>
      <c r="E3" s="7"/>
      <c r="F3" s="8" t="str">
        <f>Para1!F97&amp;": "</f>
        <v xml:space="preserve">level of employment: </v>
      </c>
      <c r="G3" s="29">
        <f>'Jahresübersicht (Overview)'!D8</f>
        <v>0</v>
      </c>
      <c r="H3" s="11" t="s">
        <v>215</v>
      </c>
      <c r="I3" s="58"/>
      <c r="J3" s="237"/>
      <c r="K3" s="246" t="str">
        <f>Para1!F113</f>
        <v xml:space="preserve">starting date: </v>
      </c>
      <c r="L3" s="247">
        <f>'Jahresübersicht (Overview)'!G4</f>
        <v>42596</v>
      </c>
      <c r="M3" s="243"/>
      <c r="N3" s="243"/>
      <c r="Q3" s="58"/>
    </row>
    <row r="4" spans="1:17" ht="6" customHeight="1" x14ac:dyDescent="0.15">
      <c r="A4" s="12"/>
      <c r="B4" s="13"/>
      <c r="C4" s="13"/>
      <c r="D4" s="14"/>
      <c r="E4" s="14"/>
      <c r="F4" s="14"/>
      <c r="G4" s="14"/>
      <c r="H4" s="14"/>
      <c r="I4" s="15"/>
      <c r="J4" s="15"/>
      <c r="K4" s="15"/>
      <c r="L4" s="15"/>
      <c r="M4" s="13"/>
      <c r="N4" s="13"/>
      <c r="O4" s="16"/>
    </row>
    <row r="5" spans="1:17" ht="6" customHeight="1" x14ac:dyDescent="0.15">
      <c r="D5" s="7"/>
      <c r="E5" s="7"/>
      <c r="F5" s="7"/>
      <c r="G5" s="7"/>
      <c r="H5" s="7"/>
      <c r="I5" s="9"/>
      <c r="J5" s="9"/>
      <c r="K5" s="9"/>
      <c r="L5" s="9"/>
    </row>
    <row r="6" spans="1:17" ht="15" customHeight="1" x14ac:dyDescent="0.15">
      <c r="D6" s="7"/>
      <c r="E6" s="21"/>
      <c r="F6" s="7"/>
      <c r="G6" s="7"/>
      <c r="H6" s="7"/>
      <c r="I6" s="9"/>
      <c r="J6" s="9"/>
      <c r="K6" s="9"/>
      <c r="L6" s="9"/>
    </row>
    <row r="7" spans="1:17"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c r="O7" s="100"/>
      <c r="P7" s="101"/>
    </row>
    <row r="8" spans="1:17" ht="15" customHeight="1" x14ac:dyDescent="0.15">
      <c r="D8" s="198" t="str">
        <f>Para1!B171&amp;" "&amp;Para1!B88&amp;" "&amp;Para1!B154</f>
        <v>Saldo Anfang Monat</v>
      </c>
      <c r="E8" s="201">
        <f>Januar!E11</f>
        <v>3.645833333333333</v>
      </c>
      <c r="H8" s="11"/>
      <c r="I8" s="21" t="str">
        <f>Para1!F141</f>
        <v>illness</v>
      </c>
      <c r="J8" s="242"/>
      <c r="K8" s="5"/>
      <c r="L8" s="161">
        <f>D54</f>
        <v>0</v>
      </c>
      <c r="M8" s="161">
        <f>Januar!N8</f>
        <v>0</v>
      </c>
      <c r="N8" s="93">
        <f t="shared" ref="N8:N13" si="0">SUM(L8:M8)</f>
        <v>0</v>
      </c>
    </row>
    <row r="9" spans="1:17"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Januar!N9</f>
        <v>0</v>
      </c>
      <c r="N9" s="93">
        <f t="shared" si="0"/>
        <v>0</v>
      </c>
      <c r="Q9" s="34"/>
    </row>
    <row r="10" spans="1:17" ht="15" customHeight="1" x14ac:dyDescent="0.15">
      <c r="D10" s="198" t="str">
        <f>"./ ."&amp;Para1!F119</f>
        <v>./ .reduction of holiday</v>
      </c>
      <c r="E10" s="530">
        <v>0</v>
      </c>
      <c r="H10" s="11"/>
      <c r="I10" s="21"/>
      <c r="J10" s="641" t="str">
        <f>Para1!F161&amp;" "&amp;Para1!F100</f>
        <v>not work. rel.</v>
      </c>
      <c r="K10" s="641"/>
      <c r="L10" s="161">
        <f>F54</f>
        <v>0</v>
      </c>
      <c r="M10" s="161">
        <f>Januar!N10</f>
        <v>0</v>
      </c>
      <c r="N10" s="93">
        <f t="shared" si="0"/>
        <v>0</v>
      </c>
      <c r="Q10" s="34"/>
    </row>
    <row r="11" spans="1:17" ht="15" customHeight="1" thickBot="1" x14ac:dyDescent="0.2">
      <c r="B11" s="251"/>
      <c r="C11" s="251"/>
      <c r="D11" s="246" t="str">
        <f>Para1!F171&amp;" "&amp;Para1!F115&amp;" "&amp;Para1!F154</f>
        <v>balance end of the month</v>
      </c>
      <c r="E11" s="202">
        <f>$E$8-$E$9-$E$10</f>
        <v>3.645833333333333</v>
      </c>
      <c r="H11" s="11"/>
      <c r="I11" s="49" t="str">
        <f>Para1!F142</f>
        <v>short vacation</v>
      </c>
      <c r="J11" s="5"/>
      <c r="K11" s="5"/>
      <c r="L11" s="161">
        <f>G54</f>
        <v>0</v>
      </c>
      <c r="M11" s="161">
        <f>Januar!N11</f>
        <v>0</v>
      </c>
      <c r="N11" s="93">
        <f t="shared" si="0"/>
        <v>0</v>
      </c>
    </row>
    <row r="12" spans="1:17" ht="15" customHeight="1" thickTop="1" x14ac:dyDescent="0.15">
      <c r="B12" s="542" t="str">
        <f>IF((E11*24+(4.2*'Persönliche Daten (pers. data)'!O8/100))&lt;0,Para1!J224,IF(E11&gt;0,"",Para1!J223))</f>
        <v/>
      </c>
      <c r="H12" s="11"/>
      <c r="I12" s="24" t="str">
        <f>Para1!F198</f>
        <v>training / education</v>
      </c>
      <c r="J12" s="5"/>
      <c r="K12" s="5"/>
      <c r="L12" s="161">
        <f>H54</f>
        <v>0</v>
      </c>
      <c r="M12" s="161">
        <f>Januar!N12</f>
        <v>0</v>
      </c>
      <c r="N12" s="93">
        <f t="shared" si="0"/>
        <v>0</v>
      </c>
    </row>
    <row r="13" spans="1:17"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Januar!N13</f>
        <v>0</v>
      </c>
      <c r="N13" s="93">
        <f t="shared" si="0"/>
        <v>0</v>
      </c>
    </row>
    <row r="14" spans="1:17"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Januar!N14</f>
        <v>0</v>
      </c>
      <c r="N14" s="93">
        <f>SUM(L14:M14)</f>
        <v>0</v>
      </c>
      <c r="O14" s="299" t="e">
        <f>INDEX(U23:U53,MATCH("b",U23:U53,0))</f>
        <v>#N/A</v>
      </c>
      <c r="P14" s="299" t="e">
        <f>INDEX(V23:V53,MATCH("b",V23:V53,0))</f>
        <v>#N/A</v>
      </c>
    </row>
    <row r="15" spans="1:17"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Januar!N15</f>
        <v>0</v>
      </c>
      <c r="N15" s="93">
        <f>SUM(L15:M15)</f>
        <v>0</v>
      </c>
      <c r="O15" s="299" t="e">
        <f>INDEX(U23:U53,MATCH("u",U23:U53,0))</f>
        <v>#N/A</v>
      </c>
      <c r="P15" s="299" t="e">
        <f>INDEX(V23:V53,MATCH("u",V23:V53,0))</f>
        <v>#N/A</v>
      </c>
    </row>
    <row r="16" spans="1:17"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Januar!N16</f>
        <v>0</v>
      </c>
      <c r="N16" s="93">
        <f>SUM(L16:M16)</f>
        <v>0</v>
      </c>
      <c r="O16" s="299" t="e">
        <f>INDEX(U23:U53,MATCH("m",U23:U53,0))</f>
        <v>#N/A</v>
      </c>
      <c r="P16" s="299" t="e">
        <f>INDEX(V23:V53,MATCH("m",V23:V53,0))</f>
        <v>#N/A</v>
      </c>
    </row>
    <row r="17" spans="1:23" ht="15" customHeight="1" x14ac:dyDescent="0.15">
      <c r="B17" s="302" t="s">
        <v>424</v>
      </c>
      <c r="C17" s="653" t="str">
        <f>Para1!F192&amp;" "&amp;Para1!F101</f>
        <v>leave paid</v>
      </c>
      <c r="D17" s="653"/>
      <c r="E17" s="654"/>
      <c r="I17" s="21" t="str">
        <f>Para1!F150</f>
        <v>military/civil def./civil serv.</v>
      </c>
      <c r="J17" s="58"/>
      <c r="K17" s="58"/>
      <c r="L17" s="249">
        <f>COUNTIF($K$23:$L$53,"z")*$P$55-IF(ISNA(O17),0,(($S$54+$T$54)/100*$G$3)/48)-IF(ISNA(P17),0,(($S$54+$T$54)/100*$G$3)/48)</f>
        <v>0</v>
      </c>
      <c r="M17" s="161">
        <f>Januar!N17</f>
        <v>0</v>
      </c>
      <c r="N17" s="93">
        <f>SUM(L17:M17)</f>
        <v>0</v>
      </c>
      <c r="O17" s="299" t="e">
        <f>INDEX(U23:U53,MATCH("z",U23:U53,0))</f>
        <v>#N/A</v>
      </c>
      <c r="P17" s="299" t="e">
        <f>INDEX(V23:V53,MATCH("z",V23:V53,0))</f>
        <v>#N/A</v>
      </c>
    </row>
    <row r="18" spans="1:23" ht="15" customHeight="1" thickBot="1" x14ac:dyDescent="0.2">
      <c r="B18" s="302"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x14ac:dyDescent="0.2">
      <c r="A19" s="25" t="str">
        <f>Para1!F104</f>
        <v>(please enter in hours and minutes)</v>
      </c>
      <c r="B19" s="7"/>
      <c r="C19" s="7"/>
      <c r="D19" s="7"/>
      <c r="E19" s="7"/>
      <c r="F19" s="7"/>
      <c r="G19" s="7"/>
      <c r="H19" s="7"/>
      <c r="I19" s="9"/>
      <c r="J19" s="9"/>
      <c r="K19" s="9"/>
      <c r="L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x14ac:dyDescent="0.2">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c r="R21" s="11"/>
    </row>
    <row r="22" spans="1:23" s="26" customFormat="1" ht="15.75" customHeight="1" thickBot="1" x14ac:dyDescent="0.25">
      <c r="A22" s="639" t="str">
        <f>Para1!F106</f>
        <v>date</v>
      </c>
      <c r="B22" s="640"/>
      <c r="C22" s="536"/>
      <c r="D22" s="649"/>
      <c r="E22" s="660"/>
      <c r="F22" s="658"/>
      <c r="G22" s="659"/>
      <c r="H22" s="647"/>
      <c r="I22" s="638"/>
      <c r="J22" s="257"/>
      <c r="K22" s="668"/>
      <c r="L22" s="666"/>
      <c r="M22" s="196"/>
      <c r="N22" s="250"/>
      <c r="O22" s="250"/>
      <c r="P22" s="633"/>
      <c r="Q22" s="635"/>
    </row>
    <row r="23" spans="1:23" ht="17" customHeight="1" thickTop="1" x14ac:dyDescent="0.15">
      <c r="A23" s="27" t="s">
        <v>4</v>
      </c>
      <c r="B23" s="142" t="str">
        <f>IF(Januar!B53=Para1!$F$153,Para1!$F$109,IF(Januar!B53=Para1!$F$109,Para1!$F$148,IF(Januar!B53=Para1!$F$148,Para1!$F$111,IF(Januar!B53=Para1!$F$111,Para1!$F$120,IF(Januar!B53=Para1!$F$120,Para1!$F$170,IF(Januar!B53=Para1!$F$170,Para1!$F$173,Para1!$F$153))))))</f>
        <v>Sat</v>
      </c>
      <c r="C23" s="186"/>
      <c r="D23" s="293"/>
      <c r="E23" s="294"/>
      <c r="F23" s="295"/>
      <c r="G23" s="294"/>
      <c r="H23" s="294"/>
      <c r="I23" s="296"/>
      <c r="J23" s="258"/>
      <c r="K23" s="382"/>
      <c r="L23" s="379"/>
      <c r="M23" s="131"/>
      <c r="N23" s="197"/>
      <c r="O23" s="299"/>
      <c r="P23" s="366">
        <f>Januar!P47</f>
        <v>0</v>
      </c>
      <c r="Q23" s="366">
        <f>Januar!Q47</f>
        <v>0</v>
      </c>
      <c r="R23" s="299" t="str">
        <f>IF(VLOOKUP(A23,Para1!$B$67:$E$72,2,FALSE)="2.",VLOOKUP(A23,Para1!$B$67:$E$72,3,FALSE),"")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IF(SUM(S23:T23)&gt;0,L23,"")</f>
        <v/>
      </c>
      <c r="W23" s="299">
        <f>IF(S23=0,P23+Q23,0)</f>
        <v>0</v>
      </c>
    </row>
    <row r="24" spans="1:23" ht="16.5" customHeight="1" x14ac:dyDescent="0.15">
      <c r="A24" s="27" t="s">
        <v>6</v>
      </c>
      <c r="B24" s="142" t="str">
        <f>IF(B23=Para1!$F$153,Para1!$F$109,IF(B23=Para1!$F$109,Para1!$F$148,IF(B23=Para1!$F$148,Para1!$F$111,IF(B23=Para1!$F$111,Para1!$F$120,IF(B23=Para1!$F$120,Para1!$F$170,IF(B23=Para1!$F$170,Para1!$F$173,Para1!$F$153))))))</f>
        <v>Sun</v>
      </c>
      <c r="C24" s="186"/>
      <c r="D24" s="293"/>
      <c r="E24" s="294"/>
      <c r="F24" s="295"/>
      <c r="G24" s="294"/>
      <c r="H24" s="294"/>
      <c r="I24" s="296"/>
      <c r="J24" s="258"/>
      <c r="K24" s="382"/>
      <c r="L24" s="379"/>
      <c r="M24" s="131"/>
      <c r="N24" s="197"/>
      <c r="O24" s="299"/>
      <c r="P24" s="366">
        <f>Januar!P48</f>
        <v>0</v>
      </c>
      <c r="Q24" s="366">
        <f>Januar!Q48</f>
        <v>0</v>
      </c>
      <c r="R24" s="299" t="e">
        <f>IF(VLOOKUP(A24,Para1!$B$67:$E$72,2,FALSE)="2.",VLOOKUP(A24,Para1!$B$67:$E$72,3,FALSE),"")</f>
        <v>#N/A</v>
      </c>
      <c r="S24" s="299" t="str">
        <f>IF((P24+Q24)=0,"",IF(ISNA(R24),"",IF(R24="","",VLOOKUP(R24,Para1!$D$67:$G$79,3,FALSE)*(IF(P24+Q24=1,0.5,1)))))</f>
        <v/>
      </c>
      <c r="T24" s="299" t="str">
        <f>IF(P24+Q24=0,"",IF(ISNA(R25),"",IF(R25="","",VLOOKUP(R25,Para1!$D$67:$G$79,4,FALSE)*(IF(P24+Q24=1,0.5,1)))))</f>
        <v/>
      </c>
      <c r="U24" s="299" t="str">
        <f t="shared" ref="U24:U53" si="2">IF(SUM(S24:T24)&gt;0,K24,"")</f>
        <v/>
      </c>
      <c r="V24" s="299" t="str">
        <f t="shared" ref="V24:V53" si="3">IF(SUM(S24:T24)&gt;0,L24,"")</f>
        <v/>
      </c>
      <c r="W24" s="299">
        <f t="shared" ref="W24:W53" si="4">IF(S24=0,P24+Q24,0)</f>
        <v>0</v>
      </c>
    </row>
    <row r="25" spans="1:23" ht="17" customHeight="1" x14ac:dyDescent="0.15">
      <c r="A25" s="27" t="s">
        <v>8</v>
      </c>
      <c r="B25" s="142" t="str">
        <f>IF(B24=Para1!$F$153,Para1!$F$109,IF(B24=Para1!$F$109,Para1!$F$148,IF(B24=Para1!$F$148,Para1!$F$111,IF(B24=Para1!$F$111,Para1!$F$120,IF(B24=Para1!$F$120,Para1!$F$170,IF(B24=Para1!$F$170,Para1!$F$173,Para1!$F$153))))))</f>
        <v>Mon</v>
      </c>
      <c r="C25" s="186"/>
      <c r="D25" s="293"/>
      <c r="E25" s="294"/>
      <c r="F25" s="295"/>
      <c r="G25" s="294"/>
      <c r="H25" s="294"/>
      <c r="I25" s="296"/>
      <c r="J25" s="258"/>
      <c r="K25" s="382"/>
      <c r="L25" s="379"/>
      <c r="M25" s="129"/>
      <c r="N25" s="197"/>
      <c r="O25" s="299"/>
      <c r="P25" s="366">
        <f>Januar!P49</f>
        <v>1</v>
      </c>
      <c r="Q25" s="366">
        <f>Januar!Q49</f>
        <v>1</v>
      </c>
      <c r="R25" s="299" t="e">
        <f>IF(VLOOKUP(A25,Para1!$B$67:$E$72,2,FALSE)="2.",VLOOKUP(A25,Para1!$B$67:$E$72,3,FALSE),"")</f>
        <v>#N/A</v>
      </c>
      <c r="S25" s="299" t="str">
        <f>IF((P25+Q25)=0,"",IF(ISNA(R25),"",IF(R25="","",VLOOKUP(R25,Para1!$D$67:$G$79,3,FALSE)*(IF(P25+Q25=1,0.5,1)))))</f>
        <v/>
      </c>
      <c r="T25" s="299" t="str">
        <f>IF(P25+Q25=0,"",IF(ISNA(R26),"",IF(R26="","",VLOOKUP(R26,Para1!$D$67:$G$79,4,FALSE)*(IF(P25+Q25=1,0.5,1)))))</f>
        <v/>
      </c>
      <c r="U25" s="299" t="str">
        <f t="shared" si="2"/>
        <v/>
      </c>
      <c r="V25" s="299" t="str">
        <f t="shared" si="3"/>
        <v/>
      </c>
      <c r="W25" s="299">
        <f t="shared" si="4"/>
        <v>0</v>
      </c>
    </row>
    <row r="26" spans="1:23" ht="17" customHeight="1" x14ac:dyDescent="0.15">
      <c r="A26" s="27" t="s">
        <v>10</v>
      </c>
      <c r="B26" s="142" t="str">
        <f>IF(B25=Para1!$F$153,Para1!$F$109,IF(B25=Para1!$F$109,Para1!$F$148,IF(B25=Para1!$F$148,Para1!$F$111,IF(B25=Para1!$F$111,Para1!$F$120,IF(B25=Para1!$F$120,Para1!$F$170,IF(B25=Para1!$F$170,Para1!$F$173,Para1!$F$153))))))</f>
        <v>Tue</v>
      </c>
      <c r="C26" s="185"/>
      <c r="D26" s="293"/>
      <c r="E26" s="294"/>
      <c r="F26" s="295"/>
      <c r="G26" s="294"/>
      <c r="H26" s="294"/>
      <c r="I26" s="296"/>
      <c r="J26" s="258"/>
      <c r="K26" s="382"/>
      <c r="L26" s="379"/>
      <c r="M26" s="129"/>
      <c r="N26" s="197"/>
      <c r="O26" s="299"/>
      <c r="P26" s="366">
        <f>Januar!P50</f>
        <v>1</v>
      </c>
      <c r="Q26" s="366">
        <f>Januar!Q50</f>
        <v>1</v>
      </c>
      <c r="R26" s="299" t="e">
        <f>IF(VLOOKUP(A26,Para1!$B$67:$E$72,2,FALSE)="2.",VLOOKUP(A26,Para1!$B$67:$E$72,3,FALSE),"")</f>
        <v>#N/A</v>
      </c>
      <c r="S26" s="299" t="str">
        <f>IF((P26+Q26)=0,"",IF(ISNA(R26),"",IF(R26="","",VLOOKUP(R26,Para1!$D$67:$G$79,3,FALSE)*(IF(P26+Q26=1,0.5,1)))))</f>
        <v/>
      </c>
      <c r="T26" s="299" t="str">
        <f>IF(P26+Q26=0,"",IF(ISNA(R27),"",IF(R27="","",VLOOKUP(R27,Para1!$D$67:$G$79,4,FALSE)*(IF(P26+Q26=1,0.5,1)))))</f>
        <v/>
      </c>
      <c r="U26" s="299" t="str">
        <f>IF(SUM(S26:T26)&gt;0,K26,"")</f>
        <v/>
      </c>
      <c r="V26" s="299" t="str">
        <f>IF(SUM(S26:T26)&gt;0,L26,"")</f>
        <v/>
      </c>
      <c r="W26" s="299">
        <f t="shared" si="4"/>
        <v>0</v>
      </c>
    </row>
    <row r="27" spans="1:23" ht="17" customHeight="1" x14ac:dyDescent="0.15">
      <c r="A27" s="27" t="s">
        <v>12</v>
      </c>
      <c r="B27" s="142" t="str">
        <f>IF(B26=Para1!$F$153,Para1!$F$109,IF(B26=Para1!$F$109,Para1!$F$148,IF(B26=Para1!$F$148,Para1!$F$111,IF(B26=Para1!$F$111,Para1!$F$120,IF(B26=Para1!$F$120,Para1!$F$170,IF(B26=Para1!$F$170,Para1!$F$173,Para1!$F$153))))))</f>
        <v>Wed</v>
      </c>
      <c r="C27" s="185"/>
      <c r="D27" s="293"/>
      <c r="E27" s="294"/>
      <c r="F27" s="295"/>
      <c r="G27" s="294"/>
      <c r="H27" s="294"/>
      <c r="I27" s="296"/>
      <c r="J27" s="258"/>
      <c r="K27" s="382"/>
      <c r="L27" s="379"/>
      <c r="M27" s="129"/>
      <c r="N27" s="197"/>
      <c r="O27" s="299"/>
      <c r="P27" s="366">
        <f>Januar!P51</f>
        <v>1</v>
      </c>
      <c r="Q27" s="366">
        <f>Januar!Q51</f>
        <v>1</v>
      </c>
      <c r="R27" s="299" t="e">
        <f>IF(VLOOKUP(A27,Para1!$B$67:$E$72,2,FALSE)="2.",VLOOKUP(A27,Para1!$B$67:$E$72,3,FALSE),"")</f>
        <v>#N/A</v>
      </c>
      <c r="S27" s="299" t="str">
        <f>IF((P27+Q27)=0,"",IF(ISNA(R27),"",IF(R27="","",VLOOKUP(R27,Para1!$D$67:$G$79,3,FALSE)*(IF(P27+Q27=1,0.5,1)))))</f>
        <v/>
      </c>
      <c r="T27" s="299" t="str">
        <f>IF(P27+Q27=0,"",IF(ISNA(R28),"",IF(R28="","",VLOOKUP(R28,Para1!$D$67:$G$79,4,FALSE)*(IF(P27+Q27=1,0.5,1)))))</f>
        <v/>
      </c>
      <c r="U27" s="299" t="str">
        <f t="shared" si="2"/>
        <v/>
      </c>
      <c r="V27" s="299" t="str">
        <f t="shared" si="3"/>
        <v/>
      </c>
      <c r="W27" s="299">
        <f t="shared" si="4"/>
        <v>0</v>
      </c>
    </row>
    <row r="28" spans="1:23" ht="17" customHeight="1" x14ac:dyDescent="0.15">
      <c r="A28" s="27" t="s">
        <v>14</v>
      </c>
      <c r="B28" s="142" t="str">
        <f>IF(B27=Para1!$F$153,Para1!$F$109,IF(B27=Para1!$F$109,Para1!$F$148,IF(B27=Para1!$F$148,Para1!$F$111,IF(B27=Para1!$F$111,Para1!$F$120,IF(B27=Para1!$F$120,Para1!$F$170,IF(B27=Para1!$F$170,Para1!$F$173,Para1!$F$153))))))</f>
        <v>Thu</v>
      </c>
      <c r="C28" s="186"/>
      <c r="D28" s="293"/>
      <c r="E28" s="294"/>
      <c r="F28" s="295"/>
      <c r="G28" s="294"/>
      <c r="H28" s="294"/>
      <c r="I28" s="296"/>
      <c r="J28" s="258"/>
      <c r="K28" s="382"/>
      <c r="L28" s="379"/>
      <c r="M28" s="129"/>
      <c r="N28" s="197"/>
      <c r="O28" s="299"/>
      <c r="P28" s="366">
        <f>Januar!P52</f>
        <v>1</v>
      </c>
      <c r="Q28" s="366">
        <f>Januar!Q52</f>
        <v>1</v>
      </c>
      <c r="R28" s="299" t="e">
        <f>IF(VLOOKUP(A28,Para1!$B$67:$E$72,2,FALSE)="2.",VLOOKUP(A28,Para1!$B$67:$E$72,3,FALSE),"")</f>
        <v>#N/A</v>
      </c>
      <c r="S28" s="299" t="str">
        <f>IF((P28+Q28)=0,"",IF(ISNA(R28),"",IF(R28="","",VLOOKUP(R28,Para1!$D$67:$G$79,3,FALSE)*(IF(P28+Q28=1,0.5,1)))))</f>
        <v/>
      </c>
      <c r="T28" s="299" t="str">
        <f>IF(P28+Q28=0,"",IF(ISNA(R29),"",IF(R29="","",VLOOKUP(R29,Para1!$D$67:$G$79,4,FALSE)*(IF(P28+Q28=1,0.5,1)))))</f>
        <v/>
      </c>
      <c r="U28" s="299" t="str">
        <f t="shared" si="2"/>
        <v/>
      </c>
      <c r="V28" s="299" t="str">
        <f t="shared" si="3"/>
        <v/>
      </c>
      <c r="W28" s="299">
        <f t="shared" si="4"/>
        <v>0</v>
      </c>
    </row>
    <row r="29" spans="1:23" s="39" customFormat="1" ht="17" customHeight="1" x14ac:dyDescent="0.15">
      <c r="A29" s="27" t="s">
        <v>16</v>
      </c>
      <c r="B29" s="142" t="str">
        <f>IF(B28=Para1!$F$153,Para1!$F$109,IF(B28=Para1!$F$109,Para1!$F$148,IF(B28=Para1!$F$148,Para1!$F$111,IF(B28=Para1!$F$111,Para1!$F$120,IF(B28=Para1!$F$120,Para1!$F$170,IF(B28=Para1!$F$170,Para1!$F$173,Para1!$F$153))))))</f>
        <v>Fri</v>
      </c>
      <c r="C29" s="186"/>
      <c r="D29" s="293"/>
      <c r="E29" s="294"/>
      <c r="F29" s="295"/>
      <c r="G29" s="294"/>
      <c r="H29" s="294"/>
      <c r="I29" s="296"/>
      <c r="J29" s="258"/>
      <c r="K29" s="382"/>
      <c r="L29" s="379"/>
      <c r="M29" s="129"/>
      <c r="N29" s="197"/>
      <c r="O29" s="299"/>
      <c r="P29" s="366">
        <f>Januar!P53</f>
        <v>1</v>
      </c>
      <c r="Q29" s="366">
        <f>Januar!Q53</f>
        <v>1</v>
      </c>
      <c r="R29" s="299" t="e">
        <f>IF(VLOOKUP(A29,Para1!$B$67:$E$72,2,FALSE)="2.",VLOOKUP(A29,Para1!$B$67:$E$72,3,FALSE),"")</f>
        <v>#N/A</v>
      </c>
      <c r="S29" s="299" t="str">
        <f>IF((P29+Q29)=0,"",IF(ISNA(R29),"",IF(R29="","",VLOOKUP(R29,Para1!$D$67:$G$79,3,FALSE)*(IF(P29+Q29=1,0.5,1)))))</f>
        <v/>
      </c>
      <c r="T29" s="299" t="str">
        <f>IF(P29+Q29=0,"",IF(ISNA(R30),"",IF(R30="","",VLOOKUP(R30,Para1!$D$67:$G$79,4,FALSE)*(IF(P29+Q29=1,0.5,1)))))</f>
        <v/>
      </c>
      <c r="U29" s="299" t="str">
        <f t="shared" si="2"/>
        <v/>
      </c>
      <c r="V29" s="299" t="str">
        <f t="shared" si="3"/>
        <v/>
      </c>
      <c r="W29" s="299">
        <f t="shared" si="4"/>
        <v>0</v>
      </c>
    </row>
    <row r="30" spans="1:23" s="39" customFormat="1" ht="17" customHeight="1" x14ac:dyDescent="0.15">
      <c r="A30" s="27" t="s">
        <v>18</v>
      </c>
      <c r="B30" s="142" t="str">
        <f>IF(B29=Para1!$F$153,Para1!$F$109,IF(B29=Para1!$F$109,Para1!$F$148,IF(B29=Para1!$F$148,Para1!$F$111,IF(B29=Para1!$F$111,Para1!$F$120,IF(B29=Para1!$F$120,Para1!$F$170,IF(B29=Para1!$F$170,Para1!$F$173,Para1!$F$153))))))</f>
        <v>Sat</v>
      </c>
      <c r="C30" s="186"/>
      <c r="D30" s="293"/>
      <c r="E30" s="294"/>
      <c r="F30" s="295"/>
      <c r="G30" s="294"/>
      <c r="H30" s="294"/>
      <c r="I30" s="296"/>
      <c r="J30" s="258"/>
      <c r="K30" s="382"/>
      <c r="L30" s="379"/>
      <c r="M30" s="129"/>
      <c r="N30" s="197"/>
      <c r="O30" s="299"/>
      <c r="P30" s="367">
        <f>P23</f>
        <v>0</v>
      </c>
      <c r="Q30" s="367">
        <f>Q23</f>
        <v>0</v>
      </c>
      <c r="R30" s="299" t="e">
        <f>IF(VLOOKUP(A30,Para1!$B$67:$E$72,2,FALSE)="2.",VLOOKUP(A30,Para1!$B$67:$E$72,3,FALSE),"")</f>
        <v>#N/A</v>
      </c>
      <c r="S30" s="299" t="str">
        <f>IF((P30+Q30)=0,"",IF(ISNA(R30),"",IF(R30="","",VLOOKUP(R30,Para1!$D$67:$G$79,3,FALSE)*(IF(P30+Q30=1,0.5,1)))))</f>
        <v/>
      </c>
      <c r="T30" s="299" t="str">
        <f>IF(P30+Q30=0,"",IF(ISNA(R31),"",IF(R31="","",VLOOKUP(R31,Para1!$D$67:$G$79,4,FALSE)*(IF(P30+Q30=1,0.5,1)))))</f>
        <v/>
      </c>
      <c r="U30" s="299" t="str">
        <f t="shared" si="2"/>
        <v/>
      </c>
      <c r="V30" s="299" t="str">
        <f t="shared" si="3"/>
        <v/>
      </c>
      <c r="W30" s="299">
        <f t="shared" si="4"/>
        <v>0</v>
      </c>
    </row>
    <row r="31" spans="1:23" ht="17" customHeight="1" x14ac:dyDescent="0.15">
      <c r="A31" s="27" t="s">
        <v>19</v>
      </c>
      <c r="B31" s="142" t="str">
        <f>IF(B30=Para1!$F$153,Para1!$F$109,IF(B30=Para1!$F$109,Para1!$F$148,IF(B30=Para1!$F$148,Para1!$F$111,IF(B30=Para1!$F$111,Para1!$F$120,IF(B30=Para1!$F$120,Para1!$F$170,IF(B30=Para1!$F$170,Para1!$F$173,Para1!$F$153))))))</f>
        <v>Sun</v>
      </c>
      <c r="C31" s="186"/>
      <c r="D31" s="293"/>
      <c r="E31" s="294"/>
      <c r="F31" s="295"/>
      <c r="G31" s="294"/>
      <c r="H31" s="294"/>
      <c r="I31" s="296"/>
      <c r="J31" s="258"/>
      <c r="K31" s="382"/>
      <c r="L31" s="379"/>
      <c r="M31" s="129"/>
      <c r="N31" s="197"/>
      <c r="O31" s="299"/>
      <c r="P31" s="367">
        <f t="shared" ref="P31:Q36" si="5">P24</f>
        <v>0</v>
      </c>
      <c r="Q31" s="367">
        <f t="shared" si="5"/>
        <v>0</v>
      </c>
      <c r="R31" s="299" t="e">
        <f>IF(VLOOKUP(A31,Para1!$B$67:$E$72,2,FALSE)="2.",VLOOKUP(A31,Para1!$B$67:$E$72,3,FALSE),"")</f>
        <v>#N/A</v>
      </c>
      <c r="S31" s="299" t="str">
        <f>IF((P31+Q31)=0,"",IF(ISNA(R31),"",IF(R31="","",VLOOKUP(R31,Para1!$D$67:$G$79,3,FALSE)*(IF(P31+Q31=1,0.5,1)))))</f>
        <v/>
      </c>
      <c r="T31" s="299" t="str">
        <f>IF(P31+Q31=0,"",IF(ISNA(R32),"",IF(R32="","",VLOOKUP(R32,Para1!$D$67:$G$79,4,FALSE)*(IF(P31+Q31=1,0.5,1)))))</f>
        <v/>
      </c>
      <c r="U31" s="299" t="str">
        <f t="shared" si="2"/>
        <v/>
      </c>
      <c r="V31" s="299" t="str">
        <f t="shared" si="3"/>
        <v/>
      </c>
      <c r="W31" s="299">
        <f t="shared" si="4"/>
        <v>0</v>
      </c>
    </row>
    <row r="32" spans="1:23" ht="17" customHeight="1" x14ac:dyDescent="0.15">
      <c r="A32" s="27" t="s">
        <v>20</v>
      </c>
      <c r="B32" s="142" t="str">
        <f>IF(B31=Para1!$F$153,Para1!$F$109,IF(B31=Para1!$F$109,Para1!$F$148,IF(B31=Para1!$F$148,Para1!$F$111,IF(B31=Para1!$F$111,Para1!$F$120,IF(B31=Para1!$F$120,Para1!$F$170,IF(B31=Para1!$F$170,Para1!$F$173,Para1!$F$153))))))</f>
        <v>Mon</v>
      </c>
      <c r="C32" s="186"/>
      <c r="D32" s="293"/>
      <c r="E32" s="294"/>
      <c r="F32" s="295"/>
      <c r="G32" s="294"/>
      <c r="H32" s="294"/>
      <c r="I32" s="296"/>
      <c r="J32" s="258"/>
      <c r="K32" s="382"/>
      <c r="L32" s="379"/>
      <c r="M32" s="129"/>
      <c r="N32" s="197"/>
      <c r="O32" s="299"/>
      <c r="P32" s="367">
        <f t="shared" si="5"/>
        <v>1</v>
      </c>
      <c r="Q32" s="367">
        <f t="shared" si="5"/>
        <v>1</v>
      </c>
      <c r="R32" s="299" t="str">
        <f>IF(VLOOKUP(A32,Para1!$B$67:$E$72,2,FALSE)="2.",VLOOKUP(A32,Para1!$B$67:$E$72,3,FALSE),"")</f>
        <v/>
      </c>
      <c r="S32" s="299" t="str">
        <f>IF((P32+Q32)=0,"",IF(ISNA(R32),"",IF(R32="","",VLOOKUP(R32,Para1!$D$67:$G$79,3,FALSE)*(IF(P32+Q32=1,0.5,1)))))</f>
        <v/>
      </c>
      <c r="T32" s="299" t="str">
        <f>IF(P32+Q32=0,"",IF(ISNA(R33),"",IF(R33="","",VLOOKUP(R33,Para1!$D$67:$G$79,4,FALSE)*(IF(P32+Q32=1,0.5,1)))))</f>
        <v/>
      </c>
      <c r="U32" s="299" t="str">
        <f t="shared" si="2"/>
        <v/>
      </c>
      <c r="V32" s="299" t="str">
        <f t="shared" si="3"/>
        <v/>
      </c>
      <c r="W32" s="299">
        <f t="shared" si="4"/>
        <v>0</v>
      </c>
    </row>
    <row r="33" spans="1:27" ht="17" customHeight="1" x14ac:dyDescent="0.15">
      <c r="A33" s="27" t="s">
        <v>21</v>
      </c>
      <c r="B33" s="142" t="str">
        <f>IF(B32=Para1!$F$153,Para1!$F$109,IF(B32=Para1!$F$109,Para1!$F$148,IF(B32=Para1!$F$148,Para1!$F$111,IF(B32=Para1!$F$111,Para1!$F$120,IF(B32=Para1!$F$120,Para1!$F$170,IF(B32=Para1!$F$170,Para1!$F$173,Para1!$F$153))))))</f>
        <v>Tue</v>
      </c>
      <c r="C33" s="185"/>
      <c r="D33" s="293"/>
      <c r="E33" s="294"/>
      <c r="F33" s="295"/>
      <c r="G33" s="294"/>
      <c r="H33" s="294"/>
      <c r="I33" s="296"/>
      <c r="J33" s="258"/>
      <c r="K33" s="382"/>
      <c r="L33" s="379"/>
      <c r="M33" s="129"/>
      <c r="N33" s="197"/>
      <c r="O33" s="299"/>
      <c r="P33" s="367">
        <f t="shared" si="5"/>
        <v>1</v>
      </c>
      <c r="Q33" s="367">
        <f t="shared" si="5"/>
        <v>1</v>
      </c>
      <c r="R33" s="299" t="e">
        <f>IF(VLOOKUP(A33,Para1!$B$67:$E$72,2,FALSE)="2.",VLOOKUP(A33,Para1!$B$67:$E$72,3,FALSE),"")</f>
        <v>#N/A</v>
      </c>
      <c r="S33" s="299" t="str">
        <f>IF((P33+Q33)=0,"",IF(ISNA(R33),"",IF(R33="","",VLOOKUP(R33,Para1!$D$67:$G$79,3,FALSE)*(IF(P33+Q33=1,0.5,1)))))</f>
        <v/>
      </c>
      <c r="T33" s="299" t="str">
        <f>IF(P33+Q33=0,"",IF(ISNA(R34),"",IF(R34="","",VLOOKUP(R34,Para1!$D$67:$G$79,4,FALSE)*(IF(P33+Q33=1,0.5,1)))))</f>
        <v/>
      </c>
      <c r="U33" s="299" t="str">
        <f t="shared" si="2"/>
        <v/>
      </c>
      <c r="V33" s="299" t="str">
        <f t="shared" si="3"/>
        <v/>
      </c>
      <c r="W33" s="299">
        <f t="shared" si="4"/>
        <v>0</v>
      </c>
    </row>
    <row r="34" spans="1:27" ht="17" customHeight="1" x14ac:dyDescent="0.15">
      <c r="A34" s="27" t="s">
        <v>22</v>
      </c>
      <c r="B34" s="142" t="str">
        <f>IF(B33=Para1!$F$153,Para1!$F$109,IF(B33=Para1!$F$109,Para1!$F$148,IF(B33=Para1!$F$148,Para1!$F$111,IF(B33=Para1!$F$111,Para1!$F$120,IF(B33=Para1!$F$120,Para1!$F$170,IF(B33=Para1!$F$170,Para1!$F$173,Para1!$F$153))))))</f>
        <v>Wed</v>
      </c>
      <c r="C34" s="185"/>
      <c r="D34" s="293"/>
      <c r="E34" s="294"/>
      <c r="F34" s="295"/>
      <c r="G34" s="294"/>
      <c r="H34" s="294"/>
      <c r="I34" s="296"/>
      <c r="J34" s="258"/>
      <c r="K34" s="382"/>
      <c r="L34" s="379"/>
      <c r="M34" s="129"/>
      <c r="N34" s="197"/>
      <c r="O34" s="299"/>
      <c r="P34" s="367">
        <f t="shared" si="5"/>
        <v>1</v>
      </c>
      <c r="Q34" s="367">
        <f t="shared" si="5"/>
        <v>1</v>
      </c>
      <c r="R34" s="299" t="str">
        <f>IF(VLOOKUP(A34,Para1!$B$67:$E$72,2,FALSE)="2.",VLOOKUP(A34,Para1!$B$67:$E$72,3,FALSE),"")</f>
        <v/>
      </c>
      <c r="S34" s="299" t="str">
        <f>IF((P34+Q34)=0,"",IF(ISNA(R34),"",IF(R34="","",VLOOKUP(R34,Para1!$D$67:$G$79,3,FALSE)*(IF(P34+Q34=1,0.5,1)))))</f>
        <v/>
      </c>
      <c r="T34" s="299" t="str">
        <f>IF(P34+Q34=0,"",IF(ISNA(R35),"",IF(R35="","",VLOOKUP(R35,Para1!$D$67:$G$79,4,FALSE)*(IF(P34+Q34=1,0.5,1)))))</f>
        <v/>
      </c>
      <c r="U34" s="299" t="str">
        <f t="shared" si="2"/>
        <v/>
      </c>
      <c r="V34" s="299" t="str">
        <f t="shared" si="3"/>
        <v/>
      </c>
      <c r="W34" s="299">
        <f t="shared" si="4"/>
        <v>0</v>
      </c>
    </row>
    <row r="35" spans="1:27" ht="17" customHeight="1" x14ac:dyDescent="0.15">
      <c r="A35" s="27" t="s">
        <v>23</v>
      </c>
      <c r="B35" s="142" t="str">
        <f>IF(B34=Para1!$F$153,Para1!$F$109,IF(B34=Para1!$F$109,Para1!$F$148,IF(B34=Para1!$F$148,Para1!$F$111,IF(B34=Para1!$F$111,Para1!$F$120,IF(B34=Para1!$F$120,Para1!$F$170,IF(B34=Para1!$F$170,Para1!$F$173,Para1!$F$153))))))</f>
        <v>Thu</v>
      </c>
      <c r="C35" s="186"/>
      <c r="D35" s="293"/>
      <c r="E35" s="294"/>
      <c r="F35" s="295"/>
      <c r="G35" s="294"/>
      <c r="H35" s="294"/>
      <c r="I35" s="296"/>
      <c r="J35" s="258"/>
      <c r="K35" s="382"/>
      <c r="L35" s="379"/>
      <c r="M35" s="129"/>
      <c r="N35" s="197"/>
      <c r="O35" s="299"/>
      <c r="P35" s="367">
        <f t="shared" si="5"/>
        <v>1</v>
      </c>
      <c r="Q35" s="367">
        <f t="shared" si="5"/>
        <v>1</v>
      </c>
      <c r="R35" s="299" t="str">
        <f>IF(VLOOKUP(A35,Para1!$B$67:$E$72,2,FALSE)="2.",VLOOKUP(A35,Para1!$B$67:$E$72,3,FALSE),"")</f>
        <v/>
      </c>
      <c r="S35" s="299" t="str">
        <f>IF((P35+Q35)=0,"",IF(ISNA(R35),"",IF(R35="","",VLOOKUP(R35,Para1!$D$67:$G$79,3,FALSE)*(IF(P35+Q35=1,0.5,1)))))</f>
        <v/>
      </c>
      <c r="T35" s="299" t="str">
        <f>IF(P35+Q35=0,"",IF(ISNA(R36),"",IF(R36="","",VLOOKUP(R36,Para1!$D$67:$G$79,4,FALSE)*(IF(P35+Q35=1,0.5,1)))))</f>
        <v/>
      </c>
      <c r="U35" s="299" t="str">
        <f t="shared" si="2"/>
        <v/>
      </c>
      <c r="V35" s="299" t="str">
        <f t="shared" si="3"/>
        <v/>
      </c>
      <c r="W35" s="299">
        <f t="shared" si="4"/>
        <v>0</v>
      </c>
    </row>
    <row r="36" spans="1:27" s="39" customFormat="1" ht="17" customHeight="1" x14ac:dyDescent="0.15">
      <c r="A36" s="27" t="s">
        <v>24</v>
      </c>
      <c r="B36" s="142" t="str">
        <f>IF(B35=Para1!$F$153,Para1!$F$109,IF(B35=Para1!$F$109,Para1!$F$148,IF(B35=Para1!$F$148,Para1!$F$111,IF(B35=Para1!$F$111,Para1!$F$120,IF(B35=Para1!$F$120,Para1!$F$170,IF(B35=Para1!$F$170,Para1!$F$173,Para1!$F$153))))))</f>
        <v>Fri</v>
      </c>
      <c r="C36" s="186"/>
      <c r="D36" s="293"/>
      <c r="E36" s="294"/>
      <c r="F36" s="295"/>
      <c r="G36" s="294"/>
      <c r="H36" s="294"/>
      <c r="I36" s="296"/>
      <c r="J36" s="258"/>
      <c r="K36" s="382"/>
      <c r="L36" s="379"/>
      <c r="M36" s="129"/>
      <c r="N36" s="197"/>
      <c r="O36" s="299"/>
      <c r="P36" s="367">
        <f t="shared" si="5"/>
        <v>1</v>
      </c>
      <c r="Q36" s="367">
        <f t="shared" si="5"/>
        <v>1</v>
      </c>
      <c r="R36" s="299" t="e">
        <f>IF(VLOOKUP(A36,Para1!$B$67:$E$72,2,FALSE)="2.",VLOOKUP(A36,Para1!$B$67:$E$72,3,FALSE),"")</f>
        <v>#N/A</v>
      </c>
      <c r="S36" s="299" t="str">
        <f>IF((P36+Q36)=0,"",IF(ISNA(R36),"",IF(R36="","",VLOOKUP(R36,Para1!$D$67:$G$79,3,FALSE)*(IF(P36+Q36=1,0.5,1)))))</f>
        <v/>
      </c>
      <c r="T36" s="299" t="str">
        <f>IF(P36+Q36=0,"",IF(ISNA(R37),"",IF(R37="","",VLOOKUP(R37,Para1!$D$67:$G$79,4,FALSE)*(IF(P36+Q36=1,0.5,1)))))</f>
        <v/>
      </c>
      <c r="U36" s="299" t="str">
        <f t="shared" si="2"/>
        <v/>
      </c>
      <c r="V36" s="299" t="str">
        <f t="shared" si="3"/>
        <v/>
      </c>
      <c r="W36" s="299">
        <f t="shared" si="4"/>
        <v>0</v>
      </c>
    </row>
    <row r="37" spans="1:27" s="39" customFormat="1" ht="17" customHeight="1" x14ac:dyDescent="0.15">
      <c r="A37" s="27" t="s">
        <v>25</v>
      </c>
      <c r="B37" s="142" t="str">
        <f>IF(B36=Para1!$F$153,Para1!$F$109,IF(B36=Para1!$F$109,Para1!$F$148,IF(B36=Para1!$F$148,Para1!$F$111,IF(B36=Para1!$F$111,Para1!$F$120,IF(B36=Para1!$F$120,Para1!$F$170,IF(B36=Para1!$F$170,Para1!$F$173,Para1!$F$153))))))</f>
        <v>Sat</v>
      </c>
      <c r="C37" s="186"/>
      <c r="D37" s="293"/>
      <c r="E37" s="294"/>
      <c r="F37" s="295"/>
      <c r="G37" s="294"/>
      <c r="H37" s="294"/>
      <c r="I37" s="296"/>
      <c r="J37" s="258"/>
      <c r="K37" s="382"/>
      <c r="L37" s="379"/>
      <c r="M37" s="129"/>
      <c r="N37" s="197"/>
      <c r="O37" s="299"/>
      <c r="P37" s="367">
        <f>P30</f>
        <v>0</v>
      </c>
      <c r="Q37" s="367">
        <f>Q30</f>
        <v>0</v>
      </c>
      <c r="R37" s="299" t="e">
        <f>IF(VLOOKUP(A37,Para1!$B$67:$E$72,2,FALSE)="2.",VLOOKUP(A37,Para1!$B$67:$E$72,3,FALSE),"")</f>
        <v>#N/A</v>
      </c>
      <c r="S37" s="299" t="str">
        <f>IF((P37+Q37)=0,"",IF(ISNA(R37),"",IF(R37="","",VLOOKUP(R37,Para1!$D$67:$G$79,3,FALSE)*(IF(P37+Q37=1,0.5,1)))))</f>
        <v/>
      </c>
      <c r="T37" s="299" t="str">
        <f>IF(P37+Q37=0,"",IF(ISNA(R38),"",IF(R38="","",VLOOKUP(R38,Para1!$D$67:$G$79,4,FALSE)*(IF(P37+Q37=1,0.5,1)))))</f>
        <v/>
      </c>
      <c r="U37" s="299" t="str">
        <f t="shared" si="2"/>
        <v/>
      </c>
      <c r="V37" s="299" t="str">
        <f t="shared" si="3"/>
        <v/>
      </c>
      <c r="W37" s="299">
        <f t="shared" si="4"/>
        <v>0</v>
      </c>
    </row>
    <row r="38" spans="1:27" ht="17" customHeight="1" x14ac:dyDescent="0.15">
      <c r="A38" s="27" t="s">
        <v>26</v>
      </c>
      <c r="B38" s="142" t="str">
        <f>IF(B37=Para1!$F$153,Para1!$F$109,IF(B37=Para1!$F$109,Para1!$F$148,IF(B37=Para1!$F$148,Para1!$F$111,IF(B37=Para1!$F$111,Para1!$F$120,IF(B37=Para1!$F$120,Para1!$F$170,IF(B37=Para1!$F$170,Para1!$F$173,Para1!$F$153))))))</f>
        <v>Sun</v>
      </c>
      <c r="C38" s="186"/>
      <c r="D38" s="293"/>
      <c r="E38" s="294"/>
      <c r="F38" s="295"/>
      <c r="G38" s="294"/>
      <c r="H38" s="294"/>
      <c r="I38" s="296"/>
      <c r="J38" s="258"/>
      <c r="K38" s="382"/>
      <c r="L38" s="379"/>
      <c r="M38" s="129"/>
      <c r="N38" s="197"/>
      <c r="O38" s="299"/>
      <c r="P38" s="367">
        <f t="shared" ref="P38:Q43" si="6">P31</f>
        <v>0</v>
      </c>
      <c r="Q38" s="367">
        <f t="shared" si="6"/>
        <v>0</v>
      </c>
      <c r="R38" s="299" t="e">
        <f>IF(VLOOKUP(A38,Para1!$B$67:$E$72,2,FALSE)="2.",VLOOKUP(A38,Para1!$B$67:$E$72,3,FALSE),"")</f>
        <v>#N/A</v>
      </c>
      <c r="S38" s="299" t="str">
        <f>IF((P38+Q38)=0,"",IF(ISNA(R38),"",IF(R38="","",VLOOKUP(R38,Para1!$D$67:$G$79,3,FALSE)*(IF(P38+Q38=1,0.5,1)))))</f>
        <v/>
      </c>
      <c r="T38" s="299" t="str">
        <f>IF(P38+Q38=0,"",IF(ISNA(R39),"",IF(R39="","",VLOOKUP(R39,Para1!$D$67:$G$79,4,FALSE)*(IF(P38+Q38=1,0.5,1)))))</f>
        <v/>
      </c>
      <c r="U38" s="299" t="str">
        <f t="shared" si="2"/>
        <v/>
      </c>
      <c r="V38" s="299" t="str">
        <f t="shared" si="3"/>
        <v/>
      </c>
      <c r="W38" s="299">
        <f t="shared" si="4"/>
        <v>0</v>
      </c>
    </row>
    <row r="39" spans="1:27" ht="17" customHeight="1" x14ac:dyDescent="0.15">
      <c r="A39" s="27" t="s">
        <v>27</v>
      </c>
      <c r="B39" s="142" t="str">
        <f>IF(B38=Para1!$F$153,Para1!$F$109,IF(B38=Para1!$F$109,Para1!$F$148,IF(B38=Para1!$F$148,Para1!$F$111,IF(B38=Para1!$F$111,Para1!$F$120,IF(B38=Para1!$F$120,Para1!$F$170,IF(B38=Para1!$F$170,Para1!$F$173,Para1!$F$153))))))</f>
        <v>Mon</v>
      </c>
      <c r="C39" s="186"/>
      <c r="D39" s="293"/>
      <c r="E39" s="294"/>
      <c r="F39" s="295"/>
      <c r="G39" s="294"/>
      <c r="H39" s="294"/>
      <c r="I39" s="296"/>
      <c r="J39" s="258"/>
      <c r="K39" s="382"/>
      <c r="L39" s="379"/>
      <c r="M39" s="129"/>
      <c r="N39" s="197"/>
      <c r="O39" s="299"/>
      <c r="P39" s="367">
        <f t="shared" si="6"/>
        <v>1</v>
      </c>
      <c r="Q39" s="367">
        <f t="shared" si="6"/>
        <v>1</v>
      </c>
      <c r="R39" s="299" t="e">
        <f>IF(VLOOKUP(A39,Para1!$B$67:$E$72,2,FALSE)="2.",VLOOKUP(A39,Para1!$B$67:$E$72,3,FALSE),"")</f>
        <v>#N/A</v>
      </c>
      <c r="S39" s="299" t="str">
        <f>IF((P39+Q39)=0,"",IF(ISNA(R39),"",IF(R39="","",VLOOKUP(R39,Para1!$D$67:$G$79,3,FALSE)*(IF(P39+Q39=1,0.5,1)))))</f>
        <v/>
      </c>
      <c r="T39" s="299" t="str">
        <f>IF(P39+Q39=0,"",IF(ISNA(R40),"",IF(R40="","",VLOOKUP(R40,Para1!$D$67:$G$79,4,FALSE)*(IF(P39+Q39=1,0.5,1)))))</f>
        <v/>
      </c>
      <c r="U39" s="299" t="str">
        <f t="shared" si="2"/>
        <v/>
      </c>
      <c r="V39" s="299" t="str">
        <f t="shared" si="3"/>
        <v/>
      </c>
      <c r="W39" s="299">
        <f t="shared" si="4"/>
        <v>0</v>
      </c>
    </row>
    <row r="40" spans="1:27" ht="17" customHeight="1" x14ac:dyDescent="0.15">
      <c r="A40" s="27" t="s">
        <v>28</v>
      </c>
      <c r="B40" s="142" t="str">
        <f>IF(B39=Para1!$F$153,Para1!$F$109,IF(B39=Para1!$F$109,Para1!$F$148,IF(B39=Para1!$F$148,Para1!$F$111,IF(B39=Para1!$F$111,Para1!$F$120,IF(B39=Para1!$F$120,Para1!$F$170,IF(B39=Para1!$F$170,Para1!$F$173,Para1!$F$153))))))</f>
        <v>Tue</v>
      </c>
      <c r="C40" s="185"/>
      <c r="D40" s="293"/>
      <c r="E40" s="294"/>
      <c r="F40" s="295"/>
      <c r="G40" s="294"/>
      <c r="H40" s="294"/>
      <c r="I40" s="296"/>
      <c r="J40" s="258"/>
      <c r="K40" s="382"/>
      <c r="L40" s="379"/>
      <c r="M40" s="129"/>
      <c r="N40" s="197"/>
      <c r="O40" s="299"/>
      <c r="P40" s="367">
        <f t="shared" si="6"/>
        <v>1</v>
      </c>
      <c r="Q40" s="367">
        <f t="shared" si="6"/>
        <v>1</v>
      </c>
      <c r="R40" s="299" t="e">
        <f>IF(VLOOKUP(A40,Para1!$B$67:$E$72,2,FALSE)="2.",VLOOKUP(A40,Para1!$B$67:$E$72,3,FALSE),"")</f>
        <v>#N/A</v>
      </c>
      <c r="S40" s="299" t="str">
        <f>IF((P40+Q40)=0,"",IF(ISNA(R40),"",IF(R40="","",VLOOKUP(R40,Para1!$D$67:$G$79,3,FALSE)*(IF(P40+Q40=1,0.5,1)))))</f>
        <v/>
      </c>
      <c r="T40" s="299" t="str">
        <f>IF(P40+Q40=0,"",IF(ISNA(R41),"",IF(R41="","",VLOOKUP(R41,Para1!$D$67:$G$79,4,FALSE)*(IF(P40+Q40=1,0.5,1)))))</f>
        <v/>
      </c>
      <c r="U40" s="299" t="str">
        <f t="shared" si="2"/>
        <v/>
      </c>
      <c r="V40" s="299" t="str">
        <f t="shared" si="3"/>
        <v/>
      </c>
      <c r="W40" s="299">
        <f t="shared" si="4"/>
        <v>0</v>
      </c>
    </row>
    <row r="41" spans="1:27" ht="17" customHeight="1" x14ac:dyDescent="0.15">
      <c r="A41" s="27" t="s">
        <v>29</v>
      </c>
      <c r="B41" s="142" t="str">
        <f>IF(B40=Para1!$F$153,Para1!$F$109,IF(B40=Para1!$F$109,Para1!$F$148,IF(B40=Para1!$F$148,Para1!$F$111,IF(B40=Para1!$F$111,Para1!$F$120,IF(B40=Para1!$F$120,Para1!$F$170,IF(B40=Para1!$F$170,Para1!$F$173,Para1!$F$153))))))</f>
        <v>Wed</v>
      </c>
      <c r="C41" s="185"/>
      <c r="D41" s="293"/>
      <c r="E41" s="294"/>
      <c r="F41" s="295"/>
      <c r="G41" s="294"/>
      <c r="H41" s="294"/>
      <c r="I41" s="296"/>
      <c r="J41" s="258"/>
      <c r="K41" s="382"/>
      <c r="L41" s="379"/>
      <c r="M41" s="129"/>
      <c r="N41" s="197"/>
      <c r="O41" s="299"/>
      <c r="P41" s="367">
        <f t="shared" si="6"/>
        <v>1</v>
      </c>
      <c r="Q41" s="367">
        <f t="shared" si="6"/>
        <v>1</v>
      </c>
      <c r="R41" s="299" t="e">
        <f>IF(VLOOKUP(A41,Para1!$B$67:$E$72,2,FALSE)="2.",VLOOKUP(A41,Para1!$B$67:$E$72,3,FALSE),"")</f>
        <v>#N/A</v>
      </c>
      <c r="S41" s="299" t="str">
        <f>IF((P41+Q41)=0,"",IF(ISNA(R41),"",IF(R41="","",VLOOKUP(R41,Para1!$D$67:$G$79,3,FALSE)*(IF(P41+Q41=1,0.5,1)))))</f>
        <v/>
      </c>
      <c r="T41" s="299" t="str">
        <f>IF(P41+Q41=0,"",IF(ISNA(R42),"",IF(R42="","",VLOOKUP(R42,Para1!$D$67:$G$79,4,FALSE)*(IF(P41+Q41=1,0.5,1)))))</f>
        <v/>
      </c>
      <c r="U41" s="299" t="str">
        <f t="shared" si="2"/>
        <v/>
      </c>
      <c r="V41" s="299" t="str">
        <f t="shared" si="3"/>
        <v/>
      </c>
      <c r="W41" s="299">
        <f t="shared" si="4"/>
        <v>0</v>
      </c>
    </row>
    <row r="42" spans="1:27" ht="17" customHeight="1" x14ac:dyDescent="0.15">
      <c r="A42" s="27" t="s">
        <v>30</v>
      </c>
      <c r="B42" s="142" t="str">
        <f>IF(B41=Para1!$F$153,Para1!$F$109,IF(B41=Para1!$F$109,Para1!$F$148,IF(B41=Para1!$F$148,Para1!$F$111,IF(B41=Para1!$F$111,Para1!$F$120,IF(B41=Para1!$F$120,Para1!$F$170,IF(B41=Para1!$F$170,Para1!$F$173,Para1!$F$153))))))</f>
        <v>Thu</v>
      </c>
      <c r="C42" s="186"/>
      <c r="D42" s="293"/>
      <c r="E42" s="294"/>
      <c r="F42" s="295"/>
      <c r="G42" s="294"/>
      <c r="H42" s="294"/>
      <c r="I42" s="296"/>
      <c r="J42" s="258"/>
      <c r="K42" s="382"/>
      <c r="L42" s="379"/>
      <c r="M42" s="129"/>
      <c r="N42" s="197"/>
      <c r="O42" s="299"/>
      <c r="P42" s="367">
        <f t="shared" si="6"/>
        <v>1</v>
      </c>
      <c r="Q42" s="367">
        <f t="shared" si="6"/>
        <v>1</v>
      </c>
      <c r="R42" s="299" t="e">
        <f>IF(VLOOKUP(A42,Para1!$B$67:$E$72,2,FALSE)="2.",VLOOKUP(A42,Para1!$B$67:$E$72,3,FALSE),"")</f>
        <v>#N/A</v>
      </c>
      <c r="S42" s="299" t="str">
        <f>IF((P42+Q42)=0,"",IF(ISNA(R42),"",IF(R42="","",VLOOKUP(R42,Para1!$D$67:$G$79,3,FALSE)*(IF(P42+Q42=1,0.5,1)))))</f>
        <v/>
      </c>
      <c r="T42" s="299" t="str">
        <f>IF(P42+Q42=0,"",IF(ISNA(R43),"",IF(R43="","",VLOOKUP(R43,Para1!$D$67:$G$79,4,FALSE)*(IF(P42+Q42=1,0.5,1)))))</f>
        <v/>
      </c>
      <c r="U42" s="299" t="str">
        <f t="shared" si="2"/>
        <v/>
      </c>
      <c r="V42" s="299" t="str">
        <f t="shared" si="3"/>
        <v/>
      </c>
      <c r="W42" s="299">
        <f t="shared" si="4"/>
        <v>0</v>
      </c>
      <c r="X42" s="16"/>
      <c r="Y42" s="16"/>
      <c r="Z42" s="16"/>
      <c r="AA42" s="16"/>
    </row>
    <row r="43" spans="1:27" s="39" customFormat="1" ht="17" customHeight="1" x14ac:dyDescent="0.15">
      <c r="A43" s="27" t="s">
        <v>31</v>
      </c>
      <c r="B43" s="142" t="str">
        <f>IF(B42=Para1!$F$153,Para1!$F$109,IF(B42=Para1!$F$109,Para1!$F$148,IF(B42=Para1!$F$148,Para1!$F$111,IF(B42=Para1!$F$111,Para1!$F$120,IF(B42=Para1!$F$120,Para1!$F$170,IF(B42=Para1!$F$170,Para1!$F$173,Para1!$F$153))))))</f>
        <v>Fri</v>
      </c>
      <c r="C43" s="186"/>
      <c r="D43" s="293"/>
      <c r="E43" s="294"/>
      <c r="F43" s="295"/>
      <c r="G43" s="294"/>
      <c r="H43" s="294"/>
      <c r="I43" s="296"/>
      <c r="J43" s="258"/>
      <c r="K43" s="382"/>
      <c r="L43" s="379"/>
      <c r="M43" s="129"/>
      <c r="N43" s="197"/>
      <c r="O43" s="299"/>
      <c r="P43" s="367">
        <f t="shared" si="6"/>
        <v>1</v>
      </c>
      <c r="Q43" s="367">
        <f t="shared" si="6"/>
        <v>1</v>
      </c>
      <c r="R43" s="299" t="str">
        <f>IF(VLOOKUP(A43,Para1!$B$67:$E$72,2,FALSE)="2.",VLOOKUP(A43,Para1!$B$67:$E$72,3,FALSE),"")</f>
        <v/>
      </c>
      <c r="S43" s="299" t="str">
        <f>IF((P43+Q43)=0,"",IF(ISNA(R43),"",IF(R43="","",VLOOKUP(R43,Para1!$D$67:$G$79,3,FALSE)*(IF(P43+Q43=1,0.5,1)))))</f>
        <v/>
      </c>
      <c r="T43" s="299" t="str">
        <f>IF(P43+Q43=0,"",IF(ISNA(R44),"",IF(R44="","",VLOOKUP(R44,Para1!$D$67:$G$79,4,FALSE)*(IF(P43+Q43=1,0.5,1)))))</f>
        <v/>
      </c>
      <c r="U43" s="299" t="str">
        <f t="shared" si="2"/>
        <v/>
      </c>
      <c r="V43" s="299" t="str">
        <f t="shared" si="3"/>
        <v/>
      </c>
      <c r="W43" s="299">
        <f t="shared" si="4"/>
        <v>0</v>
      </c>
      <c r="X43" s="240"/>
      <c r="Y43" s="155"/>
      <c r="Z43" s="155"/>
      <c r="AA43" s="155"/>
    </row>
    <row r="44" spans="1:27" s="39" customFormat="1" ht="17" customHeight="1" x14ac:dyDescent="0.15">
      <c r="A44" s="27" t="s">
        <v>32</v>
      </c>
      <c r="B44" s="142" t="str">
        <f>IF(B43=Para1!$F$153,Para1!$F$109,IF(B43=Para1!$F$109,Para1!$F$148,IF(B43=Para1!$F$148,Para1!$F$111,IF(B43=Para1!$F$111,Para1!$F$120,IF(B43=Para1!$F$120,Para1!$F$170,IF(B43=Para1!$F$170,Para1!$F$173,Para1!$F$153))))))</f>
        <v>Sat</v>
      </c>
      <c r="C44" s="186"/>
      <c r="D44" s="293"/>
      <c r="E44" s="294"/>
      <c r="F44" s="295"/>
      <c r="G44" s="294"/>
      <c r="H44" s="294"/>
      <c r="I44" s="296"/>
      <c r="J44" s="258"/>
      <c r="K44" s="382"/>
      <c r="L44" s="379"/>
      <c r="M44" s="129"/>
      <c r="N44" s="197"/>
      <c r="O44" s="299"/>
      <c r="P44" s="367">
        <f>P37</f>
        <v>0</v>
      </c>
      <c r="Q44" s="367">
        <f>Q37</f>
        <v>0</v>
      </c>
      <c r="R44" s="299" t="e">
        <f>IF(VLOOKUP(A44,Para1!$B$67:$E$72,2,FALSE)="2.",VLOOKUP(A44,Para1!$B$67:$E$72,3,FALSE),"")</f>
        <v>#N/A</v>
      </c>
      <c r="S44" s="299" t="str">
        <f>IF((P44+Q44)=0,"",IF(ISNA(R44),"",IF(R44="","",VLOOKUP(R44,Para1!$D$67:$G$79,3,FALSE)*(IF(P44+Q44=1,0.5,1)))))</f>
        <v/>
      </c>
      <c r="T44" s="299" t="str">
        <f>IF(P44+Q44=0,"",IF(ISNA(R45),"",IF(R45="","",VLOOKUP(R45,Para1!$D$67:$G$79,4,FALSE)*(IF(P44+Q44=1,0.5,1)))))</f>
        <v/>
      </c>
      <c r="U44" s="299" t="str">
        <f t="shared" si="2"/>
        <v/>
      </c>
      <c r="V44" s="299" t="str">
        <f t="shared" si="3"/>
        <v/>
      </c>
      <c r="W44" s="299">
        <f t="shared" si="4"/>
        <v>0</v>
      </c>
      <c r="X44" s="239"/>
      <c r="Y44" s="155"/>
      <c r="Z44" s="155"/>
      <c r="AA44" s="155"/>
    </row>
    <row r="45" spans="1:27" ht="17" customHeight="1" x14ac:dyDescent="0.15">
      <c r="A45" s="27" t="s">
        <v>33</v>
      </c>
      <c r="B45" s="142" t="str">
        <f>IF(B44=Para1!$F$153,Para1!$F$109,IF(B44=Para1!$F$109,Para1!$F$148,IF(B44=Para1!$F$148,Para1!$F$111,IF(B44=Para1!$F$111,Para1!$F$120,IF(B44=Para1!$F$120,Para1!$F$170,IF(B44=Para1!$F$170,Para1!$F$173,Para1!$F$153))))))</f>
        <v>Sun</v>
      </c>
      <c r="C45" s="186"/>
      <c r="D45" s="293"/>
      <c r="E45" s="294"/>
      <c r="F45" s="295"/>
      <c r="G45" s="294"/>
      <c r="H45" s="294"/>
      <c r="I45" s="296"/>
      <c r="J45" s="258"/>
      <c r="K45" s="382"/>
      <c r="L45" s="379"/>
      <c r="M45" s="129"/>
      <c r="N45" s="197"/>
      <c r="O45" s="299"/>
      <c r="P45" s="367">
        <f t="shared" ref="P45:Q51" si="7">P38</f>
        <v>0</v>
      </c>
      <c r="Q45" s="367">
        <f t="shared" si="7"/>
        <v>0</v>
      </c>
      <c r="R45" s="299" t="e">
        <f>IF(VLOOKUP(A45,Para1!$B$67:$E$72,2,FALSE)="2.",VLOOKUP(A45,Para1!$B$67:$E$72,3,FALSE),"")</f>
        <v>#N/A</v>
      </c>
      <c r="S45" s="299" t="str">
        <f>IF((P45+Q45)=0,"",IF(ISNA(R45),"",IF(R45="","",VLOOKUP(R45,Para1!$D$67:$G$79,3,FALSE)*(IF(P45+Q45=1,0.5,1)))))</f>
        <v/>
      </c>
      <c r="T45" s="299" t="str">
        <f>IF(P45+Q45=0,"",IF(ISNA(R46),"",IF(R46="","",VLOOKUP(R46,Para1!$D$67:$G$79,4,FALSE)*(IF(P45+Q45=1,0.5,1)))))</f>
        <v/>
      </c>
      <c r="U45" s="299" t="str">
        <f t="shared" si="2"/>
        <v/>
      </c>
      <c r="V45" s="299" t="str">
        <f t="shared" si="3"/>
        <v/>
      </c>
      <c r="W45" s="299">
        <f t="shared" si="4"/>
        <v>0</v>
      </c>
      <c r="X45" s="16"/>
      <c r="Y45" s="16"/>
      <c r="Z45" s="16"/>
      <c r="AA45" s="16"/>
    </row>
    <row r="46" spans="1:27" ht="17" customHeight="1" x14ac:dyDescent="0.15">
      <c r="A46" s="27" t="s">
        <v>34</v>
      </c>
      <c r="B46" s="142" t="str">
        <f>IF(B45=Para1!$F$153,Para1!$F$109,IF(B45=Para1!$F$109,Para1!$F$148,IF(B45=Para1!$F$148,Para1!$F$111,IF(B45=Para1!$F$111,Para1!$F$120,IF(B45=Para1!$F$120,Para1!$F$170,IF(B45=Para1!$F$170,Para1!$F$173,Para1!$F$153))))))</f>
        <v>Mon</v>
      </c>
      <c r="C46" s="186"/>
      <c r="D46" s="293"/>
      <c r="E46" s="294"/>
      <c r="F46" s="295"/>
      <c r="G46" s="294"/>
      <c r="H46" s="294"/>
      <c r="I46" s="296"/>
      <c r="J46" s="258"/>
      <c r="K46" s="382"/>
      <c r="L46" s="379"/>
      <c r="M46" s="129"/>
      <c r="N46" s="197"/>
      <c r="O46" s="299"/>
      <c r="P46" s="367">
        <f t="shared" si="7"/>
        <v>1</v>
      </c>
      <c r="Q46" s="367">
        <f t="shared" si="7"/>
        <v>1</v>
      </c>
      <c r="R46" s="299" t="e">
        <f>IF(VLOOKUP(A46,Para1!$B$67:$E$72,2,FALSE)="2.",VLOOKUP(A46,Para1!$B$67:$E$72,3,FALSE),"")</f>
        <v>#N/A</v>
      </c>
      <c r="S46" s="299" t="str">
        <f>IF((P46+Q46)=0,"",IF(ISNA(R46),"",IF(R46="","",VLOOKUP(R46,Para1!$D$67:$G$79,3,FALSE)*(IF(P46+Q46=1,0.5,1)))))</f>
        <v/>
      </c>
      <c r="T46" s="299" t="str">
        <f>IF(P46+Q46=0,"",IF(ISNA(R47),"",IF(R47="","",VLOOKUP(R47,Para1!$D$67:$G$79,4,FALSE)*(IF(P46+Q46=1,0.5,1)))))</f>
        <v/>
      </c>
      <c r="U46" s="299" t="str">
        <f t="shared" si="2"/>
        <v/>
      </c>
      <c r="V46" s="299" t="str">
        <f t="shared" si="3"/>
        <v/>
      </c>
      <c r="W46" s="299">
        <f t="shared" si="4"/>
        <v>0</v>
      </c>
      <c r="X46" s="16"/>
      <c r="Y46" s="16"/>
      <c r="Z46" s="16"/>
      <c r="AA46" s="16"/>
    </row>
    <row r="47" spans="1:27" ht="17" customHeight="1" x14ac:dyDescent="0.15">
      <c r="A47" s="27" t="s">
        <v>35</v>
      </c>
      <c r="B47" s="142" t="str">
        <f>IF(B46=Para1!$F$153,Para1!$F$109,IF(B46=Para1!$F$109,Para1!$F$148,IF(B46=Para1!$F$148,Para1!$F$111,IF(B46=Para1!$F$111,Para1!$F$120,IF(B46=Para1!$F$120,Para1!$F$170,IF(B46=Para1!$F$170,Para1!$F$173,Para1!$F$153))))))</f>
        <v>Tue</v>
      </c>
      <c r="C47" s="185"/>
      <c r="D47" s="293"/>
      <c r="E47" s="294"/>
      <c r="F47" s="295"/>
      <c r="G47" s="294"/>
      <c r="H47" s="294"/>
      <c r="I47" s="296"/>
      <c r="J47" s="258"/>
      <c r="K47" s="382"/>
      <c r="L47" s="379"/>
      <c r="M47" s="129"/>
      <c r="N47" s="197"/>
      <c r="O47" s="299"/>
      <c r="P47" s="367">
        <f t="shared" si="7"/>
        <v>1</v>
      </c>
      <c r="Q47" s="367">
        <f t="shared" si="7"/>
        <v>1</v>
      </c>
      <c r="R47" s="299" t="e">
        <f>IF(VLOOKUP(A47,Para1!$B$67:$E$72,2,FALSE)="2.",VLOOKUP(A47,Para1!$B$67:$E$72,3,FALSE),"")</f>
        <v>#N/A</v>
      </c>
      <c r="S47" s="299" t="str">
        <f>IF((P47+Q47)=0,"",IF(ISNA(R47),"",IF(R47="","",VLOOKUP(R47,Para1!$D$67:$G$79,3,FALSE)*(IF(P47+Q47=1,0.5,1)))))</f>
        <v/>
      </c>
      <c r="T47" s="299" t="str">
        <f>IF(P47+Q47=0,"",IF(ISNA(R48),"",IF(R48="","",VLOOKUP(R48,Para1!$D$67:$G$79,4,FALSE)*(IF(P47+Q47=1,0.5,1)))))</f>
        <v/>
      </c>
      <c r="U47" s="299" t="str">
        <f t="shared" si="2"/>
        <v/>
      </c>
      <c r="V47" s="299" t="str">
        <f t="shared" si="3"/>
        <v/>
      </c>
      <c r="W47" s="299">
        <f t="shared" si="4"/>
        <v>0</v>
      </c>
      <c r="X47" s="16"/>
      <c r="Y47" s="16"/>
      <c r="Z47" s="16"/>
      <c r="AA47" s="16"/>
    </row>
    <row r="48" spans="1:27" ht="17" customHeight="1" x14ac:dyDescent="0.15">
      <c r="A48" s="27" t="s">
        <v>36</v>
      </c>
      <c r="B48" s="142" t="str">
        <f>IF(B47=Para1!$F$153,Para1!$F$109,IF(B47=Para1!$F$109,Para1!$F$148,IF(B47=Para1!$F$148,Para1!$F$111,IF(B47=Para1!$F$111,Para1!$F$120,IF(B47=Para1!$F$120,Para1!$F$170,IF(B47=Para1!$F$170,Para1!$F$173,Para1!$F$153))))))</f>
        <v>Wed</v>
      </c>
      <c r="C48" s="185"/>
      <c r="D48" s="293"/>
      <c r="E48" s="294"/>
      <c r="F48" s="295"/>
      <c r="G48" s="294"/>
      <c r="H48" s="294"/>
      <c r="I48" s="296"/>
      <c r="J48" s="258"/>
      <c r="K48" s="382"/>
      <c r="L48" s="379"/>
      <c r="M48" s="129"/>
      <c r="N48" s="197"/>
      <c r="O48" s="299"/>
      <c r="P48" s="367">
        <f t="shared" si="7"/>
        <v>1</v>
      </c>
      <c r="Q48" s="367">
        <f t="shared" si="7"/>
        <v>1</v>
      </c>
      <c r="R48" s="299" t="e">
        <f>IF(VLOOKUP(A48,Para1!$B$67:$E$72,2,FALSE)="2.",VLOOKUP(A48,Para1!$B$67:$E$72,3,FALSE),"")</f>
        <v>#N/A</v>
      </c>
      <c r="S48" s="299" t="str">
        <f>IF((P48+Q48)=0,"",IF(ISNA(R48),"",IF(R48="","",VLOOKUP(R48,Para1!$D$67:$G$79,3,FALSE)*(IF(P48+Q48=1,0.5,1)))))</f>
        <v/>
      </c>
      <c r="T48" s="299" t="str">
        <f>IF(P48+Q48=0,"",IF(ISNA(R49),"",IF(R49="","",VLOOKUP(R49,Para1!$D$67:$G$79,4,FALSE)*(IF(P48+Q48=1,0.5,1)))))</f>
        <v/>
      </c>
      <c r="U48" s="299" t="str">
        <f t="shared" si="2"/>
        <v/>
      </c>
      <c r="V48" s="299" t="str">
        <f t="shared" si="3"/>
        <v/>
      </c>
      <c r="W48" s="299">
        <f t="shared" si="4"/>
        <v>0</v>
      </c>
      <c r="X48" s="16"/>
      <c r="Y48" s="16"/>
      <c r="Z48" s="16"/>
      <c r="AA48" s="16"/>
    </row>
    <row r="49" spans="1:27" ht="17" customHeight="1" x14ac:dyDescent="0.15">
      <c r="A49" s="27" t="s">
        <v>37</v>
      </c>
      <c r="B49" s="142" t="str">
        <f>IF(B48=Para1!$F$153,Para1!$F$109,IF(B48=Para1!$F$109,Para1!$F$148,IF(B48=Para1!$F$148,Para1!$F$111,IF(B48=Para1!$F$111,Para1!$F$120,IF(B48=Para1!$F$120,Para1!$F$170,IF(B48=Para1!$F$170,Para1!$F$173,Para1!$F$153))))))</f>
        <v>Thu</v>
      </c>
      <c r="C49" s="186"/>
      <c r="D49" s="293"/>
      <c r="E49" s="294"/>
      <c r="F49" s="295"/>
      <c r="G49" s="294"/>
      <c r="H49" s="294"/>
      <c r="I49" s="296"/>
      <c r="J49" s="258"/>
      <c r="K49" s="382"/>
      <c r="L49" s="379"/>
      <c r="M49" s="129"/>
      <c r="N49" s="197"/>
      <c r="O49" s="299"/>
      <c r="P49" s="367">
        <f t="shared" si="7"/>
        <v>1</v>
      </c>
      <c r="Q49" s="367">
        <f t="shared" si="7"/>
        <v>1</v>
      </c>
      <c r="R49" s="299" t="e">
        <f>IF(VLOOKUP(A49,Para1!$B$67:$E$72,2,FALSE)="2.",VLOOKUP(A49,Para1!$B$67:$E$72,3,FALSE),"")</f>
        <v>#N/A</v>
      </c>
      <c r="S49" s="299" t="str">
        <f>IF((P49+Q49)=0,"",IF(ISNA(R49),"",IF(R49="","",VLOOKUP(R49,Para1!$D$67:$G$79,3,FALSE)*(IF(P49+Q49=1,0.5,1)))))</f>
        <v/>
      </c>
      <c r="T49" s="299" t="str">
        <f>IF(P49+Q49=0,"",IF(ISNA(R50),"",IF(R50="","",VLOOKUP(R50,Para1!$D$67:$G$79,4,FALSE)*(IF(P49+Q49=1,0.5,1)))))</f>
        <v/>
      </c>
      <c r="U49" s="299" t="str">
        <f t="shared" si="2"/>
        <v/>
      </c>
      <c r="V49" s="299" t="str">
        <f t="shared" si="3"/>
        <v/>
      </c>
      <c r="W49" s="299">
        <f t="shared" si="4"/>
        <v>0</v>
      </c>
      <c r="X49" s="16"/>
      <c r="Y49" s="16"/>
      <c r="Z49" s="16"/>
      <c r="AA49" s="16"/>
    </row>
    <row r="50" spans="1:27" s="39" customFormat="1" ht="17" customHeight="1" x14ac:dyDescent="0.15">
      <c r="A50" s="27" t="s">
        <v>38</v>
      </c>
      <c r="B50" s="142" t="str">
        <f>IF(B49=Para1!$F$153,Para1!$F$109,IF(B49=Para1!$F$109,Para1!$F$148,IF(B49=Para1!$F$148,Para1!$F$111,IF(B49=Para1!$F$111,Para1!$F$120,IF(B49=Para1!$F$120,Para1!$F$170,IF(B49=Para1!$F$170,Para1!$F$173,Para1!$F$153))))))</f>
        <v>Fri</v>
      </c>
      <c r="C50" s="186"/>
      <c r="D50" s="293"/>
      <c r="E50" s="294"/>
      <c r="F50" s="295"/>
      <c r="G50" s="294"/>
      <c r="H50" s="294"/>
      <c r="I50" s="296"/>
      <c r="J50" s="258"/>
      <c r="K50" s="382"/>
      <c r="L50" s="379"/>
      <c r="M50" s="129"/>
      <c r="N50" s="197"/>
      <c r="O50" s="299"/>
      <c r="P50" s="368">
        <f t="shared" si="7"/>
        <v>1</v>
      </c>
      <c r="Q50" s="368">
        <f t="shared" si="7"/>
        <v>1</v>
      </c>
      <c r="R50" s="299" t="e">
        <f>IF(VLOOKUP(A50,Para1!$B$67:$E$72,2,FALSE)="2.",VLOOKUP(A50,Para1!$B$67:$E$72,3,FALSE),"")</f>
        <v>#N/A</v>
      </c>
      <c r="S50" s="299" t="str">
        <f>IF((P50+Q50)=0,"",IF(ISNA(R50),"",IF(R50="","",VLOOKUP(R50,Para1!$D$67:$G$79,3,FALSE)*(IF(P50+Q50=1,0.5,1)))))</f>
        <v/>
      </c>
      <c r="T50" s="299" t="str">
        <f>IF(P50+Q50=0,"",IF(ISNA(Maerz!R23),"",IF(Maerz!R23="","",VLOOKUP(Maerz!R23,Para1!$D$67:$G$79,4,FALSE)*(IF(P50+Q50=1,0.5,1)))))</f>
        <v/>
      </c>
      <c r="U50" s="299" t="str">
        <f t="shared" si="2"/>
        <v/>
      </c>
      <c r="V50" s="299" t="str">
        <f t="shared" si="3"/>
        <v/>
      </c>
      <c r="W50" s="299">
        <f t="shared" si="4"/>
        <v>0</v>
      </c>
      <c r="X50" s="16"/>
      <c r="Y50" s="155"/>
      <c r="Z50" s="155"/>
      <c r="AA50" s="155"/>
    </row>
    <row r="51" spans="1:27" s="39" customFormat="1" ht="16.5" customHeight="1" thickBot="1" x14ac:dyDescent="0.2">
      <c r="A51" s="27" t="s">
        <v>39</v>
      </c>
      <c r="B51" s="142" t="str">
        <f>IF(B50=Para1!$F$153,Para1!$F$109,IF(B50=Para1!$F$109,Para1!$F$148,IF(B50=Para1!$F$148,Para1!$F$111,IF(B50=Para1!$F$111,Para1!$F$120,IF(B50=Para1!$F$120,Para1!$F$170,IF(B50=Para1!$F$170,Para1!$F$173,Para1!$F$153))))))</f>
        <v>Sat</v>
      </c>
      <c r="C51" s="186"/>
      <c r="D51" s="143"/>
      <c r="E51" s="111"/>
      <c r="F51" s="110"/>
      <c r="G51" s="111"/>
      <c r="H51" s="111"/>
      <c r="I51" s="144"/>
      <c r="J51" s="258"/>
      <c r="K51" s="383"/>
      <c r="L51" s="377"/>
      <c r="M51" s="129"/>
      <c r="N51" s="197"/>
      <c r="P51" s="374">
        <f t="shared" si="7"/>
        <v>0</v>
      </c>
      <c r="Q51" s="374">
        <f t="shared" si="7"/>
        <v>0</v>
      </c>
      <c r="R51" s="299" t="e">
        <f>IF(VLOOKUP(A51,Para1!$B$67:$E$72,2,FALSE)="2.",VLOOKUP(A51,Para1!$B$67:$E$72,3,FALSE),"")</f>
        <v>#N/A</v>
      </c>
      <c r="S51" s="299" t="str">
        <f>IF((P51+Q51)=0,"",IF(ISNA(R51),"",IF(R51="","",VLOOKUP(R51,Para1!$D$67:$G$79,3,FALSE)*(IF(P51+Q51=1,0.5,1)))))</f>
        <v/>
      </c>
      <c r="T51" s="304"/>
      <c r="U51" s="299" t="str">
        <f t="shared" si="2"/>
        <v/>
      </c>
      <c r="V51" s="299" t="str">
        <f t="shared" si="3"/>
        <v/>
      </c>
      <c r="W51" s="299">
        <f t="shared" si="4"/>
        <v>0</v>
      </c>
      <c r="X51" s="155"/>
      <c r="Y51" s="155"/>
      <c r="Z51" s="155"/>
      <c r="AA51" s="155"/>
    </row>
    <row r="52" spans="1:27" ht="16.5" customHeight="1" thickTop="1" x14ac:dyDescent="0.15">
      <c r="A52" s="103"/>
      <c r="B52" s="104"/>
      <c r="C52" s="256"/>
      <c r="D52" s="149"/>
      <c r="E52" s="95"/>
      <c r="F52" s="96"/>
      <c r="G52" s="95"/>
      <c r="H52" s="95"/>
      <c r="I52" s="150"/>
      <c r="J52" s="258"/>
      <c r="K52" s="383"/>
      <c r="L52" s="377"/>
      <c r="M52" s="129"/>
      <c r="N52" s="197"/>
      <c r="P52" s="369"/>
      <c r="Q52" s="369"/>
      <c r="R52" s="299" t="e">
        <f>IF(VLOOKUP(A52,Para1!$B$67:$E$72,2,FALSE)="2.",VLOOKUP(A52,Para1!$B$67:$E$72,3,FALSE),"")</f>
        <v>#N/A</v>
      </c>
      <c r="S52" s="299" t="str">
        <f>IF((P52+Q52)=0,"",IF(ISNA(R52),"",IF(R52="","",VLOOKUP(R52,Para1!$D$67:$G$79,3,FALSE)*(IF(P52+Q52=1,0.5,1)))))</f>
        <v/>
      </c>
      <c r="T52" s="304"/>
      <c r="U52" s="299" t="str">
        <f t="shared" si="2"/>
        <v/>
      </c>
      <c r="V52" s="299" t="str">
        <f t="shared" si="3"/>
        <v/>
      </c>
      <c r="W52" s="299">
        <f t="shared" si="4"/>
        <v>0</v>
      </c>
      <c r="X52" s="16"/>
      <c r="Y52" s="16"/>
      <c r="Z52" s="16"/>
      <c r="AA52" s="16"/>
    </row>
    <row r="53" spans="1:27" ht="17" customHeight="1" thickBot="1" x14ac:dyDescent="0.2">
      <c r="A53" s="105"/>
      <c r="B53" s="148"/>
      <c r="C53" s="186"/>
      <c r="D53" s="151"/>
      <c r="E53" s="97"/>
      <c r="F53" s="98"/>
      <c r="G53" s="97"/>
      <c r="H53" s="97"/>
      <c r="I53" s="152"/>
      <c r="J53" s="258"/>
      <c r="K53" s="384"/>
      <c r="L53" s="385"/>
      <c r="M53" s="129"/>
      <c r="N53" s="197"/>
      <c r="P53" s="370"/>
      <c r="Q53" s="370"/>
      <c r="R53" s="299" t="e">
        <f>IF(VLOOKUP(A53,Para1!$B$67:$E$72,2,FALSE)="2.",VLOOKUP(A53,Para1!$B$67:$E$72,3,FALSE),"")</f>
        <v>#N/A</v>
      </c>
      <c r="S53" s="299" t="str">
        <f>IF((P53+Q53)=0,"",IF(ISNA(R53),"",IF(R53="","",VLOOKUP(R53,Para1!$D$67:$G$79,3,FALSE)*(IF(P53+Q53=1,0.5,1)))))</f>
        <v/>
      </c>
      <c r="T53" s="304"/>
      <c r="U53" s="299" t="str">
        <f t="shared" si="2"/>
        <v/>
      </c>
      <c r="V53" s="299" t="str">
        <f t="shared" si="3"/>
        <v/>
      </c>
      <c r="W53" s="299">
        <f t="shared" si="4"/>
        <v>0</v>
      </c>
      <c r="X53" s="16"/>
      <c r="Y53" s="16"/>
      <c r="Z53" s="16"/>
      <c r="AA53" s="16"/>
    </row>
    <row r="54" spans="1:27" ht="15" thickTop="1" x14ac:dyDescent="0.15">
      <c r="A54" s="36"/>
      <c r="B54" s="32"/>
      <c r="C54" s="16"/>
      <c r="D54" s="145">
        <f t="shared" ref="D54:I54" si="8">SUM(D23:D53)</f>
        <v>0</v>
      </c>
      <c r="E54" s="31">
        <f t="shared" si="8"/>
        <v>0</v>
      </c>
      <c r="F54" s="31">
        <f t="shared" si="8"/>
        <v>0</v>
      </c>
      <c r="G54" s="31">
        <f t="shared" si="8"/>
        <v>0</v>
      </c>
      <c r="H54" s="31">
        <f t="shared" si="8"/>
        <v>0</v>
      </c>
      <c r="I54" s="146">
        <f t="shared" si="8"/>
        <v>0</v>
      </c>
      <c r="J54" s="130"/>
      <c r="K54" s="191"/>
      <c r="L54" s="191"/>
      <c r="M54" s="16"/>
      <c r="P54" s="622" t="str">
        <f>Para1!F174&amp;" "&amp;Para1!F168</f>
        <v>balance due / half-day</v>
      </c>
      <c r="Q54" s="623"/>
      <c r="R54" s="304">
        <f>SUM(W23:W53)</f>
        <v>0</v>
      </c>
      <c r="S54" s="304">
        <f>SUM(S23:S53)</f>
        <v>0</v>
      </c>
      <c r="T54" s="304">
        <f>SUM(T23:T53)</f>
        <v>0</v>
      </c>
      <c r="U54" s="16"/>
      <c r="V54" s="16"/>
      <c r="W54" s="16"/>
      <c r="X54" s="16"/>
      <c r="Y54" s="16"/>
      <c r="Z54" s="16"/>
      <c r="AA54" s="16"/>
    </row>
    <row r="55" spans="1:27" ht="15" thickBot="1" x14ac:dyDescent="0.2">
      <c r="A55" s="37"/>
      <c r="B55" s="33"/>
      <c r="C55" s="33"/>
      <c r="D55" s="586">
        <f t="shared" ref="D55:I55" si="9">D54*24</f>
        <v>0</v>
      </c>
      <c r="E55" s="587">
        <f t="shared" si="9"/>
        <v>0</v>
      </c>
      <c r="F55" s="587">
        <f t="shared" si="9"/>
        <v>0</v>
      </c>
      <c r="G55" s="587">
        <f t="shared" si="9"/>
        <v>0</v>
      </c>
      <c r="H55" s="587">
        <f t="shared" si="9"/>
        <v>0</v>
      </c>
      <c r="I55" s="588">
        <f t="shared" si="9"/>
        <v>0</v>
      </c>
      <c r="J55" s="260"/>
      <c r="K55" s="192"/>
      <c r="L55" s="192"/>
      <c r="M55" s="163" t="str">
        <f>Para1!G2</f>
        <v>AE v1_01 20.08.2019</v>
      </c>
      <c r="P55" s="624">
        <f>(Para1!E59/100*$G$3+((S54+T54)/100*$G$3))/(SUM(P23:Q53)-R54)/24</f>
        <v>0</v>
      </c>
      <c r="Q55" s="625"/>
      <c r="R55" s="16"/>
      <c r="S55" s="16"/>
      <c r="T55" s="16"/>
      <c r="U55" s="16"/>
      <c r="V55" s="16"/>
      <c r="W55" s="16"/>
      <c r="X55" s="16"/>
      <c r="Y55" s="16"/>
      <c r="Z55" s="16"/>
      <c r="AA55" s="16"/>
    </row>
    <row r="56" spans="1:27" ht="15" thickTop="1" x14ac:dyDescent="0.15">
      <c r="K56" s="16"/>
      <c r="Q56" s="16"/>
      <c r="R56" s="16"/>
      <c r="S56" s="16"/>
      <c r="T56" s="16"/>
      <c r="U56" s="16"/>
      <c r="V56" s="16"/>
      <c r="W56" s="16"/>
      <c r="X56" s="16"/>
      <c r="Y56" s="16"/>
      <c r="Z56" s="16"/>
      <c r="AA56" s="16"/>
    </row>
    <row r="57" spans="1:27"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R57" s="16"/>
      <c r="S57" s="16"/>
      <c r="T57" s="238"/>
      <c r="U57" s="139"/>
      <c r="V57" s="16"/>
      <c r="W57" s="16"/>
      <c r="X57" s="16"/>
      <c r="Y57" s="541"/>
      <c r="Z57" s="16"/>
      <c r="AA57" s="16"/>
    </row>
    <row r="58" spans="1:27" x14ac:dyDescent="0.15">
      <c r="A58" s="5"/>
      <c r="B58" s="5"/>
      <c r="C58" s="5"/>
      <c r="D58" s="5"/>
      <c r="E58" s="5"/>
      <c r="F58" s="5"/>
      <c r="G58" s="5"/>
      <c r="H58" s="5"/>
      <c r="I58" s="562"/>
      <c r="J58" s="562"/>
      <c r="K58" s="562"/>
      <c r="L58" s="562"/>
    </row>
    <row r="59" spans="1:27" ht="22.5" customHeight="1" x14ac:dyDescent="0.15">
      <c r="A59" s="5"/>
      <c r="B59" s="5"/>
      <c r="C59" s="5"/>
      <c r="D59" s="5"/>
      <c r="E59" s="5"/>
      <c r="F59" s="563" t="str">
        <f>Para1!F191&amp;" "&amp;Para1!F193</f>
        <v>signature manager</v>
      </c>
      <c r="G59" s="5"/>
      <c r="H59" s="564"/>
      <c r="I59" s="565"/>
      <c r="J59" s="565"/>
      <c r="K59" s="565"/>
      <c r="L59" s="565"/>
    </row>
  </sheetData>
  <sheetProtection password="CF1F" sheet="1" objects="1" scenarios="1"/>
  <mergeCells count="29">
    <mergeCell ref="P20:Q20"/>
    <mergeCell ref="P21:P22"/>
    <mergeCell ref="Q21:Q22"/>
    <mergeCell ref="P54:Q54"/>
    <mergeCell ref="P55:Q55"/>
    <mergeCell ref="M20:N20"/>
    <mergeCell ref="L21:L22"/>
    <mergeCell ref="B13:E13"/>
    <mergeCell ref="C14:E14"/>
    <mergeCell ref="C17:E17"/>
    <mergeCell ref="C16:E16"/>
    <mergeCell ref="C15:E15"/>
    <mergeCell ref="K21:K22"/>
    <mergeCell ref="A21:B21"/>
    <mergeCell ref="G21:G22"/>
    <mergeCell ref="F21:F22"/>
    <mergeCell ref="H21:H22"/>
    <mergeCell ref="D20:I20"/>
    <mergeCell ref="C18:E18"/>
    <mergeCell ref="A1:B1"/>
    <mergeCell ref="A3:B3"/>
    <mergeCell ref="D1:E1"/>
    <mergeCell ref="A22:B22"/>
    <mergeCell ref="K20:L20"/>
    <mergeCell ref="J9:K9"/>
    <mergeCell ref="J10:K10"/>
    <mergeCell ref="I21:I22"/>
    <mergeCell ref="D21:D22"/>
    <mergeCell ref="E21:E22"/>
  </mergeCells>
  <phoneticPr fontId="0" type="noConversion"/>
  <conditionalFormatting sqref="A23:B51">
    <cfRule type="expression" dxfId="81" priority="1">
      <formula>$S23=0</formula>
    </cfRule>
    <cfRule type="expression" dxfId="80" priority="7">
      <formula>$P23+$Q23=0</formula>
    </cfRule>
  </conditionalFormatting>
  <conditionalFormatting sqref="D23:I50">
    <cfRule type="expression" dxfId="79" priority="5">
      <formula>$P23+$Q23=1</formula>
    </cfRule>
    <cfRule type="expression" dxfId="78" priority="6">
      <formula>$P23+$Q23=0</formula>
    </cfRule>
  </conditionalFormatting>
  <conditionalFormatting sqref="K23:K50 P23:P51">
    <cfRule type="expression" dxfId="77" priority="4">
      <formula>$P23=0</formula>
    </cfRule>
  </conditionalFormatting>
  <conditionalFormatting sqref="L23:L50 Q23:Q51">
    <cfRule type="expression" dxfId="76" priority="3">
      <formula>$Q23=0</formula>
    </cfRule>
  </conditionalFormatting>
  <conditionalFormatting sqref="D23:I50 K23:L50 P23:Q51">
    <cfRule type="expression" dxfId="75" priority="2">
      <formula>$S23=0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400-000000000000}">
      <formula1>0</formula1>
      <formula2>25</formula2>
    </dataValidation>
  </dataValidations>
  <pageMargins left="0.38" right="0.38" top="0.79" bottom="0.39370078740157483" header="0.28999999999999998" footer="0.15748031496062992"/>
  <pageSetup paperSize="9" scale="66" fitToHeight="0" orientation="portrait" verticalDpi="300" r:id="rId1"/>
  <headerFooter alignWithMargins="0">
    <oddHeader>&amp;C&amp;"Arial,Fett Kursiv"&amp;16Absenzenerfassung -  &amp;A</oddHeader>
    <oddFooter>&amp;L&amp;Z&amp;F</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pageSetUpPr fitToPage="1"/>
  </sheetPr>
  <dimension ref="A1:Y61"/>
  <sheetViews>
    <sheetView showGridLines="0"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17"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c r="P1" s="10"/>
      <c r="Q1" s="58"/>
    </row>
    <row r="2" spans="1:17" ht="6" customHeight="1" x14ac:dyDescent="0.15">
      <c r="D2" s="7"/>
      <c r="E2" s="7"/>
      <c r="F2" s="7"/>
      <c r="G2" s="7"/>
      <c r="H2" s="11"/>
      <c r="I2" s="7"/>
      <c r="J2" s="7"/>
      <c r="K2" s="7"/>
      <c r="L2" s="7"/>
      <c r="M2" s="5"/>
      <c r="N2" s="5"/>
      <c r="Q2" s="58"/>
    </row>
    <row r="3" spans="1:17" x14ac:dyDescent="0.15">
      <c r="A3" s="636" t="str">
        <f>Para1!F165</f>
        <v xml:space="preserve">pers.-no.: </v>
      </c>
      <c r="B3" s="636"/>
      <c r="C3" s="237"/>
      <c r="D3" s="241">
        <f>'Jahresübersicht (Overview)'!C4</f>
        <v>0</v>
      </c>
      <c r="E3" s="7"/>
      <c r="F3" s="8" t="str">
        <f>Para1!F97&amp;": "</f>
        <v xml:space="preserve">level of employment: </v>
      </c>
      <c r="G3" s="29">
        <f>'Jahresübersicht (Overview)'!E8</f>
        <v>0</v>
      </c>
      <c r="H3" s="11" t="s">
        <v>215</v>
      </c>
      <c r="I3" s="58"/>
      <c r="J3" s="237"/>
      <c r="K3" s="246" t="str">
        <f>Para1!F113</f>
        <v xml:space="preserve">starting date: </v>
      </c>
      <c r="L3" s="247">
        <f>'Jahresübersicht (Overview)'!$G$4</f>
        <v>42596</v>
      </c>
      <c r="M3" s="243"/>
      <c r="N3" s="243"/>
      <c r="Q3" s="58"/>
    </row>
    <row r="4" spans="1:17" ht="6" customHeight="1" x14ac:dyDescent="0.15">
      <c r="A4" s="12"/>
      <c r="B4" s="13"/>
      <c r="C4" s="13"/>
      <c r="D4" s="14"/>
      <c r="E4" s="14"/>
      <c r="F4" s="14"/>
      <c r="G4" s="14"/>
      <c r="H4" s="14"/>
      <c r="I4" s="15"/>
      <c r="J4" s="15"/>
      <c r="K4" s="15"/>
      <c r="L4" s="15"/>
      <c r="M4" s="13"/>
      <c r="N4" s="13"/>
    </row>
    <row r="5" spans="1:17" ht="6" customHeight="1" x14ac:dyDescent="0.15">
      <c r="D5" s="7"/>
      <c r="E5" s="7"/>
      <c r="F5" s="7"/>
      <c r="G5" s="7"/>
      <c r="H5" s="7"/>
      <c r="I5" s="9"/>
      <c r="J5" s="9"/>
      <c r="K5" s="9"/>
      <c r="L5" s="9"/>
    </row>
    <row r="6" spans="1:17" ht="15" customHeight="1" x14ac:dyDescent="0.15">
      <c r="D6" s="7"/>
      <c r="E6" s="21"/>
      <c r="F6" s="7"/>
      <c r="G6" s="7"/>
      <c r="H6" s="7"/>
      <c r="I6" s="9"/>
      <c r="J6" s="9"/>
      <c r="K6" s="9"/>
      <c r="L6" s="9"/>
    </row>
    <row r="7" spans="1:17"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c r="P7" s="101"/>
    </row>
    <row r="8" spans="1:17" ht="15" customHeight="1" x14ac:dyDescent="0.15">
      <c r="D8" s="198" t="str">
        <f>Para1!B171&amp;" "&amp;Para1!B88&amp;" "&amp;Para1!B154</f>
        <v>Saldo Anfang Monat</v>
      </c>
      <c r="E8" s="201">
        <f>Februar!E11</f>
        <v>3.645833333333333</v>
      </c>
      <c r="H8" s="11"/>
      <c r="I8" s="21" t="str">
        <f>Para1!F141</f>
        <v>illness</v>
      </c>
      <c r="J8" s="242"/>
      <c r="K8" s="5"/>
      <c r="L8" s="161">
        <f>D54</f>
        <v>0</v>
      </c>
      <c r="M8" s="161">
        <f>Februar!N8</f>
        <v>0</v>
      </c>
      <c r="N8" s="93">
        <f t="shared" ref="N8:N13" si="0">SUM(L8:M8)</f>
        <v>0</v>
      </c>
    </row>
    <row r="9" spans="1:17"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Februar!N9</f>
        <v>0</v>
      </c>
      <c r="N9" s="93">
        <f t="shared" si="0"/>
        <v>0</v>
      </c>
      <c r="Q9" s="34"/>
    </row>
    <row r="10" spans="1:17" ht="15" customHeight="1" x14ac:dyDescent="0.15">
      <c r="D10" s="198" t="str">
        <f>"./ ."&amp;Para1!F119</f>
        <v>./ .reduction of holiday</v>
      </c>
      <c r="E10" s="530">
        <v>0</v>
      </c>
      <c r="H10" s="11"/>
      <c r="I10" s="21"/>
      <c r="J10" s="641" t="str">
        <f>Para1!F161&amp;" "&amp;Para1!F100</f>
        <v>not work. rel.</v>
      </c>
      <c r="K10" s="641"/>
      <c r="L10" s="161">
        <f>F54</f>
        <v>0</v>
      </c>
      <c r="M10" s="161">
        <f>Februar!N10</f>
        <v>0</v>
      </c>
      <c r="N10" s="93">
        <f t="shared" si="0"/>
        <v>0</v>
      </c>
      <c r="Q10" s="34"/>
    </row>
    <row r="11" spans="1:17" ht="15" customHeight="1" thickBot="1" x14ac:dyDescent="0.2">
      <c r="B11" s="251"/>
      <c r="C11" s="251"/>
      <c r="D11" s="246" t="str">
        <f>Para1!F171&amp;" "&amp;Para1!F115&amp;" "&amp;Para1!F154</f>
        <v>balance end of the month</v>
      </c>
      <c r="E11" s="202">
        <f>$E$8-$E$9-$E$10</f>
        <v>3.645833333333333</v>
      </c>
      <c r="H11" s="11"/>
      <c r="I11" s="49" t="str">
        <f>Para1!F142</f>
        <v>short vacation</v>
      </c>
      <c r="J11" s="5"/>
      <c r="K11" s="5"/>
      <c r="L11" s="161">
        <f>G54</f>
        <v>0</v>
      </c>
      <c r="M11" s="161">
        <f>Februar!N11</f>
        <v>0</v>
      </c>
      <c r="N11" s="93">
        <f t="shared" si="0"/>
        <v>0</v>
      </c>
    </row>
    <row r="12" spans="1:17" ht="15" customHeight="1" thickTop="1" x14ac:dyDescent="0.15">
      <c r="B12" s="542" t="str">
        <f>IF((E11*24+(4.2*'Persönliche Daten (pers. data)'!O8/100))&lt;0,Para1!J224,IF(E11&gt;0,"",Para1!J223))</f>
        <v/>
      </c>
      <c r="H12" s="11"/>
      <c r="I12" s="24" t="str">
        <f>Para1!F198</f>
        <v>training / education</v>
      </c>
      <c r="J12" s="5"/>
      <c r="K12" s="5"/>
      <c r="L12" s="161">
        <f>H54</f>
        <v>0</v>
      </c>
      <c r="M12" s="161">
        <f>Februar!N12</f>
        <v>0</v>
      </c>
      <c r="N12" s="93">
        <f t="shared" si="0"/>
        <v>0</v>
      </c>
    </row>
    <row r="13" spans="1:17"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Februar!N13</f>
        <v>0</v>
      </c>
      <c r="N13" s="93">
        <f t="shared" si="0"/>
        <v>0</v>
      </c>
    </row>
    <row r="14" spans="1:17"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Februar!N14</f>
        <v>0</v>
      </c>
      <c r="N14" s="93">
        <f>SUM(L14:M14)</f>
        <v>0</v>
      </c>
      <c r="O14" s="299" t="e">
        <f>INDEX(U23:U53,MATCH("b",U23:U53,0))</f>
        <v>#N/A</v>
      </c>
      <c r="P14" s="299" t="e">
        <f>INDEX(V23:V53,MATCH("b",V23:V53,0))</f>
        <v>#N/A</v>
      </c>
    </row>
    <row r="15" spans="1:17"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Februar!N15</f>
        <v>0</v>
      </c>
      <c r="N15" s="93">
        <f>SUM(L15:M15)</f>
        <v>0</v>
      </c>
      <c r="O15" s="299" t="e">
        <f>INDEX(U23:U53,MATCH("u",U23:U53,0))</f>
        <v>#N/A</v>
      </c>
      <c r="P15" s="299" t="e">
        <f>INDEX(V23:V53,MATCH("u",V23:V53,0))</f>
        <v>#N/A</v>
      </c>
    </row>
    <row r="16" spans="1:17"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Februar!N16</f>
        <v>0</v>
      </c>
      <c r="N16" s="93">
        <f>SUM(L16:M16)</f>
        <v>0</v>
      </c>
      <c r="O16" s="299" t="e">
        <f>INDEX(U23:U53,MATCH("m",U23:U53,0))</f>
        <v>#N/A</v>
      </c>
      <c r="P16" s="299" t="e">
        <f>INDEX(V23:V53,MATCH("m",V23:V53,0))</f>
        <v>#N/A</v>
      </c>
    </row>
    <row r="17" spans="1:23" ht="15" customHeight="1" x14ac:dyDescent="0.15">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Februar!N17</f>
        <v>0</v>
      </c>
      <c r="N17" s="93">
        <f>SUM(L17:M17)</f>
        <v>0</v>
      </c>
      <c r="O17" s="299" t="e">
        <f>INDEX(U23:U53,MATCH("z",U23:U53,0))</f>
        <v>#N/A</v>
      </c>
      <c r="P17" s="299" t="e">
        <f>INDEX(V23:V53,MATCH("z",V23:V53,0))</f>
        <v>#N/A</v>
      </c>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x14ac:dyDescent="0.2">
      <c r="A19" s="25" t="str">
        <f>Para1!F104</f>
        <v>(please enter in hours and minutes)</v>
      </c>
      <c r="B19" s="7"/>
      <c r="C19" s="7"/>
      <c r="D19" s="7"/>
      <c r="E19" s="7"/>
      <c r="F19" s="7"/>
      <c r="G19" s="7"/>
      <c r="H19" s="7"/>
      <c r="I19" s="9"/>
      <c r="J19" s="9"/>
      <c r="K19" s="9"/>
      <c r="L19" s="9"/>
      <c r="O19" s="7"/>
      <c r="R19" s="7"/>
      <c r="S19" s="7"/>
      <c r="T19" s="7"/>
      <c r="U19" s="5"/>
      <c r="V19" s="5"/>
      <c r="W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x14ac:dyDescent="0.2">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3" s="26" customFormat="1" ht="15.75" customHeight="1" thickBot="1" x14ac:dyDescent="0.25">
      <c r="A22" s="639" t="str">
        <f>Para1!F106</f>
        <v>date</v>
      </c>
      <c r="B22" s="640"/>
      <c r="C22" s="536"/>
      <c r="D22" s="649"/>
      <c r="E22" s="660"/>
      <c r="F22" s="658"/>
      <c r="G22" s="659"/>
      <c r="H22" s="647"/>
      <c r="I22" s="638"/>
      <c r="J22" s="257"/>
      <c r="K22" s="668"/>
      <c r="L22" s="666"/>
      <c r="M22" s="196"/>
      <c r="N22" s="250"/>
      <c r="O22" s="250"/>
      <c r="P22" s="633"/>
      <c r="Q22" s="635"/>
    </row>
    <row r="23" spans="1:23" ht="17" customHeight="1" thickTop="1" x14ac:dyDescent="0.15">
      <c r="A23" s="102" t="s">
        <v>4</v>
      </c>
      <c r="B23" s="142" t="str">
        <f>IF(Februar!B51=Para1!$F$153,Para1!$F$109,IF(Februar!B51=Para1!$F$109,Para1!$F$148,IF(Februar!B51=Para1!$F$148,Para1!$F$111,IF(Februar!B51=Para1!$F$111,Para1!$F$120,IF(Februar!B51=Para1!$F$120,Para1!$F$170,IF(Februar!B51=Para1!$F$170,Para1!$F$173,Para1!$F$153))))))</f>
        <v>Sun</v>
      </c>
      <c r="C23" s="186"/>
      <c r="D23" s="293"/>
      <c r="E23" s="294"/>
      <c r="F23" s="295"/>
      <c r="G23" s="294"/>
      <c r="H23" s="294"/>
      <c r="I23" s="296"/>
      <c r="J23" s="258"/>
      <c r="K23" s="382"/>
      <c r="L23" s="379"/>
      <c r="M23" s="131"/>
      <c r="N23" s="197"/>
      <c r="O23" s="299"/>
      <c r="P23" s="366">
        <f>Februar!P45</f>
        <v>0</v>
      </c>
      <c r="Q23" s="366">
        <f>Februar!Q45</f>
        <v>0</v>
      </c>
      <c r="R23" s="299" t="str">
        <f>IF(VLOOKUP(A23,Para1!$B$67:$E$72,2,FALSE)="3.",VLOOKUP(A23,Para1!$B$67:$E$72,3,FALSE),"")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x14ac:dyDescent="0.15">
      <c r="A24" s="102" t="s">
        <v>6</v>
      </c>
      <c r="B24" s="142" t="str">
        <f>IF(B23=Para1!$F$153,Para1!$F$109,IF(B23=Para1!$F$109,Para1!$F$148,IF(B23=Para1!$F$148,Para1!$F$111,IF(B23=Para1!$F$111,Para1!$F$120,IF(B23=Para1!$F$120,Para1!$F$170,IF(B23=Para1!$F$170,Para1!$F$173,Para1!$F$153))))))</f>
        <v>Mon</v>
      </c>
      <c r="C24" s="186"/>
      <c r="D24" s="293"/>
      <c r="E24" s="294"/>
      <c r="F24" s="295"/>
      <c r="G24" s="294"/>
      <c r="H24" s="294"/>
      <c r="I24" s="296"/>
      <c r="J24" s="258"/>
      <c r="K24" s="382"/>
      <c r="L24" s="379"/>
      <c r="M24" s="131"/>
      <c r="N24" s="197"/>
      <c r="O24" s="299"/>
      <c r="P24" s="366">
        <f>Februar!P46</f>
        <v>1</v>
      </c>
      <c r="Q24" s="366">
        <f>Februar!Q46</f>
        <v>1</v>
      </c>
      <c r="R24" s="299" t="e">
        <f>IF(VLOOKUP(A24,Para1!$B$67:$E$72,2,FALSE)="3.",VLOOKUP(A24,Para1!$B$67:$E$72,3,FALSE),"")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x14ac:dyDescent="0.15">
      <c r="A25" s="102" t="s">
        <v>8</v>
      </c>
      <c r="B25" s="142" t="str">
        <f>IF(B24=Para1!$F$153,Para1!$F$109,IF(B24=Para1!$F$109,Para1!$F$148,IF(B24=Para1!$F$148,Para1!$F$111,IF(B24=Para1!$F$111,Para1!$F$120,IF(B24=Para1!$F$120,Para1!$F$170,IF(B24=Para1!$F$170,Para1!$F$173,Para1!$F$153))))))</f>
        <v>Tue</v>
      </c>
      <c r="C25" s="185"/>
      <c r="D25" s="293"/>
      <c r="E25" s="294"/>
      <c r="F25" s="295"/>
      <c r="G25" s="294"/>
      <c r="H25" s="294"/>
      <c r="I25" s="296"/>
      <c r="J25" s="258"/>
      <c r="K25" s="382"/>
      <c r="L25" s="379"/>
      <c r="M25" s="129"/>
      <c r="N25" s="197"/>
      <c r="O25" s="299"/>
      <c r="P25" s="366">
        <f>Februar!P47</f>
        <v>1</v>
      </c>
      <c r="Q25" s="366">
        <f>Februar!Q47</f>
        <v>1</v>
      </c>
      <c r="R25" s="299" t="e">
        <f>IF(VLOOKUP(A25,Para1!$B$67:$E$72,2,FALSE)="3.",VLOOKUP(A25,Para1!$B$67:$E$72,3,FALSE),"")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x14ac:dyDescent="0.15">
      <c r="A26" s="27" t="s">
        <v>10</v>
      </c>
      <c r="B26" s="142" t="str">
        <f>IF(B25=Para1!$F$153,Para1!$F$109,IF(B25=Para1!$F$109,Para1!$F$148,IF(B25=Para1!$F$148,Para1!$F$111,IF(B25=Para1!$F$111,Para1!$F$120,IF(B25=Para1!$F$120,Para1!$F$170,IF(B25=Para1!$F$170,Para1!$F$173,Para1!$F$153))))))</f>
        <v>Wed</v>
      </c>
      <c r="C26" s="185"/>
      <c r="D26" s="293"/>
      <c r="E26" s="294"/>
      <c r="F26" s="295"/>
      <c r="G26" s="294"/>
      <c r="H26" s="294"/>
      <c r="I26" s="296"/>
      <c r="J26" s="258"/>
      <c r="K26" s="382"/>
      <c r="L26" s="379"/>
      <c r="M26" s="129"/>
      <c r="N26" s="197"/>
      <c r="O26" s="299"/>
      <c r="P26" s="366">
        <f>Februar!P48</f>
        <v>1</v>
      </c>
      <c r="Q26" s="366">
        <f>Februar!Q48</f>
        <v>1</v>
      </c>
      <c r="R26" s="299" t="e">
        <f>IF(VLOOKUP(A26,Para1!$B$67:$E$72,2,FALSE)="3.",VLOOKUP(A26,Para1!$B$67:$E$72,3,FALSE),"")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x14ac:dyDescent="0.15">
      <c r="A27" s="102" t="s">
        <v>12</v>
      </c>
      <c r="B27" s="142" t="str">
        <f>IF(B26=Para1!$F$153,Para1!$F$109,IF(B26=Para1!$F$109,Para1!$F$148,IF(B26=Para1!$F$148,Para1!$F$111,IF(B26=Para1!$F$111,Para1!$F$120,IF(B26=Para1!$F$120,Para1!$F$170,IF(B26=Para1!$F$170,Para1!$F$173,Para1!$F$153))))))</f>
        <v>Thu</v>
      </c>
      <c r="C27" s="186"/>
      <c r="D27" s="293"/>
      <c r="E27" s="294"/>
      <c r="F27" s="295"/>
      <c r="G27" s="294"/>
      <c r="H27" s="294"/>
      <c r="I27" s="296"/>
      <c r="J27" s="258"/>
      <c r="K27" s="382"/>
      <c r="L27" s="379"/>
      <c r="M27" s="129"/>
      <c r="N27" s="197"/>
      <c r="O27" s="299"/>
      <c r="P27" s="366">
        <f>Februar!P49</f>
        <v>1</v>
      </c>
      <c r="Q27" s="366">
        <f>Februar!Q49</f>
        <v>1</v>
      </c>
      <c r="R27" s="299" t="e">
        <f>IF(VLOOKUP(A27,Para1!$B$67:$E$72,2,FALSE)="3.",VLOOKUP(A27,Para1!$B$67:$E$72,3,FALSE),"")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s="39" customFormat="1" ht="17" customHeight="1" x14ac:dyDescent="0.15">
      <c r="A28" s="27" t="s">
        <v>14</v>
      </c>
      <c r="B28" s="142" t="str">
        <f>IF(B27=Para1!$F$153,Para1!$F$109,IF(B27=Para1!$F$109,Para1!$F$148,IF(B27=Para1!$F$148,Para1!$F$111,IF(B27=Para1!$F$111,Para1!$F$120,IF(B27=Para1!$F$120,Para1!$F$170,IF(B27=Para1!$F$170,Para1!$F$173,Para1!$F$153))))))</f>
        <v>Fri</v>
      </c>
      <c r="C28" s="186"/>
      <c r="D28" s="293"/>
      <c r="E28" s="294"/>
      <c r="F28" s="295"/>
      <c r="G28" s="294"/>
      <c r="H28" s="294"/>
      <c r="I28" s="296"/>
      <c r="J28" s="258"/>
      <c r="K28" s="382"/>
      <c r="L28" s="379"/>
      <c r="M28" s="129"/>
      <c r="N28" s="197"/>
      <c r="O28" s="299"/>
      <c r="P28" s="366">
        <f>Februar!P50</f>
        <v>1</v>
      </c>
      <c r="Q28" s="366">
        <f>Februar!Q50</f>
        <v>1</v>
      </c>
      <c r="R28" s="299" t="e">
        <f>IF(VLOOKUP(A28,Para1!$B$67:$E$72,2,FALSE)="3.",VLOOKUP(A28,Para1!$B$67:$E$72,3,FALSE),"")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s="39" customFormat="1" ht="17" customHeight="1" x14ac:dyDescent="0.15">
      <c r="A29" s="27" t="s">
        <v>16</v>
      </c>
      <c r="B29" s="142" t="str">
        <f>IF(B28=Para1!$F$153,Para1!$F$109,IF(B28=Para1!$F$109,Para1!$F$148,IF(B28=Para1!$F$148,Para1!$F$111,IF(B28=Para1!$F$111,Para1!$F$120,IF(B28=Para1!$F$120,Para1!$F$170,IF(B28=Para1!$F$170,Para1!$F$173,Para1!$F$153))))))</f>
        <v>Sat</v>
      </c>
      <c r="C29" s="186"/>
      <c r="D29" s="293"/>
      <c r="E29" s="294"/>
      <c r="F29" s="295"/>
      <c r="G29" s="294"/>
      <c r="H29" s="294"/>
      <c r="I29" s="296"/>
      <c r="J29" s="258"/>
      <c r="K29" s="382"/>
      <c r="L29" s="379"/>
      <c r="M29" s="129"/>
      <c r="N29" s="197"/>
      <c r="O29" s="299"/>
      <c r="P29" s="366">
        <f>Februar!P51</f>
        <v>0</v>
      </c>
      <c r="Q29" s="366">
        <f>Februar!Q51</f>
        <v>0</v>
      </c>
      <c r="R29" s="299" t="e">
        <f>IF(VLOOKUP(A29,Para1!$B$67:$E$72,2,FALSE)="3.",VLOOKUP(A29,Para1!$B$67:$E$72,3,FALSE),"")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6.5" customHeight="1" x14ac:dyDescent="0.15">
      <c r="A30" s="102" t="s">
        <v>18</v>
      </c>
      <c r="B30" s="142" t="str">
        <f>IF(B29=Para1!$F$153,Para1!$F$109,IF(B29=Para1!$F$109,Para1!$F$148,IF(B29=Para1!$F$148,Para1!$F$111,IF(B29=Para1!$F$111,Para1!$F$120,IF(B29=Para1!$F$120,Para1!$F$170,IF(B29=Para1!$F$170,Para1!$F$173,Para1!$F$153))))))</f>
        <v>Sun</v>
      </c>
      <c r="C30" s="186"/>
      <c r="D30" s="293"/>
      <c r="E30" s="294"/>
      <c r="F30" s="295"/>
      <c r="G30" s="294"/>
      <c r="H30" s="294"/>
      <c r="I30" s="296"/>
      <c r="J30" s="258"/>
      <c r="K30" s="382"/>
      <c r="L30" s="379"/>
      <c r="M30" s="129"/>
      <c r="N30" s="197"/>
      <c r="O30" s="299"/>
      <c r="P30" s="367">
        <f>P23</f>
        <v>0</v>
      </c>
      <c r="Q30" s="367">
        <f>Q23</f>
        <v>0</v>
      </c>
      <c r="R30" s="299" t="e">
        <f>IF(VLOOKUP(A30,Para1!$B$67:$E$72,2,FALSE)="3.",VLOOKUP(A30,Para1!$B$67:$E$72,3,FALSE),"")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x14ac:dyDescent="0.15">
      <c r="A31" s="102" t="s">
        <v>19</v>
      </c>
      <c r="B31" s="142" t="str">
        <f>IF(B30=Para1!$F$153,Para1!$F$109,IF(B30=Para1!$F$109,Para1!$F$148,IF(B30=Para1!$F$148,Para1!$F$111,IF(B30=Para1!$F$111,Para1!$F$120,IF(B30=Para1!$F$120,Para1!$F$170,IF(B30=Para1!$F$170,Para1!$F$173,Para1!$F$153))))))</f>
        <v>Mon</v>
      </c>
      <c r="C31" s="186"/>
      <c r="D31" s="293"/>
      <c r="E31" s="294"/>
      <c r="F31" s="295"/>
      <c r="G31" s="294"/>
      <c r="H31" s="294"/>
      <c r="I31" s="296"/>
      <c r="J31" s="258"/>
      <c r="K31" s="382"/>
      <c r="L31" s="379"/>
      <c r="M31" s="129"/>
      <c r="N31" s="197"/>
      <c r="O31" s="299"/>
      <c r="P31" s="367">
        <f>P24</f>
        <v>1</v>
      </c>
      <c r="Q31" s="367">
        <f t="shared" ref="P31:Q36" si="6">Q24</f>
        <v>1</v>
      </c>
      <c r="R31" s="299" t="e">
        <f>IF(VLOOKUP(A31,Para1!$B$67:$E$72,2,FALSE)="3.",VLOOKUP(A31,Para1!$B$67:$E$72,3,FALSE),"")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x14ac:dyDescent="0.15">
      <c r="A32" s="102" t="s">
        <v>20</v>
      </c>
      <c r="B32" s="142" t="str">
        <f>IF(B31=Para1!$F$153,Para1!$F$109,IF(B31=Para1!$F$109,Para1!$F$148,IF(B31=Para1!$F$148,Para1!$F$111,IF(B31=Para1!$F$111,Para1!$F$120,IF(B31=Para1!$F$120,Para1!$F$170,IF(B31=Para1!$F$170,Para1!$F$173,Para1!$F$153))))))</f>
        <v>Tue</v>
      </c>
      <c r="C32" s="185"/>
      <c r="D32" s="293"/>
      <c r="E32" s="294"/>
      <c r="F32" s="295"/>
      <c r="G32" s="294"/>
      <c r="H32" s="294"/>
      <c r="I32" s="296"/>
      <c r="J32" s="258"/>
      <c r="K32" s="382"/>
      <c r="L32" s="379"/>
      <c r="M32" s="129"/>
      <c r="N32" s="197"/>
      <c r="O32" s="299"/>
      <c r="P32" s="367">
        <f t="shared" si="6"/>
        <v>1</v>
      </c>
      <c r="Q32" s="367">
        <f t="shared" si="6"/>
        <v>1</v>
      </c>
      <c r="R32" s="299" t="str">
        <f>IF(VLOOKUP(A32,Para1!$B$67:$E$72,2,FALSE)="3.",VLOOKUP(A32,Para1!$B$67:$E$72,3,FALSE),"")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x14ac:dyDescent="0.15">
      <c r="A33" s="27" t="s">
        <v>21</v>
      </c>
      <c r="B33" s="142" t="str">
        <f>IF(B32=Para1!$F$153,Para1!$F$109,IF(B32=Para1!$F$109,Para1!$F$148,IF(B32=Para1!$F$148,Para1!$F$111,IF(B32=Para1!$F$111,Para1!$F$120,IF(B32=Para1!$F$120,Para1!$F$170,IF(B32=Para1!$F$170,Para1!$F$173,Para1!$F$153))))))</f>
        <v>Wed</v>
      </c>
      <c r="C33" s="185"/>
      <c r="D33" s="293"/>
      <c r="E33" s="294"/>
      <c r="F33" s="295"/>
      <c r="G33" s="294"/>
      <c r="H33" s="294"/>
      <c r="I33" s="296"/>
      <c r="J33" s="258"/>
      <c r="K33" s="382"/>
      <c r="L33" s="379"/>
      <c r="M33" s="129"/>
      <c r="N33" s="197"/>
      <c r="O33" s="299"/>
      <c r="P33" s="367">
        <f t="shared" si="6"/>
        <v>1</v>
      </c>
      <c r="Q33" s="367">
        <f t="shared" si="6"/>
        <v>1</v>
      </c>
      <c r="R33" s="299" t="e">
        <f>IF(VLOOKUP(A33,Para1!$B$67:$E$72,2,FALSE)="3.",VLOOKUP(A33,Para1!$B$67:$E$72,3,FALSE),"")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x14ac:dyDescent="0.15">
      <c r="A34" s="102" t="s">
        <v>22</v>
      </c>
      <c r="B34" s="142" t="str">
        <f>IF(B33=Para1!$F$153,Para1!$F$109,IF(B33=Para1!$F$109,Para1!$F$148,IF(B33=Para1!$F$148,Para1!$F$111,IF(B33=Para1!$F$111,Para1!$F$120,IF(B33=Para1!$F$120,Para1!$F$170,IF(B33=Para1!$F$170,Para1!$F$173,Para1!$F$153))))))</f>
        <v>Thu</v>
      </c>
      <c r="C34" s="186"/>
      <c r="D34" s="293"/>
      <c r="E34" s="294"/>
      <c r="F34" s="295"/>
      <c r="G34" s="294"/>
      <c r="H34" s="294"/>
      <c r="I34" s="296"/>
      <c r="J34" s="258"/>
      <c r="K34" s="382"/>
      <c r="L34" s="379"/>
      <c r="M34" s="129"/>
      <c r="N34" s="197"/>
      <c r="O34" s="299"/>
      <c r="P34" s="367">
        <f t="shared" si="6"/>
        <v>1</v>
      </c>
      <c r="Q34" s="367">
        <f t="shared" si="6"/>
        <v>1</v>
      </c>
      <c r="R34" s="299" t="str">
        <f>IF(VLOOKUP(A34,Para1!$B$67:$E$72,2,FALSE)="3.",VLOOKUP(A34,Para1!$B$67:$E$72,3,FALSE),"")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s="39" customFormat="1" ht="17" customHeight="1" x14ac:dyDescent="0.15">
      <c r="A35" s="102" t="s">
        <v>23</v>
      </c>
      <c r="B35" s="142" t="str">
        <f>IF(B34=Para1!$F$153,Para1!$F$109,IF(B34=Para1!$F$109,Para1!$F$148,IF(B34=Para1!$F$148,Para1!$F$111,IF(B34=Para1!$F$111,Para1!$F$120,IF(B34=Para1!$F$120,Para1!$F$170,IF(B34=Para1!$F$170,Para1!$F$173,Para1!$F$153))))))</f>
        <v>Fri</v>
      </c>
      <c r="C35" s="186"/>
      <c r="D35" s="293"/>
      <c r="E35" s="294"/>
      <c r="F35" s="295"/>
      <c r="G35" s="294"/>
      <c r="H35" s="294"/>
      <c r="I35" s="296"/>
      <c r="J35" s="258"/>
      <c r="K35" s="382"/>
      <c r="L35" s="379"/>
      <c r="M35" s="129"/>
      <c r="N35" s="197"/>
      <c r="O35" s="299"/>
      <c r="P35" s="367">
        <f t="shared" si="6"/>
        <v>1</v>
      </c>
      <c r="Q35" s="367">
        <f t="shared" si="6"/>
        <v>1</v>
      </c>
      <c r="R35" s="299" t="str">
        <f>IF(VLOOKUP(A35,Para1!$B$67:$E$72,2,FALSE)="3.",VLOOKUP(A35,Para1!$B$67:$E$72,3,FALSE),"")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s="39" customFormat="1" ht="17" customHeight="1" x14ac:dyDescent="0.15">
      <c r="A36" s="102" t="s">
        <v>24</v>
      </c>
      <c r="B36" s="142" t="str">
        <f>IF(B35=Para1!$F$153,Para1!$F$109,IF(B35=Para1!$F$109,Para1!$F$148,IF(B35=Para1!$F$148,Para1!$F$111,IF(B35=Para1!$F$111,Para1!$F$120,IF(B35=Para1!$F$120,Para1!$F$170,IF(B35=Para1!$F$170,Para1!$F$173,Para1!$F$153))))))</f>
        <v>Sat</v>
      </c>
      <c r="C36" s="186"/>
      <c r="D36" s="293"/>
      <c r="E36" s="294"/>
      <c r="F36" s="295"/>
      <c r="G36" s="294"/>
      <c r="H36" s="294"/>
      <c r="I36" s="296"/>
      <c r="J36" s="258"/>
      <c r="K36" s="382"/>
      <c r="L36" s="379"/>
      <c r="M36" s="129"/>
      <c r="N36" s="197"/>
      <c r="O36" s="299"/>
      <c r="P36" s="367">
        <f t="shared" si="6"/>
        <v>0</v>
      </c>
      <c r="Q36" s="367">
        <f t="shared" si="6"/>
        <v>0</v>
      </c>
      <c r="R36" s="299" t="e">
        <f>IF(VLOOKUP(A36,Para1!$B$67:$E$72,2,FALSE)="3.",VLOOKUP(A36,Para1!$B$67:$E$72,3,FALSE),"")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x14ac:dyDescent="0.15">
      <c r="A37" s="102" t="s">
        <v>25</v>
      </c>
      <c r="B37" s="142" t="str">
        <f>IF(B36=Para1!$F$153,Para1!$F$109,IF(B36=Para1!$F$109,Para1!$F$148,IF(B36=Para1!$F$148,Para1!$F$111,IF(B36=Para1!$F$111,Para1!$F$120,IF(B36=Para1!$F$120,Para1!$F$170,IF(B36=Para1!$F$170,Para1!$F$173,Para1!$F$153))))))</f>
        <v>Sun</v>
      </c>
      <c r="C37" s="186"/>
      <c r="D37" s="293"/>
      <c r="E37" s="294"/>
      <c r="F37" s="295"/>
      <c r="G37" s="294"/>
      <c r="H37" s="294"/>
      <c r="I37" s="296"/>
      <c r="J37" s="258"/>
      <c r="K37" s="382"/>
      <c r="L37" s="379"/>
      <c r="M37" s="129"/>
      <c r="N37" s="197"/>
      <c r="O37" s="299"/>
      <c r="P37" s="367">
        <f>P30</f>
        <v>0</v>
      </c>
      <c r="Q37" s="367">
        <f>Q30</f>
        <v>0</v>
      </c>
      <c r="R37" s="299" t="e">
        <f>IF(VLOOKUP(A37,Para1!$B$67:$E$72,2,FALSE)="3.",VLOOKUP(A37,Para1!$B$67:$E$72,3,FALSE),"")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x14ac:dyDescent="0.15">
      <c r="A38" s="102" t="s">
        <v>26</v>
      </c>
      <c r="B38" s="142" t="str">
        <f>IF(B37=Para1!$F$153,Para1!$F$109,IF(B37=Para1!$F$109,Para1!$F$148,IF(B37=Para1!$F$148,Para1!$F$111,IF(B37=Para1!$F$111,Para1!$F$120,IF(B37=Para1!$F$120,Para1!$F$170,IF(B37=Para1!$F$170,Para1!$F$173,Para1!$F$153))))))</f>
        <v>Mon</v>
      </c>
      <c r="C38" s="186"/>
      <c r="D38" s="293"/>
      <c r="E38" s="294"/>
      <c r="F38" s="295"/>
      <c r="G38" s="294"/>
      <c r="H38" s="294"/>
      <c r="I38" s="296"/>
      <c r="J38" s="258"/>
      <c r="K38" s="382"/>
      <c r="L38" s="379"/>
      <c r="M38" s="129"/>
      <c r="N38" s="197"/>
      <c r="O38" s="299"/>
      <c r="P38" s="367">
        <f t="shared" ref="P38:Q43" si="7">P31</f>
        <v>1</v>
      </c>
      <c r="Q38" s="367">
        <f t="shared" si="7"/>
        <v>1</v>
      </c>
      <c r="R38" s="299" t="e">
        <f>IF(VLOOKUP(A38,Para1!$B$67:$E$72,2,FALSE)="3.",VLOOKUP(A38,Para1!$B$67:$E$72,3,FALSE),"")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x14ac:dyDescent="0.15">
      <c r="A39" s="102" t="s">
        <v>27</v>
      </c>
      <c r="B39" s="142" t="str">
        <f>IF(B38=Para1!$F$153,Para1!$F$109,IF(B38=Para1!$F$109,Para1!$F$148,IF(B38=Para1!$F$148,Para1!$F$111,IF(B38=Para1!$F$111,Para1!$F$120,IF(B38=Para1!$F$120,Para1!$F$170,IF(B38=Para1!$F$170,Para1!$F$173,Para1!$F$153))))))</f>
        <v>Tue</v>
      </c>
      <c r="C39" s="185"/>
      <c r="D39" s="293"/>
      <c r="E39" s="294"/>
      <c r="F39" s="295"/>
      <c r="G39" s="294"/>
      <c r="H39" s="294"/>
      <c r="I39" s="296"/>
      <c r="J39" s="258"/>
      <c r="K39" s="382"/>
      <c r="L39" s="379"/>
      <c r="M39" s="129"/>
      <c r="N39" s="197"/>
      <c r="O39" s="299"/>
      <c r="P39" s="367">
        <f t="shared" si="7"/>
        <v>1</v>
      </c>
      <c r="Q39" s="367">
        <f t="shared" si="7"/>
        <v>1</v>
      </c>
      <c r="R39" s="299" t="e">
        <f>IF(VLOOKUP(A39,Para1!$B$67:$E$72,2,FALSE)="3.",VLOOKUP(A39,Para1!$B$67:$E$72,3,FALSE),"")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x14ac:dyDescent="0.15">
      <c r="A40" s="27" t="s">
        <v>28</v>
      </c>
      <c r="B40" s="142" t="str">
        <f>IF(B39=Para1!$F$153,Para1!$F$109,IF(B39=Para1!$F$109,Para1!$F$148,IF(B39=Para1!$F$148,Para1!$F$111,IF(B39=Para1!$F$111,Para1!$F$120,IF(B39=Para1!$F$120,Para1!$F$170,IF(B39=Para1!$F$170,Para1!$F$173,Para1!$F$153))))))</f>
        <v>Wed</v>
      </c>
      <c r="C40" s="185"/>
      <c r="D40" s="293"/>
      <c r="E40" s="294"/>
      <c r="F40" s="295"/>
      <c r="G40" s="294"/>
      <c r="H40" s="294"/>
      <c r="I40" s="296"/>
      <c r="J40" s="258"/>
      <c r="K40" s="382"/>
      <c r="L40" s="379"/>
      <c r="M40" s="129"/>
      <c r="N40" s="197"/>
      <c r="O40" s="299"/>
      <c r="P40" s="367">
        <f t="shared" si="7"/>
        <v>1</v>
      </c>
      <c r="Q40" s="367">
        <f t="shared" si="7"/>
        <v>1</v>
      </c>
      <c r="R40" s="299" t="e">
        <f>IF(VLOOKUP(A40,Para1!$B$67:$E$72,2,FALSE)="3.",VLOOKUP(A40,Para1!$B$67:$E$72,3,FALSE),"")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x14ac:dyDescent="0.15">
      <c r="A41" s="102" t="s">
        <v>29</v>
      </c>
      <c r="B41" s="142" t="str">
        <f>IF(B40=Para1!$F$153,Para1!$F$109,IF(B40=Para1!$F$109,Para1!$F$148,IF(B40=Para1!$F$148,Para1!$F$111,IF(B40=Para1!$F$111,Para1!$F$120,IF(B40=Para1!$F$120,Para1!$F$170,IF(B40=Para1!$F$170,Para1!$F$173,Para1!$F$153))))))</f>
        <v>Thu</v>
      </c>
      <c r="C41" s="186"/>
      <c r="D41" s="293"/>
      <c r="E41" s="294"/>
      <c r="F41" s="295"/>
      <c r="G41" s="294"/>
      <c r="H41" s="294"/>
      <c r="I41" s="296"/>
      <c r="J41" s="258"/>
      <c r="K41" s="382"/>
      <c r="L41" s="379"/>
      <c r="M41" s="129"/>
      <c r="N41" s="197"/>
      <c r="O41" s="299"/>
      <c r="P41" s="367">
        <f t="shared" si="7"/>
        <v>1</v>
      </c>
      <c r="Q41" s="367">
        <f t="shared" si="7"/>
        <v>1</v>
      </c>
      <c r="R41" s="299" t="e">
        <f>IF(VLOOKUP(A41,Para1!$B$67:$E$72,2,FALSE)="3.",VLOOKUP(A41,Para1!$B$67:$E$72,3,FALSE),"")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s="39" customFormat="1" ht="17" customHeight="1" x14ac:dyDescent="0.15">
      <c r="A42" s="27" t="s">
        <v>30</v>
      </c>
      <c r="B42" s="142" t="str">
        <f>IF(B41=Para1!$F$153,Para1!$F$109,IF(B41=Para1!$F$109,Para1!$F$148,IF(B41=Para1!$F$148,Para1!$F$111,IF(B41=Para1!$F$111,Para1!$F$120,IF(B41=Para1!$F$120,Para1!$F$170,IF(B41=Para1!$F$170,Para1!$F$173,Para1!$F$153))))))</f>
        <v>Fri</v>
      </c>
      <c r="C42" s="186"/>
      <c r="D42" s="293"/>
      <c r="E42" s="294"/>
      <c r="F42" s="295"/>
      <c r="G42" s="294"/>
      <c r="H42" s="294"/>
      <c r="I42" s="296"/>
      <c r="J42" s="258"/>
      <c r="K42" s="382"/>
      <c r="L42" s="379"/>
      <c r="M42" s="129"/>
      <c r="N42" s="197"/>
      <c r="O42" s="299"/>
      <c r="P42" s="367">
        <f t="shared" si="7"/>
        <v>1</v>
      </c>
      <c r="Q42" s="367">
        <f t="shared" si="7"/>
        <v>1</v>
      </c>
      <c r="R42" s="299" t="e">
        <f>IF(VLOOKUP(A42,Para1!$B$67:$E$72,2,FALSE)="3.",VLOOKUP(A42,Para1!$B$67:$E$72,3,FALSE),"")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s="39" customFormat="1" ht="17" customHeight="1" x14ac:dyDescent="0.15">
      <c r="A43" s="27" t="s">
        <v>31</v>
      </c>
      <c r="B43" s="142" t="str">
        <f>IF(B42=Para1!$F$153,Para1!$F$109,IF(B42=Para1!$F$109,Para1!$F$148,IF(B42=Para1!$F$148,Para1!$F$111,IF(B42=Para1!$F$111,Para1!$F$120,IF(B42=Para1!$F$120,Para1!$F$170,IF(B42=Para1!$F$170,Para1!$F$173,Para1!$F$153))))))</f>
        <v>Sat</v>
      </c>
      <c r="C43" s="186"/>
      <c r="D43" s="293"/>
      <c r="E43" s="294"/>
      <c r="F43" s="295"/>
      <c r="G43" s="294"/>
      <c r="H43" s="294"/>
      <c r="I43" s="296"/>
      <c r="J43" s="258"/>
      <c r="K43" s="382"/>
      <c r="L43" s="379"/>
      <c r="M43" s="129"/>
      <c r="N43" s="197"/>
      <c r="O43" s="299"/>
      <c r="P43" s="367">
        <f t="shared" si="7"/>
        <v>0</v>
      </c>
      <c r="Q43" s="367">
        <f t="shared" si="7"/>
        <v>0</v>
      </c>
      <c r="R43" s="299" t="str">
        <f>IF(VLOOKUP(A43,Para1!$B$67:$E$72,2,FALSE)="3.",VLOOKUP(A43,Para1!$B$67:$E$72,3,FALSE),"")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x14ac:dyDescent="0.15">
      <c r="A44" s="102" t="s">
        <v>32</v>
      </c>
      <c r="B44" s="142" t="str">
        <f>IF(B43=Para1!$F$153,Para1!$F$109,IF(B43=Para1!$F$109,Para1!$F$148,IF(B43=Para1!$F$148,Para1!$F$111,IF(B43=Para1!$F$111,Para1!$F$120,IF(B43=Para1!$F$120,Para1!$F$170,IF(B43=Para1!$F$170,Para1!$F$173,Para1!$F$153))))))</f>
        <v>Sun</v>
      </c>
      <c r="C44" s="186"/>
      <c r="D44" s="293"/>
      <c r="E44" s="294"/>
      <c r="F44" s="295"/>
      <c r="G44" s="294"/>
      <c r="H44" s="294"/>
      <c r="I44" s="296"/>
      <c r="J44" s="258"/>
      <c r="K44" s="382"/>
      <c r="L44" s="379"/>
      <c r="M44" s="129"/>
      <c r="N44" s="197"/>
      <c r="O44" s="299"/>
      <c r="P44" s="367">
        <f>P37</f>
        <v>0</v>
      </c>
      <c r="Q44" s="367">
        <f>Q37</f>
        <v>0</v>
      </c>
      <c r="R44" s="299" t="e">
        <f>IF(VLOOKUP(A44,Para1!$B$67:$E$72,2,FALSE)="3.",VLOOKUP(A44,Para1!$B$67:$E$72,3,FALSE),"")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x14ac:dyDescent="0.15">
      <c r="A45" s="102" t="s">
        <v>33</v>
      </c>
      <c r="B45" s="142" t="str">
        <f>IF(B44=Para1!$F$153,Para1!$F$109,IF(B44=Para1!$F$109,Para1!$F$148,IF(B44=Para1!$F$148,Para1!$F$111,IF(B44=Para1!$F$111,Para1!$F$120,IF(B44=Para1!$F$120,Para1!$F$170,IF(B44=Para1!$F$170,Para1!$F$173,Para1!$F$153))))))</f>
        <v>Mon</v>
      </c>
      <c r="C45" s="186"/>
      <c r="D45" s="293"/>
      <c r="E45" s="294"/>
      <c r="F45" s="295"/>
      <c r="G45" s="294"/>
      <c r="H45" s="294"/>
      <c r="I45" s="296"/>
      <c r="J45" s="258"/>
      <c r="K45" s="382"/>
      <c r="L45" s="379"/>
      <c r="M45" s="129"/>
      <c r="N45" s="197"/>
      <c r="O45" s="299"/>
      <c r="P45" s="367">
        <f t="shared" ref="P45:Q50" si="8">P38</f>
        <v>1</v>
      </c>
      <c r="Q45" s="367">
        <f t="shared" si="8"/>
        <v>1</v>
      </c>
      <c r="R45" s="299" t="e">
        <f>IF(VLOOKUP(A45,Para1!$B$67:$E$72,2,FALSE)="3.",VLOOKUP(A45,Para1!$B$67:$E$72,3,FALSE),"")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x14ac:dyDescent="0.15">
      <c r="A46" s="102" t="s">
        <v>34</v>
      </c>
      <c r="B46" s="142" t="str">
        <f>IF(B45=Para1!$F$153,Para1!$F$109,IF(B45=Para1!$F$109,Para1!$F$148,IF(B45=Para1!$F$148,Para1!$F$111,IF(B45=Para1!$F$111,Para1!$F$120,IF(B45=Para1!$F$120,Para1!$F$170,IF(B45=Para1!$F$170,Para1!$F$173,Para1!$F$153))))))</f>
        <v>Tue</v>
      </c>
      <c r="C46" s="185"/>
      <c r="D46" s="293"/>
      <c r="E46" s="294"/>
      <c r="F46" s="295"/>
      <c r="G46" s="294"/>
      <c r="H46" s="294"/>
      <c r="I46" s="296"/>
      <c r="J46" s="258"/>
      <c r="K46" s="382"/>
      <c r="L46" s="379"/>
      <c r="M46" s="129"/>
      <c r="N46" s="197"/>
      <c r="O46" s="299"/>
      <c r="P46" s="367">
        <f t="shared" si="8"/>
        <v>1</v>
      </c>
      <c r="Q46" s="367">
        <f t="shared" si="8"/>
        <v>1</v>
      </c>
      <c r="R46" s="299" t="e">
        <f>IF(VLOOKUP(A46,Para1!$B$67:$E$72,2,FALSE)="3.",VLOOKUP(A46,Para1!$B$67:$E$72,3,FALSE),"")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x14ac:dyDescent="0.15">
      <c r="A47" s="27" t="s">
        <v>35</v>
      </c>
      <c r="B47" s="142" t="str">
        <f>IF(B46=Para1!$F$153,Para1!$F$109,IF(B46=Para1!$F$109,Para1!$F$148,IF(B46=Para1!$F$148,Para1!$F$111,IF(B46=Para1!$F$111,Para1!$F$120,IF(B46=Para1!$F$120,Para1!$F$170,IF(B46=Para1!$F$170,Para1!$F$173,Para1!$F$153))))))</f>
        <v>Wed</v>
      </c>
      <c r="C47" s="185"/>
      <c r="D47" s="293"/>
      <c r="E47" s="294"/>
      <c r="F47" s="295"/>
      <c r="G47" s="294"/>
      <c r="H47" s="294"/>
      <c r="I47" s="296"/>
      <c r="J47" s="258"/>
      <c r="K47" s="382"/>
      <c r="L47" s="379"/>
      <c r="M47" s="129"/>
      <c r="N47" s="197"/>
      <c r="O47" s="299"/>
      <c r="P47" s="367">
        <f t="shared" si="8"/>
        <v>1</v>
      </c>
      <c r="Q47" s="367">
        <f t="shared" si="8"/>
        <v>1</v>
      </c>
      <c r="R47" s="299" t="e">
        <f>IF(VLOOKUP(A47,Para1!$B$67:$E$72,2,FALSE)="3.",VLOOKUP(A47,Para1!$B$67:$E$72,3,FALSE),"")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x14ac:dyDescent="0.15">
      <c r="A48" s="102" t="s">
        <v>36</v>
      </c>
      <c r="B48" s="142" t="str">
        <f>IF(B47=Para1!$F$153,Para1!$F$109,IF(B47=Para1!$F$109,Para1!$F$148,IF(B47=Para1!$F$148,Para1!$F$111,IF(B47=Para1!$F$111,Para1!$F$120,IF(B47=Para1!$F$120,Para1!$F$170,IF(B47=Para1!$F$170,Para1!$F$173,Para1!$F$153))))))</f>
        <v>Thu</v>
      </c>
      <c r="C48" s="186"/>
      <c r="D48" s="293"/>
      <c r="E48" s="294"/>
      <c r="F48" s="295"/>
      <c r="G48" s="294"/>
      <c r="H48" s="294"/>
      <c r="I48" s="296"/>
      <c r="J48" s="258"/>
      <c r="K48" s="382"/>
      <c r="L48" s="379"/>
      <c r="M48" s="129"/>
      <c r="N48" s="197"/>
      <c r="O48" s="299"/>
      <c r="P48" s="367">
        <f t="shared" si="8"/>
        <v>1</v>
      </c>
      <c r="Q48" s="367">
        <f t="shared" si="8"/>
        <v>1</v>
      </c>
      <c r="R48" s="299" t="e">
        <f>IF(VLOOKUP(A48,Para1!$B$67:$E$72,2,FALSE)="3.",VLOOKUP(A48,Para1!$B$67:$E$72,3,FALSE),"")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s="39" customFormat="1" ht="16.5" customHeight="1" x14ac:dyDescent="0.15">
      <c r="A49" s="27" t="s">
        <v>37</v>
      </c>
      <c r="B49" s="142" t="str">
        <f>IF(B48=Para1!$F$153,Para1!$F$109,IF(B48=Para1!$F$109,Para1!$F$148,IF(B48=Para1!$F$148,Para1!$F$111,IF(B48=Para1!$F$111,Para1!$F$120,IF(B48=Para1!$F$120,Para1!$F$170,IF(B48=Para1!$F$170,Para1!$F$173,Para1!$F$153))))))</f>
        <v>Fri</v>
      </c>
      <c r="C49" s="186"/>
      <c r="D49" s="293"/>
      <c r="E49" s="294"/>
      <c r="F49" s="295"/>
      <c r="G49" s="294"/>
      <c r="H49" s="294"/>
      <c r="I49" s="296"/>
      <c r="J49" s="258"/>
      <c r="K49" s="382"/>
      <c r="L49" s="379"/>
      <c r="M49" s="129"/>
      <c r="N49" s="197"/>
      <c r="O49" s="299"/>
      <c r="P49" s="367">
        <f t="shared" si="8"/>
        <v>1</v>
      </c>
      <c r="Q49" s="367">
        <f t="shared" si="8"/>
        <v>1</v>
      </c>
      <c r="R49" s="299" t="e">
        <f>IF(VLOOKUP(A49,Para1!$B$67:$E$72,2,FALSE)="3.",VLOOKUP(A49,Para1!$B$67:$E$72,3,FALSE),"")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s="39" customFormat="1" ht="17" customHeight="1" x14ac:dyDescent="0.15">
      <c r="A50" s="27" t="s">
        <v>38</v>
      </c>
      <c r="B50" s="142" t="str">
        <f>IF(B49=Para1!$F$153,Para1!$F$109,IF(B49=Para1!$F$109,Para1!$F$148,IF(B49=Para1!$F$148,Para1!$F$111,IF(B49=Para1!$F$111,Para1!$F$120,IF(B49=Para1!$F$120,Para1!$F$170,IF(B49=Para1!$F$170,Para1!$F$173,Para1!$F$153))))))</f>
        <v>Sat</v>
      </c>
      <c r="C50" s="186"/>
      <c r="D50" s="293"/>
      <c r="E50" s="294"/>
      <c r="F50" s="295"/>
      <c r="G50" s="294"/>
      <c r="H50" s="294"/>
      <c r="I50" s="296"/>
      <c r="J50" s="258"/>
      <c r="K50" s="382"/>
      <c r="L50" s="379"/>
      <c r="M50" s="129"/>
      <c r="N50" s="197"/>
      <c r="O50" s="299"/>
      <c r="P50" s="368">
        <f>P43</f>
        <v>0</v>
      </c>
      <c r="Q50" s="368">
        <f t="shared" si="8"/>
        <v>0</v>
      </c>
      <c r="R50" s="299" t="e">
        <f>IF(VLOOKUP(A50,Para1!$B$67:$E$72,2,FALSE)="3.",VLOOKUP(A50,Para1!$B$67:$E$72,3,FALSE),"")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ht="17" customHeight="1" x14ac:dyDescent="0.15">
      <c r="A51" s="102" t="s">
        <v>39</v>
      </c>
      <c r="B51" s="142" t="str">
        <f>IF(B50=Para1!$F$153,Para1!$F$109,IF(B50=Para1!$F$109,Para1!$F$148,IF(B50=Para1!$F$148,Para1!$F$111,IF(B50=Para1!$F$111,Para1!$F$120,IF(B50=Para1!$F$120,Para1!$F$170,IF(B50=Para1!$F$170,Para1!$F$173,Para1!$F$153))))))</f>
        <v>Sun</v>
      </c>
      <c r="C51" s="261"/>
      <c r="D51" s="293"/>
      <c r="E51" s="294"/>
      <c r="F51" s="295"/>
      <c r="G51" s="294"/>
      <c r="H51" s="294"/>
      <c r="I51" s="296"/>
      <c r="J51" s="258"/>
      <c r="K51" s="382"/>
      <c r="L51" s="379"/>
      <c r="M51" s="129"/>
      <c r="N51" s="197"/>
      <c r="O51" s="299"/>
      <c r="P51" s="339">
        <f>P44</f>
        <v>0</v>
      </c>
      <c r="Q51" s="367">
        <f>Q44</f>
        <v>0</v>
      </c>
      <c r="R51" s="299" t="e">
        <f>IF(VLOOKUP(A51,Para1!$B$67:$E$72,2,FALSE)="3.",VLOOKUP(A51,Para1!$B$67:$E$72,3,FALSE),"")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6.5" customHeight="1" x14ac:dyDescent="0.15">
      <c r="A52" s="102" t="s">
        <v>40</v>
      </c>
      <c r="B52" s="142" t="str">
        <f>IF(B51=Para1!$F$153,Para1!$F$109,IF(B51=Para1!$F$109,Para1!$F$148,IF(B51=Para1!$F$148,Para1!$F$111,IF(B51=Para1!$F$111,Para1!$F$120,IF(B51=Para1!$F$120,Para1!$F$170,IF(B51=Para1!$F$170,Para1!$F$173,Para1!$F$153))))))</f>
        <v>Mon</v>
      </c>
      <c r="C52" s="261"/>
      <c r="D52" s="293"/>
      <c r="E52" s="294"/>
      <c r="F52" s="295"/>
      <c r="G52" s="294"/>
      <c r="H52" s="294"/>
      <c r="I52" s="296"/>
      <c r="J52" s="258"/>
      <c r="K52" s="382"/>
      <c r="L52" s="379"/>
      <c r="M52" s="129"/>
      <c r="N52" s="197"/>
      <c r="O52" s="299"/>
      <c r="P52" s="339">
        <f t="shared" ref="P52:P53" si="9">P45</f>
        <v>1</v>
      </c>
      <c r="Q52" s="367">
        <f t="shared" ref="Q52" si="10">Q45</f>
        <v>1</v>
      </c>
      <c r="R52" s="299" t="e">
        <f>IF(VLOOKUP(A52,Para1!$B$67:$E$72,2,FALSE)="3.",VLOOKUP(A52,Para1!$B$67:$E$72,3,FALSE),"")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ht="17" customHeight="1" thickBot="1" x14ac:dyDescent="0.2">
      <c r="A53" s="27" t="s">
        <v>46</v>
      </c>
      <c r="B53" s="142" t="str">
        <f>IF(B52=Para1!$F$153,Para1!$F$109,IF(B52=Para1!$F$109,Para1!$F$148,IF(B52=Para1!$F$148,Para1!$F$111,IF(B52=Para1!$F$111,Para1!$F$120,IF(B52=Para1!$F$120,Para1!$F$170,IF(B52=Para1!$F$170,Para1!$F$173,Para1!$F$153))))))</f>
        <v>Tue</v>
      </c>
      <c r="C53" s="185"/>
      <c r="D53" s="293"/>
      <c r="E53" s="294"/>
      <c r="F53" s="295"/>
      <c r="G53" s="294"/>
      <c r="H53" s="294"/>
      <c r="I53" s="296"/>
      <c r="J53" s="258"/>
      <c r="K53" s="386"/>
      <c r="L53" s="381"/>
      <c r="M53" s="129"/>
      <c r="N53" s="197"/>
      <c r="O53" s="299"/>
      <c r="P53" s="341">
        <f t="shared" si="9"/>
        <v>1</v>
      </c>
      <c r="Q53" s="374">
        <f>Q46</f>
        <v>1</v>
      </c>
      <c r="R53" s="299" t="str">
        <f>IF(VLOOKUP(A53,Para1!$B$67:$E$72,2,FALSE)="3.",VLOOKUP(A53,Para1!$B$67:$E$72,3,FALSE),"")</f>
        <v/>
      </c>
      <c r="S53" s="299" t="str">
        <f>IF((P53+Q53)=0,"",IF(ISNA(R53),"",IF(R53="","",VLOOKUP(R53,Para1!$D$67:$G$79,3,FALSE)*(IF(P53+Q53=1,0.5,1)))))</f>
        <v/>
      </c>
      <c r="T53" s="299" t="str">
        <f>IF(P53+Q53=0,"",IF(ISNA(April!R23),"",IF(April!R23="","",VLOOKUP(April!R23,Para1!$D$67:$G$79,4,FALSE)*(IF(P53+Q53=1,0.5,1)))))</f>
        <v/>
      </c>
      <c r="U53" s="299" t="str">
        <f t="shared" si="3"/>
        <v/>
      </c>
      <c r="V53" s="299" t="str">
        <f t="shared" si="4"/>
        <v/>
      </c>
      <c r="W53" s="299">
        <f t="shared" si="5"/>
        <v>0</v>
      </c>
    </row>
    <row r="54" spans="1:25" ht="15" thickTop="1" x14ac:dyDescent="0.15">
      <c r="A54" s="36"/>
      <c r="B54" s="32"/>
      <c r="C54" s="16"/>
      <c r="D54" s="145">
        <f t="shared" ref="D54:I54" si="11">SUM(D23:D53)</f>
        <v>0</v>
      </c>
      <c r="E54" s="31">
        <f t="shared" si="11"/>
        <v>0</v>
      </c>
      <c r="F54" s="92">
        <f t="shared" si="11"/>
        <v>0</v>
      </c>
      <c r="G54" s="31">
        <f t="shared" si="11"/>
        <v>0</v>
      </c>
      <c r="H54" s="31">
        <f t="shared" si="11"/>
        <v>0</v>
      </c>
      <c r="I54" s="146">
        <f t="shared" si="11"/>
        <v>0</v>
      </c>
      <c r="J54" s="130"/>
      <c r="K54" s="191"/>
      <c r="L54" s="191"/>
      <c r="M54" s="16"/>
      <c r="P54" s="622" t="str">
        <f>Para1!F174&amp;" "&amp;Para1!F168</f>
        <v>balance due / half-day</v>
      </c>
      <c r="Q54" s="623"/>
      <c r="R54" s="299">
        <f>SUM(W23:W53)</f>
        <v>0</v>
      </c>
      <c r="S54" s="299">
        <f>SUM(S23:S53)</f>
        <v>0</v>
      </c>
      <c r="T54" s="299">
        <f>SUM(T23:T53)</f>
        <v>0</v>
      </c>
    </row>
    <row r="55" spans="1:25" ht="15" thickBot="1" x14ac:dyDescent="0.2">
      <c r="A55" s="37"/>
      <c r="B55" s="33"/>
      <c r="C55" s="33"/>
      <c r="D55" s="586">
        <f t="shared" ref="D55:I55" si="12">D54*24</f>
        <v>0</v>
      </c>
      <c r="E55" s="594">
        <f t="shared" si="12"/>
        <v>0</v>
      </c>
      <c r="F55" s="595">
        <f t="shared" si="12"/>
        <v>0</v>
      </c>
      <c r="G55" s="587">
        <f t="shared" si="12"/>
        <v>0</v>
      </c>
      <c r="H55" s="587">
        <f t="shared" si="12"/>
        <v>0</v>
      </c>
      <c r="I55" s="588">
        <f t="shared" si="12"/>
        <v>0</v>
      </c>
      <c r="J55" s="260"/>
      <c r="K55" s="192"/>
      <c r="L55" s="192"/>
      <c r="M55" s="163" t="str">
        <f>Para1!G2</f>
        <v>AE v1_01 20.08.2019</v>
      </c>
      <c r="P55" s="624">
        <f>(Para1!G59/100*$G$3+((S54+T54)/100*$G$3))/(SUM(P23:Q53)-R54)/24</f>
        <v>0</v>
      </c>
      <c r="Q55" s="625"/>
    </row>
    <row r="56" spans="1:25" ht="15" thickTop="1" x14ac:dyDescent="0.15">
      <c r="Q56" s="16"/>
    </row>
    <row r="57" spans="1:25"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T57" s="132"/>
      <c r="U57" s="46"/>
      <c r="Y57" s="540"/>
    </row>
    <row r="58" spans="1:25" x14ac:dyDescent="0.15">
      <c r="A58" s="5"/>
      <c r="B58" s="5"/>
      <c r="C58" s="5"/>
      <c r="D58" s="5"/>
      <c r="E58" s="5"/>
      <c r="F58" s="5"/>
      <c r="G58" s="5"/>
      <c r="H58" s="5"/>
      <c r="I58" s="562"/>
      <c r="J58" s="562"/>
      <c r="K58" s="562"/>
      <c r="L58" s="562"/>
    </row>
    <row r="59" spans="1:25" ht="22.5" customHeight="1" x14ac:dyDescent="0.15">
      <c r="A59" s="5"/>
      <c r="B59" s="5"/>
      <c r="C59" s="5"/>
      <c r="D59" s="5"/>
      <c r="E59" s="5"/>
      <c r="F59" s="563" t="str">
        <f>Para1!F191&amp;" "&amp;Para1!F193</f>
        <v>signature manager</v>
      </c>
      <c r="G59" s="5"/>
      <c r="H59" s="564"/>
      <c r="I59" s="565"/>
      <c r="J59" s="565"/>
      <c r="K59" s="565"/>
      <c r="L59" s="565"/>
    </row>
    <row r="61" spans="1:25" ht="22.5" customHeight="1" x14ac:dyDescent="0.15">
      <c r="A61" s="538"/>
      <c r="B61" s="43"/>
      <c r="C61" s="43"/>
      <c r="D61" s="44"/>
      <c r="E61" s="539"/>
      <c r="F61" s="44"/>
      <c r="G61" s="238"/>
      <c r="I61" s="9"/>
      <c r="J61" s="132"/>
      <c r="L61" s="132"/>
      <c r="M61" s="46"/>
    </row>
  </sheetData>
  <sheetProtection password="CF1F" sheet="1" objects="1" scenarios="1"/>
  <mergeCells count="29">
    <mergeCell ref="P20:Q20"/>
    <mergeCell ref="P21:P22"/>
    <mergeCell ref="Q21:Q22"/>
    <mergeCell ref="P54:Q54"/>
    <mergeCell ref="P55:Q55"/>
    <mergeCell ref="J9:K9"/>
    <mergeCell ref="J10:K10"/>
    <mergeCell ref="K20:L20"/>
    <mergeCell ref="M20:N20"/>
    <mergeCell ref="K21:K22"/>
    <mergeCell ref="L21:L22"/>
    <mergeCell ref="A22:B22"/>
    <mergeCell ref="C16:E16"/>
    <mergeCell ref="C17:E17"/>
    <mergeCell ref="C18:E18"/>
    <mergeCell ref="A1:B1"/>
    <mergeCell ref="A3:B3"/>
    <mergeCell ref="A21:B21"/>
    <mergeCell ref="E21:E22"/>
    <mergeCell ref="D21:D22"/>
    <mergeCell ref="D1:E1"/>
    <mergeCell ref="B13:E13"/>
    <mergeCell ref="C14:E14"/>
    <mergeCell ref="C15:E15"/>
    <mergeCell ref="F21:F22"/>
    <mergeCell ref="D20:I20"/>
    <mergeCell ref="G21:G22"/>
    <mergeCell ref="H21:H22"/>
    <mergeCell ref="I21:I22"/>
  </mergeCells>
  <phoneticPr fontId="0" type="noConversion"/>
  <conditionalFormatting sqref="A23:B53">
    <cfRule type="expression" dxfId="74" priority="6">
      <formula>$S23=0</formula>
    </cfRule>
    <cfRule type="expression" dxfId="73" priority="7">
      <formula>$P23+$Q23=0</formula>
    </cfRule>
  </conditionalFormatting>
  <conditionalFormatting sqref="D23:I53">
    <cfRule type="expression" dxfId="72" priority="4">
      <formula>$P23+$Q23=1</formula>
    </cfRule>
    <cfRule type="expression" dxfId="71" priority="5">
      <formula>$P23+$Q23=0</formula>
    </cfRule>
  </conditionalFormatting>
  <conditionalFormatting sqref="D23:I53 K23:L53 P23:Q53">
    <cfRule type="expression" dxfId="70" priority="3">
      <formula>$S23=0</formula>
    </cfRule>
  </conditionalFormatting>
  <conditionalFormatting sqref="K23:K53 P23:P53">
    <cfRule type="expression" dxfId="69" priority="2">
      <formula>$P23=0</formula>
    </cfRule>
  </conditionalFormatting>
  <conditionalFormatting sqref="L23:L53 Q23:Q53">
    <cfRule type="expression" dxfId="68"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500-000000000000}">
      <formula1>0</formula1>
      <formula2>25</formula2>
    </dataValidation>
  </dataValidations>
  <pageMargins left="0.4" right="0.38" top="0.79" bottom="0.39370078740157483" header="0.28999999999999998" footer="0.15748031496062992"/>
  <pageSetup paperSize="9" scale="66" orientation="portrait" verticalDpi="300" r:id="rId1"/>
  <headerFooter alignWithMargins="0">
    <oddHeader>&amp;C&amp;"Arial,Fett Kursiv"&amp;16Absenzenerfassung -  &amp;A</oddHeader>
    <oddFooter>&amp;L&amp;Z&amp;F</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pageSetUpPr fitToPage="1"/>
  </sheetPr>
  <dimension ref="A1:AA61"/>
  <sheetViews>
    <sheetView showGridLines="0"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4"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c r="P1" s="10"/>
      <c r="Q1" s="58"/>
      <c r="S1" s="7"/>
      <c r="T1" s="7"/>
    </row>
    <row r="2" spans="1:24" ht="6" customHeight="1" x14ac:dyDescent="0.15">
      <c r="D2" s="7"/>
      <c r="E2" s="7"/>
      <c r="F2" s="7"/>
      <c r="G2" s="7"/>
      <c r="H2" s="11"/>
      <c r="I2" s="7"/>
      <c r="J2" s="7"/>
      <c r="K2" s="7"/>
      <c r="L2" s="7"/>
      <c r="M2" s="5"/>
      <c r="N2" s="5"/>
      <c r="Q2" s="58"/>
      <c r="R2" s="16"/>
      <c r="S2" s="20"/>
      <c r="T2" s="20"/>
      <c r="U2" s="16"/>
    </row>
    <row r="3" spans="1:24" x14ac:dyDescent="0.15">
      <c r="A3" s="636" t="str">
        <f>Para1!F165</f>
        <v xml:space="preserve">pers.-no.: </v>
      </c>
      <c r="B3" s="636"/>
      <c r="C3" s="237"/>
      <c r="D3" s="241">
        <f>'Jahresübersicht (Overview)'!C4</f>
        <v>0</v>
      </c>
      <c r="E3" s="7"/>
      <c r="F3" s="8" t="str">
        <f>Para1!F97&amp;": "</f>
        <v xml:space="preserve">level of employment: </v>
      </c>
      <c r="G3" s="29">
        <f>'Jahresübersicht (Overview)'!F8</f>
        <v>0</v>
      </c>
      <c r="H3" s="11" t="s">
        <v>215</v>
      </c>
      <c r="I3" s="58"/>
      <c r="J3" s="237"/>
      <c r="K3" s="246" t="str">
        <f>Para1!F113</f>
        <v xml:space="preserve">starting date: </v>
      </c>
      <c r="L3" s="247">
        <f>'Jahresübersicht (Overview)'!$G$4</f>
        <v>42596</v>
      </c>
      <c r="M3" s="243"/>
      <c r="N3" s="243"/>
      <c r="Q3" s="58"/>
      <c r="R3" s="16"/>
      <c r="S3" s="20"/>
      <c r="T3" s="20"/>
      <c r="U3" s="16"/>
    </row>
    <row r="4" spans="1:24" ht="6" customHeight="1" x14ac:dyDescent="0.15">
      <c r="A4" s="12"/>
      <c r="B4" s="13"/>
      <c r="C4" s="13"/>
      <c r="D4" s="14"/>
      <c r="E4" s="14"/>
      <c r="F4" s="14"/>
      <c r="G4" s="14"/>
      <c r="H4" s="14"/>
      <c r="I4" s="15"/>
      <c r="J4" s="15"/>
      <c r="K4" s="15"/>
      <c r="L4" s="15"/>
      <c r="M4" s="13"/>
      <c r="N4" s="13"/>
      <c r="R4" s="16"/>
      <c r="S4" s="20"/>
      <c r="T4" s="20"/>
      <c r="U4" s="16"/>
    </row>
    <row r="5" spans="1:24" ht="6" customHeight="1" x14ac:dyDescent="0.15">
      <c r="D5" s="7"/>
      <c r="E5" s="7"/>
      <c r="F5" s="7"/>
      <c r="G5" s="7"/>
      <c r="H5" s="7"/>
      <c r="I5" s="9"/>
      <c r="J5" s="9"/>
      <c r="K5" s="9"/>
      <c r="L5" s="9"/>
      <c r="R5" s="20"/>
      <c r="S5" s="20"/>
      <c r="T5" s="20"/>
      <c r="U5" s="20"/>
      <c r="V5" s="5"/>
      <c r="W5" s="5"/>
      <c r="X5" s="9"/>
    </row>
    <row r="6" spans="1:24" ht="15" customHeight="1" x14ac:dyDescent="0.15">
      <c r="D6" s="7"/>
      <c r="E6" s="21"/>
      <c r="F6" s="7"/>
      <c r="G6" s="7"/>
      <c r="H6" s="7"/>
      <c r="I6" s="9"/>
      <c r="J6" s="9"/>
      <c r="K6" s="9"/>
      <c r="L6" s="9"/>
      <c r="R6" s="7"/>
      <c r="S6" s="7"/>
      <c r="T6" s="7"/>
      <c r="U6" s="7"/>
      <c r="V6" s="5"/>
      <c r="W6" s="5"/>
      <c r="X6" s="9"/>
    </row>
    <row r="7" spans="1:24"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c r="P7" s="101"/>
    </row>
    <row r="8" spans="1:24" ht="15" customHeight="1" x14ac:dyDescent="0.15">
      <c r="D8" s="198" t="str">
        <f>Para1!B171&amp;" "&amp;Para1!B88&amp;" "&amp;Para1!B154</f>
        <v>Saldo Anfang Monat</v>
      </c>
      <c r="E8" s="201">
        <f>Maerz!E11</f>
        <v>3.645833333333333</v>
      </c>
      <c r="H8" s="11"/>
      <c r="I8" s="21" t="str">
        <f>Para1!F141</f>
        <v>illness</v>
      </c>
      <c r="J8" s="242"/>
      <c r="K8" s="5"/>
      <c r="L8" s="161">
        <f>D54</f>
        <v>0</v>
      </c>
      <c r="M8" s="161">
        <f>Maerz!N8</f>
        <v>0</v>
      </c>
      <c r="N8" s="93">
        <f t="shared" ref="N8:N13" si="0">SUM(L8:M8)</f>
        <v>0</v>
      </c>
    </row>
    <row r="9" spans="1:24"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Maerz!N9</f>
        <v>0</v>
      </c>
      <c r="N9" s="93">
        <f t="shared" si="0"/>
        <v>0</v>
      </c>
      <c r="Q9" s="34"/>
    </row>
    <row r="10" spans="1:24" ht="15" customHeight="1" x14ac:dyDescent="0.15">
      <c r="D10" s="198" t="str">
        <f>"./ ."&amp;Para1!F119</f>
        <v>./ .reduction of holiday</v>
      </c>
      <c r="E10" s="530">
        <v>0</v>
      </c>
      <c r="H10" s="11"/>
      <c r="I10" s="21"/>
      <c r="J10" s="641" t="str">
        <f>Para1!F161&amp;" "&amp;Para1!F100</f>
        <v>not work. rel.</v>
      </c>
      <c r="K10" s="641"/>
      <c r="L10" s="161">
        <f>F54</f>
        <v>0</v>
      </c>
      <c r="M10" s="161">
        <f>Maerz!N10</f>
        <v>0</v>
      </c>
      <c r="N10" s="93">
        <f t="shared" si="0"/>
        <v>0</v>
      </c>
      <c r="Q10" s="34"/>
    </row>
    <row r="11" spans="1:24" ht="15" customHeight="1" thickBot="1" x14ac:dyDescent="0.2">
      <c r="B11" s="251"/>
      <c r="C11" s="251"/>
      <c r="D11" s="246" t="str">
        <f>Para1!F171&amp;" "&amp;Para1!F115&amp;" "&amp;Para1!F154</f>
        <v>balance end of the month</v>
      </c>
      <c r="E11" s="202">
        <f>$E$8-$E$9-$E$10</f>
        <v>3.645833333333333</v>
      </c>
      <c r="H11" s="11"/>
      <c r="I11" s="49" t="str">
        <f>Para1!F142</f>
        <v>short vacation</v>
      </c>
      <c r="J11" s="5"/>
      <c r="K11" s="5"/>
      <c r="L11" s="161">
        <f>G54</f>
        <v>0</v>
      </c>
      <c r="M11" s="161">
        <f>Maerz!N11</f>
        <v>0</v>
      </c>
      <c r="N11" s="93">
        <f t="shared" si="0"/>
        <v>0</v>
      </c>
    </row>
    <row r="12" spans="1:24" ht="15" customHeight="1" thickTop="1" x14ac:dyDescent="0.15">
      <c r="B12" s="542" t="str">
        <f>IF((E11*24+(4.2*'Persönliche Daten (pers. data)'!O8/100))&lt;0,Para1!J224,IF(E11&gt;0,"",Para1!J223))</f>
        <v/>
      </c>
      <c r="H12" s="11"/>
      <c r="I12" s="24" t="str">
        <f>Para1!F198</f>
        <v>training / education</v>
      </c>
      <c r="J12" s="5"/>
      <c r="K12" s="5"/>
      <c r="L12" s="161">
        <f>H54</f>
        <v>0</v>
      </c>
      <c r="M12" s="161">
        <f>Maerz!N12</f>
        <v>0</v>
      </c>
      <c r="N12" s="93">
        <f t="shared" si="0"/>
        <v>0</v>
      </c>
    </row>
    <row r="13" spans="1:24"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Maerz!N13</f>
        <v>0</v>
      </c>
      <c r="N13" s="93">
        <f t="shared" si="0"/>
        <v>0</v>
      </c>
    </row>
    <row r="14" spans="1:24"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Maerz!N14</f>
        <v>0</v>
      </c>
      <c r="N14" s="93">
        <f>SUM(L14:M14)</f>
        <v>0</v>
      </c>
      <c r="O14" s="299" t="e">
        <f>INDEX(U23:U53,MATCH("b",U23:U53,0))</f>
        <v>#N/A</v>
      </c>
      <c r="P14" s="299" t="e">
        <f>INDEX(V23:V53,MATCH("b",V23:V53,0))</f>
        <v>#N/A</v>
      </c>
    </row>
    <row r="15" spans="1:24"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Maerz!N15</f>
        <v>0</v>
      </c>
      <c r="N15" s="93">
        <f>SUM(L15:M15)</f>
        <v>0</v>
      </c>
      <c r="O15" s="299" t="e">
        <f>INDEX(U23:U53,MATCH("u",U23:U53,0))</f>
        <v>#N/A</v>
      </c>
      <c r="P15" s="299" t="e">
        <f>INDEX(V23:V53,MATCH("u",V23:V53,0))</f>
        <v>#N/A</v>
      </c>
    </row>
    <row r="16" spans="1:24"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Maerz!N16</f>
        <v>0</v>
      </c>
      <c r="N16" s="93">
        <f>SUM(L16:M16)</f>
        <v>0</v>
      </c>
      <c r="O16" s="299" t="e">
        <f>INDEX(U23:U53,MATCH("m",U23:U53,0))</f>
        <v>#N/A</v>
      </c>
      <c r="P16" s="299" t="e">
        <f>INDEX(V23:V53,MATCH("m",V23:V53,0))</f>
        <v>#N/A</v>
      </c>
    </row>
    <row r="17" spans="1:27" ht="15" customHeight="1" x14ac:dyDescent="0.15">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Maerz!N17</f>
        <v>0</v>
      </c>
      <c r="N17" s="93">
        <f>SUM(L17:M17)</f>
        <v>0</v>
      </c>
      <c r="O17" s="299" t="e">
        <f>INDEX(U23:U53,MATCH("z",U23:U53,0))</f>
        <v>#N/A</v>
      </c>
      <c r="P17" s="299" t="e">
        <f>INDEX(V23:V53,MATCH("z",V23:V53,0))</f>
        <v>#N/A</v>
      </c>
    </row>
    <row r="18" spans="1:27"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row>
    <row r="19" spans="1:27" ht="35.25" customHeight="1" thickTop="1" thickBot="1" x14ac:dyDescent="0.2">
      <c r="A19" s="25" t="str">
        <f>Para1!F104</f>
        <v>(please enter in hours and minutes)</v>
      </c>
      <c r="B19" s="7"/>
      <c r="C19" s="7"/>
      <c r="D19" s="7"/>
      <c r="E19" s="7"/>
      <c r="F19" s="7"/>
      <c r="G19" s="7"/>
      <c r="H19" s="7"/>
      <c r="I19" s="9"/>
      <c r="J19" s="9"/>
      <c r="K19" s="9"/>
      <c r="L19" s="9"/>
      <c r="O19" s="7"/>
    </row>
    <row r="20" spans="1:27"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7" s="26" customFormat="1" ht="18.75" customHeight="1" thickTop="1" x14ac:dyDescent="0.2">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7" s="26" customFormat="1" ht="15.75" customHeight="1" thickBot="1" x14ac:dyDescent="0.25">
      <c r="A22" s="639" t="str">
        <f>Para1!F106</f>
        <v>date</v>
      </c>
      <c r="B22" s="640"/>
      <c r="C22" s="536"/>
      <c r="D22" s="649"/>
      <c r="E22" s="660"/>
      <c r="F22" s="658"/>
      <c r="G22" s="659"/>
      <c r="H22" s="647"/>
      <c r="I22" s="638"/>
      <c r="J22" s="257"/>
      <c r="K22" s="668"/>
      <c r="L22" s="666"/>
      <c r="M22" s="196"/>
      <c r="N22" s="250"/>
      <c r="O22" s="240"/>
      <c r="P22" s="633"/>
      <c r="Q22" s="635"/>
      <c r="R22" s="154"/>
      <c r="S22" s="154"/>
      <c r="T22" s="154"/>
      <c r="U22" s="154"/>
      <c r="V22" s="154"/>
      <c r="W22" s="154"/>
      <c r="X22" s="154"/>
      <c r="Y22" s="154"/>
      <c r="Z22" s="154"/>
      <c r="AA22" s="154"/>
    </row>
    <row r="23" spans="1:27" ht="17" customHeight="1" thickTop="1" x14ac:dyDescent="0.15">
      <c r="A23" s="27" t="s">
        <v>4</v>
      </c>
      <c r="B23" s="153" t="str">
        <f>IF(Maerz!B53=Para1!$F$153,Para1!$F$109,IF(Maerz!B53=Para1!$F$109,Para1!$F$148,IF(Maerz!B53=Para1!$F$148,Para1!$F$111,IF(Maerz!B53=Para1!$F$111,Para1!$F$120,IF(Maerz!B53=Para1!$F$120,Para1!$F$170,IF(Maerz!B53=Para1!$F$170,Para1!$F$173,Para1!$F$153))))))</f>
        <v>Wed</v>
      </c>
      <c r="C23" s="185"/>
      <c r="D23" s="293"/>
      <c r="E23" s="294"/>
      <c r="F23" s="295"/>
      <c r="G23" s="294"/>
      <c r="H23" s="294"/>
      <c r="I23" s="300"/>
      <c r="J23" s="258"/>
      <c r="K23" s="382"/>
      <c r="L23" s="379"/>
      <c r="M23" s="131"/>
      <c r="N23" s="197"/>
      <c r="O23" s="304"/>
      <c r="P23" s="366">
        <f>Maerz!P47</f>
        <v>1</v>
      </c>
      <c r="Q23" s="366">
        <f>Maerz!Q47</f>
        <v>1</v>
      </c>
      <c r="R23" s="304" t="str">
        <f>IF(VLOOKUP(A23,Para1!$B$67:$E$72,2,FALSE)="4.",VLOOKUP(A23,Para1!$B$67:$E$72,3,FALSE),"")</f>
        <v/>
      </c>
      <c r="S23" s="304" t="str">
        <f>IF((P23+Q23)=0,"",IF(ISNA(R23),"",IF(R23="","",VLOOKUP(R23,Para1!$D$67:$G$79,3,FALSE)*(IF(P23+Q23=1,0.5,1)))))</f>
        <v/>
      </c>
      <c r="T23" s="304" t="str">
        <f>IF(P23+Q23=0,"",IF(ISNA(R24),"",IF(R24="","",VLOOKUP(R24,Para1!$D$67:$G$79,4,FALSE)*(IF(P23+Q23=1,0.5,1)))))</f>
        <v/>
      </c>
      <c r="U23" s="299" t="str">
        <f t="shared" ref="U23" si="1">IF(SUM(S23:T23)&gt;0,K23,"")</f>
        <v/>
      </c>
      <c r="V23" s="299" t="str">
        <f t="shared" ref="V23" si="2">IF(SUM(S23:T23)&gt;0,L23,"")</f>
        <v/>
      </c>
      <c r="W23" s="304">
        <f>IF(S23=0,P23+Q23,0)</f>
        <v>0</v>
      </c>
      <c r="X23" s="16"/>
      <c r="Y23" s="16"/>
      <c r="Z23" s="16"/>
      <c r="AA23" s="16"/>
    </row>
    <row r="24" spans="1:27" ht="17" customHeight="1" x14ac:dyDescent="0.15">
      <c r="A24" s="27" t="s">
        <v>6</v>
      </c>
      <c r="B24" s="153" t="str">
        <f>IF(B23=Para1!$F$153,Para1!$F$109,IF(B23=Para1!$F$109,Para1!$F$148,IF(B23=Para1!$F$148,Para1!$F$111,IF(B23=Para1!$F$111,Para1!$F$120,IF(B23=Para1!$F$120,Para1!$F$170,IF(B23=Para1!$F$170,Para1!$F$173,Para1!$F$153))))))</f>
        <v>Thu</v>
      </c>
      <c r="C24" s="186"/>
      <c r="D24" s="293"/>
      <c r="E24" s="294"/>
      <c r="F24" s="295"/>
      <c r="G24" s="294"/>
      <c r="H24" s="294"/>
      <c r="I24" s="300"/>
      <c r="J24" s="258"/>
      <c r="K24" s="382"/>
      <c r="L24" s="379"/>
      <c r="M24" s="131"/>
      <c r="N24" s="197"/>
      <c r="O24" s="304"/>
      <c r="P24" s="366">
        <f>Maerz!P48</f>
        <v>1</v>
      </c>
      <c r="Q24" s="366">
        <f>Maerz!Q48</f>
        <v>1</v>
      </c>
      <c r="R24" s="304" t="e">
        <f>IF(VLOOKUP(A24,Para1!$B$67:$E$72,2,FALSE)="4.",VLOOKUP(A24,Para1!$B$67:$E$72,3,FALSE),"")</f>
        <v>#N/A</v>
      </c>
      <c r="S24" s="304" t="str">
        <f>IF((P24+Q24)=0,"",IF(ISNA(R24),"",IF(R24="","",VLOOKUP(R24,Para1!$D$67:$G$79,3,FALSE)*(IF(P24+Q24=1,0.5,1)))))</f>
        <v/>
      </c>
      <c r="T24" s="304" t="str">
        <f>IF(P24+Q24=0,"",IF(ISNA(R25),"",IF(R25="","",VLOOKUP(R25,Para1!$D$67:$G$79,4,FALSE)*(IF(P24+Q24=1,0.5,1)))))</f>
        <v/>
      </c>
      <c r="U24" s="299" t="str">
        <f t="shared" ref="U24:U53" si="3">IF(SUM(S24:T24)&gt;0,K24,"")</f>
        <v/>
      </c>
      <c r="V24" s="299" t="str">
        <f t="shared" ref="V24:V53" si="4">IF(SUM(S24:T24)&gt;0,L24,"")</f>
        <v/>
      </c>
      <c r="W24" s="304">
        <f t="shared" ref="W24:W53" si="5">IF(S24=0,P24+Q24,0)</f>
        <v>0</v>
      </c>
      <c r="X24" s="16"/>
      <c r="Y24" s="16"/>
      <c r="Z24" s="16"/>
      <c r="AA24" s="16"/>
    </row>
    <row r="25" spans="1:27" s="39" customFormat="1" ht="17" customHeight="1" x14ac:dyDescent="0.15">
      <c r="A25" s="27" t="s">
        <v>8</v>
      </c>
      <c r="B25" s="153" t="str">
        <f>IF(B24=Para1!$F$153,Para1!$F$109,IF(B24=Para1!$F$109,Para1!$F$148,IF(B24=Para1!$F$148,Para1!$F$111,IF(B24=Para1!$F$111,Para1!$F$120,IF(B24=Para1!$F$120,Para1!$F$170,IF(B24=Para1!$F$170,Para1!$F$173,Para1!$F$153))))))</f>
        <v>Fri</v>
      </c>
      <c r="C25" s="186"/>
      <c r="D25" s="293"/>
      <c r="E25" s="294"/>
      <c r="F25" s="295"/>
      <c r="G25" s="294"/>
      <c r="H25" s="294"/>
      <c r="I25" s="300"/>
      <c r="J25" s="258"/>
      <c r="K25" s="382"/>
      <c r="L25" s="379"/>
      <c r="M25" s="129"/>
      <c r="N25" s="197"/>
      <c r="O25" s="304"/>
      <c r="P25" s="366">
        <f>Maerz!P49</f>
        <v>1</v>
      </c>
      <c r="Q25" s="366">
        <f>Maerz!Q49</f>
        <v>1</v>
      </c>
      <c r="R25" s="304" t="e">
        <f>IF(VLOOKUP(A25,Para1!$B$67:$E$72,2,FALSE)="4.",VLOOKUP(A25,Para1!$B$67:$E$72,3,FALSE),"")</f>
        <v>#N/A</v>
      </c>
      <c r="S25" s="304" t="str">
        <f>IF((P25+Q25)=0,"",IF(ISNA(R25),"",IF(R25="","",VLOOKUP(R25,Para1!$D$67:$G$79,3,FALSE)*(IF(P25+Q25=1,0.5,1)))))</f>
        <v/>
      </c>
      <c r="T25" s="304" t="str">
        <f>IF(P25+Q25=0,"",IF(ISNA(R26),"",IF(R26="","",VLOOKUP(R26,Para1!$D$67:$G$79,4,FALSE)*(IF(P25+Q25=1,0.5,1)))))</f>
        <v/>
      </c>
      <c r="U25" s="299" t="str">
        <f t="shared" si="3"/>
        <v/>
      </c>
      <c r="V25" s="299" t="str">
        <f t="shared" si="4"/>
        <v/>
      </c>
      <c r="W25" s="304">
        <f t="shared" si="5"/>
        <v>0</v>
      </c>
      <c r="X25" s="155"/>
      <c r="Y25" s="155"/>
      <c r="Z25" s="155"/>
      <c r="AA25" s="155"/>
    </row>
    <row r="26" spans="1:27" s="39" customFormat="1" ht="17" customHeight="1" x14ac:dyDescent="0.15">
      <c r="A26" s="27" t="s">
        <v>10</v>
      </c>
      <c r="B26" s="153" t="str">
        <f>IF(B25=Para1!$F$153,Para1!$F$109,IF(B25=Para1!$F$109,Para1!$F$148,IF(B25=Para1!$F$148,Para1!$F$111,IF(B25=Para1!$F$111,Para1!$F$120,IF(B25=Para1!$F$120,Para1!$F$170,IF(B25=Para1!$F$170,Para1!$F$173,Para1!$F$153))))))</f>
        <v>Sat</v>
      </c>
      <c r="C26" s="186"/>
      <c r="D26" s="293"/>
      <c r="E26" s="294"/>
      <c r="F26" s="295"/>
      <c r="G26" s="294"/>
      <c r="H26" s="294"/>
      <c r="I26" s="300"/>
      <c r="J26" s="258"/>
      <c r="K26" s="382"/>
      <c r="L26" s="379"/>
      <c r="M26" s="129"/>
      <c r="N26" s="197"/>
      <c r="O26" s="304"/>
      <c r="P26" s="366">
        <f>Maerz!P50</f>
        <v>0</v>
      </c>
      <c r="Q26" s="366">
        <f>Maerz!Q50</f>
        <v>0</v>
      </c>
      <c r="R26" s="304" t="e">
        <f>IF(VLOOKUP(A26,Para1!$B$67:$E$72,2,FALSE)="4.",VLOOKUP(A26,Para1!$B$67:$E$72,3,FALSE),"")</f>
        <v>#N/A</v>
      </c>
      <c r="S26" s="304" t="str">
        <f>IF((P26+Q26)=0,"",IF(ISNA(R26),"",IF(R26="","",VLOOKUP(R26,Para1!$D$67:$G$79,3,FALSE)*(IF(P26+Q26=1,0.5,1)))))</f>
        <v/>
      </c>
      <c r="T26" s="304" t="str">
        <f>IF(P26+Q26=0,"",IF(ISNA(R27),"",IF(R27="","",VLOOKUP(R27,Para1!$D$67:$G$79,4,FALSE)*(IF(P26+Q26=1,0.5,1)))))</f>
        <v/>
      </c>
      <c r="U26" s="299" t="str">
        <f t="shared" si="3"/>
        <v/>
      </c>
      <c r="V26" s="299" t="str">
        <f t="shared" si="4"/>
        <v/>
      </c>
      <c r="W26" s="304">
        <f t="shared" si="5"/>
        <v>0</v>
      </c>
    </row>
    <row r="27" spans="1:27" ht="17" customHeight="1" x14ac:dyDescent="0.15">
      <c r="A27" s="27" t="s">
        <v>12</v>
      </c>
      <c r="B27" s="153" t="str">
        <f>IF(B26=Para1!$F$153,Para1!$F$109,IF(B26=Para1!$F$109,Para1!$F$148,IF(B26=Para1!$F$148,Para1!$F$111,IF(B26=Para1!$F$111,Para1!$F$120,IF(B26=Para1!$F$120,Para1!$F$170,IF(B26=Para1!$F$170,Para1!$F$173,Para1!$F$153))))))</f>
        <v>Sun</v>
      </c>
      <c r="C27" s="186"/>
      <c r="D27" s="293"/>
      <c r="E27" s="294"/>
      <c r="F27" s="295"/>
      <c r="G27" s="294"/>
      <c r="H27" s="294"/>
      <c r="I27" s="300"/>
      <c r="J27" s="258"/>
      <c r="K27" s="382"/>
      <c r="L27" s="379"/>
      <c r="M27" s="129"/>
      <c r="N27" s="197"/>
      <c r="O27" s="304"/>
      <c r="P27" s="366">
        <f>Maerz!P51</f>
        <v>0</v>
      </c>
      <c r="Q27" s="366">
        <f>Maerz!Q51</f>
        <v>0</v>
      </c>
      <c r="R27" s="304" t="e">
        <f>IF(VLOOKUP(A27,Para1!$B$67:$E$72,2,FALSE)="4.",VLOOKUP(A27,Para1!$B$67:$E$72,3,FALSE),"")</f>
        <v>#N/A</v>
      </c>
      <c r="S27" s="304" t="str">
        <f>IF((P27+Q27)=0,"",IF(ISNA(R27),"",IF(R27="","",VLOOKUP(R27,Para1!$D$67:$G$79,3,FALSE)*(IF(P27+Q27=1,0.5,1)))))</f>
        <v/>
      </c>
      <c r="T27" s="304" t="str">
        <f>IF(P27+Q27=0,"",IF(ISNA(R28),"",IF(R28="","",VLOOKUP(R28,Para1!$D$67:$G$79,4,FALSE)*(IF(P27+Q27=1,0.5,1)))))</f>
        <v/>
      </c>
      <c r="U27" s="299" t="str">
        <f t="shared" si="3"/>
        <v/>
      </c>
      <c r="V27" s="299" t="str">
        <f t="shared" si="4"/>
        <v/>
      </c>
      <c r="W27" s="304">
        <f t="shared" si="5"/>
        <v>0</v>
      </c>
    </row>
    <row r="28" spans="1:27" ht="17" customHeight="1" x14ac:dyDescent="0.15">
      <c r="A28" s="27" t="s">
        <v>14</v>
      </c>
      <c r="B28" s="153" t="str">
        <f>IF(B27=Para1!$F$153,Para1!$F$109,IF(B27=Para1!$F$109,Para1!$F$148,IF(B27=Para1!$F$148,Para1!$F$111,IF(B27=Para1!$F$111,Para1!$F$120,IF(B27=Para1!$F$120,Para1!$F$170,IF(B27=Para1!$F$170,Para1!$F$173,Para1!$F$153))))))</f>
        <v>Mon</v>
      </c>
      <c r="C28" s="185"/>
      <c r="D28" s="293"/>
      <c r="E28" s="294"/>
      <c r="F28" s="295"/>
      <c r="G28" s="294"/>
      <c r="H28" s="294"/>
      <c r="I28" s="300"/>
      <c r="J28" s="258"/>
      <c r="K28" s="382"/>
      <c r="L28" s="379"/>
      <c r="M28" s="129"/>
      <c r="N28" s="197"/>
      <c r="O28" s="304"/>
      <c r="P28" s="366">
        <f>Maerz!P52</f>
        <v>1</v>
      </c>
      <c r="Q28" s="366">
        <f>Maerz!Q52</f>
        <v>1</v>
      </c>
      <c r="R28" s="304" t="e">
        <f>IF(VLOOKUP(A28,Para1!$B$67:$E$72,2,FALSE)="4.",VLOOKUP(A28,Para1!$B$67:$E$72,3,FALSE),"")</f>
        <v>#N/A</v>
      </c>
      <c r="S28" s="304" t="str">
        <f>IF((P28+Q28)=0,"",IF(ISNA(R28),"",IF(R28="","",VLOOKUP(R28,Para1!$D$67:$G$79,3,FALSE)*(IF(P28+Q28=1,0.5,1)))))</f>
        <v/>
      </c>
      <c r="T28" s="304" t="str">
        <f>IF(P28+Q28=0,"",IF(ISNA(R29),"",IF(R29="","",VLOOKUP(R29,Para1!$D$67:$G$79,4,FALSE)*(IF(P28+Q28=1,0.5,1)))))</f>
        <v/>
      </c>
      <c r="U28" s="299" t="str">
        <f t="shared" si="3"/>
        <v/>
      </c>
      <c r="V28" s="299" t="str">
        <f t="shared" si="4"/>
        <v/>
      </c>
      <c r="W28" s="304">
        <f t="shared" si="5"/>
        <v>0</v>
      </c>
    </row>
    <row r="29" spans="1:27" ht="17" customHeight="1" x14ac:dyDescent="0.15">
      <c r="A29" s="27" t="s">
        <v>16</v>
      </c>
      <c r="B29" s="153" t="str">
        <f>IF(B28=Para1!$F$153,Para1!$F$109,IF(B28=Para1!$F$109,Para1!$F$148,IF(B28=Para1!$F$148,Para1!$F$111,IF(B28=Para1!$F$111,Para1!$F$120,IF(B28=Para1!$F$120,Para1!$F$170,IF(B28=Para1!$F$170,Para1!$F$173,Para1!$F$153))))))</f>
        <v>Tue</v>
      </c>
      <c r="C29" s="185"/>
      <c r="D29" s="293"/>
      <c r="E29" s="294"/>
      <c r="F29" s="295"/>
      <c r="G29" s="294"/>
      <c r="H29" s="294"/>
      <c r="I29" s="300"/>
      <c r="J29" s="258"/>
      <c r="K29" s="382"/>
      <c r="L29" s="379"/>
      <c r="M29" s="129"/>
      <c r="N29" s="197"/>
      <c r="O29" s="304"/>
      <c r="P29" s="366">
        <f>Maerz!P53</f>
        <v>1</v>
      </c>
      <c r="Q29" s="366">
        <f>Maerz!Q53</f>
        <v>1</v>
      </c>
      <c r="R29" s="304" t="e">
        <f>IF(VLOOKUP(A29,Para1!$B$67:$E$72,2,FALSE)="4.",VLOOKUP(A29,Para1!$B$67:$E$72,3,FALSE),"")</f>
        <v>#N/A</v>
      </c>
      <c r="S29" s="304" t="str">
        <f>IF((P29+Q29)=0,"",IF(ISNA(R29),"",IF(R29="","",VLOOKUP(R29,Para1!$D$67:$G$79,3,FALSE)*(IF(P29+Q29=1,0.5,1)))))</f>
        <v/>
      </c>
      <c r="T29" s="304" t="str">
        <f>IF(P29+Q29=0,"",IF(ISNA(R30),"",IF(R30="","",VLOOKUP(R30,Para1!$D$67:$G$79,4,FALSE)*(IF(P29+Q29=1,0.5,1)))))</f>
        <v/>
      </c>
      <c r="U29" s="299" t="str">
        <f t="shared" si="3"/>
        <v/>
      </c>
      <c r="V29" s="299" t="str">
        <f t="shared" si="4"/>
        <v/>
      </c>
      <c r="W29" s="304">
        <f t="shared" si="5"/>
        <v>0</v>
      </c>
    </row>
    <row r="30" spans="1:27" ht="17" customHeight="1" x14ac:dyDescent="0.15">
      <c r="A30" s="27" t="s">
        <v>18</v>
      </c>
      <c r="B30" s="153" t="str">
        <f>IF(B29=Para1!$F$153,Para1!$F$109,IF(B29=Para1!$F$109,Para1!$F$148,IF(B29=Para1!$F$148,Para1!$F$111,IF(B29=Para1!$F$111,Para1!$F$120,IF(B29=Para1!$F$120,Para1!$F$170,IF(B29=Para1!$F$170,Para1!$F$173,Para1!$F$153))))))</f>
        <v>Wed</v>
      </c>
      <c r="C30" s="185"/>
      <c r="D30" s="293"/>
      <c r="E30" s="294"/>
      <c r="F30" s="295"/>
      <c r="G30" s="294"/>
      <c r="H30" s="294"/>
      <c r="I30" s="300"/>
      <c r="J30" s="258"/>
      <c r="K30" s="382"/>
      <c r="L30" s="379"/>
      <c r="M30" s="129"/>
      <c r="N30" s="197"/>
      <c r="O30" s="304"/>
      <c r="P30" s="367">
        <f>P23</f>
        <v>1</v>
      </c>
      <c r="Q30" s="367">
        <f>Q23</f>
        <v>1</v>
      </c>
      <c r="R30" s="304" t="e">
        <f>IF(VLOOKUP(A30,Para1!$B$67:$E$72,2,FALSE)="4.",VLOOKUP(A30,Para1!$B$67:$E$72,3,FALSE),"")</f>
        <v>#N/A</v>
      </c>
      <c r="S30" s="304" t="str">
        <f>IF((P30+Q30)=0,"",IF(ISNA(R30),"",IF(R30="","",VLOOKUP(R30,Para1!$D$67:$G$79,3,FALSE)*(IF(P30+Q30=1,0.5,1)))))</f>
        <v/>
      </c>
      <c r="T30" s="304" t="str">
        <f>IF(P30+Q30=0,"",IF(ISNA(R31),"",IF(R31="","",VLOOKUP(R31,Para1!$D$67:$G$79,4,FALSE)*(IF(P30+Q30=1,0.5,1)))))</f>
        <v/>
      </c>
      <c r="U30" s="299" t="str">
        <f t="shared" si="3"/>
        <v/>
      </c>
      <c r="V30" s="299" t="str">
        <f t="shared" si="4"/>
        <v/>
      </c>
      <c r="W30" s="304">
        <f t="shared" si="5"/>
        <v>0</v>
      </c>
    </row>
    <row r="31" spans="1:27" s="39" customFormat="1" ht="17" customHeight="1" x14ac:dyDescent="0.15">
      <c r="A31" s="27" t="s">
        <v>19</v>
      </c>
      <c r="B31" s="153" t="str">
        <f>IF(B30=Para1!$F$153,Para1!$F$109,IF(B30=Para1!$F$109,Para1!$F$148,IF(B30=Para1!$F$148,Para1!$F$111,IF(B30=Para1!$F$111,Para1!$F$120,IF(B30=Para1!$F$120,Para1!$F$170,IF(B30=Para1!$F$170,Para1!$F$173,Para1!$F$153))))))</f>
        <v>Thu</v>
      </c>
      <c r="C31" s="185"/>
      <c r="D31" s="293"/>
      <c r="E31" s="294"/>
      <c r="F31" s="295"/>
      <c r="G31" s="294"/>
      <c r="H31" s="294"/>
      <c r="I31" s="300"/>
      <c r="J31" s="258"/>
      <c r="K31" s="382"/>
      <c r="L31" s="379"/>
      <c r="M31" s="129"/>
      <c r="N31" s="197"/>
      <c r="O31" s="304"/>
      <c r="P31" s="367">
        <f t="shared" ref="P31:Q36" si="6">P24</f>
        <v>1</v>
      </c>
      <c r="Q31" s="367">
        <f t="shared" si="6"/>
        <v>1</v>
      </c>
      <c r="R31" s="304" t="e">
        <f>IF(VLOOKUP(A31,Para1!$B$67:$E$72,2,FALSE)="4.",VLOOKUP(A31,Para1!$B$67:$E$72,3,FALSE),"")</f>
        <v>#N/A</v>
      </c>
      <c r="S31" s="304" t="str">
        <f>IF((P31+Q31)=0,"",IF(ISNA(R31),"",IF(R31="","",VLOOKUP(R31,Para1!$D$67:$G$79,3,FALSE)*(IF(P31+Q31=1,0.5,1)))))</f>
        <v/>
      </c>
      <c r="T31" s="304">
        <f>IF(P31+Q31=0,"",IF(ISNA(R32),"",IF(R32="","",VLOOKUP(R32,Para1!$D$67:$G$79,4,FALSE)*(IF(P31+Q31=1,0.5,1)))))</f>
        <v>1</v>
      </c>
      <c r="U31" s="299">
        <f t="shared" si="3"/>
        <v>0</v>
      </c>
      <c r="V31" s="299">
        <f t="shared" si="4"/>
        <v>0</v>
      </c>
      <c r="W31" s="304">
        <f t="shared" si="5"/>
        <v>0</v>
      </c>
    </row>
    <row r="32" spans="1:27" s="39" customFormat="1" ht="16.5" customHeight="1" x14ac:dyDescent="0.15">
      <c r="A32" s="27" t="s">
        <v>20</v>
      </c>
      <c r="B32" s="153" t="str">
        <f>IF(B31=Para1!$F$153,Para1!$F$109,IF(B31=Para1!$F$109,Para1!$F$148,IF(B31=Para1!$F$148,Para1!$F$111,IF(B31=Para1!$F$111,Para1!$F$120,IF(B31=Para1!$F$120,Para1!$F$170,IF(B31=Para1!$F$170,Para1!$F$173,Para1!$F$153))))))</f>
        <v>Fri</v>
      </c>
      <c r="C32" s="186"/>
      <c r="D32" s="293"/>
      <c r="E32" s="294"/>
      <c r="F32" s="295"/>
      <c r="G32" s="294"/>
      <c r="H32" s="294"/>
      <c r="I32" s="300"/>
      <c r="J32" s="258"/>
      <c r="K32" s="382"/>
      <c r="L32" s="379"/>
      <c r="M32" s="129"/>
      <c r="N32" s="197"/>
      <c r="O32" s="304"/>
      <c r="P32" s="367">
        <v>0</v>
      </c>
      <c r="Q32" s="367">
        <v>0</v>
      </c>
      <c r="R32" s="304" t="str">
        <f>IF(VLOOKUP(A32,Para1!$B$67:$E$72,2,FALSE)="4.",VLOOKUP(A32,Para1!$B$67:$E$72,3,FALSE),"")</f>
        <v>Karfreitag</v>
      </c>
      <c r="S32" s="304" t="str">
        <f>IF((P32+Q32)=0,"",IF(ISNA(R32),"",IF(R32="","",VLOOKUP(R32,Para1!$D$67:$G$79,3,FALSE)*(IF(P32+Q32=1,0.5,1)))))</f>
        <v/>
      </c>
      <c r="T32" s="304" t="str">
        <f>IF(P32+Q32=0,"",IF(ISNA(R33),"",IF(R33="","",VLOOKUP(R33,Para1!$D$67:$G$79,4,FALSE)*(IF(P32+Q32=1,0.5,1)))))</f>
        <v/>
      </c>
      <c r="U32" s="299" t="str">
        <f t="shared" si="3"/>
        <v/>
      </c>
      <c r="V32" s="299" t="str">
        <f t="shared" si="4"/>
        <v/>
      </c>
      <c r="W32" s="304">
        <f t="shared" si="5"/>
        <v>0</v>
      </c>
    </row>
    <row r="33" spans="1:23" s="39" customFormat="1" ht="17" customHeight="1" x14ac:dyDescent="0.15">
      <c r="A33" s="27" t="s">
        <v>21</v>
      </c>
      <c r="B33" s="153" t="str">
        <f>IF(B32=Para1!$F$153,Para1!$F$109,IF(B32=Para1!$F$109,Para1!$F$148,IF(B32=Para1!$F$148,Para1!$F$111,IF(B32=Para1!$F$111,Para1!$F$120,IF(B32=Para1!$F$120,Para1!$F$170,IF(B32=Para1!$F$170,Para1!$F$173,Para1!$F$153))))))</f>
        <v>Sat</v>
      </c>
      <c r="C33" s="186"/>
      <c r="D33" s="293"/>
      <c r="E33" s="294"/>
      <c r="F33" s="295"/>
      <c r="G33" s="294"/>
      <c r="H33" s="294"/>
      <c r="I33" s="300"/>
      <c r="J33" s="258"/>
      <c r="K33" s="382"/>
      <c r="L33" s="379"/>
      <c r="M33" s="129"/>
      <c r="N33" s="197"/>
      <c r="O33" s="304"/>
      <c r="P33" s="367">
        <f t="shared" si="6"/>
        <v>0</v>
      </c>
      <c r="Q33" s="367">
        <f t="shared" si="6"/>
        <v>0</v>
      </c>
      <c r="R33" s="304" t="e">
        <f>IF(VLOOKUP(A33,Para1!$B$67:$E$72,2,FALSE)="4.",VLOOKUP(A33,Para1!$B$67:$E$72,3,FALSE),"")</f>
        <v>#N/A</v>
      </c>
      <c r="S33" s="304" t="str">
        <f>IF((P33+Q33)=0,"",IF(ISNA(R33),"",IF(R33="","",VLOOKUP(R33,Para1!$D$67:$G$79,3,FALSE)*(IF(P33+Q33=1,0.5,1)))))</f>
        <v/>
      </c>
      <c r="T33" s="304" t="str">
        <f>IF(P33+Q33=0,"",IF(ISNA(R34),"",IF(R34="","",VLOOKUP(R34,Para1!$D$67:$G$79,4,FALSE)*(IF(P33+Q33=1,0.5,1)))))</f>
        <v/>
      </c>
      <c r="U33" s="299" t="str">
        <f t="shared" si="3"/>
        <v/>
      </c>
      <c r="V33" s="299" t="str">
        <f t="shared" si="4"/>
        <v/>
      </c>
      <c r="W33" s="304">
        <f t="shared" si="5"/>
        <v>0</v>
      </c>
    </row>
    <row r="34" spans="1:23" s="39" customFormat="1" ht="16.5" customHeight="1" x14ac:dyDescent="0.15">
      <c r="A34" s="27" t="s">
        <v>22</v>
      </c>
      <c r="B34" s="153" t="str">
        <f>IF(B33=Para1!$F$153,Para1!$F$109,IF(B33=Para1!$F$109,Para1!$F$148,IF(B33=Para1!$F$148,Para1!$F$111,IF(B33=Para1!$F$111,Para1!$F$120,IF(B33=Para1!$F$120,Para1!$F$170,IF(B33=Para1!$F$170,Para1!$F$173,Para1!$F$153))))))</f>
        <v>Sun</v>
      </c>
      <c r="C34" s="186"/>
      <c r="D34" s="293"/>
      <c r="E34" s="294"/>
      <c r="F34" s="295"/>
      <c r="G34" s="294"/>
      <c r="H34" s="294"/>
      <c r="I34" s="300"/>
      <c r="J34" s="258"/>
      <c r="K34" s="382"/>
      <c r="L34" s="379"/>
      <c r="M34" s="129"/>
      <c r="N34" s="197"/>
      <c r="O34" s="304"/>
      <c r="P34" s="367">
        <f t="shared" si="6"/>
        <v>0</v>
      </c>
      <c r="Q34" s="367">
        <f t="shared" si="6"/>
        <v>0</v>
      </c>
      <c r="R34" s="304" t="str">
        <f>IF(VLOOKUP(A34,Para1!$B$67:$E$72,2,FALSE)="4.",VLOOKUP(A34,Para1!$B$67:$E$72,3,FALSE),"")</f>
        <v>Ostern</v>
      </c>
      <c r="S34" s="304" t="str">
        <f>IF((P34+Q34)=0,"",IF(ISNA(R34),"",IF(R34="","",VLOOKUP(R34,Para1!$D$67:$G$79,3,FALSE)*(IF(P34+Q34=1,0.5,1)))))</f>
        <v/>
      </c>
      <c r="T34" s="304" t="str">
        <f>IF(P34+Q34=0,"",IF(ISNA(R35),"",IF(R35="","",VLOOKUP(R35,Para1!$D$67:$G$79,4,FALSE)*(IF(P34+Q34=1,0.5,1)))))</f>
        <v/>
      </c>
      <c r="U34" s="299" t="str">
        <f t="shared" si="3"/>
        <v/>
      </c>
      <c r="V34" s="299" t="str">
        <f t="shared" si="4"/>
        <v/>
      </c>
      <c r="W34" s="304">
        <f t="shared" si="5"/>
        <v>0</v>
      </c>
    </row>
    <row r="35" spans="1:23" ht="17" customHeight="1" x14ac:dyDescent="0.15">
      <c r="A35" s="27" t="s">
        <v>23</v>
      </c>
      <c r="B35" s="153" t="str">
        <f>IF(B34=Para1!$F$153,Para1!$F$109,IF(B34=Para1!$F$109,Para1!$F$148,IF(B34=Para1!$F$148,Para1!$F$111,IF(B34=Para1!$F$111,Para1!$F$120,IF(B34=Para1!$F$120,Para1!$F$170,IF(B34=Para1!$F$170,Para1!$F$173,Para1!$F$153))))))</f>
        <v>Mon</v>
      </c>
      <c r="C35" s="186"/>
      <c r="D35" s="293"/>
      <c r="E35" s="294"/>
      <c r="F35" s="295"/>
      <c r="G35" s="294"/>
      <c r="H35" s="294"/>
      <c r="I35" s="300"/>
      <c r="J35" s="258"/>
      <c r="K35" s="382"/>
      <c r="L35" s="379"/>
      <c r="M35" s="129"/>
      <c r="N35" s="197"/>
      <c r="O35" s="304"/>
      <c r="P35" s="367">
        <v>0</v>
      </c>
      <c r="Q35" s="367">
        <v>0</v>
      </c>
      <c r="R35" s="304" t="str">
        <f>IF(VLOOKUP(A35,Para1!$B$67:$E$72,2,FALSE)="4.",VLOOKUP(A35,Para1!$B$67:$E$72,3,FALSE),"")</f>
        <v>Ostermontag</v>
      </c>
      <c r="S35" s="304" t="str">
        <f>IF((P35+Q35)=0,"",IF(ISNA(R35),"",IF(R35="","",VLOOKUP(R35,Para1!$D$67:$G$79,3,FALSE)*(IF(P35+Q35=1,0.5,1)))))</f>
        <v/>
      </c>
      <c r="T35" s="304" t="str">
        <f>IF(P35+Q35=0,"",IF(ISNA(R36),"",IF(R36="","",VLOOKUP(R36,Para1!$D$67:$G$79,4,FALSE)*(IF(P35+Q35=1,0.5,1)))))</f>
        <v/>
      </c>
      <c r="U35" s="299" t="str">
        <f t="shared" si="3"/>
        <v/>
      </c>
      <c r="V35" s="299" t="str">
        <f t="shared" si="4"/>
        <v/>
      </c>
      <c r="W35" s="304">
        <f t="shared" si="5"/>
        <v>0</v>
      </c>
    </row>
    <row r="36" spans="1:23" ht="17" customHeight="1" x14ac:dyDescent="0.15">
      <c r="A36" s="27" t="s">
        <v>24</v>
      </c>
      <c r="B36" s="153" t="str">
        <f>IF(B35=Para1!$F$153,Para1!$F$109,IF(B35=Para1!$F$109,Para1!$F$148,IF(B35=Para1!$F$148,Para1!$F$111,IF(B35=Para1!$F$111,Para1!$F$120,IF(B35=Para1!$F$120,Para1!$F$170,IF(B35=Para1!$F$170,Para1!$F$173,Para1!$F$153))))))</f>
        <v>Tue</v>
      </c>
      <c r="C36" s="185"/>
      <c r="D36" s="293"/>
      <c r="E36" s="294"/>
      <c r="F36" s="295"/>
      <c r="G36" s="294"/>
      <c r="H36" s="294"/>
      <c r="I36" s="300"/>
      <c r="J36" s="258"/>
      <c r="K36" s="382"/>
      <c r="L36" s="379"/>
      <c r="M36" s="129"/>
      <c r="N36" s="197"/>
      <c r="O36" s="304"/>
      <c r="P36" s="367">
        <f t="shared" si="6"/>
        <v>1</v>
      </c>
      <c r="Q36" s="367">
        <f t="shared" si="6"/>
        <v>1</v>
      </c>
      <c r="R36" s="304" t="e">
        <f>IF(VLOOKUP(A36,Para1!$B$67:$E$72,2,FALSE)="4.",VLOOKUP(A36,Para1!$B$67:$E$72,3,FALSE),"")</f>
        <v>#N/A</v>
      </c>
      <c r="S36" s="304" t="str">
        <f>IF((P36+Q36)=0,"",IF(ISNA(R36),"",IF(R36="","",VLOOKUP(R36,Para1!$D$67:$G$79,3,FALSE)*(IF(P36+Q36=1,0.5,1)))))</f>
        <v/>
      </c>
      <c r="T36" s="304" t="str">
        <f>IF(P36+Q36=0,"",IF(ISNA(R37),"",IF(R37="","",VLOOKUP(R37,Para1!$D$67:$G$79,4,FALSE)*(IF(P36+Q36=1,0.5,1)))))</f>
        <v/>
      </c>
      <c r="U36" s="299" t="str">
        <f t="shared" si="3"/>
        <v/>
      </c>
      <c r="V36" s="299" t="str">
        <f t="shared" si="4"/>
        <v/>
      </c>
      <c r="W36" s="304">
        <f t="shared" si="5"/>
        <v>0</v>
      </c>
    </row>
    <row r="37" spans="1:23" ht="17" customHeight="1" x14ac:dyDescent="0.15">
      <c r="A37" s="27" t="s">
        <v>25</v>
      </c>
      <c r="B37" s="153" t="str">
        <f>IF(B36=Para1!$F$153,Para1!$F$109,IF(B36=Para1!$F$109,Para1!$F$148,IF(B36=Para1!$F$148,Para1!$F$111,IF(B36=Para1!$F$111,Para1!$F$120,IF(B36=Para1!$F$120,Para1!$F$170,IF(B36=Para1!$F$170,Para1!$F$173,Para1!$F$153))))))</f>
        <v>Wed</v>
      </c>
      <c r="C37" s="185"/>
      <c r="D37" s="293"/>
      <c r="E37" s="294"/>
      <c r="F37" s="295"/>
      <c r="G37" s="294"/>
      <c r="H37" s="294"/>
      <c r="I37" s="300"/>
      <c r="J37" s="258"/>
      <c r="K37" s="382"/>
      <c r="L37" s="379"/>
      <c r="M37" s="129"/>
      <c r="N37" s="197"/>
      <c r="O37" s="304"/>
      <c r="P37" s="367">
        <f>P30</f>
        <v>1</v>
      </c>
      <c r="Q37" s="367">
        <f>Q30</f>
        <v>1</v>
      </c>
      <c r="R37" s="304" t="e">
        <f>IF(VLOOKUP(A37,Para1!$B$67:$E$72,2,FALSE)="4.",VLOOKUP(A37,Para1!$B$67:$E$72,3,FALSE),"")</f>
        <v>#N/A</v>
      </c>
      <c r="S37" s="304" t="str">
        <f>IF((P37+Q37)=0,"",IF(ISNA(R37),"",IF(R37="","",VLOOKUP(R37,Para1!$D$67:$G$79,3,FALSE)*(IF(P37+Q37=1,0.5,1)))))</f>
        <v/>
      </c>
      <c r="T37" s="304" t="str">
        <f>IF(P37+Q37=0,"",IF(ISNA(R38),"",IF(R38="","",VLOOKUP(R38,Para1!$D$67:$G$79,4,FALSE)*(IF(P37+Q37=1,0.5,1)))))</f>
        <v/>
      </c>
      <c r="U37" s="299" t="str">
        <f t="shared" si="3"/>
        <v/>
      </c>
      <c r="V37" s="299" t="str">
        <f t="shared" si="4"/>
        <v/>
      </c>
      <c r="W37" s="304">
        <f t="shared" si="5"/>
        <v>0</v>
      </c>
    </row>
    <row r="38" spans="1:23" s="30" customFormat="1" ht="17" customHeight="1" x14ac:dyDescent="0.15">
      <c r="A38" s="27" t="s">
        <v>26</v>
      </c>
      <c r="B38" s="153" t="str">
        <f>IF(B37=Para1!$F$153,Para1!$F$109,IF(B37=Para1!$F$109,Para1!$F$148,IF(B37=Para1!$F$148,Para1!$F$111,IF(B37=Para1!$F$111,Para1!$F$120,IF(B37=Para1!$F$120,Para1!$F$170,IF(B37=Para1!$F$170,Para1!$F$173,Para1!$F$153))))))</f>
        <v>Thu</v>
      </c>
      <c r="C38" s="186"/>
      <c r="D38" s="293"/>
      <c r="E38" s="294"/>
      <c r="F38" s="295"/>
      <c r="G38" s="294"/>
      <c r="H38" s="294"/>
      <c r="I38" s="300"/>
      <c r="J38" s="258"/>
      <c r="K38" s="382"/>
      <c r="L38" s="379"/>
      <c r="M38" s="129"/>
      <c r="N38" s="197"/>
      <c r="O38" s="304"/>
      <c r="P38" s="367">
        <f t="shared" ref="P38:Q43" si="7">P31</f>
        <v>1</v>
      </c>
      <c r="Q38" s="367">
        <f t="shared" si="7"/>
        <v>1</v>
      </c>
      <c r="R38" s="304" t="e">
        <f>IF(VLOOKUP(A38,Para1!$B$67:$E$72,2,FALSE)="4.",VLOOKUP(A38,Para1!$B$67:$E$72,3,FALSE),"")</f>
        <v>#N/A</v>
      </c>
      <c r="S38" s="304" t="str">
        <f>IF((P38+Q38)=0,"",IF(ISNA(R38),"",IF(R38="","",VLOOKUP(R38,Para1!$D$67:$G$79,3,FALSE)*(IF(P38+Q38=1,0.5,1)))))</f>
        <v/>
      </c>
      <c r="T38" s="304" t="str">
        <f>IF(P38+Q38=0,"",IF(ISNA(R39),"",IF(R39="","",VLOOKUP(R39,Para1!$D$67:$G$79,4,FALSE)*(IF(P38+Q38=1,0.5,1)))))</f>
        <v/>
      </c>
      <c r="U38" s="299" t="str">
        <f t="shared" si="3"/>
        <v/>
      </c>
      <c r="V38" s="299" t="str">
        <f t="shared" si="4"/>
        <v/>
      </c>
      <c r="W38" s="304">
        <f t="shared" si="5"/>
        <v>0</v>
      </c>
    </row>
    <row r="39" spans="1:23" s="39" customFormat="1" ht="17" customHeight="1" x14ac:dyDescent="0.15">
      <c r="A39" s="27" t="s">
        <v>27</v>
      </c>
      <c r="B39" s="153" t="str">
        <f>IF(B38=Para1!$F$153,Para1!$F$109,IF(B38=Para1!$F$109,Para1!$F$148,IF(B38=Para1!$F$148,Para1!$F$111,IF(B38=Para1!$F$111,Para1!$F$120,IF(B38=Para1!$F$120,Para1!$F$170,IF(B38=Para1!$F$170,Para1!$F$173,Para1!$F$153))))))</f>
        <v>Fri</v>
      </c>
      <c r="C39" s="186"/>
      <c r="D39" s="293"/>
      <c r="E39" s="294"/>
      <c r="F39" s="295"/>
      <c r="G39" s="294"/>
      <c r="H39" s="294"/>
      <c r="I39" s="300"/>
      <c r="J39" s="258"/>
      <c r="K39" s="382"/>
      <c r="L39" s="379"/>
      <c r="M39" s="129"/>
      <c r="N39" s="197"/>
      <c r="O39" s="304"/>
      <c r="P39" s="367">
        <f>P25</f>
        <v>1</v>
      </c>
      <c r="Q39" s="367">
        <f>Q25</f>
        <v>1</v>
      </c>
      <c r="R39" s="304" t="e">
        <f>IF(VLOOKUP(A39,Para1!$B$67:$E$72,2,FALSE)="4.",VLOOKUP(A39,Para1!$B$67:$E$72,3,FALSE),"")</f>
        <v>#N/A</v>
      </c>
      <c r="S39" s="304" t="str">
        <f>IF((P39+Q39)=0,"",IF(ISNA(R39),"",IF(R39="","",VLOOKUP(R39,Para1!$D$67:$G$79,3,FALSE)*(IF(P39+Q39=1,0.5,1)))))</f>
        <v/>
      </c>
      <c r="T39" s="304" t="str">
        <f>IF(P39+Q39=0,"",IF(ISNA(R40),"",IF(R40="","",VLOOKUP(R40,Para1!$D$67:$G$79,4,FALSE)*(IF(P39+Q39=1,0.5,1)))))</f>
        <v/>
      </c>
      <c r="U39" s="299" t="str">
        <f t="shared" si="3"/>
        <v/>
      </c>
      <c r="V39" s="299" t="str">
        <f t="shared" si="4"/>
        <v/>
      </c>
      <c r="W39" s="304">
        <f t="shared" si="5"/>
        <v>0</v>
      </c>
    </row>
    <row r="40" spans="1:23" s="39" customFormat="1" ht="17" customHeight="1" x14ac:dyDescent="0.15">
      <c r="A40" s="27" t="s">
        <v>28</v>
      </c>
      <c r="B40" s="153" t="str">
        <f>IF(B39=Para1!$F$153,Para1!$F$109,IF(B39=Para1!$F$109,Para1!$F$148,IF(B39=Para1!$F$148,Para1!$F$111,IF(B39=Para1!$F$111,Para1!$F$120,IF(B39=Para1!$F$120,Para1!$F$170,IF(B39=Para1!$F$170,Para1!$F$173,Para1!$F$153))))))</f>
        <v>Sat</v>
      </c>
      <c r="C40" s="186"/>
      <c r="D40" s="293"/>
      <c r="E40" s="294"/>
      <c r="F40" s="295"/>
      <c r="G40" s="294"/>
      <c r="H40" s="294"/>
      <c r="I40" s="300"/>
      <c r="J40" s="258"/>
      <c r="K40" s="382"/>
      <c r="L40" s="379"/>
      <c r="M40" s="129"/>
      <c r="N40" s="197"/>
      <c r="O40" s="304"/>
      <c r="P40" s="367">
        <f t="shared" si="7"/>
        <v>0</v>
      </c>
      <c r="Q40" s="367">
        <f t="shared" si="7"/>
        <v>0</v>
      </c>
      <c r="R40" s="304" t="e">
        <f>IF(VLOOKUP(A40,Para1!$B$67:$E$72,2,FALSE)="4.",VLOOKUP(A40,Para1!$B$67:$E$72,3,FALSE),"")</f>
        <v>#N/A</v>
      </c>
      <c r="S40" s="304" t="str">
        <f>IF((P40+Q40)=0,"",IF(ISNA(R40),"",IF(R40="","",VLOOKUP(R40,Para1!$D$67:$G$79,3,FALSE)*(IF(P40+Q40=1,0.5,1)))))</f>
        <v/>
      </c>
      <c r="T40" s="304" t="str">
        <f>IF(P40+Q40=0,"",IF(ISNA(R41),"",IF(R41="","",VLOOKUP(R41,Para1!$D$67:$G$79,4,FALSE)*(IF(P40+Q40=1,0.5,1)))))</f>
        <v/>
      </c>
      <c r="U40" s="299" t="str">
        <f t="shared" si="3"/>
        <v/>
      </c>
      <c r="V40" s="299" t="str">
        <f t="shared" si="4"/>
        <v/>
      </c>
      <c r="W40" s="304">
        <f t="shared" si="5"/>
        <v>0</v>
      </c>
    </row>
    <row r="41" spans="1:23" ht="17" customHeight="1" x14ac:dyDescent="0.15">
      <c r="A41" s="27" t="s">
        <v>29</v>
      </c>
      <c r="B41" s="153" t="str">
        <f>IF(B40=Para1!$F$153,Para1!$F$109,IF(B40=Para1!$F$109,Para1!$F$148,IF(B40=Para1!$F$148,Para1!$F$111,IF(B40=Para1!$F$111,Para1!$F$120,IF(B40=Para1!$F$120,Para1!$F$170,IF(B40=Para1!$F$170,Para1!$F$173,Para1!$F$153))))))</f>
        <v>Sun</v>
      </c>
      <c r="C41" s="186"/>
      <c r="D41" s="293"/>
      <c r="E41" s="294"/>
      <c r="F41" s="295"/>
      <c r="G41" s="294"/>
      <c r="H41" s="294"/>
      <c r="I41" s="300"/>
      <c r="J41" s="258"/>
      <c r="K41" s="382"/>
      <c r="L41" s="379"/>
      <c r="M41" s="129"/>
      <c r="N41" s="197"/>
      <c r="O41" s="304"/>
      <c r="P41" s="367">
        <f>P34</f>
        <v>0</v>
      </c>
      <c r="Q41" s="367">
        <f>Q34</f>
        <v>0</v>
      </c>
      <c r="R41" s="304" t="e">
        <f>IF(VLOOKUP(A41,Para1!$B$67:$E$72,2,FALSE)="4.",VLOOKUP(A41,Para1!$B$67:$E$72,3,FALSE),"")</f>
        <v>#N/A</v>
      </c>
      <c r="S41" s="304" t="str">
        <f>IF((P41+Q41)=0,"",IF(ISNA(R41),"",IF(R41="","",VLOOKUP(R41,Para1!$D$67:$G$79,3,FALSE)*(IF(P41+Q41=1,0.5,1)))))</f>
        <v/>
      </c>
      <c r="T41" s="304" t="str">
        <f>IF(P41+Q41=0,"",IF(ISNA(R42),"",IF(R42="","",VLOOKUP(R42,Para1!$D$67:$G$79,4,FALSE)*(IF(P41+Q41=1,0.5,1)))))</f>
        <v/>
      </c>
      <c r="U41" s="299" t="str">
        <f t="shared" si="3"/>
        <v/>
      </c>
      <c r="V41" s="299" t="str">
        <f t="shared" si="4"/>
        <v/>
      </c>
      <c r="W41" s="304">
        <f t="shared" si="5"/>
        <v>0</v>
      </c>
    </row>
    <row r="42" spans="1:23" ht="17" customHeight="1" x14ac:dyDescent="0.15">
      <c r="A42" s="27" t="s">
        <v>30</v>
      </c>
      <c r="B42" s="153" t="str">
        <f>IF(B41=Para1!$F$153,Para1!$F$109,IF(B41=Para1!$F$109,Para1!$F$148,IF(B41=Para1!$F$148,Para1!$F$111,IF(B41=Para1!$F$111,Para1!$F$120,IF(B41=Para1!$F$120,Para1!$F$170,IF(B41=Para1!$F$170,Para1!$F$173,Para1!$F$153))))))</f>
        <v>Mon</v>
      </c>
      <c r="C42" s="186"/>
      <c r="D42" s="293"/>
      <c r="E42" s="294"/>
      <c r="F42" s="295"/>
      <c r="G42" s="294"/>
      <c r="H42" s="294"/>
      <c r="I42" s="300"/>
      <c r="J42" s="258"/>
      <c r="K42" s="382"/>
      <c r="L42" s="379"/>
      <c r="M42" s="129"/>
      <c r="N42" s="197"/>
      <c r="O42" s="304"/>
      <c r="P42" s="367">
        <f>P28</f>
        <v>1</v>
      </c>
      <c r="Q42" s="367">
        <f>Q28</f>
        <v>1</v>
      </c>
      <c r="R42" s="304" t="e">
        <f>IF(VLOOKUP(A42,Para1!$B$67:$E$72,2,FALSE)="4.",VLOOKUP(A42,Para1!$B$67:$E$72,3,FALSE),"")</f>
        <v>#N/A</v>
      </c>
      <c r="S42" s="304" t="str">
        <f>IF((P42+Q42)=0,"",IF(ISNA(R42),"",IF(R42="","",VLOOKUP(R42,Para1!$D$67:$G$79,3,FALSE)*(IF(P42+Q42=1,0.5,1)))))</f>
        <v/>
      </c>
      <c r="T42" s="304" t="str">
        <f>IF(P42+Q42=0,"",IF(ISNA(R43),"",IF(R43="","",VLOOKUP(R43,Para1!$D$67:$G$79,4,FALSE)*(IF(P42+Q42=1,0.5,1)))))</f>
        <v/>
      </c>
      <c r="U42" s="299" t="str">
        <f t="shared" si="3"/>
        <v/>
      </c>
      <c r="V42" s="299" t="str">
        <f t="shared" si="4"/>
        <v/>
      </c>
      <c r="W42" s="304">
        <f t="shared" si="5"/>
        <v>0</v>
      </c>
    </row>
    <row r="43" spans="1:23" ht="17" customHeight="1" x14ac:dyDescent="0.15">
      <c r="A43" s="27" t="s">
        <v>31</v>
      </c>
      <c r="B43" s="153" t="str">
        <f>IF(B42=Para1!$F$153,Para1!$F$109,IF(B42=Para1!$F$109,Para1!$F$148,IF(B42=Para1!$F$148,Para1!$F$111,IF(B42=Para1!$F$111,Para1!$F$120,IF(B42=Para1!$F$120,Para1!$F$170,IF(B42=Para1!$F$170,Para1!$F$173,Para1!$F$153))))))</f>
        <v>Tue</v>
      </c>
      <c r="C43" s="185"/>
      <c r="D43" s="293"/>
      <c r="E43" s="294"/>
      <c r="F43" s="295"/>
      <c r="G43" s="294"/>
      <c r="H43" s="294"/>
      <c r="I43" s="300"/>
      <c r="J43" s="258"/>
      <c r="K43" s="382"/>
      <c r="L43" s="379"/>
      <c r="M43" s="129"/>
      <c r="N43" s="197"/>
      <c r="O43" s="304"/>
      <c r="P43" s="367">
        <f t="shared" si="7"/>
        <v>1</v>
      </c>
      <c r="Q43" s="367">
        <f t="shared" si="7"/>
        <v>1</v>
      </c>
      <c r="R43" s="304" t="str">
        <f>IF(VLOOKUP(A43,Para1!$B$67:$E$72,2,FALSE)="4.",VLOOKUP(A43,Para1!$B$67:$E$72,3,FALSE),"")</f>
        <v/>
      </c>
      <c r="S43" s="304" t="str">
        <f>IF((P43+Q43)=0,"",IF(ISNA(R43),"",IF(R43="","",VLOOKUP(R43,Para1!$D$67:$G$79,3,FALSE)*(IF(P43+Q43=1,0.5,1)))))</f>
        <v/>
      </c>
      <c r="T43" s="304" t="str">
        <f>IF(P43+Q43=0,"",IF(ISNA(R44),"",IF(R44="","",VLOOKUP(R44,Para1!$D$67:$G$79,4,FALSE)*(IF(P43+Q43=1,0.5,1)))))</f>
        <v/>
      </c>
      <c r="U43" s="299" t="str">
        <f t="shared" si="3"/>
        <v/>
      </c>
      <c r="V43" s="299" t="str">
        <f t="shared" si="4"/>
        <v/>
      </c>
      <c r="W43" s="304">
        <f t="shared" si="5"/>
        <v>0</v>
      </c>
    </row>
    <row r="44" spans="1:23" ht="17" customHeight="1" x14ac:dyDescent="0.15">
      <c r="A44" s="27" t="s">
        <v>32</v>
      </c>
      <c r="B44" s="153" t="str">
        <f>IF(B43=Para1!$F$153,Para1!$F$109,IF(B43=Para1!$F$109,Para1!$F$148,IF(B43=Para1!$F$148,Para1!$F$111,IF(B43=Para1!$F$111,Para1!$F$120,IF(B43=Para1!$F$120,Para1!$F$170,IF(B43=Para1!$F$170,Para1!$F$173,Para1!$F$153))))))</f>
        <v>Wed</v>
      </c>
      <c r="C44" s="185"/>
      <c r="D44" s="293"/>
      <c r="E44" s="294"/>
      <c r="F44" s="295"/>
      <c r="G44" s="294"/>
      <c r="H44" s="294"/>
      <c r="I44" s="300"/>
      <c r="J44" s="258"/>
      <c r="K44" s="382"/>
      <c r="L44" s="379"/>
      <c r="M44" s="129"/>
      <c r="N44" s="197"/>
      <c r="O44" s="304"/>
      <c r="P44" s="367">
        <f>P37</f>
        <v>1</v>
      </c>
      <c r="Q44" s="367">
        <f>Q37</f>
        <v>1</v>
      </c>
      <c r="R44" s="304" t="e">
        <f>IF(VLOOKUP(A44,Para1!$B$67:$E$72,2,FALSE)="4.",VLOOKUP(A44,Para1!$B$67:$E$72,3,FALSE),"")</f>
        <v>#N/A</v>
      </c>
      <c r="S44" s="304" t="str">
        <f>IF((P44+Q44)=0,"",IF(ISNA(R44),"",IF(R44="","",VLOOKUP(R44,Para1!$D$67:$G$79,3,FALSE)*(IF(P44+Q44=1,0.5,1)))))</f>
        <v/>
      </c>
      <c r="T44" s="304" t="str">
        <f>IF(P44+Q44=0,"",IF(ISNA(R45),"",IF(R45="","",VLOOKUP(R45,Para1!$D$67:$G$79,4,FALSE)*(IF(P44+Q44=1,0.5,1)))))</f>
        <v/>
      </c>
      <c r="U44" s="299" t="str">
        <f t="shared" si="3"/>
        <v/>
      </c>
      <c r="V44" s="299" t="str">
        <f t="shared" si="4"/>
        <v/>
      </c>
      <c r="W44" s="304">
        <f t="shared" si="5"/>
        <v>0</v>
      </c>
    </row>
    <row r="45" spans="1:23" ht="17" customHeight="1" x14ac:dyDescent="0.15">
      <c r="A45" s="27" t="s">
        <v>33</v>
      </c>
      <c r="B45" s="153" t="str">
        <f>IF(B44=Para1!$F$153,Para1!$F$109,IF(B44=Para1!$F$109,Para1!$F$148,IF(B44=Para1!$F$148,Para1!$F$111,IF(B44=Para1!$F$111,Para1!$F$120,IF(B44=Para1!$F$120,Para1!$F$170,IF(B44=Para1!$F$170,Para1!$F$173,Para1!$F$153))))))</f>
        <v>Thu</v>
      </c>
      <c r="C45" s="186"/>
      <c r="D45" s="293"/>
      <c r="E45" s="294"/>
      <c r="F45" s="295"/>
      <c r="G45" s="294"/>
      <c r="H45" s="294"/>
      <c r="I45" s="300"/>
      <c r="J45" s="258"/>
      <c r="K45" s="382"/>
      <c r="L45" s="379"/>
      <c r="M45" s="129"/>
      <c r="N45" s="197"/>
      <c r="O45" s="304"/>
      <c r="P45" s="367">
        <f t="shared" ref="P45:Q50" si="8">P38</f>
        <v>1</v>
      </c>
      <c r="Q45" s="367">
        <f t="shared" si="8"/>
        <v>1</v>
      </c>
      <c r="R45" s="304" t="e">
        <f>IF(VLOOKUP(A45,Para1!$B$67:$E$72,2,FALSE)="4.",VLOOKUP(A45,Para1!$B$67:$E$72,3,FALSE),"")</f>
        <v>#N/A</v>
      </c>
      <c r="S45" s="304" t="str">
        <f>IF((P45+Q45)=0,"",IF(ISNA(R45),"",IF(R45="","",VLOOKUP(R45,Para1!$D$67:$G$79,3,FALSE)*(IF(P45+Q45=1,0.5,1)))))</f>
        <v/>
      </c>
      <c r="T45" s="304" t="str">
        <f>IF(P45+Q45=0,"",IF(ISNA(R46),"",IF(R46="","",VLOOKUP(R46,Para1!$D$67:$G$79,4,FALSE)*(IF(P45+Q45=1,0.5,1)))))</f>
        <v/>
      </c>
      <c r="U45" s="299" t="str">
        <f t="shared" si="3"/>
        <v/>
      </c>
      <c r="V45" s="299" t="str">
        <f t="shared" si="4"/>
        <v/>
      </c>
      <c r="W45" s="304">
        <f t="shared" si="5"/>
        <v>0</v>
      </c>
    </row>
    <row r="46" spans="1:23" s="39" customFormat="1" ht="17" customHeight="1" x14ac:dyDescent="0.15">
      <c r="A46" s="27" t="s">
        <v>34</v>
      </c>
      <c r="B46" s="153" t="str">
        <f>IF(B45=Para1!$F$153,Para1!$F$109,IF(B45=Para1!$F$109,Para1!$F$148,IF(B45=Para1!$F$148,Para1!$F$111,IF(B45=Para1!$F$111,Para1!$F$120,IF(B45=Para1!$F$120,Para1!$F$170,IF(B45=Para1!$F$170,Para1!$F$173,Para1!$F$153))))))</f>
        <v>Fri</v>
      </c>
      <c r="C46" s="186"/>
      <c r="D46" s="293"/>
      <c r="E46" s="294"/>
      <c r="F46" s="295"/>
      <c r="G46" s="294"/>
      <c r="H46" s="294"/>
      <c r="I46" s="300"/>
      <c r="J46" s="258"/>
      <c r="K46" s="382"/>
      <c r="L46" s="379"/>
      <c r="M46" s="129"/>
      <c r="N46" s="197"/>
      <c r="O46" s="304"/>
      <c r="P46" s="367">
        <f t="shared" si="8"/>
        <v>1</v>
      </c>
      <c r="Q46" s="367">
        <f t="shared" si="8"/>
        <v>1</v>
      </c>
      <c r="R46" s="304" t="e">
        <f>IF(VLOOKUP(A46,Para1!$B$67:$E$72,2,FALSE)="4.",VLOOKUP(A46,Para1!$B$67:$E$72,3,FALSE),"")</f>
        <v>#N/A</v>
      </c>
      <c r="S46" s="304" t="str">
        <f>IF((P46+Q46)=0,"",IF(ISNA(R46),"",IF(R46="","",VLOOKUP(R46,Para1!$D$67:$G$79,3,FALSE)*(IF(P46+Q46=1,0.5,1)))))</f>
        <v/>
      </c>
      <c r="T46" s="304" t="str">
        <f>IF(P46+Q46=0,"",IF(ISNA(R47),"",IF(R47="","",VLOOKUP(R47,Para1!$D$67:$G$79,4,FALSE)*(IF(P46+Q46=1,0.5,1)))))</f>
        <v/>
      </c>
      <c r="U46" s="299" t="str">
        <f t="shared" si="3"/>
        <v/>
      </c>
      <c r="V46" s="299" t="str">
        <f t="shared" si="4"/>
        <v/>
      </c>
      <c r="W46" s="304">
        <f t="shared" si="5"/>
        <v>0</v>
      </c>
    </row>
    <row r="47" spans="1:23" s="39" customFormat="1" ht="17" customHeight="1" x14ac:dyDescent="0.15">
      <c r="A47" s="27" t="s">
        <v>35</v>
      </c>
      <c r="B47" s="153" t="str">
        <f>IF(B46=Para1!$F$153,Para1!$F$109,IF(B46=Para1!$F$109,Para1!$F$148,IF(B46=Para1!$F$148,Para1!$F$111,IF(B46=Para1!$F$111,Para1!$F$120,IF(B46=Para1!$F$120,Para1!$F$170,IF(B46=Para1!$F$170,Para1!$F$173,Para1!$F$153))))))</f>
        <v>Sat</v>
      </c>
      <c r="C47" s="186"/>
      <c r="D47" s="293"/>
      <c r="E47" s="294"/>
      <c r="F47" s="295"/>
      <c r="G47" s="294"/>
      <c r="H47" s="294"/>
      <c r="I47" s="300"/>
      <c r="J47" s="258"/>
      <c r="K47" s="382"/>
      <c r="L47" s="379"/>
      <c r="M47" s="129"/>
      <c r="N47" s="197"/>
      <c r="O47" s="304"/>
      <c r="P47" s="367">
        <f t="shared" si="8"/>
        <v>0</v>
      </c>
      <c r="Q47" s="367">
        <f t="shared" si="8"/>
        <v>0</v>
      </c>
      <c r="R47" s="304" t="e">
        <f>IF(VLOOKUP(A47,Para1!$B$67:$E$72,2,FALSE)="4.",VLOOKUP(A47,Para1!$B$67:$E$72,3,FALSE),"")</f>
        <v>#N/A</v>
      </c>
      <c r="S47" s="304" t="str">
        <f>IF((P47+Q47)=0,"",IF(ISNA(R47),"",IF(R47="","",VLOOKUP(R47,Para1!$D$67:$G$79,3,FALSE)*(IF(P47+Q47=1,0.5,1)))))</f>
        <v/>
      </c>
      <c r="T47" s="304" t="str">
        <f>IF(P47+Q47=0,"",IF(ISNA(R48),"",IF(R48="","",VLOOKUP(R48,Para1!$D$67:$G$79,4,FALSE)*(IF(P47+Q47=1,0.5,1)))))</f>
        <v/>
      </c>
      <c r="U47" s="299" t="str">
        <f t="shared" si="3"/>
        <v/>
      </c>
      <c r="V47" s="299" t="str">
        <f t="shared" si="4"/>
        <v/>
      </c>
      <c r="W47" s="304">
        <f t="shared" si="5"/>
        <v>0</v>
      </c>
    </row>
    <row r="48" spans="1:23" ht="17" customHeight="1" x14ac:dyDescent="0.15">
      <c r="A48" s="27" t="s">
        <v>36</v>
      </c>
      <c r="B48" s="153" t="str">
        <f>IF(B47=Para1!$F$153,Para1!$F$109,IF(B47=Para1!$F$109,Para1!$F$148,IF(B47=Para1!$F$148,Para1!$F$111,IF(B47=Para1!$F$111,Para1!$F$120,IF(B47=Para1!$F$120,Para1!$F$170,IF(B47=Para1!$F$170,Para1!$F$173,Para1!$F$153))))))</f>
        <v>Sun</v>
      </c>
      <c r="C48" s="186"/>
      <c r="D48" s="293"/>
      <c r="E48" s="294"/>
      <c r="F48" s="295"/>
      <c r="G48" s="294"/>
      <c r="H48" s="294"/>
      <c r="I48" s="300"/>
      <c r="J48" s="258"/>
      <c r="K48" s="382"/>
      <c r="L48" s="379"/>
      <c r="M48" s="129"/>
      <c r="N48" s="197"/>
      <c r="O48" s="304"/>
      <c r="P48" s="367">
        <f>P41</f>
        <v>0</v>
      </c>
      <c r="Q48" s="367">
        <f>Q41</f>
        <v>0</v>
      </c>
      <c r="R48" s="304" t="e">
        <f>IF(VLOOKUP(A48,Para1!$B$67:$E$72,2,FALSE)="4.",VLOOKUP(A48,Para1!$B$67:$E$72,3,FALSE),"")</f>
        <v>#N/A</v>
      </c>
      <c r="S48" s="304" t="str">
        <f>IF((P48+Q48)=0,"",IF(ISNA(R48),"",IF(R48="","",VLOOKUP(R48,Para1!$D$67:$G$79,3,FALSE)*(IF(P48+Q48=1,0.5,1)))))</f>
        <v/>
      </c>
      <c r="T48" s="304" t="str">
        <f>IF(P48+Q48=0,"",IF(ISNA(R49),"",IF(R49="","",VLOOKUP(R49,Para1!$D$67:$G$79,4,FALSE)*(IF(P48+Q48=1,0.5,1)))))</f>
        <v/>
      </c>
      <c r="U48" s="299" t="str">
        <f t="shared" si="3"/>
        <v/>
      </c>
      <c r="V48" s="299" t="str">
        <f t="shared" si="4"/>
        <v/>
      </c>
      <c r="W48" s="304">
        <f t="shared" si="5"/>
        <v>0</v>
      </c>
    </row>
    <row r="49" spans="1:25" ht="17" customHeight="1" x14ac:dyDescent="0.15">
      <c r="A49" s="27" t="s">
        <v>37</v>
      </c>
      <c r="B49" s="153" t="str">
        <f>IF(B48=Para1!$F$153,Para1!$F$109,IF(B48=Para1!$F$109,Para1!$F$148,IF(B48=Para1!$F$148,Para1!$F$111,IF(B48=Para1!$F$111,Para1!$F$120,IF(B48=Para1!$F$120,Para1!$F$170,IF(B48=Para1!$F$170,Para1!$F$173,Para1!$F$153))))))</f>
        <v>Mon</v>
      </c>
      <c r="C49" s="186"/>
      <c r="D49" s="293"/>
      <c r="E49" s="294"/>
      <c r="F49" s="295"/>
      <c r="G49" s="294"/>
      <c r="H49" s="294"/>
      <c r="I49" s="300"/>
      <c r="J49" s="258"/>
      <c r="K49" s="382"/>
      <c r="L49" s="379"/>
      <c r="M49" s="129"/>
      <c r="N49" s="197"/>
      <c r="O49" s="304"/>
      <c r="P49" s="367">
        <f t="shared" si="8"/>
        <v>1</v>
      </c>
      <c r="Q49" s="367">
        <f t="shared" si="8"/>
        <v>1</v>
      </c>
      <c r="R49" s="304" t="e">
        <f>IF(VLOOKUP(A49,Para1!$B$67:$E$72,2,FALSE)="4.",VLOOKUP(A49,Para1!$B$67:$E$72,3,FALSE),"")</f>
        <v>#N/A</v>
      </c>
      <c r="S49" s="304" t="str">
        <f>IF((P49+Q49)=0,"",IF(ISNA(R49),"",IF(R49="","",VLOOKUP(R49,Para1!$D$67:$G$79,3,FALSE)*(IF(P49+Q49=1,0.5,1)))))</f>
        <v/>
      </c>
      <c r="T49" s="304" t="str">
        <f>IF(P49+Q49=0,"",IF(ISNA(R50),"",IF(R50="","",VLOOKUP(R50,Para1!$D$67:$G$79,4,FALSE)*(IF(P49+Q49=1,0.5,1)))))</f>
        <v/>
      </c>
      <c r="U49" s="299" t="str">
        <f t="shared" si="3"/>
        <v/>
      </c>
      <c r="V49" s="299" t="str">
        <f t="shared" si="4"/>
        <v/>
      </c>
      <c r="W49" s="304">
        <f t="shared" si="5"/>
        <v>0</v>
      </c>
    </row>
    <row r="50" spans="1:25" ht="16.5" customHeight="1" x14ac:dyDescent="0.15">
      <c r="A50" s="27" t="s">
        <v>38</v>
      </c>
      <c r="B50" s="153" t="str">
        <f>IF(B49=Para1!$F$153,Para1!$F$109,IF(B49=Para1!$F$109,Para1!$F$148,IF(B49=Para1!$F$148,Para1!$F$111,IF(B49=Para1!$F$111,Para1!$F$120,IF(B49=Para1!$F$120,Para1!$F$170,IF(B49=Para1!$F$170,Para1!$F$173,Para1!$F$153))))))</f>
        <v>Tue</v>
      </c>
      <c r="C50" s="185"/>
      <c r="D50" s="293"/>
      <c r="E50" s="294"/>
      <c r="F50" s="295"/>
      <c r="G50" s="294"/>
      <c r="H50" s="294"/>
      <c r="I50" s="300"/>
      <c r="J50" s="258"/>
      <c r="K50" s="382"/>
      <c r="L50" s="379"/>
      <c r="M50" s="129"/>
      <c r="N50" s="197"/>
      <c r="O50" s="304"/>
      <c r="P50" s="368">
        <f t="shared" si="8"/>
        <v>1</v>
      </c>
      <c r="Q50" s="368">
        <f t="shared" si="8"/>
        <v>1</v>
      </c>
      <c r="R50" s="304" t="e">
        <f>IF(VLOOKUP(A50,Para1!$B$67:$E$72,2,FALSE)="4.",VLOOKUP(A50,Para1!$B$67:$E$72,3,FALSE),"")</f>
        <v>#N/A</v>
      </c>
      <c r="S50" s="304" t="str">
        <f>IF((P50+Q50)=0,"",IF(ISNA(R50),"",IF(R50="","",VLOOKUP(R50,Para1!$D$67:$G$79,3,FALSE)*(IF(P50+Q50=1,0.5,1)))))</f>
        <v/>
      </c>
      <c r="T50" s="304" t="str">
        <f>IF(P50+Q50=0,"",IF(ISNA(R51),"",IF(R51="","",VLOOKUP(R51,Para1!$D$67:$G$79,4,FALSE)*(IF(P50+Q50=1,0.5,1)))))</f>
        <v/>
      </c>
      <c r="U50" s="299" t="str">
        <f t="shared" si="3"/>
        <v/>
      </c>
      <c r="V50" s="299" t="str">
        <f t="shared" si="4"/>
        <v/>
      </c>
      <c r="W50" s="304">
        <f t="shared" si="5"/>
        <v>0</v>
      </c>
    </row>
    <row r="51" spans="1:25" ht="16.5" customHeight="1" x14ac:dyDescent="0.15">
      <c r="A51" s="27" t="s">
        <v>39</v>
      </c>
      <c r="B51" s="153" t="str">
        <f>IF(B50=Para1!$F$153,Para1!$F$109,IF(B50=Para1!$F$109,Para1!$F$148,IF(B50=Para1!$F$148,Para1!$F$111,IF(B50=Para1!$F$111,Para1!$F$120,IF(B50=Para1!$F$120,Para1!$F$170,IF(B50=Para1!$F$170,Para1!$F$173,Para1!$F$153))))))</f>
        <v>Wed</v>
      </c>
      <c r="C51" s="185"/>
      <c r="D51" s="293"/>
      <c r="E51" s="294"/>
      <c r="F51" s="295"/>
      <c r="G51" s="294"/>
      <c r="H51" s="294"/>
      <c r="I51" s="300"/>
      <c r="J51" s="258"/>
      <c r="K51" s="382"/>
      <c r="L51" s="379"/>
      <c r="M51" s="129"/>
      <c r="N51" s="197"/>
      <c r="O51" s="304"/>
      <c r="P51" s="339">
        <f>P44</f>
        <v>1</v>
      </c>
      <c r="Q51" s="367">
        <f>Q44</f>
        <v>1</v>
      </c>
      <c r="R51" s="304" t="e">
        <f>IF(VLOOKUP(A51,Para1!$B$67:$E$72,2,FALSE)="4.",VLOOKUP(A51,Para1!$B$67:$E$72,3,FALSE),"")</f>
        <v>#N/A</v>
      </c>
      <c r="S51" s="304" t="str">
        <f>IF((P51+Q51)=0,"",IF(ISNA(R51),"",IF(R51="","",VLOOKUP(R51,Para1!$D$67:$G$79,3,FALSE)*(IF(P51+Q51=1,0.5,1)))))</f>
        <v/>
      </c>
      <c r="T51" s="304" t="str">
        <f>IF(P51+Q51=0,"",IF(ISNA(R52),"",IF(R52="","",VLOOKUP(R52,Para1!$D$67:$G$79,4,FALSE)*(IF(P51+Q51=1,0.5,1)))))</f>
        <v/>
      </c>
      <c r="U51" s="299" t="str">
        <f t="shared" si="3"/>
        <v/>
      </c>
      <c r="V51" s="299" t="str">
        <f t="shared" si="4"/>
        <v/>
      </c>
      <c r="W51" s="304">
        <f t="shared" si="5"/>
        <v>0</v>
      </c>
    </row>
    <row r="52" spans="1:25" ht="16.5" customHeight="1" thickBot="1" x14ac:dyDescent="0.2">
      <c r="A52" s="27" t="s">
        <v>40</v>
      </c>
      <c r="B52" s="153" t="str">
        <f>IF(B51=Para1!$F$153,Para1!$F$109,IF(B51=Para1!$F$109,Para1!$F$148,IF(B51=Para1!$F$148,Para1!$F$111,IF(B51=Para1!$F$111,Para1!$F$120,IF(B51=Para1!$F$120,Para1!$F$170,IF(B51=Para1!$F$170,Para1!$F$173,Para1!$F$153))))))</f>
        <v>Thu</v>
      </c>
      <c r="C52" s="186"/>
      <c r="D52" s="293"/>
      <c r="E52" s="294"/>
      <c r="F52" s="295"/>
      <c r="G52" s="294"/>
      <c r="H52" s="294"/>
      <c r="I52" s="300"/>
      <c r="J52" s="258"/>
      <c r="K52" s="382"/>
      <c r="L52" s="379"/>
      <c r="M52" s="129"/>
      <c r="N52" s="197"/>
      <c r="O52" s="304"/>
      <c r="P52" s="341">
        <f>P45</f>
        <v>1</v>
      </c>
      <c r="Q52" s="374">
        <f>Q45</f>
        <v>1</v>
      </c>
      <c r="R52" s="304" t="e">
        <f>IF(VLOOKUP(A52,Para1!$B$67:$E$72,2,FALSE)="4.",VLOOKUP(A52,Para1!$B$67:$E$72,3,FALSE),"")</f>
        <v>#N/A</v>
      </c>
      <c r="S52" s="304" t="str">
        <f>IF((P52+Q52)=0,"",IF(ISNA(R52),"",IF(R52="","",VLOOKUP(R52,Para1!$D$67:$G$79,3,FALSE)*(IF(P52+Q52=1,0.5,1)))))</f>
        <v/>
      </c>
      <c r="T52" s="304" t="str">
        <f>IF(P52+Q52=0,"",IF(ISNA(Mai!R23),"",IF(Mai!R23="","",VLOOKUP(Mai!R23,Para1!$D$67:$G$79,4,FALSE)*(IF(P52+Q52=1,0.5,1)))))</f>
        <v/>
      </c>
      <c r="U52" s="299" t="str">
        <f t="shared" si="3"/>
        <v/>
      </c>
      <c r="V52" s="299" t="str">
        <f t="shared" si="4"/>
        <v/>
      </c>
      <c r="W52" s="304">
        <f t="shared" si="5"/>
        <v>0</v>
      </c>
    </row>
    <row r="53" spans="1:25" ht="17" customHeight="1" thickTop="1" thickBot="1" x14ac:dyDescent="0.2">
      <c r="A53" s="38"/>
      <c r="B53" s="156"/>
      <c r="C53" s="259"/>
      <c r="D53" s="306"/>
      <c r="E53" s="307"/>
      <c r="F53" s="308"/>
      <c r="G53" s="307"/>
      <c r="H53" s="307"/>
      <c r="I53" s="309"/>
      <c r="J53" s="258"/>
      <c r="K53" s="387"/>
      <c r="L53" s="388"/>
      <c r="M53" s="129"/>
      <c r="N53" s="197"/>
      <c r="O53" s="304"/>
      <c r="P53" s="370"/>
      <c r="Q53" s="370"/>
      <c r="R53" s="304" t="e">
        <f>IF(VLOOKUP(A53,Para1!$B$67:$E$72,2,FALSE)="4.",VLOOKUP(A53,Para1!$B$67:$E$72,3,FALSE),"")</f>
        <v>#N/A</v>
      </c>
      <c r="S53" s="304" t="str">
        <f>IF((P53+Q53)=0,"",IF(ISNA(R53),"",IF(R53="","",VLOOKUP(R53,Para1!$D$67:$G$79,3,FALSE)*(IF(P53+Q53=1,0.5,1)))))</f>
        <v/>
      </c>
      <c r="T53" s="299"/>
      <c r="U53" s="299" t="str">
        <f t="shared" si="3"/>
        <v/>
      </c>
      <c r="V53" s="299" t="str">
        <f t="shared" si="4"/>
        <v/>
      </c>
      <c r="W53" s="304">
        <f t="shared" si="5"/>
        <v>0</v>
      </c>
    </row>
    <row r="54" spans="1:25" ht="15" thickTop="1" x14ac:dyDescent="0.15">
      <c r="A54" s="36"/>
      <c r="B54" s="32"/>
      <c r="C54" s="16"/>
      <c r="D54" s="145">
        <f t="shared" ref="D54:I54" si="9">SUM(D23:D53)</f>
        <v>0</v>
      </c>
      <c r="E54" s="31">
        <f t="shared" si="9"/>
        <v>0</v>
      </c>
      <c r="F54" s="92">
        <f t="shared" si="9"/>
        <v>0</v>
      </c>
      <c r="G54" s="31">
        <f t="shared" si="9"/>
        <v>0</v>
      </c>
      <c r="H54" s="31">
        <f t="shared" si="9"/>
        <v>0</v>
      </c>
      <c r="I54" s="35">
        <f t="shared" si="9"/>
        <v>0</v>
      </c>
      <c r="J54" s="130"/>
      <c r="K54" s="16"/>
      <c r="P54" s="622" t="str">
        <f>Para1!F174&amp;" "&amp;Para1!F168</f>
        <v>balance due / half-day</v>
      </c>
      <c r="Q54" s="623"/>
      <c r="R54" s="299">
        <f>SUM(W23:W53)</f>
        <v>0</v>
      </c>
      <c r="S54" s="299">
        <f>SUM(S23:S53)</f>
        <v>0</v>
      </c>
      <c r="T54" s="299">
        <f>SUM(T23:T53)</f>
        <v>1</v>
      </c>
    </row>
    <row r="55" spans="1:25" ht="15" thickBot="1" x14ac:dyDescent="0.2">
      <c r="A55" s="37"/>
      <c r="B55" s="33"/>
      <c r="C55" s="33"/>
      <c r="D55" s="586">
        <f t="shared" ref="D55:I55" si="10">D54*24</f>
        <v>0</v>
      </c>
      <c r="E55" s="594">
        <f t="shared" si="10"/>
        <v>0</v>
      </c>
      <c r="F55" s="595">
        <f t="shared" si="10"/>
        <v>0</v>
      </c>
      <c r="G55" s="587">
        <f t="shared" si="10"/>
        <v>0</v>
      </c>
      <c r="H55" s="587">
        <f t="shared" si="10"/>
        <v>0</v>
      </c>
      <c r="I55" s="588">
        <f t="shared" si="10"/>
        <v>0</v>
      </c>
      <c r="J55" s="260"/>
      <c r="K55" s="16"/>
      <c r="M55" s="163" t="str">
        <f>Para1!G2</f>
        <v>AE v1_01 20.08.2019</v>
      </c>
      <c r="P55" s="624">
        <f>(Para1!I59/100*$G$3+((S54+T54)/100*$G$3))/(SUM(P23:Q53)-R54)/24</f>
        <v>0</v>
      </c>
      <c r="Q55" s="625"/>
    </row>
    <row r="56" spans="1:25" ht="15" thickTop="1" x14ac:dyDescent="0.15">
      <c r="Q56" s="16"/>
    </row>
    <row r="57" spans="1:25"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T57" s="132"/>
      <c r="U57" s="46"/>
      <c r="Y57" s="540"/>
    </row>
    <row r="58" spans="1:25" x14ac:dyDescent="0.15">
      <c r="A58" s="5"/>
      <c r="B58" s="5"/>
      <c r="C58" s="5"/>
      <c r="D58" s="5"/>
      <c r="E58" s="5"/>
      <c r="F58" s="5"/>
      <c r="G58" s="5"/>
      <c r="H58" s="5"/>
      <c r="I58" s="562"/>
      <c r="J58" s="562"/>
      <c r="K58" s="562"/>
      <c r="L58" s="562"/>
    </row>
    <row r="59" spans="1:25" ht="22.5" customHeight="1" x14ac:dyDescent="0.15">
      <c r="A59" s="5"/>
      <c r="B59" s="5"/>
      <c r="C59" s="5"/>
      <c r="D59" s="5"/>
      <c r="E59" s="5"/>
      <c r="F59" s="563" t="str">
        <f>Para1!F191&amp;" "&amp;Para1!F193</f>
        <v>signature manager</v>
      </c>
      <c r="G59" s="5"/>
      <c r="H59" s="564"/>
      <c r="I59" s="565"/>
      <c r="J59" s="565"/>
      <c r="K59" s="565"/>
      <c r="L59" s="565"/>
    </row>
    <row r="61" spans="1:25" ht="22.5" customHeight="1" x14ac:dyDescent="0.15">
      <c r="A61" s="42"/>
      <c r="B61" s="43"/>
      <c r="C61" s="43"/>
      <c r="D61" s="44"/>
      <c r="E61" s="45"/>
      <c r="F61" s="44"/>
      <c r="G61" s="141"/>
      <c r="I61" s="9"/>
      <c r="J61" s="132"/>
      <c r="L61" s="132"/>
      <c r="M61" s="46"/>
    </row>
  </sheetData>
  <sheetProtection password="CF1F" sheet="1" objects="1" scenarios="1"/>
  <mergeCells count="29">
    <mergeCell ref="P54:Q54"/>
    <mergeCell ref="P55:Q55"/>
    <mergeCell ref="D20:I20"/>
    <mergeCell ref="F21:F22"/>
    <mergeCell ref="P20:Q20"/>
    <mergeCell ref="P21:P22"/>
    <mergeCell ref="Q21:Q22"/>
    <mergeCell ref="J9:K9"/>
    <mergeCell ref="J10:K10"/>
    <mergeCell ref="K20:L20"/>
    <mergeCell ref="M20:N20"/>
    <mergeCell ref="K21:K22"/>
    <mergeCell ref="L21:L22"/>
    <mergeCell ref="A1:B1"/>
    <mergeCell ref="A3:B3"/>
    <mergeCell ref="D1:E1"/>
    <mergeCell ref="I21:I22"/>
    <mergeCell ref="G21:G22"/>
    <mergeCell ref="A22:B22"/>
    <mergeCell ref="B13:E13"/>
    <mergeCell ref="C14:E14"/>
    <mergeCell ref="C15:E15"/>
    <mergeCell ref="C16:E16"/>
    <mergeCell ref="C17:E17"/>
    <mergeCell ref="C18:E18"/>
    <mergeCell ref="A21:B21"/>
    <mergeCell ref="H21:H22"/>
    <mergeCell ref="D21:D22"/>
    <mergeCell ref="E21:E22"/>
  </mergeCells>
  <phoneticPr fontId="0" type="noConversion"/>
  <conditionalFormatting sqref="A23:B52">
    <cfRule type="expression" dxfId="67" priority="6">
      <formula>$S23=0</formula>
    </cfRule>
    <cfRule type="expression" dxfId="66" priority="7">
      <formula>$P23+$Q23=0</formula>
    </cfRule>
  </conditionalFormatting>
  <conditionalFormatting sqref="D23:I52">
    <cfRule type="expression" dxfId="65" priority="4">
      <formula>$P23+$Q23=1</formula>
    </cfRule>
    <cfRule type="expression" dxfId="64" priority="5">
      <formula>$P23+$Q23=0</formula>
    </cfRule>
  </conditionalFormatting>
  <conditionalFormatting sqref="D23:I52 K23:L52 P23:Q52">
    <cfRule type="expression" dxfId="63" priority="3">
      <formula>$S23=0</formula>
    </cfRule>
  </conditionalFormatting>
  <conditionalFormatting sqref="K23:K52 P23:P52">
    <cfRule type="expression" dxfId="62" priority="2">
      <formula>$P23=0</formula>
    </cfRule>
  </conditionalFormatting>
  <conditionalFormatting sqref="L23:L52 Q23:Q52">
    <cfRule type="expression" dxfId="61"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600-000000000000}">
      <formula1>0</formula1>
      <formula2>25</formula2>
    </dataValidation>
  </dataValidations>
  <pageMargins left="0.4" right="0.38" top="0.79" bottom="0.39370078740157483" header="0.28999999999999998" footer="0.15748031496062992"/>
  <pageSetup paperSize="9" scale="66" fitToHeight="0" orientation="portrait" verticalDpi="300" r:id="rId1"/>
  <headerFooter alignWithMargins="0">
    <oddHeader>&amp;C&amp;"Arial,Fett Kursiv"&amp;16Absenzenerfassung -  &amp;A</oddHeader>
    <oddFooter>&amp;L&amp;Z&amp;F</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pageSetUpPr fitToPage="1"/>
  </sheetPr>
  <dimension ref="A1:Y61"/>
  <sheetViews>
    <sheetView showGridLines="0"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5"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c r="P1" s="10"/>
      <c r="Q1" s="58"/>
      <c r="R1" s="16"/>
      <c r="S1" s="20"/>
      <c r="T1" s="20"/>
      <c r="U1" s="16"/>
      <c r="V1" s="16"/>
      <c r="W1" s="16"/>
      <c r="X1" s="16"/>
      <c r="Y1" s="16"/>
    </row>
    <row r="2" spans="1:25" ht="6" customHeight="1" x14ac:dyDescent="0.15">
      <c r="D2" s="7"/>
      <c r="E2" s="7"/>
      <c r="F2" s="7"/>
      <c r="G2" s="7"/>
      <c r="H2" s="11"/>
      <c r="I2" s="7"/>
      <c r="J2" s="7"/>
      <c r="K2" s="7"/>
      <c r="L2" s="7"/>
      <c r="M2" s="5"/>
      <c r="N2" s="5"/>
      <c r="Q2" s="58"/>
      <c r="R2" s="16"/>
      <c r="S2" s="20"/>
      <c r="T2" s="20"/>
      <c r="U2" s="16"/>
      <c r="V2" s="16"/>
      <c r="W2" s="16"/>
      <c r="X2" s="16"/>
      <c r="Y2" s="16"/>
    </row>
    <row r="3" spans="1:25" x14ac:dyDescent="0.15">
      <c r="A3" s="636" t="str">
        <f>Para1!F165</f>
        <v xml:space="preserve">pers.-no.: </v>
      </c>
      <c r="B3" s="636"/>
      <c r="C3" s="237"/>
      <c r="D3" s="241">
        <f>'Jahresübersicht (Overview)'!C4</f>
        <v>0</v>
      </c>
      <c r="E3" s="7"/>
      <c r="F3" s="8" t="str">
        <f>Para1!F97&amp;": "</f>
        <v xml:space="preserve">level of employment: </v>
      </c>
      <c r="G3" s="29">
        <f>'Jahresübersicht (Overview)'!G8</f>
        <v>0</v>
      </c>
      <c r="H3" s="11" t="s">
        <v>215</v>
      </c>
      <c r="I3" s="58"/>
      <c r="J3" s="237"/>
      <c r="K3" s="246" t="str">
        <f>Para1!F113</f>
        <v xml:space="preserve">starting date: </v>
      </c>
      <c r="L3" s="247">
        <f>'Jahresübersicht (Overview)'!$G$4</f>
        <v>42596</v>
      </c>
      <c r="M3" s="243"/>
      <c r="N3" s="243"/>
      <c r="Q3" s="58"/>
      <c r="R3" s="16"/>
      <c r="S3" s="20"/>
      <c r="T3" s="20"/>
      <c r="U3" s="16"/>
      <c r="V3" s="16"/>
      <c r="W3" s="16"/>
      <c r="X3" s="16"/>
      <c r="Y3" s="16"/>
    </row>
    <row r="4" spans="1:25" ht="6" customHeight="1" x14ac:dyDescent="0.15">
      <c r="A4" s="12"/>
      <c r="B4" s="13"/>
      <c r="C4" s="13"/>
      <c r="D4" s="14"/>
      <c r="E4" s="14"/>
      <c r="F4" s="14"/>
      <c r="G4" s="14"/>
      <c r="H4" s="14"/>
      <c r="I4" s="15"/>
      <c r="J4" s="15"/>
      <c r="K4" s="15"/>
      <c r="L4" s="15"/>
      <c r="M4" s="13"/>
      <c r="N4" s="13"/>
      <c r="R4" s="16"/>
      <c r="S4" s="20"/>
      <c r="T4" s="20"/>
      <c r="U4" s="20"/>
      <c r="V4" s="47"/>
      <c r="W4" s="47"/>
      <c r="X4" s="48"/>
      <c r="Y4" s="16"/>
    </row>
    <row r="5" spans="1:25" ht="6" customHeight="1" x14ac:dyDescent="0.15">
      <c r="D5" s="7"/>
      <c r="E5" s="7"/>
      <c r="F5" s="7"/>
      <c r="G5" s="7"/>
      <c r="H5" s="7"/>
      <c r="I5" s="9"/>
      <c r="J5" s="9"/>
      <c r="K5" s="9"/>
      <c r="L5" s="9"/>
      <c r="R5" s="20"/>
      <c r="S5" s="20"/>
      <c r="T5" s="20"/>
      <c r="U5" s="20"/>
      <c r="V5" s="47"/>
      <c r="W5" s="47"/>
      <c r="X5" s="48"/>
      <c r="Y5" s="16"/>
    </row>
    <row r="6" spans="1:25" ht="15" customHeight="1" x14ac:dyDescent="0.15">
      <c r="D6" s="7"/>
      <c r="E6" s="21"/>
      <c r="F6" s="7"/>
      <c r="G6" s="7"/>
      <c r="H6" s="7"/>
      <c r="I6" s="9"/>
      <c r="J6" s="9"/>
      <c r="K6" s="9"/>
      <c r="L6" s="9"/>
      <c r="R6" s="7"/>
      <c r="S6" s="7"/>
      <c r="T6" s="7"/>
      <c r="U6" s="7"/>
      <c r="V6" s="5"/>
      <c r="W6" s="5"/>
      <c r="X6" s="9"/>
    </row>
    <row r="7" spans="1:25"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c r="P7" s="101"/>
    </row>
    <row r="8" spans="1:25" ht="15" customHeight="1" x14ac:dyDescent="0.15">
      <c r="D8" s="198" t="str">
        <f>Para1!B171&amp;" "&amp;Para1!B88&amp;" "&amp;Para1!B154</f>
        <v>Saldo Anfang Monat</v>
      </c>
      <c r="E8" s="201">
        <f>April!E11</f>
        <v>3.645833333333333</v>
      </c>
      <c r="H8" s="11"/>
      <c r="I8" s="21" t="str">
        <f>Para1!F141</f>
        <v>illness</v>
      </c>
      <c r="J8" s="242"/>
      <c r="K8" s="5"/>
      <c r="L8" s="161">
        <f>D54</f>
        <v>0</v>
      </c>
      <c r="M8" s="161">
        <f>April!N8</f>
        <v>0</v>
      </c>
      <c r="N8" s="93">
        <f t="shared" ref="N8:N13" si="0">SUM(L8:M8)</f>
        <v>0</v>
      </c>
    </row>
    <row r="9" spans="1:25"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April!N9</f>
        <v>0</v>
      </c>
      <c r="N9" s="93">
        <f t="shared" si="0"/>
        <v>0</v>
      </c>
      <c r="Q9" s="34"/>
    </row>
    <row r="10" spans="1:25" ht="15" customHeight="1" x14ac:dyDescent="0.15">
      <c r="D10" s="198" t="str">
        <f>"./ ."&amp;Para1!F119</f>
        <v>./ .reduction of holiday</v>
      </c>
      <c r="E10" s="530">
        <v>0</v>
      </c>
      <c r="H10" s="11"/>
      <c r="I10" s="21"/>
      <c r="J10" s="641" t="str">
        <f>Para1!F161&amp;" "&amp;Para1!F100</f>
        <v>not work. rel.</v>
      </c>
      <c r="K10" s="641"/>
      <c r="L10" s="161">
        <f>F54</f>
        <v>0</v>
      </c>
      <c r="M10" s="161">
        <f>April!N10</f>
        <v>0</v>
      </c>
      <c r="N10" s="93">
        <f t="shared" si="0"/>
        <v>0</v>
      </c>
      <c r="Q10" s="34"/>
    </row>
    <row r="11" spans="1:25" ht="15" customHeight="1" thickBot="1" x14ac:dyDescent="0.2">
      <c r="B11" s="251"/>
      <c r="C11" s="251"/>
      <c r="D11" s="246" t="str">
        <f>Para1!F171&amp;" "&amp;Para1!F115&amp;" "&amp;Para1!F154</f>
        <v>balance end of the month</v>
      </c>
      <c r="E11" s="202">
        <f>$E$8-$E$9-$E$10</f>
        <v>3.645833333333333</v>
      </c>
      <c r="H11" s="11"/>
      <c r="I11" s="49" t="str">
        <f>Para1!F142</f>
        <v>short vacation</v>
      </c>
      <c r="J11" s="5"/>
      <c r="K11" s="5"/>
      <c r="L11" s="161">
        <f>G54</f>
        <v>0</v>
      </c>
      <c r="M11" s="161">
        <f>April!N11</f>
        <v>0</v>
      </c>
      <c r="N11" s="93">
        <f t="shared" si="0"/>
        <v>0</v>
      </c>
    </row>
    <row r="12" spans="1:25" ht="15" customHeight="1" thickTop="1" x14ac:dyDescent="0.15">
      <c r="B12" s="542" t="str">
        <f>IF((E11*24+(4.2*'Persönliche Daten (pers. data)'!O8/100))&lt;0,Para1!J224,IF(E11&gt;0,"",Para1!J223))</f>
        <v/>
      </c>
      <c r="H12" s="11"/>
      <c r="I12" s="24" t="str">
        <f>Para1!F198</f>
        <v>training / education</v>
      </c>
      <c r="J12" s="5"/>
      <c r="K12" s="5"/>
      <c r="L12" s="161">
        <f>H54</f>
        <v>0</v>
      </c>
      <c r="M12" s="161">
        <f>April!N12</f>
        <v>0</v>
      </c>
      <c r="N12" s="93">
        <f t="shared" si="0"/>
        <v>0</v>
      </c>
    </row>
    <row r="13" spans="1:25"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April!N13</f>
        <v>0</v>
      </c>
      <c r="N13" s="93">
        <f t="shared" si="0"/>
        <v>0</v>
      </c>
    </row>
    <row r="14" spans="1:25"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April!N14</f>
        <v>0</v>
      </c>
      <c r="N14" s="93">
        <f>SUM(L14:M14)</f>
        <v>0</v>
      </c>
      <c r="O14" s="299" t="e">
        <f>INDEX(U23:U53,MATCH("b",U23:U53,0))</f>
        <v>#N/A</v>
      </c>
      <c r="P14" s="299" t="e">
        <f>INDEX(V23:V53,MATCH("b",V23:V53,0))</f>
        <v>#N/A</v>
      </c>
    </row>
    <row r="15" spans="1:25"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April!N15</f>
        <v>0</v>
      </c>
      <c r="N15" s="93">
        <f>SUM(L15:M15)</f>
        <v>0</v>
      </c>
      <c r="O15" s="299" t="e">
        <f>INDEX(U23:U53,MATCH("u",U23:U53,0))</f>
        <v>#N/A</v>
      </c>
      <c r="P15" s="299" t="e">
        <f>INDEX(V23:V53,MATCH("u",V23:V53,0))</f>
        <v>#N/A</v>
      </c>
    </row>
    <row r="16" spans="1:25"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April!N16</f>
        <v>0</v>
      </c>
      <c r="N16" s="93">
        <f>SUM(L16:M16)</f>
        <v>0</v>
      </c>
      <c r="O16" s="299" t="e">
        <f>INDEX(U23:U53,MATCH("m",U23:U53,0))</f>
        <v>#N/A</v>
      </c>
      <c r="P16" s="299" t="e">
        <f>INDEX(V23:V53,MATCH("m",V23:V53,0))</f>
        <v>#N/A</v>
      </c>
    </row>
    <row r="17" spans="1:23" ht="15" customHeight="1" x14ac:dyDescent="0.15">
      <c r="B17" s="303" t="s">
        <v>424</v>
      </c>
      <c r="C17" s="655" t="str">
        <f>Para1!F192&amp;" "&amp;Para1!F101</f>
        <v>leave paid</v>
      </c>
      <c r="D17" s="655"/>
      <c r="E17" s="656"/>
      <c r="G17" s="182"/>
      <c r="H17" s="182"/>
      <c r="I17" s="21" t="str">
        <f>Para1!F150</f>
        <v>military/civil def./civil serv.</v>
      </c>
      <c r="J17" s="58"/>
      <c r="K17" s="58"/>
      <c r="L17" s="249">
        <f>COUNTIF($K$23:$L$53,"z")*$P$55-IF(ISNA(O17),0,(($S$54+$T$54)/100*$G$3)/48)-IF(ISNA(P17),0,(($S$54+$T$54)/100*$G$3)/48)</f>
        <v>0</v>
      </c>
      <c r="M17" s="161">
        <f>April!N17</f>
        <v>0</v>
      </c>
      <c r="N17" s="93">
        <f>SUM(L17:M17)</f>
        <v>0</v>
      </c>
      <c r="O17" s="299" t="e">
        <f>INDEX(U23:U53,MATCH("z",U23:U53,0))</f>
        <v>#N/A</v>
      </c>
      <c r="P17" s="299" t="e">
        <f>INDEX(V23:V53,MATCH("z",V23:V53,0))</f>
        <v>#N/A</v>
      </c>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row>
    <row r="19" spans="1:23" ht="35.25" customHeight="1" thickTop="1" thickBot="1" x14ac:dyDescent="0.2">
      <c r="A19" s="25" t="str">
        <f>Para1!F104</f>
        <v>(please enter in hours and minutes)</v>
      </c>
      <c r="B19" s="7"/>
      <c r="C19" s="7"/>
      <c r="D19" s="7"/>
      <c r="E19" s="7"/>
      <c r="F19" s="7"/>
      <c r="G19" s="7"/>
      <c r="H19" s="7"/>
      <c r="I19" s="9"/>
      <c r="J19" s="9"/>
      <c r="K19" s="9"/>
      <c r="L19" s="9"/>
      <c r="O19" s="7"/>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x14ac:dyDescent="0.2">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3" s="26" customFormat="1" ht="15.75" customHeight="1" thickBot="1" x14ac:dyDescent="0.25">
      <c r="A22" s="639" t="str">
        <f>Para1!F106</f>
        <v>date</v>
      </c>
      <c r="B22" s="640"/>
      <c r="C22" s="536"/>
      <c r="D22" s="649"/>
      <c r="E22" s="660"/>
      <c r="F22" s="658"/>
      <c r="G22" s="659"/>
      <c r="H22" s="647"/>
      <c r="I22" s="638"/>
      <c r="J22" s="257"/>
      <c r="K22" s="668"/>
      <c r="L22" s="666"/>
      <c r="M22" s="196"/>
      <c r="N22" s="250"/>
      <c r="O22" s="250"/>
      <c r="P22" s="633"/>
      <c r="Q22" s="635"/>
    </row>
    <row r="23" spans="1:23" s="39" customFormat="1" ht="17" customHeight="1" thickTop="1" x14ac:dyDescent="0.15">
      <c r="A23" s="27" t="s">
        <v>4</v>
      </c>
      <c r="B23" s="153" t="str">
        <f>IF(April!B52=Para1!$F$153,Para1!$F$109,IF(April!B52=Para1!$F$109,Para1!$F$148,IF(April!B52=Para1!$F$148,Para1!$F$111,IF(April!B52=Para1!$F$111,Para1!$F$120,IF(April!B52=Para1!$F$120,Para1!$F$170,IF(April!B52=Para1!$F$170,Para1!$F$173,Para1!$F$153))))))</f>
        <v>Fri</v>
      </c>
      <c r="C23" s="186"/>
      <c r="D23" s="293"/>
      <c r="E23" s="294"/>
      <c r="F23" s="295"/>
      <c r="G23" s="294"/>
      <c r="H23" s="294"/>
      <c r="I23" s="296"/>
      <c r="J23" s="258"/>
      <c r="K23" s="382"/>
      <c r="L23" s="379"/>
      <c r="M23" s="131"/>
      <c r="N23" s="197"/>
      <c r="O23" s="299"/>
      <c r="P23" s="366">
        <f>April!P46</f>
        <v>1</v>
      </c>
      <c r="Q23" s="366">
        <f>April!Q46</f>
        <v>1</v>
      </c>
      <c r="R23" s="299" t="str">
        <f>IF(VLOOKUP(A23,Para1!$B$67:$E$72,2,FALSE)="5.",VLOOKUP(A23,Para1!$B$67:$E$72,3,FALSE),"")</f>
        <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s="39" customFormat="1" ht="17" customHeight="1" x14ac:dyDescent="0.15">
      <c r="A24" s="27" t="s">
        <v>6</v>
      </c>
      <c r="B24" s="153" t="str">
        <f>IF(B23=Para1!$F$153,Para1!$F$109,IF(B23=Para1!$F$109,Para1!$F$148,IF(B23=Para1!$F$148,Para1!$F$111,IF(B23=Para1!$F$111,Para1!$F$120,IF(B23=Para1!$F$120,Para1!$F$170,IF(B23=Para1!$F$170,Para1!$F$173,Para1!$F$153))))))</f>
        <v>Sat</v>
      </c>
      <c r="C24" s="186"/>
      <c r="D24" s="293"/>
      <c r="E24" s="294"/>
      <c r="F24" s="295"/>
      <c r="G24" s="294"/>
      <c r="H24" s="294"/>
      <c r="I24" s="296"/>
      <c r="J24" s="258"/>
      <c r="K24" s="382"/>
      <c r="L24" s="379"/>
      <c r="M24" s="131"/>
      <c r="N24" s="197"/>
      <c r="O24" s="299"/>
      <c r="P24" s="366">
        <f>April!P47</f>
        <v>0</v>
      </c>
      <c r="Q24" s="366">
        <f>April!Q47</f>
        <v>0</v>
      </c>
      <c r="R24" s="299" t="e">
        <f>IF(VLOOKUP(A24,Para1!$B$67:$E$72,2,FALSE)="5.",VLOOKUP(A24,Para1!$B$67:$E$72,3,FALSE),"")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x14ac:dyDescent="0.15">
      <c r="A25" s="102" t="s">
        <v>8</v>
      </c>
      <c r="B25" s="153" t="str">
        <f>IF(B24=Para1!$F$153,Para1!$F$109,IF(B24=Para1!$F$109,Para1!$F$148,IF(B24=Para1!$F$148,Para1!$F$111,IF(B24=Para1!$F$111,Para1!$F$120,IF(B24=Para1!$F$120,Para1!$F$170,IF(B24=Para1!$F$170,Para1!$F$173,Para1!$F$153))))))</f>
        <v>Sun</v>
      </c>
      <c r="C25" s="186"/>
      <c r="D25" s="293"/>
      <c r="E25" s="294"/>
      <c r="F25" s="295"/>
      <c r="G25" s="294"/>
      <c r="H25" s="294"/>
      <c r="I25" s="296"/>
      <c r="J25" s="258"/>
      <c r="K25" s="382"/>
      <c r="L25" s="379"/>
      <c r="M25" s="129"/>
      <c r="N25" s="197"/>
      <c r="O25" s="299"/>
      <c r="P25" s="366">
        <f>April!P48</f>
        <v>0</v>
      </c>
      <c r="Q25" s="366">
        <f>April!Q48</f>
        <v>0</v>
      </c>
      <c r="R25" s="299" t="e">
        <f>IF(VLOOKUP(A25,Para1!$B$67:$E$72,2,FALSE)="5.",VLOOKUP(A25,Para1!$B$67:$E$72,3,FALSE),"")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x14ac:dyDescent="0.15">
      <c r="A26" s="102" t="s">
        <v>10</v>
      </c>
      <c r="B26" s="153" t="str">
        <f>IF(B25=Para1!$F$153,Para1!$F$109,IF(B25=Para1!$F$109,Para1!$F$148,IF(B25=Para1!$F$148,Para1!$F$111,IF(B25=Para1!$F$111,Para1!$F$120,IF(B25=Para1!$F$120,Para1!$F$170,IF(B25=Para1!$F$170,Para1!$F$173,Para1!$F$153))))))</f>
        <v>Mon</v>
      </c>
      <c r="C26" s="186"/>
      <c r="D26" s="293"/>
      <c r="E26" s="294"/>
      <c r="F26" s="295"/>
      <c r="G26" s="294"/>
      <c r="H26" s="294"/>
      <c r="I26" s="296"/>
      <c r="J26" s="258"/>
      <c r="K26" s="382"/>
      <c r="L26" s="379"/>
      <c r="M26" s="129"/>
      <c r="N26" s="197"/>
      <c r="O26" s="299"/>
      <c r="P26" s="366">
        <f>April!P49</f>
        <v>1</v>
      </c>
      <c r="Q26" s="366">
        <f>April!Q49</f>
        <v>1</v>
      </c>
      <c r="R26" s="299" t="e">
        <f>IF(VLOOKUP(A26,Para1!$B$67:$E$72,2,FALSE)="5.",VLOOKUP(A26,Para1!$B$67:$E$72,3,FALSE),"")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ht="17" customHeight="1" x14ac:dyDescent="0.15">
      <c r="A27" s="102" t="s">
        <v>12</v>
      </c>
      <c r="B27" s="153" t="str">
        <f>IF(B26=Para1!$F$153,Para1!$F$109,IF(B26=Para1!$F$109,Para1!$F$148,IF(B26=Para1!$F$148,Para1!$F$111,IF(B26=Para1!$F$111,Para1!$F$120,IF(B26=Para1!$F$120,Para1!$F$170,IF(B26=Para1!$F$170,Para1!$F$173,Para1!$F$153))))))</f>
        <v>Tue</v>
      </c>
      <c r="C27" s="185"/>
      <c r="D27" s="293"/>
      <c r="E27" s="294"/>
      <c r="F27" s="295"/>
      <c r="G27" s="294"/>
      <c r="H27" s="294"/>
      <c r="I27" s="296"/>
      <c r="J27" s="258"/>
      <c r="K27" s="382"/>
      <c r="L27" s="379"/>
      <c r="M27" s="129"/>
      <c r="N27" s="197"/>
      <c r="O27" s="299"/>
      <c r="P27" s="366">
        <f>April!P50</f>
        <v>1</v>
      </c>
      <c r="Q27" s="366">
        <f>April!Q50</f>
        <v>1</v>
      </c>
      <c r="R27" s="299" t="e">
        <f>IF(VLOOKUP(A27,Para1!$B$67:$E$72,2,FALSE)="5.",VLOOKUP(A27,Para1!$B$67:$E$72,3,FALSE),"")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ht="17" customHeight="1" x14ac:dyDescent="0.15">
      <c r="A28" s="27" t="s">
        <v>14</v>
      </c>
      <c r="B28" s="153" t="str">
        <f>IF(B27=Para1!$F$153,Para1!$F$109,IF(B27=Para1!$F$109,Para1!$F$148,IF(B27=Para1!$F$148,Para1!$F$111,IF(B27=Para1!$F$111,Para1!$F$120,IF(B27=Para1!$F$120,Para1!$F$170,IF(B27=Para1!$F$170,Para1!$F$173,Para1!$F$153))))))</f>
        <v>Wed</v>
      </c>
      <c r="C28" s="185"/>
      <c r="D28" s="293"/>
      <c r="E28" s="294"/>
      <c r="F28" s="295"/>
      <c r="G28" s="294"/>
      <c r="H28" s="294"/>
      <c r="I28" s="296"/>
      <c r="J28" s="258"/>
      <c r="K28" s="382"/>
      <c r="L28" s="379"/>
      <c r="M28" s="129"/>
      <c r="N28" s="197"/>
      <c r="O28" s="299"/>
      <c r="P28" s="366">
        <f>April!P51</f>
        <v>1</v>
      </c>
      <c r="Q28" s="366">
        <f>April!Q51</f>
        <v>1</v>
      </c>
      <c r="R28" s="299" t="e">
        <f>IF(VLOOKUP(A28,Para1!$B$67:$E$72,2,FALSE)="5.",VLOOKUP(A28,Para1!$B$67:$E$72,3,FALSE),"")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x14ac:dyDescent="0.15">
      <c r="A29" s="102" t="s">
        <v>16</v>
      </c>
      <c r="B29" s="153" t="str">
        <f>IF(B28=Para1!$F$153,Para1!$F$109,IF(B28=Para1!$F$109,Para1!$F$148,IF(B28=Para1!$F$148,Para1!$F$111,IF(B28=Para1!$F$111,Para1!$F$120,IF(B28=Para1!$F$120,Para1!$F$170,IF(B28=Para1!$F$170,Para1!$F$173,Para1!$F$153))))))</f>
        <v>Thu</v>
      </c>
      <c r="C29" s="186"/>
      <c r="D29" s="293"/>
      <c r="E29" s="294"/>
      <c r="F29" s="295"/>
      <c r="G29" s="294"/>
      <c r="H29" s="294"/>
      <c r="I29" s="296"/>
      <c r="J29" s="258"/>
      <c r="K29" s="382"/>
      <c r="L29" s="379"/>
      <c r="M29" s="129"/>
      <c r="N29" s="197"/>
      <c r="O29" s="299"/>
      <c r="P29" s="366">
        <f>April!P52</f>
        <v>1</v>
      </c>
      <c r="Q29" s="366">
        <f>April!Q52</f>
        <v>1</v>
      </c>
      <c r="R29" s="299" t="e">
        <f>IF(VLOOKUP(A29,Para1!$B$67:$E$72,2,FALSE)="5.",VLOOKUP(A29,Para1!$B$67:$E$72,3,FALSE),"")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s="39" customFormat="1" ht="17" customHeight="1" x14ac:dyDescent="0.15">
      <c r="A30" s="27" t="s">
        <v>18</v>
      </c>
      <c r="B30" s="153" t="str">
        <f>IF(B29=Para1!$F$153,Para1!$F$109,IF(B29=Para1!$F$109,Para1!$F$148,IF(B29=Para1!$F$148,Para1!$F$111,IF(B29=Para1!$F$111,Para1!$F$120,IF(B29=Para1!$F$120,Para1!$F$170,IF(B29=Para1!$F$170,Para1!$F$173,Para1!$F$153))))))</f>
        <v>Fri</v>
      </c>
      <c r="C30" s="186"/>
      <c r="D30" s="293"/>
      <c r="E30" s="294"/>
      <c r="F30" s="295"/>
      <c r="G30" s="294"/>
      <c r="H30" s="294"/>
      <c r="I30" s="296"/>
      <c r="J30" s="258"/>
      <c r="K30" s="382"/>
      <c r="L30" s="379"/>
      <c r="M30" s="129"/>
      <c r="N30" s="197"/>
      <c r="O30" s="299"/>
      <c r="P30" s="367">
        <f>P23</f>
        <v>1</v>
      </c>
      <c r="Q30" s="367">
        <f>Q23</f>
        <v>1</v>
      </c>
      <c r="R30" s="299" t="e">
        <f>IF(VLOOKUP(A30,Para1!$B$67:$E$72,2,FALSE)="5.",VLOOKUP(A30,Para1!$B$67:$E$72,3,FALSE),"")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s="39" customFormat="1" ht="17" customHeight="1" x14ac:dyDescent="0.15">
      <c r="A31" s="27" t="s">
        <v>19</v>
      </c>
      <c r="B31" s="153" t="str">
        <f>IF(B30=Para1!$F$153,Para1!$F$109,IF(B30=Para1!$F$109,Para1!$F$148,IF(B30=Para1!$F$148,Para1!$F$111,IF(B30=Para1!$F$111,Para1!$F$120,IF(B30=Para1!$F$120,Para1!$F$170,IF(B30=Para1!$F$170,Para1!$F$173,Para1!$F$153))))))</f>
        <v>Sat</v>
      </c>
      <c r="C31" s="186"/>
      <c r="D31" s="293"/>
      <c r="E31" s="294"/>
      <c r="F31" s="295"/>
      <c r="G31" s="294"/>
      <c r="H31" s="294"/>
      <c r="I31" s="296"/>
      <c r="J31" s="258"/>
      <c r="K31" s="382"/>
      <c r="L31" s="379"/>
      <c r="M31" s="129"/>
      <c r="N31" s="197"/>
      <c r="O31" s="299"/>
      <c r="P31" s="367">
        <f t="shared" ref="P31:Q36" si="6">P24</f>
        <v>0</v>
      </c>
      <c r="Q31" s="367">
        <f t="shared" si="6"/>
        <v>0</v>
      </c>
      <c r="R31" s="299" t="e">
        <f>IF(VLOOKUP(A31,Para1!$B$67:$E$72,2,FALSE)="5.",VLOOKUP(A31,Para1!$B$67:$E$72,3,FALSE),"")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x14ac:dyDescent="0.15">
      <c r="A32" s="102" t="s">
        <v>20</v>
      </c>
      <c r="B32" s="153" t="str">
        <f>IF(B31=Para1!$F$153,Para1!$F$109,IF(B31=Para1!$F$109,Para1!$F$148,IF(B31=Para1!$F$148,Para1!$F$111,IF(B31=Para1!$F$111,Para1!$F$120,IF(B31=Para1!$F$120,Para1!$F$170,IF(B31=Para1!$F$170,Para1!$F$173,Para1!$F$153))))))</f>
        <v>Sun</v>
      </c>
      <c r="C32" s="186"/>
      <c r="D32" s="293"/>
      <c r="E32" s="294"/>
      <c r="F32" s="295"/>
      <c r="G32" s="294"/>
      <c r="H32" s="294"/>
      <c r="I32" s="296"/>
      <c r="J32" s="258"/>
      <c r="K32" s="382"/>
      <c r="L32" s="379"/>
      <c r="M32" s="129"/>
      <c r="N32" s="197"/>
      <c r="O32" s="299"/>
      <c r="P32" s="367">
        <f t="shared" si="6"/>
        <v>0</v>
      </c>
      <c r="Q32" s="367">
        <f t="shared" si="6"/>
        <v>0</v>
      </c>
      <c r="R32" s="299" t="str">
        <f>IF(VLOOKUP(A32,Para1!$B$67:$E$72,2,FALSE)="5.",VLOOKUP(A32,Para1!$B$67:$E$72,3,FALSE),"")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x14ac:dyDescent="0.15">
      <c r="A33" s="102" t="s">
        <v>21</v>
      </c>
      <c r="B33" s="153" t="str">
        <f>IF(B32=Para1!$F$153,Para1!$F$109,IF(B32=Para1!$F$109,Para1!$F$148,IF(B32=Para1!$F$148,Para1!$F$111,IF(B32=Para1!$F$111,Para1!$F$120,IF(B32=Para1!$F$120,Para1!$F$170,IF(B32=Para1!$F$170,Para1!$F$173,Para1!$F$153))))))</f>
        <v>Mon</v>
      </c>
      <c r="C33" s="186"/>
      <c r="D33" s="293"/>
      <c r="E33" s="294"/>
      <c r="F33" s="295"/>
      <c r="G33" s="294"/>
      <c r="H33" s="294"/>
      <c r="I33" s="296"/>
      <c r="J33" s="258"/>
      <c r="K33" s="382"/>
      <c r="L33" s="379"/>
      <c r="M33" s="129"/>
      <c r="N33" s="197"/>
      <c r="O33" s="299"/>
      <c r="P33" s="367">
        <f t="shared" si="6"/>
        <v>1</v>
      </c>
      <c r="Q33" s="367">
        <f t="shared" si="6"/>
        <v>1</v>
      </c>
      <c r="R33" s="299" t="e">
        <f>IF(VLOOKUP(A33,Para1!$B$67:$E$72,2,FALSE)="5.",VLOOKUP(A33,Para1!$B$67:$E$72,3,FALSE),"")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ht="17" customHeight="1" x14ac:dyDescent="0.15">
      <c r="A34" s="102" t="s">
        <v>22</v>
      </c>
      <c r="B34" s="153" t="str">
        <f>IF(B33=Para1!$F$153,Para1!$F$109,IF(B33=Para1!$F$109,Para1!$F$148,IF(B33=Para1!$F$148,Para1!$F$111,IF(B33=Para1!$F$111,Para1!$F$120,IF(B33=Para1!$F$120,Para1!$F$170,IF(B33=Para1!$F$170,Para1!$F$173,Para1!$F$153))))))</f>
        <v>Tue</v>
      </c>
      <c r="C34" s="185"/>
      <c r="D34" s="293"/>
      <c r="E34" s="294"/>
      <c r="F34" s="295"/>
      <c r="G34" s="294"/>
      <c r="H34" s="294"/>
      <c r="I34" s="296"/>
      <c r="J34" s="258"/>
      <c r="K34" s="382"/>
      <c r="L34" s="379"/>
      <c r="M34" s="129"/>
      <c r="N34" s="197"/>
      <c r="O34" s="299"/>
      <c r="P34" s="367">
        <f t="shared" si="6"/>
        <v>1</v>
      </c>
      <c r="Q34" s="367">
        <f t="shared" si="6"/>
        <v>1</v>
      </c>
      <c r="R34" s="299" t="str">
        <f>IF(VLOOKUP(A34,Para1!$B$67:$E$72,2,FALSE)="5.",VLOOKUP(A34,Para1!$B$67:$E$72,3,FALSE),"")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ht="17" customHeight="1" x14ac:dyDescent="0.15">
      <c r="A35" s="27" t="s">
        <v>23</v>
      </c>
      <c r="B35" s="153" t="str">
        <f>IF(B34=Para1!$F$153,Para1!$F$109,IF(B34=Para1!$F$109,Para1!$F$148,IF(B34=Para1!$F$148,Para1!$F$111,IF(B34=Para1!$F$111,Para1!$F$120,IF(B34=Para1!$F$120,Para1!$F$170,IF(B34=Para1!$F$170,Para1!$F$173,Para1!$F$153))))))</f>
        <v>Wed</v>
      </c>
      <c r="C35" s="185"/>
      <c r="D35" s="293"/>
      <c r="E35" s="294"/>
      <c r="F35" s="295"/>
      <c r="G35" s="294"/>
      <c r="H35" s="294"/>
      <c r="I35" s="296"/>
      <c r="J35" s="258"/>
      <c r="K35" s="382"/>
      <c r="L35" s="379"/>
      <c r="M35" s="129"/>
      <c r="N35" s="197"/>
      <c r="O35" s="299"/>
      <c r="P35" s="367">
        <f t="shared" si="6"/>
        <v>1</v>
      </c>
      <c r="Q35" s="367">
        <f t="shared" si="6"/>
        <v>1</v>
      </c>
      <c r="R35" s="299" t="str">
        <f>IF(VLOOKUP(A35,Para1!$B$67:$E$72,2,FALSE)="5.",VLOOKUP(A35,Para1!$B$67:$E$72,3,FALSE),"")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x14ac:dyDescent="0.15">
      <c r="A36" s="102" t="s">
        <v>24</v>
      </c>
      <c r="B36" s="153" t="str">
        <f>IF(B35=Para1!$F$153,Para1!$F$109,IF(B35=Para1!$F$109,Para1!$F$148,IF(B35=Para1!$F$148,Para1!$F$111,IF(B35=Para1!$F$111,Para1!$F$120,IF(B35=Para1!$F$120,Para1!$F$170,IF(B35=Para1!$F$170,Para1!$F$173,Para1!$F$153))))))</f>
        <v>Thu</v>
      </c>
      <c r="C36" s="186"/>
      <c r="D36" s="293"/>
      <c r="E36" s="294"/>
      <c r="F36" s="295"/>
      <c r="G36" s="294"/>
      <c r="H36" s="294"/>
      <c r="I36" s="296"/>
      <c r="J36" s="258"/>
      <c r="K36" s="382"/>
      <c r="L36" s="379"/>
      <c r="M36" s="129"/>
      <c r="N36" s="197"/>
      <c r="O36" s="299"/>
      <c r="P36" s="367">
        <f t="shared" si="6"/>
        <v>1</v>
      </c>
      <c r="Q36" s="367">
        <f t="shared" si="6"/>
        <v>1</v>
      </c>
      <c r="R36" s="299" t="e">
        <f>IF(VLOOKUP(A36,Para1!$B$67:$E$72,2,FALSE)="5.",VLOOKUP(A36,Para1!$B$67:$E$72,3,FALSE),"")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s="39" customFormat="1" ht="17" customHeight="1" x14ac:dyDescent="0.15">
      <c r="A37" s="27" t="s">
        <v>25</v>
      </c>
      <c r="B37" s="153" t="str">
        <f>IF(B36=Para1!$F$153,Para1!$F$109,IF(B36=Para1!$F$109,Para1!$F$148,IF(B36=Para1!$F$148,Para1!$F$111,IF(B36=Para1!$F$111,Para1!$F$120,IF(B36=Para1!$F$120,Para1!$F$170,IF(B36=Para1!$F$170,Para1!$F$173,Para1!$F$153))))))</f>
        <v>Fri</v>
      </c>
      <c r="C37" s="186"/>
      <c r="D37" s="293"/>
      <c r="E37" s="294"/>
      <c r="F37" s="295"/>
      <c r="G37" s="294"/>
      <c r="H37" s="294"/>
      <c r="I37" s="296"/>
      <c r="J37" s="258"/>
      <c r="K37" s="382"/>
      <c r="L37" s="379"/>
      <c r="M37" s="129"/>
      <c r="N37" s="197"/>
      <c r="O37" s="299"/>
      <c r="P37" s="367">
        <f>P30</f>
        <v>1</v>
      </c>
      <c r="Q37" s="367">
        <f>Q30</f>
        <v>1</v>
      </c>
      <c r="R37" s="299" t="e">
        <f>IF(VLOOKUP(A37,Para1!$B$67:$E$72,2,FALSE)="5.",VLOOKUP(A37,Para1!$B$67:$E$72,3,FALSE),"")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s="39" customFormat="1" ht="17" customHeight="1" x14ac:dyDescent="0.15">
      <c r="A38" s="27" t="s">
        <v>26</v>
      </c>
      <c r="B38" s="153" t="str">
        <f>IF(B37=Para1!$F$153,Para1!$F$109,IF(B37=Para1!$F$109,Para1!$F$148,IF(B37=Para1!$F$148,Para1!$F$111,IF(B37=Para1!$F$111,Para1!$F$120,IF(B37=Para1!$F$120,Para1!$F$170,IF(B37=Para1!$F$170,Para1!$F$173,Para1!$F$153))))))</f>
        <v>Sat</v>
      </c>
      <c r="C38" s="186"/>
      <c r="D38" s="293"/>
      <c r="E38" s="294"/>
      <c r="F38" s="295"/>
      <c r="G38" s="294"/>
      <c r="H38" s="294"/>
      <c r="I38" s="296"/>
      <c r="J38" s="258"/>
      <c r="K38" s="382"/>
      <c r="L38" s="379"/>
      <c r="M38" s="129"/>
      <c r="N38" s="197"/>
      <c r="O38" s="299"/>
      <c r="P38" s="367">
        <f t="shared" ref="P38:Q41" si="7">P31</f>
        <v>0</v>
      </c>
      <c r="Q38" s="367">
        <f t="shared" si="7"/>
        <v>0</v>
      </c>
      <c r="R38" s="299" t="e">
        <f>IF(VLOOKUP(A38,Para1!$B$67:$E$72,2,FALSE)="5.",VLOOKUP(A38,Para1!$B$67:$E$72,3,FALSE),"")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x14ac:dyDescent="0.15">
      <c r="A39" s="102" t="s">
        <v>27</v>
      </c>
      <c r="B39" s="153" t="str">
        <f>IF(B38=Para1!$F$153,Para1!$F$109,IF(B38=Para1!$F$109,Para1!$F$148,IF(B38=Para1!$F$148,Para1!$F$111,IF(B38=Para1!$F$111,Para1!$F$120,IF(B38=Para1!$F$120,Para1!$F$170,IF(B38=Para1!$F$170,Para1!$F$173,Para1!$F$153))))))</f>
        <v>Sun</v>
      </c>
      <c r="C39" s="185"/>
      <c r="D39" s="293"/>
      <c r="E39" s="294"/>
      <c r="F39" s="295"/>
      <c r="G39" s="294"/>
      <c r="H39" s="294"/>
      <c r="I39" s="296"/>
      <c r="J39" s="258"/>
      <c r="K39" s="382"/>
      <c r="L39" s="379"/>
      <c r="M39" s="129"/>
      <c r="N39" s="197"/>
      <c r="O39" s="299"/>
      <c r="P39" s="367">
        <f t="shared" si="7"/>
        <v>0</v>
      </c>
      <c r="Q39" s="367">
        <f t="shared" si="7"/>
        <v>0</v>
      </c>
      <c r="R39" s="299" t="e">
        <f>IF(VLOOKUP(A39,Para1!$B$67:$E$72,2,FALSE)="5.",VLOOKUP(A39,Para1!$B$67:$E$72,3,FALSE),"")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x14ac:dyDescent="0.15">
      <c r="A40" s="102" t="s">
        <v>28</v>
      </c>
      <c r="B40" s="153" t="str">
        <f>IF(B39=Para1!$F$153,Para1!$F$109,IF(B39=Para1!$F$109,Para1!$F$148,IF(B39=Para1!$F$148,Para1!$F$111,IF(B39=Para1!$F$111,Para1!$F$120,IF(B39=Para1!$F$120,Para1!$F$170,IF(B39=Para1!$F$170,Para1!$F$173,Para1!$F$153))))))</f>
        <v>Mon</v>
      </c>
      <c r="C40" s="186"/>
      <c r="D40" s="293"/>
      <c r="E40" s="294"/>
      <c r="F40" s="295"/>
      <c r="G40" s="294"/>
      <c r="H40" s="294"/>
      <c r="I40" s="296"/>
      <c r="J40" s="258"/>
      <c r="K40" s="382"/>
      <c r="L40" s="379"/>
      <c r="M40" s="129"/>
      <c r="N40" s="197"/>
      <c r="O40" s="299"/>
      <c r="P40" s="367">
        <f t="shared" si="7"/>
        <v>1</v>
      </c>
      <c r="Q40" s="367">
        <f t="shared" si="7"/>
        <v>1</v>
      </c>
      <c r="R40" s="299" t="e">
        <f>IF(VLOOKUP(A40,Para1!$B$67:$E$72,2,FALSE)="5.",VLOOKUP(A40,Para1!$B$67:$E$72,3,FALSE),"")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ht="17" customHeight="1" x14ac:dyDescent="0.15">
      <c r="A41" s="102" t="s">
        <v>29</v>
      </c>
      <c r="B41" s="153" t="str">
        <f>IF(B40=Para1!$F$153,Para1!$F$109,IF(B40=Para1!$F$109,Para1!$F$148,IF(B40=Para1!$F$148,Para1!$F$111,IF(B40=Para1!$F$111,Para1!$F$120,IF(B40=Para1!$F$120,Para1!$F$170,IF(B40=Para1!$F$170,Para1!$F$173,Para1!$F$153))))))</f>
        <v>Tue</v>
      </c>
      <c r="C41" s="185"/>
      <c r="D41" s="293"/>
      <c r="E41" s="294"/>
      <c r="F41" s="295"/>
      <c r="G41" s="294"/>
      <c r="H41" s="294"/>
      <c r="I41" s="296"/>
      <c r="J41" s="258"/>
      <c r="K41" s="382"/>
      <c r="L41" s="379"/>
      <c r="M41" s="129"/>
      <c r="N41" s="197"/>
      <c r="O41" s="299"/>
      <c r="P41" s="367">
        <f t="shared" si="7"/>
        <v>1</v>
      </c>
      <c r="Q41" s="367">
        <f t="shared" si="7"/>
        <v>1</v>
      </c>
      <c r="R41" s="299" t="e">
        <f>IF(VLOOKUP(A41,Para1!$B$67:$E$72,2,FALSE)="5.",VLOOKUP(A41,Para1!$B$67:$E$72,3,FALSE),"")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s="39" customFormat="1" ht="17" customHeight="1" x14ac:dyDescent="0.15">
      <c r="A42" s="27" t="s">
        <v>30</v>
      </c>
      <c r="B42" s="153" t="str">
        <f>IF(B41=Para1!$F$153,Para1!$F$109,IF(B41=Para1!$F$109,Para1!$F$148,IF(B41=Para1!$F$148,Para1!$F$111,IF(B41=Para1!$F$111,Para1!$F$120,IF(B41=Para1!$F$120,Para1!$F$170,IF(B41=Para1!$F$170,Para1!$F$173,Para1!$F$153))))))</f>
        <v>Wed</v>
      </c>
      <c r="C42" s="185"/>
      <c r="D42" s="293"/>
      <c r="E42" s="294"/>
      <c r="F42" s="295"/>
      <c r="G42" s="294"/>
      <c r="H42" s="294"/>
      <c r="I42" s="296"/>
      <c r="J42" s="258"/>
      <c r="K42" s="382"/>
      <c r="L42" s="379"/>
      <c r="M42" s="129"/>
      <c r="N42" s="197"/>
      <c r="O42" s="299"/>
      <c r="P42" s="367">
        <f>P35</f>
        <v>1</v>
      </c>
      <c r="Q42" s="367">
        <f>Q35</f>
        <v>1</v>
      </c>
      <c r="R42" s="299" t="e">
        <f>IF(VLOOKUP(A42,Para1!$B$67:$E$72,2,FALSE)="5.",VLOOKUP(A42,Para1!$B$67:$E$72,3,FALSE),"")</f>
        <v>#N/A</v>
      </c>
      <c r="S42" s="299" t="str">
        <f>IF((P42+Q42)=0,"",IF(ISNA(R42),"",IF(R42="","",VLOOKUP(R42,Para1!$D$67:$G$79,3,FALSE)*(IF(P42+Q42=1,0.5,1)))))</f>
        <v/>
      </c>
      <c r="T42" s="299">
        <f>IF(P42+Q42=0,"",IF(ISNA(R43),"",IF(R43="","",VLOOKUP(R43,Para1!$D$67:$G$79,4,FALSE)*(IF(P42+Q42=1,0.5,1)))))</f>
        <v>1</v>
      </c>
      <c r="U42" s="299">
        <f t="shared" si="3"/>
        <v>0</v>
      </c>
      <c r="V42" s="299">
        <f t="shared" si="4"/>
        <v>0</v>
      </c>
      <c r="W42" s="299">
        <f t="shared" si="5"/>
        <v>0</v>
      </c>
    </row>
    <row r="43" spans="1:23" ht="17" customHeight="1" x14ac:dyDescent="0.15">
      <c r="A43" s="102" t="s">
        <v>31</v>
      </c>
      <c r="B43" s="153" t="str">
        <f>IF(B42=Para1!$F$153,Para1!$F$109,IF(B42=Para1!$F$109,Para1!$F$148,IF(B42=Para1!$F$148,Para1!$F$111,IF(B42=Para1!$F$111,Para1!$F$120,IF(B42=Para1!$F$120,Para1!$F$170,IF(B42=Para1!$F$170,Para1!$F$173,Para1!$F$153))))))</f>
        <v>Thu</v>
      </c>
      <c r="C43" s="186"/>
      <c r="D43" s="293"/>
      <c r="E43" s="294"/>
      <c r="F43" s="295"/>
      <c r="G43" s="294"/>
      <c r="H43" s="294"/>
      <c r="I43" s="296"/>
      <c r="J43" s="258"/>
      <c r="K43" s="382"/>
      <c r="L43" s="379"/>
      <c r="M43" s="129"/>
      <c r="N43" s="197"/>
      <c r="O43" s="299"/>
      <c r="P43" s="367">
        <v>0</v>
      </c>
      <c r="Q43" s="367">
        <v>0</v>
      </c>
      <c r="R43" s="299" t="str">
        <f>IF(VLOOKUP(A43,Para1!$B$67:$E$72,2,FALSE)="5.",VLOOKUP(A43,Para1!$B$67:$E$72,3,FALSE),"")</f>
        <v>Auffahrt</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x14ac:dyDescent="0.15">
      <c r="A44" s="27" t="s">
        <v>32</v>
      </c>
      <c r="B44" s="153" t="str">
        <f>IF(B43=Para1!$F$153,Para1!$F$109,IF(B43=Para1!$F$109,Para1!$F$148,IF(B43=Para1!$F$148,Para1!$F$111,IF(B43=Para1!$F$111,Para1!$F$120,IF(B43=Para1!$F$120,Para1!$F$170,IF(B43=Para1!$F$170,Para1!$F$173,Para1!$F$153))))))</f>
        <v>Fri</v>
      </c>
      <c r="C44" s="186"/>
      <c r="D44" s="293"/>
      <c r="E44" s="294"/>
      <c r="F44" s="295"/>
      <c r="G44" s="294"/>
      <c r="H44" s="294"/>
      <c r="I44" s="296"/>
      <c r="J44" s="258"/>
      <c r="K44" s="382"/>
      <c r="L44" s="379"/>
      <c r="M44" s="129"/>
      <c r="N44" s="197"/>
      <c r="O44" s="299"/>
      <c r="P44" s="367">
        <f>P37</f>
        <v>1</v>
      </c>
      <c r="Q44" s="367">
        <f>Q37</f>
        <v>1</v>
      </c>
      <c r="R44" s="299" t="e">
        <f>IF(VLOOKUP(A44,Para1!$B$67:$E$72,2,FALSE)="5.",VLOOKUP(A44,Para1!$B$67:$E$72,3,FALSE),"")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s="39" customFormat="1" ht="17" customHeight="1" x14ac:dyDescent="0.15">
      <c r="A45" s="27" t="s">
        <v>33</v>
      </c>
      <c r="B45" s="153" t="str">
        <f>IF(B44=Para1!$F$153,Para1!$F$109,IF(B44=Para1!$F$109,Para1!$F$148,IF(B44=Para1!$F$148,Para1!$F$111,IF(B44=Para1!$F$111,Para1!$F$120,IF(B44=Para1!$F$120,Para1!$F$170,IF(B44=Para1!$F$170,Para1!$F$173,Para1!$F$153))))))</f>
        <v>Sat</v>
      </c>
      <c r="C45" s="186"/>
      <c r="D45" s="293"/>
      <c r="E45" s="294"/>
      <c r="F45" s="295"/>
      <c r="G45" s="294"/>
      <c r="H45" s="294"/>
      <c r="I45" s="296"/>
      <c r="J45" s="258"/>
      <c r="K45" s="382"/>
      <c r="L45" s="379"/>
      <c r="M45" s="129"/>
      <c r="N45" s="197"/>
      <c r="O45" s="299"/>
      <c r="P45" s="367">
        <f t="shared" ref="P45:Q48" si="8">P38</f>
        <v>0</v>
      </c>
      <c r="Q45" s="367">
        <f t="shared" si="8"/>
        <v>0</v>
      </c>
      <c r="R45" s="299" t="e">
        <f>IF(VLOOKUP(A45,Para1!$B$67:$E$72,2,FALSE)="5.",VLOOKUP(A45,Para1!$B$67:$E$72,3,FALSE),"")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x14ac:dyDescent="0.15">
      <c r="A46" s="27" t="s">
        <v>34</v>
      </c>
      <c r="B46" s="153" t="str">
        <f>IF(B45=Para1!$F$153,Para1!$F$109,IF(B45=Para1!$F$109,Para1!$F$148,IF(B45=Para1!$F$148,Para1!$F$111,IF(B45=Para1!$F$111,Para1!$F$120,IF(B45=Para1!$F$120,Para1!$F$170,IF(B45=Para1!$F$170,Para1!$F$173,Para1!$F$153))))))</f>
        <v>Sun</v>
      </c>
      <c r="C46" s="186"/>
      <c r="D46" s="293"/>
      <c r="E46" s="294"/>
      <c r="F46" s="295"/>
      <c r="G46" s="294"/>
      <c r="H46" s="294"/>
      <c r="I46" s="296"/>
      <c r="J46" s="258"/>
      <c r="K46" s="382"/>
      <c r="L46" s="379"/>
      <c r="M46" s="129"/>
      <c r="N46" s="197"/>
      <c r="O46" s="299"/>
      <c r="P46" s="367">
        <f t="shared" si="8"/>
        <v>0</v>
      </c>
      <c r="Q46" s="367">
        <f t="shared" si="8"/>
        <v>0</v>
      </c>
      <c r="R46" s="299" t="e">
        <f>IF(VLOOKUP(A46,Para1!$B$67:$E$72,2,FALSE)="5.",VLOOKUP(A46,Para1!$B$67:$E$72,3,FALSE),"")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x14ac:dyDescent="0.15">
      <c r="A47" s="102" t="s">
        <v>35</v>
      </c>
      <c r="B47" s="153" t="str">
        <f>IF(B46=Para1!$F$153,Para1!$F$109,IF(B46=Para1!$F$109,Para1!$F$148,IF(B46=Para1!$F$148,Para1!$F$111,IF(B46=Para1!$F$111,Para1!$F$120,IF(B46=Para1!$F$120,Para1!$F$170,IF(B46=Para1!$F$170,Para1!$F$173,Para1!$F$153))))))</f>
        <v>Mon</v>
      </c>
      <c r="C47" s="186"/>
      <c r="D47" s="293"/>
      <c r="E47" s="294"/>
      <c r="F47" s="295"/>
      <c r="G47" s="294"/>
      <c r="H47" s="294"/>
      <c r="I47" s="296"/>
      <c r="J47" s="258"/>
      <c r="K47" s="382"/>
      <c r="L47" s="379"/>
      <c r="M47" s="129"/>
      <c r="N47" s="197"/>
      <c r="O47" s="299"/>
      <c r="P47" s="367">
        <f t="shared" si="8"/>
        <v>1</v>
      </c>
      <c r="Q47" s="367">
        <f t="shared" si="8"/>
        <v>1</v>
      </c>
      <c r="R47" s="299" t="e">
        <f>IF(VLOOKUP(A47,Para1!$B$67:$E$72,2,FALSE)="5.",VLOOKUP(A47,Para1!$B$67:$E$72,3,FALSE),"")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ht="17" customHeight="1" x14ac:dyDescent="0.15">
      <c r="A48" s="102" t="s">
        <v>36</v>
      </c>
      <c r="B48" s="153" t="str">
        <f>IF(B47=Para1!$F$153,Para1!$F$109,IF(B47=Para1!$F$109,Para1!$F$148,IF(B47=Para1!$F$148,Para1!$F$111,IF(B47=Para1!$F$111,Para1!$F$120,IF(B47=Para1!$F$120,Para1!$F$170,IF(B47=Para1!$F$170,Para1!$F$173,Para1!$F$153))))))</f>
        <v>Tue</v>
      </c>
      <c r="C48" s="185"/>
      <c r="D48" s="293"/>
      <c r="E48" s="294"/>
      <c r="F48" s="295"/>
      <c r="G48" s="294"/>
      <c r="H48" s="294"/>
      <c r="I48" s="296"/>
      <c r="J48" s="258"/>
      <c r="K48" s="382"/>
      <c r="L48" s="379"/>
      <c r="M48" s="129"/>
      <c r="N48" s="197"/>
      <c r="O48" s="299"/>
      <c r="P48" s="367">
        <f t="shared" si="8"/>
        <v>1</v>
      </c>
      <c r="Q48" s="367">
        <f t="shared" si="8"/>
        <v>1</v>
      </c>
      <c r="R48" s="299" t="e">
        <f>IF(VLOOKUP(A48,Para1!$B$67:$E$72,2,FALSE)="5.",VLOOKUP(A48,Para1!$B$67:$E$72,3,FALSE),"")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ht="16.5" customHeight="1" x14ac:dyDescent="0.15">
      <c r="A49" s="27" t="s">
        <v>37</v>
      </c>
      <c r="B49" s="153" t="str">
        <f>IF(B48=Para1!$F$153,Para1!$F$109,IF(B48=Para1!$F$109,Para1!$F$148,IF(B48=Para1!$F$148,Para1!$F$111,IF(B48=Para1!$F$111,Para1!$F$120,IF(B48=Para1!$F$120,Para1!$F$170,IF(B48=Para1!$F$170,Para1!$F$173,Para1!$F$153))))))</f>
        <v>Wed</v>
      </c>
      <c r="C49" s="185"/>
      <c r="D49" s="293"/>
      <c r="E49" s="294"/>
      <c r="F49" s="295"/>
      <c r="G49" s="294"/>
      <c r="H49" s="294"/>
      <c r="I49" s="296"/>
      <c r="J49" s="258"/>
      <c r="K49" s="382"/>
      <c r="L49" s="379"/>
      <c r="M49" s="129"/>
      <c r="N49" s="197"/>
      <c r="O49" s="299"/>
      <c r="P49" s="367">
        <f>P42</f>
        <v>1</v>
      </c>
      <c r="Q49" s="367">
        <f>Q42</f>
        <v>1</v>
      </c>
      <c r="R49" s="299" t="e">
        <f>IF(VLOOKUP(A49,Para1!$B$67:$E$72,2,FALSE)="5.",VLOOKUP(A49,Para1!$B$67:$E$72,3,FALSE),"")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ht="16.5" customHeight="1" x14ac:dyDescent="0.15">
      <c r="A50" s="27" t="s">
        <v>38</v>
      </c>
      <c r="B50" s="153" t="str">
        <f>IF(B49=Para1!$F$153,Para1!$F$109,IF(B49=Para1!$F$109,Para1!$F$148,IF(B49=Para1!$F$148,Para1!$F$111,IF(B49=Para1!$F$111,Para1!$F$120,IF(B49=Para1!$F$120,Para1!$F$170,IF(B49=Para1!$F$170,Para1!$F$173,Para1!$F$153))))))</f>
        <v>Thu</v>
      </c>
      <c r="C50" s="185"/>
      <c r="D50" s="293"/>
      <c r="E50" s="294"/>
      <c r="F50" s="295"/>
      <c r="G50" s="294"/>
      <c r="H50" s="294"/>
      <c r="I50" s="296"/>
      <c r="J50" s="258"/>
      <c r="K50" s="382"/>
      <c r="L50" s="379"/>
      <c r="M50" s="129"/>
      <c r="N50" s="197"/>
      <c r="O50" s="299"/>
      <c r="P50" s="368">
        <f>P36</f>
        <v>1</v>
      </c>
      <c r="Q50" s="368">
        <f>Q36</f>
        <v>1</v>
      </c>
      <c r="R50" s="299" t="e">
        <f>IF(VLOOKUP(A50,Para1!$B$67:$E$72,2,FALSE)="5.",VLOOKUP(A50,Para1!$B$67:$E$72,3,FALSE),"")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s="39" customFormat="1" ht="16.5" customHeight="1" x14ac:dyDescent="0.15">
      <c r="A51" s="27" t="s">
        <v>39</v>
      </c>
      <c r="B51" s="153" t="str">
        <f>IF(B50=Para1!$F$153,Para1!$F$109,IF(B50=Para1!$F$109,Para1!$F$148,IF(B50=Para1!$F$148,Para1!$F$111,IF(B50=Para1!$F$111,Para1!$F$120,IF(B50=Para1!$F$120,Para1!$F$170,IF(B50=Para1!$F$170,Para1!$F$173,Para1!$F$153))))))</f>
        <v>Fri</v>
      </c>
      <c r="C51" s="186"/>
      <c r="D51" s="293"/>
      <c r="E51" s="294"/>
      <c r="F51" s="295"/>
      <c r="G51" s="294"/>
      <c r="H51" s="294"/>
      <c r="I51" s="296"/>
      <c r="J51" s="258"/>
      <c r="K51" s="382"/>
      <c r="L51" s="379"/>
      <c r="M51" s="129"/>
      <c r="N51" s="197"/>
      <c r="O51" s="299"/>
      <c r="P51" s="339">
        <f>P44</f>
        <v>1</v>
      </c>
      <c r="Q51" s="367">
        <f>Q44</f>
        <v>1</v>
      </c>
      <c r="R51" s="299" t="e">
        <f>IF(VLOOKUP(A51,Para1!$B$67:$E$72,2,FALSE)="5.",VLOOKUP(A51,Para1!$B$67:$E$72,3,FALSE),"")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s="39" customFormat="1" ht="16.5" customHeight="1" x14ac:dyDescent="0.15">
      <c r="A52" s="27" t="s">
        <v>40</v>
      </c>
      <c r="B52" s="153" t="str">
        <f>IF(B51=Para1!$F$153,Para1!$F$109,IF(B51=Para1!$F$109,Para1!$F$148,IF(B51=Para1!$F$148,Para1!$F$111,IF(B51=Para1!$F$111,Para1!$F$120,IF(B51=Para1!$F$120,Para1!$F$170,IF(B51=Para1!$F$170,Para1!$F$173,Para1!$F$153))))))</f>
        <v>Sat</v>
      </c>
      <c r="C52" s="186"/>
      <c r="D52" s="293"/>
      <c r="E52" s="294"/>
      <c r="F52" s="295"/>
      <c r="G52" s="294"/>
      <c r="H52" s="294"/>
      <c r="I52" s="296"/>
      <c r="J52" s="258"/>
      <c r="K52" s="382"/>
      <c r="L52" s="379"/>
      <c r="M52" s="129"/>
      <c r="N52" s="197"/>
      <c r="O52" s="299"/>
      <c r="P52" s="339">
        <f>P45</f>
        <v>0</v>
      </c>
      <c r="Q52" s="367">
        <f>Q45</f>
        <v>0</v>
      </c>
      <c r="R52" s="299" t="e">
        <f>IF(VLOOKUP(A52,Para1!$B$67:$E$72,2,FALSE)="5.",VLOOKUP(A52,Para1!$B$67:$E$72,3,FALSE),"")</f>
        <v>#N/A</v>
      </c>
      <c r="S52" s="299" t="str">
        <f>IF((P52+Q52)=0,"",IF(ISNA(R52),"",IF(R52="","",VLOOKUP(R52,Para1!$D$67:$G$79,3,FALSE)*(IF(P52+Q52=1,0.5,1)))))</f>
        <v/>
      </c>
      <c r="T52" s="299" t="str">
        <f>IF(P52+Q52=0,"",IF(ISNA(R53),"",IF(R53="","",VLOOKUP(R53,Para1!$D$67:$G$79,4,FALSE)*(IF(P52+Q52=1,0.5,1)))))</f>
        <v/>
      </c>
      <c r="U52" s="299" t="str">
        <f t="shared" si="3"/>
        <v/>
      </c>
      <c r="V52" s="299" t="str">
        <f t="shared" si="4"/>
        <v/>
      </c>
      <c r="W52" s="299">
        <f t="shared" si="5"/>
        <v>0</v>
      </c>
    </row>
    <row r="53" spans="1:25" ht="17" customHeight="1" thickBot="1" x14ac:dyDescent="0.2">
      <c r="A53" s="102" t="s">
        <v>46</v>
      </c>
      <c r="B53" s="153" t="str">
        <f>IF(B52=Para1!$F$153,Para1!$F$109,IF(B52=Para1!$F$109,Para1!$F$148,IF(B52=Para1!$F$148,Para1!$F$111,IF(B52=Para1!$F$111,Para1!$F$120,IF(B52=Para1!$F$120,Para1!$F$170,IF(B52=Para1!$F$170,Para1!$F$173,Para1!$F$153))))))</f>
        <v>Sun</v>
      </c>
      <c r="C53" s="186"/>
      <c r="D53" s="293"/>
      <c r="E53" s="305"/>
      <c r="F53" s="295"/>
      <c r="G53" s="294"/>
      <c r="H53" s="294"/>
      <c r="I53" s="296"/>
      <c r="J53" s="258"/>
      <c r="K53" s="389"/>
      <c r="L53" s="390"/>
      <c r="M53" s="129"/>
      <c r="N53" s="197"/>
      <c r="O53" s="299"/>
      <c r="P53" s="341">
        <f t="shared" ref="P53" si="9">P46</f>
        <v>0</v>
      </c>
      <c r="Q53" s="374">
        <f>Q46</f>
        <v>0</v>
      </c>
      <c r="R53" s="299" t="str">
        <f>IF(VLOOKUP(A53,Para1!$B$67:$E$72,2,FALSE)="5.",VLOOKUP(A53,Para1!$B$67:$E$72,3,FALSE),"")</f>
        <v>Pfingsten</v>
      </c>
      <c r="S53" s="299" t="str">
        <f>IF((P53+Q53)=0,"",IF(ISNA(R53),"",IF(R53="","",VLOOKUP(R53,Para1!$D$67:$G$79,3,FALSE)*(IF(P53+Q53=1,0.5,1)))))</f>
        <v/>
      </c>
      <c r="T53" s="299" t="str">
        <f>IF(P53+Q53=0,"",IF(ISNA(Juni!R23),"",IF(Juni!R23="","",VLOOKUP(Juni!R23,Para1!$D$67:$G$79,4,FALSE)*(IF(P53+Q53=1,0.5,1)))))</f>
        <v/>
      </c>
      <c r="U53" s="299" t="str">
        <f t="shared" si="3"/>
        <v/>
      </c>
      <c r="V53" s="299" t="str">
        <f t="shared" si="4"/>
        <v/>
      </c>
      <c r="W53" s="299">
        <f t="shared" si="5"/>
        <v>0</v>
      </c>
    </row>
    <row r="54" spans="1:25" ht="15" thickTop="1" x14ac:dyDescent="0.15">
      <c r="A54" s="36"/>
      <c r="B54" s="32"/>
      <c r="C54" s="16"/>
      <c r="D54" s="145">
        <f t="shared" ref="D54:I54" si="10">SUM(D23:D53)</f>
        <v>0</v>
      </c>
      <c r="E54" s="31">
        <f t="shared" si="10"/>
        <v>0</v>
      </c>
      <c r="F54" s="31">
        <f t="shared" si="10"/>
        <v>0</v>
      </c>
      <c r="G54" s="31">
        <f t="shared" si="10"/>
        <v>0</v>
      </c>
      <c r="H54" s="31">
        <f t="shared" si="10"/>
        <v>0</v>
      </c>
      <c r="I54" s="146">
        <f t="shared" si="10"/>
        <v>0</v>
      </c>
      <c r="J54" s="130"/>
      <c r="P54" s="622" t="str">
        <f>Para1!F174&amp;" "&amp;Para1!F168</f>
        <v>balance due / half-day</v>
      </c>
      <c r="Q54" s="623"/>
      <c r="R54" s="299">
        <f>SUM(W23:W53)</f>
        <v>0</v>
      </c>
      <c r="S54" s="299">
        <f>SUM(S23:S53)</f>
        <v>0</v>
      </c>
      <c r="T54" s="299">
        <f>SUM(T23:T53)</f>
        <v>1</v>
      </c>
      <c r="U54" s="299"/>
      <c r="V54" s="299"/>
    </row>
    <row r="55" spans="1:25" ht="15" thickBot="1" x14ac:dyDescent="0.2">
      <c r="A55" s="37"/>
      <c r="B55" s="33"/>
      <c r="C55" s="33"/>
      <c r="D55" s="586">
        <f t="shared" ref="D55:I55" si="11">D54*24</f>
        <v>0</v>
      </c>
      <c r="E55" s="587">
        <f t="shared" si="11"/>
        <v>0</v>
      </c>
      <c r="F55" s="587">
        <f t="shared" si="11"/>
        <v>0</v>
      </c>
      <c r="G55" s="587">
        <f t="shared" si="11"/>
        <v>0</v>
      </c>
      <c r="H55" s="587">
        <f t="shared" si="11"/>
        <v>0</v>
      </c>
      <c r="I55" s="588">
        <f t="shared" si="11"/>
        <v>0</v>
      </c>
      <c r="J55" s="163"/>
      <c r="M55" s="163" t="str">
        <f>Para1!G2</f>
        <v>AE v1_01 20.08.2019</v>
      </c>
      <c r="P55" s="624">
        <f>(Para1!K59/100*$G$3+((S54+T54)/100*$G$3))/(SUM(P23:Q53)-R54)/24</f>
        <v>0</v>
      </c>
      <c r="Q55" s="625"/>
      <c r="R55" s="299"/>
      <c r="S55" s="299"/>
      <c r="T55" s="299"/>
      <c r="U55" s="299"/>
      <c r="V55" s="299"/>
    </row>
    <row r="56" spans="1:25" ht="15" thickTop="1" x14ac:dyDescent="0.15">
      <c r="Q56" s="16"/>
    </row>
    <row r="57" spans="1:25"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T57" s="132"/>
      <c r="U57" s="46"/>
      <c r="Y57" s="540"/>
    </row>
    <row r="58" spans="1:25" x14ac:dyDescent="0.15">
      <c r="A58" s="5"/>
      <c r="B58" s="5"/>
      <c r="C58" s="5"/>
      <c r="D58" s="5"/>
      <c r="E58" s="5"/>
      <c r="F58" s="5"/>
      <c r="G58" s="5"/>
      <c r="H58" s="5"/>
      <c r="I58" s="562"/>
      <c r="J58" s="562"/>
      <c r="K58" s="562"/>
      <c r="L58" s="562"/>
    </row>
    <row r="59" spans="1:25" ht="22.5" customHeight="1" x14ac:dyDescent="0.15">
      <c r="A59" s="5"/>
      <c r="B59" s="5"/>
      <c r="C59" s="5"/>
      <c r="D59" s="5"/>
      <c r="E59" s="5"/>
      <c r="F59" s="563" t="str">
        <f>Para1!F191&amp;" "&amp;Para1!F193</f>
        <v>signature manager</v>
      </c>
      <c r="G59" s="5"/>
      <c r="H59" s="564"/>
      <c r="I59" s="565"/>
      <c r="J59" s="565"/>
      <c r="K59" s="565"/>
      <c r="L59" s="565"/>
    </row>
    <row r="61" spans="1:25" ht="22.5" customHeight="1" x14ac:dyDescent="0.15">
      <c r="A61" s="42"/>
      <c r="B61" s="43"/>
      <c r="C61" s="43"/>
      <c r="D61" s="44"/>
      <c r="E61" s="45"/>
      <c r="G61" s="141"/>
      <c r="I61" s="9"/>
      <c r="J61" s="132"/>
      <c r="L61" s="132"/>
      <c r="M61" s="46"/>
    </row>
  </sheetData>
  <sheetProtection password="CF1F" sheet="1" objects="1" scenarios="1"/>
  <mergeCells count="29">
    <mergeCell ref="P20:Q20"/>
    <mergeCell ref="P21:P22"/>
    <mergeCell ref="Q21:Q22"/>
    <mergeCell ref="P54:Q54"/>
    <mergeCell ref="P55:Q55"/>
    <mergeCell ref="K20:L20"/>
    <mergeCell ref="M20:N20"/>
    <mergeCell ref="K21:K22"/>
    <mergeCell ref="L21:L22"/>
    <mergeCell ref="A22:B22"/>
    <mergeCell ref="D21:D22"/>
    <mergeCell ref="D20:I20"/>
    <mergeCell ref="E21:E22"/>
    <mergeCell ref="I21:I22"/>
    <mergeCell ref="G21:G22"/>
    <mergeCell ref="H21:H22"/>
    <mergeCell ref="F21:F22"/>
    <mergeCell ref="J9:K9"/>
    <mergeCell ref="J10:K10"/>
    <mergeCell ref="B13:E13"/>
    <mergeCell ref="C14:E14"/>
    <mergeCell ref="C15:E15"/>
    <mergeCell ref="C16:E16"/>
    <mergeCell ref="C17:E17"/>
    <mergeCell ref="C18:E18"/>
    <mergeCell ref="A21:B21"/>
    <mergeCell ref="D1:E1"/>
    <mergeCell ref="A1:B1"/>
    <mergeCell ref="A3:B3"/>
  </mergeCells>
  <phoneticPr fontId="0" type="noConversion"/>
  <conditionalFormatting sqref="A23:B53">
    <cfRule type="expression" dxfId="60" priority="6">
      <formula>$S23=0</formula>
    </cfRule>
    <cfRule type="expression" dxfId="59" priority="7">
      <formula>$P23+$Q23=0</formula>
    </cfRule>
  </conditionalFormatting>
  <conditionalFormatting sqref="D23:I53">
    <cfRule type="expression" dxfId="58" priority="4">
      <formula>$P$23+$Q$23=1</formula>
    </cfRule>
    <cfRule type="expression" dxfId="57" priority="5">
      <formula>$P23+$Q23=0</formula>
    </cfRule>
  </conditionalFormatting>
  <conditionalFormatting sqref="D23:I53 K23:L53 P23:Q53">
    <cfRule type="expression" dxfId="56" priority="3">
      <formula>$S23=0</formula>
    </cfRule>
  </conditionalFormatting>
  <conditionalFormatting sqref="K23:K53 P23:P53">
    <cfRule type="expression" dxfId="55" priority="2">
      <formula>$P23=0</formula>
    </cfRule>
  </conditionalFormatting>
  <conditionalFormatting sqref="L23:L53 Q23:Q53">
    <cfRule type="expression" dxfId="54"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J23:J53 M23:M53" xr:uid="{00000000-0002-0000-0700-000000000000}">
      <formula1>0</formula1>
      <formula2>25</formula2>
    </dataValidation>
  </dataValidations>
  <pageMargins left="0.4" right="0.4" top="0.79" bottom="0.39370078740157483" header="0.28999999999999998" footer="0.15748031496062992"/>
  <pageSetup paperSize="9" scale="65" orientation="portrait" verticalDpi="300" r:id="rId1"/>
  <headerFooter alignWithMargins="0">
    <oddHeader>&amp;C&amp;"Arial,Fett Kursiv"&amp;16Absenzenerfassung -  &amp;A</oddHeader>
    <oddFooter>&amp;L&amp;Z&amp;F</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pageSetUpPr fitToPage="1"/>
  </sheetPr>
  <dimension ref="A1:Y67"/>
  <sheetViews>
    <sheetView showGridLines="0" zoomScale="85" zoomScaleNormal="85" workbookViewId="0">
      <selection sqref="A1:B1"/>
    </sheetView>
  </sheetViews>
  <sheetFormatPr baseColWidth="10" defaultColWidth="11.5" defaultRowHeight="14" x14ac:dyDescent="0.15"/>
  <cols>
    <col min="1" max="1" width="8.33203125" style="17" customWidth="1"/>
    <col min="2" max="2" width="8.33203125" style="11" customWidth="1"/>
    <col min="3" max="3" width="2.83203125" style="11" customWidth="1"/>
    <col min="4" max="7" width="12.6640625" style="11" customWidth="1"/>
    <col min="8" max="8" width="12.6640625" style="34" customWidth="1"/>
    <col min="9" max="9" width="12.6640625" style="11" customWidth="1"/>
    <col min="10" max="10" width="2.83203125" style="11" customWidth="1"/>
    <col min="11" max="12" width="12.6640625" style="11" customWidth="1"/>
    <col min="13" max="14" width="11.83203125" style="11" customWidth="1"/>
    <col min="15" max="15" width="11.5" style="11"/>
    <col min="16" max="17" width="12.6640625" style="11" customWidth="1"/>
    <col min="18" max="23" width="0" style="11" hidden="1" customWidth="1"/>
    <col min="24" max="16384" width="11.5" style="11"/>
  </cols>
  <sheetData>
    <row r="1" spans="1:25" x14ac:dyDescent="0.15">
      <c r="A1" s="636" t="str">
        <f>Para1!F196</f>
        <v xml:space="preserve">first name: </v>
      </c>
      <c r="B1" s="636"/>
      <c r="C1" s="237"/>
      <c r="D1" s="642" t="str">
        <f>'Jahresübersicht (Overview)'!C2</f>
        <v>Christina</v>
      </c>
      <c r="E1" s="642"/>
      <c r="F1" s="8" t="str">
        <f>Para1!F159</f>
        <v xml:space="preserve">surname: </v>
      </c>
      <c r="G1" s="241" t="str">
        <f>'Jahresübersicht (Overview)'!G2</f>
        <v>Wapp</v>
      </c>
      <c r="H1" s="11"/>
      <c r="I1" s="58"/>
      <c r="J1" s="8"/>
      <c r="K1" s="8" t="str">
        <f>Para1!F133</f>
        <v xml:space="preserve">year of birth (4-digit): </v>
      </c>
      <c r="L1" s="248">
        <f>'Jahresübersicht (Overview)'!K2</f>
        <v>1993</v>
      </c>
      <c r="N1" s="5"/>
      <c r="P1" s="10"/>
      <c r="Q1" s="58"/>
      <c r="T1" s="7"/>
      <c r="U1" s="7"/>
    </row>
    <row r="2" spans="1:25" ht="6" customHeight="1" x14ac:dyDescent="0.15">
      <c r="D2" s="7"/>
      <c r="E2" s="7"/>
      <c r="F2" s="7"/>
      <c r="G2" s="7"/>
      <c r="H2" s="11"/>
      <c r="I2" s="7"/>
      <c r="J2" s="7"/>
      <c r="K2" s="7"/>
      <c r="L2" s="7"/>
      <c r="M2" s="5"/>
      <c r="N2" s="5"/>
      <c r="Q2" s="58"/>
      <c r="T2" s="7"/>
      <c r="U2" s="7"/>
    </row>
    <row r="3" spans="1:25" x14ac:dyDescent="0.15">
      <c r="A3" s="636" t="str">
        <f>Para1!F165</f>
        <v xml:space="preserve">pers.-no.: </v>
      </c>
      <c r="B3" s="636"/>
      <c r="C3" s="237"/>
      <c r="D3" s="241">
        <f>'Jahresübersicht (Overview)'!C4</f>
        <v>0</v>
      </c>
      <c r="E3" s="7"/>
      <c r="F3" s="8" t="str">
        <f>Para1!F97&amp;": "</f>
        <v xml:space="preserve">level of employment: </v>
      </c>
      <c r="G3" s="29">
        <f>'Jahresübersicht (Overview)'!H8</f>
        <v>0</v>
      </c>
      <c r="H3" s="11" t="s">
        <v>215</v>
      </c>
      <c r="I3" s="58"/>
      <c r="J3" s="237"/>
      <c r="K3" s="246" t="str">
        <f>Para1!F113</f>
        <v xml:space="preserve">starting date: </v>
      </c>
      <c r="L3" s="247">
        <f>'Jahresübersicht (Overview)'!$G$4</f>
        <v>42596</v>
      </c>
      <c r="M3" s="243"/>
      <c r="N3" s="243"/>
      <c r="Q3" s="58"/>
      <c r="S3" s="16"/>
      <c r="T3" s="20"/>
      <c r="U3" s="20"/>
    </row>
    <row r="4" spans="1:25" ht="6" customHeight="1" x14ac:dyDescent="0.15">
      <c r="A4" s="12"/>
      <c r="B4" s="13"/>
      <c r="C4" s="13"/>
      <c r="D4" s="14"/>
      <c r="E4" s="14"/>
      <c r="F4" s="14"/>
      <c r="G4" s="14"/>
      <c r="H4" s="14"/>
      <c r="I4" s="15"/>
      <c r="J4" s="15"/>
      <c r="K4" s="15"/>
      <c r="L4" s="15"/>
      <c r="M4" s="13"/>
      <c r="N4" s="13"/>
      <c r="S4" s="16"/>
      <c r="T4" s="20"/>
      <c r="U4" s="20"/>
    </row>
    <row r="5" spans="1:25" ht="6" customHeight="1" x14ac:dyDescent="0.15">
      <c r="D5" s="7"/>
      <c r="E5" s="7"/>
      <c r="F5" s="7"/>
      <c r="G5" s="7"/>
      <c r="H5" s="7"/>
      <c r="I5" s="9"/>
      <c r="J5" s="9"/>
      <c r="K5" s="9"/>
      <c r="L5" s="9"/>
      <c r="S5" s="16"/>
      <c r="T5" s="20"/>
      <c r="U5" s="20"/>
    </row>
    <row r="6" spans="1:25" ht="15" customHeight="1" x14ac:dyDescent="0.15">
      <c r="D6" s="7"/>
      <c r="E6" s="21"/>
      <c r="F6" s="7"/>
      <c r="G6" s="7"/>
      <c r="H6" s="7"/>
      <c r="I6" s="9"/>
      <c r="J6" s="9"/>
      <c r="K6" s="9"/>
      <c r="L6" s="9"/>
      <c r="O6" s="7"/>
      <c r="R6" s="7"/>
      <c r="S6" s="20"/>
      <c r="T6" s="20"/>
      <c r="U6" s="20"/>
      <c r="V6" s="7"/>
      <c r="W6" s="5"/>
      <c r="X6" s="5"/>
      <c r="Y6" s="9"/>
    </row>
    <row r="7" spans="1:25" ht="15" customHeight="1" x14ac:dyDescent="0.15">
      <c r="C7" s="250"/>
      <c r="D7" s="199" t="str">
        <f>Para1!F117</f>
        <v>holiday</v>
      </c>
      <c r="E7" s="195" t="s">
        <v>88</v>
      </c>
      <c r="H7" s="11"/>
      <c r="I7" s="8" t="str">
        <f>Para1!F83</f>
        <v>absences</v>
      </c>
      <c r="J7" s="5" t="s">
        <v>88</v>
      </c>
      <c r="K7" s="5"/>
      <c r="L7" s="18" t="str">
        <f>Para1!F84</f>
        <v>curr. mnth</v>
      </c>
      <c r="M7" s="18" t="str">
        <f>Para1!F195</f>
        <v>last mnth(s)</v>
      </c>
      <c r="N7" s="19" t="str">
        <f>Para1!F171</f>
        <v>balance</v>
      </c>
      <c r="O7" s="8"/>
      <c r="P7" s="101"/>
      <c r="R7" s="6"/>
      <c r="S7" s="16"/>
      <c r="T7" s="16"/>
      <c r="U7" s="16"/>
    </row>
    <row r="8" spans="1:25" ht="15" customHeight="1" x14ac:dyDescent="0.15">
      <c r="D8" s="198" t="str">
        <f>Para1!B171&amp;" "&amp;Para1!B88&amp;" "&amp;Para1!B154</f>
        <v>Saldo Anfang Monat</v>
      </c>
      <c r="E8" s="201">
        <f>Mai!E11</f>
        <v>3.645833333333333</v>
      </c>
      <c r="H8" s="11"/>
      <c r="I8" s="21" t="str">
        <f>Para1!F141</f>
        <v>illness</v>
      </c>
      <c r="J8" s="242"/>
      <c r="K8" s="5"/>
      <c r="L8" s="161">
        <f>D54</f>
        <v>0</v>
      </c>
      <c r="M8" s="161">
        <f>Mai!N8</f>
        <v>0</v>
      </c>
      <c r="N8" s="93">
        <f t="shared" ref="N8:N13" si="0">SUM(L8:M8)</f>
        <v>0</v>
      </c>
      <c r="O8" s="21"/>
      <c r="R8" s="22"/>
    </row>
    <row r="9" spans="1:25" ht="15" customHeight="1" x14ac:dyDescent="0.15">
      <c r="D9" s="198" t="str">
        <f>"./. "&amp;Para1!F118</f>
        <v>./. holiday taken</v>
      </c>
      <c r="E9" s="201">
        <f>COUNTIF($K$23:$L$53,"f")*$P$55-IF(ISNA(F9),0,((S54+T54)/100*G3)/48)-IF(ISNA(G9),0,((S54+T54)/100*G3)/48)</f>
        <v>0</v>
      </c>
      <c r="F9" s="299" t="e">
        <f>INDEX(U23:U53,MATCH("f",U23:U53,0))</f>
        <v>#N/A</v>
      </c>
      <c r="G9" s="299" t="e">
        <f>INDEX(V23:V53,MATCH("f",V23:V53,0))</f>
        <v>#N/A</v>
      </c>
      <c r="H9" s="11"/>
      <c r="I9" s="21" t="str">
        <f>Para1!F190</f>
        <v>accident</v>
      </c>
      <c r="J9" s="641" t="str">
        <f>Para1!F99</f>
        <v>work related</v>
      </c>
      <c r="K9" s="641"/>
      <c r="L9" s="161">
        <f>E54</f>
        <v>0</v>
      </c>
      <c r="M9" s="161">
        <f>Mai!N9</f>
        <v>0</v>
      </c>
      <c r="N9" s="93">
        <f t="shared" si="0"/>
        <v>0</v>
      </c>
      <c r="O9" s="21"/>
      <c r="Q9" s="34"/>
      <c r="R9" s="22"/>
    </row>
    <row r="10" spans="1:25" ht="15" customHeight="1" x14ac:dyDescent="0.15">
      <c r="D10" s="198" t="str">
        <f>"./ ."&amp;Para1!F119</f>
        <v>./ .reduction of holiday</v>
      </c>
      <c r="E10" s="530">
        <v>0</v>
      </c>
      <c r="F10" s="299"/>
      <c r="G10" s="299"/>
      <c r="H10" s="11"/>
      <c r="I10" s="21"/>
      <c r="J10" s="641" t="str">
        <f>Para1!F161&amp;" "&amp;Para1!F100</f>
        <v>not work. rel.</v>
      </c>
      <c r="K10" s="641"/>
      <c r="L10" s="161">
        <f>F54</f>
        <v>0</v>
      </c>
      <c r="M10" s="161">
        <f>Mai!N10</f>
        <v>0</v>
      </c>
      <c r="N10" s="93">
        <f t="shared" si="0"/>
        <v>0</v>
      </c>
      <c r="O10" s="22"/>
      <c r="Q10" s="34"/>
      <c r="R10" s="6"/>
    </row>
    <row r="11" spans="1:25" ht="15" customHeight="1" thickBot="1" x14ac:dyDescent="0.2">
      <c r="B11" s="251"/>
      <c r="C11" s="251"/>
      <c r="D11" s="246" t="str">
        <f>Para1!F171&amp;" "&amp;Para1!F115&amp;" "&amp;Para1!F154</f>
        <v>balance end of the month</v>
      </c>
      <c r="E11" s="202">
        <f>$E$8-$E$9-$E$10</f>
        <v>3.645833333333333</v>
      </c>
      <c r="H11" s="11"/>
      <c r="I11" s="49" t="str">
        <f>Para1!F142</f>
        <v>short vacation</v>
      </c>
      <c r="J11" s="5"/>
      <c r="K11" s="5"/>
      <c r="L11" s="161">
        <f>G54</f>
        <v>0</v>
      </c>
      <c r="M11" s="161">
        <f>Mai!N11</f>
        <v>0</v>
      </c>
      <c r="N11" s="93">
        <f t="shared" si="0"/>
        <v>0</v>
      </c>
      <c r="O11" s="66"/>
      <c r="R11" s="7"/>
    </row>
    <row r="12" spans="1:25" ht="15" customHeight="1" thickTop="1" x14ac:dyDescent="0.15">
      <c r="B12" s="542" t="str">
        <f>IF((E11*24+(4.2*'Persönliche Daten (pers. data)'!O8/100))&lt;0,Para1!J224,IF(E11&gt;0,"",Para1!J223))</f>
        <v/>
      </c>
      <c r="H12" s="11"/>
      <c r="I12" s="24" t="str">
        <f>Para1!F198</f>
        <v>training / education</v>
      </c>
      <c r="J12" s="5"/>
      <c r="K12" s="5"/>
      <c r="L12" s="161">
        <f>H54</f>
        <v>0</v>
      </c>
      <c r="M12" s="161">
        <f>Mai!N12</f>
        <v>0</v>
      </c>
      <c r="N12" s="93">
        <f t="shared" si="0"/>
        <v>0</v>
      </c>
      <c r="O12" s="7"/>
    </row>
    <row r="13" spans="1:25" ht="15" customHeight="1" x14ac:dyDescent="0.15">
      <c r="B13" s="650" t="str">
        <f>Para1!F105&amp;" "&amp;Para1!F122&amp;" "&amp;Para1!F83&amp;" in "&amp;Para1!F178&amp;":"</f>
        <v>letters for absences in days:</v>
      </c>
      <c r="C13" s="651"/>
      <c r="D13" s="651"/>
      <c r="E13" s="652"/>
      <c r="H13" s="11"/>
      <c r="I13" s="21" t="str">
        <f>Para1!F163</f>
        <v>public office</v>
      </c>
      <c r="J13" s="5"/>
      <c r="K13" s="5"/>
      <c r="L13" s="161">
        <f>I54</f>
        <v>0</v>
      </c>
      <c r="M13" s="161">
        <f>Mai!N13</f>
        <v>0</v>
      </c>
      <c r="N13" s="93">
        <f t="shared" si="0"/>
        <v>0</v>
      </c>
      <c r="O13" s="7"/>
    </row>
    <row r="14" spans="1:25" ht="15" customHeight="1" x14ac:dyDescent="0.15">
      <c r="B14" s="302" t="s">
        <v>420</v>
      </c>
      <c r="C14" s="653" t="str">
        <f>Para1!F117</f>
        <v>holiday</v>
      </c>
      <c r="D14" s="653"/>
      <c r="E14" s="654"/>
      <c r="H14" s="11"/>
      <c r="I14" s="200" t="str">
        <f>Para1!F192</f>
        <v>leave</v>
      </c>
      <c r="J14" s="249" t="str">
        <f>Para1!F101</f>
        <v>paid</v>
      </c>
      <c r="K14" s="182"/>
      <c r="L14" s="249">
        <f>COUNTIF($K$23:$L$53,"b")*$P$55-IF(ISNA(O14),0,(($S$54+$T$54)/100*$G$3)/48)-IF(ISNA(P14),0,(($S$54+$T$54)/100*$G$3)/48)</f>
        <v>0</v>
      </c>
      <c r="M14" s="161">
        <f>Mai!N14</f>
        <v>0</v>
      </c>
      <c r="N14" s="93">
        <f>SUM(L14:M14)</f>
        <v>0</v>
      </c>
      <c r="O14" s="299" t="e">
        <f>INDEX(U23:U53,MATCH("b",U23:U53,0))</f>
        <v>#N/A</v>
      </c>
      <c r="P14" s="299" t="e">
        <f>INDEX(V23:V53,MATCH("b",V23:V53,0))</f>
        <v>#N/A</v>
      </c>
    </row>
    <row r="15" spans="1:25" ht="15" customHeight="1" x14ac:dyDescent="0.15">
      <c r="B15" s="302" t="s">
        <v>421</v>
      </c>
      <c r="C15" s="655" t="str">
        <f>Para1!F157</f>
        <v>parental leave</v>
      </c>
      <c r="D15" s="655"/>
      <c r="E15" s="656"/>
      <c r="G15" s="182"/>
      <c r="H15" s="182"/>
      <c r="I15" s="200"/>
      <c r="J15" s="249" t="str">
        <f>Para1!F189</f>
        <v>unpaid</v>
      </c>
      <c r="K15" s="182"/>
      <c r="L15" s="249">
        <f>COUNTIF($K$23:$L$53,"u")*$P$55-IF(ISNA(O15),0,(($S$54+$T$54)/100*$G$3)/48)-IF(ISNA(P15),0,(($S$54+$T$54)/100*$G$3)/48)</f>
        <v>0</v>
      </c>
      <c r="M15" s="161">
        <f>Mai!N15</f>
        <v>0</v>
      </c>
      <c r="N15" s="93">
        <f>SUM(L15:M15)</f>
        <v>0</v>
      </c>
      <c r="O15" s="299" t="e">
        <f>INDEX(U23:U53,MATCH("u",U23:U53,0))</f>
        <v>#N/A</v>
      </c>
      <c r="P15" s="299" t="e">
        <f>INDEX(V23:V53,MATCH("u",V23:V53,0))</f>
        <v>#N/A</v>
      </c>
    </row>
    <row r="16" spans="1:25" ht="15" customHeight="1" x14ac:dyDescent="0.15">
      <c r="B16" s="302" t="s">
        <v>422</v>
      </c>
      <c r="C16" s="653" t="str">
        <f>Para1!F150</f>
        <v>military/civil def./civil serv.</v>
      </c>
      <c r="D16" s="653"/>
      <c r="E16" s="654"/>
      <c r="G16" s="182"/>
      <c r="H16" s="182"/>
      <c r="I16" s="200" t="str">
        <f>Para1!F157</f>
        <v>parental leave</v>
      </c>
      <c r="J16" s="182"/>
      <c r="K16" s="182"/>
      <c r="L16" s="249">
        <f>COUNTIF($K$23:$L$53,"m")*$P$55-IF(ISNA(O16),0,(($S$54+$T$54)/100*$G$3)/48)-IF(ISNA(P16),0,(($S$54+$T$54)/100*$G$3)/48)</f>
        <v>0</v>
      </c>
      <c r="M16" s="161">
        <f>Mai!N16</f>
        <v>0</v>
      </c>
      <c r="N16" s="93">
        <f>SUM(L16:M16)</f>
        <v>0</v>
      </c>
      <c r="O16" s="299" t="e">
        <f>INDEX(U23:U53,MATCH("m",U23:U53,0))</f>
        <v>#N/A</v>
      </c>
      <c r="P16" s="299" t="e">
        <f>INDEX(V23:V53,MATCH("m",V23:V53,0))</f>
        <v>#N/A</v>
      </c>
    </row>
    <row r="17" spans="1:23" ht="15" customHeight="1" x14ac:dyDescent="0.15">
      <c r="B17" s="303" t="s">
        <v>424</v>
      </c>
      <c r="C17" s="655" t="str">
        <f>Para1!F192&amp;" "&amp;Para1!F101</f>
        <v>leave paid</v>
      </c>
      <c r="D17" s="655"/>
      <c r="E17" s="656"/>
      <c r="G17" s="182"/>
      <c r="H17" s="11"/>
      <c r="I17" s="21" t="str">
        <f>Para1!F150</f>
        <v>military/civil def./civil serv.</v>
      </c>
      <c r="J17" s="58"/>
      <c r="K17" s="58"/>
      <c r="L17" s="249">
        <f>COUNTIF($K$23:$L$53,"z")*$P$55-IF(ISNA(O17),0,(($S$54+$T$54)/100*$G$3)/48)-IF(ISNA(P17),0,(($S$54+$T$54)/100*$G$3)/48)</f>
        <v>0</v>
      </c>
      <c r="M17" s="161">
        <f>Mai!N17</f>
        <v>0</v>
      </c>
      <c r="N17" s="93">
        <f>SUM(L17:M17)</f>
        <v>0</v>
      </c>
      <c r="O17" s="299" t="e">
        <f>INDEX(U23:U53,MATCH("z",U23:U53,0))</f>
        <v>#N/A</v>
      </c>
      <c r="P17" s="299" t="e">
        <f>INDEX(V23:V53,MATCH("z",V23:V53,0))</f>
        <v>#N/A</v>
      </c>
      <c r="R17" s="7"/>
    </row>
    <row r="18" spans="1:23" ht="15" customHeight="1" thickBot="1" x14ac:dyDescent="0.2">
      <c r="B18" s="303" t="s">
        <v>423</v>
      </c>
      <c r="C18" s="653" t="str">
        <f>Para1!F192&amp;" "&amp;Para1!F189</f>
        <v>leave unpaid</v>
      </c>
      <c r="D18" s="653"/>
      <c r="E18" s="654"/>
      <c r="H18" s="11"/>
      <c r="I18" s="8" t="str">
        <f>Para1!F180</f>
        <v>total</v>
      </c>
      <c r="L18" s="162">
        <f>SUM(L8:L17)</f>
        <v>0</v>
      </c>
      <c r="M18" s="162">
        <f>SUM(M8:M17)</f>
        <v>0</v>
      </c>
      <c r="N18" s="162">
        <f>SUM(N8:N17)</f>
        <v>0</v>
      </c>
      <c r="O18" s="7"/>
      <c r="R18" s="7"/>
    </row>
    <row r="19" spans="1:23" ht="35.25" customHeight="1" thickTop="1" thickBot="1" x14ac:dyDescent="0.2">
      <c r="A19" s="25" t="str">
        <f>Para1!F104</f>
        <v>(please enter in hours and minutes)</v>
      </c>
      <c r="B19" s="7"/>
      <c r="C19" s="7"/>
      <c r="D19" s="7"/>
      <c r="E19" s="7"/>
      <c r="F19" s="7"/>
      <c r="G19" s="7"/>
      <c r="H19" s="7"/>
      <c r="I19" s="9"/>
      <c r="J19" s="9"/>
      <c r="K19" s="9"/>
      <c r="L19" s="9"/>
    </row>
    <row r="20" spans="1:23" ht="17.25" customHeight="1" thickTop="1" thickBot="1" x14ac:dyDescent="0.2">
      <c r="D20" s="643" t="str">
        <f>Para1!F83&amp;" in "&amp;Para1!F176&amp;" hh:mm"</f>
        <v>absences in hours hh:mm</v>
      </c>
      <c r="E20" s="644"/>
      <c r="F20" s="644"/>
      <c r="G20" s="644"/>
      <c r="H20" s="644"/>
      <c r="I20" s="645"/>
      <c r="J20" s="533"/>
      <c r="K20" s="628" t="str">
        <f>Para1!F83&amp;" in "&amp;Para1!F178</f>
        <v>absences in days</v>
      </c>
      <c r="L20" s="629"/>
      <c r="M20" s="661" t="str">
        <f>Para1!F140</f>
        <v>comment</v>
      </c>
      <c r="N20" s="662"/>
      <c r="P20" s="630" t="str">
        <f>Para1!F90</f>
        <v>working hours templ.</v>
      </c>
      <c r="Q20" s="631"/>
    </row>
    <row r="21" spans="1:23" s="26" customFormat="1" ht="18.75" customHeight="1" thickTop="1" x14ac:dyDescent="0.2">
      <c r="A21" s="626">
        <f ca="1">TODAY()</f>
        <v>42685</v>
      </c>
      <c r="B21" s="627"/>
      <c r="C21" s="188"/>
      <c r="D21" s="648" t="str">
        <f>Para1!F141</f>
        <v>illness</v>
      </c>
      <c r="E21" s="646" t="str">
        <f>Para1!F190&amp;" "&amp;Para1!F100</f>
        <v>accident work. rel.</v>
      </c>
      <c r="F21" s="657" t="str">
        <f>Para1!F190&amp;" "&amp;Para1!F161&amp;" "&amp;Para1!F100</f>
        <v>accident not work. rel.</v>
      </c>
      <c r="G21" s="646" t="str">
        <f>Para1!F142</f>
        <v>short vacation</v>
      </c>
      <c r="H21" s="646" t="str">
        <f>Para1!F199</f>
        <v>training / education</v>
      </c>
      <c r="I21" s="637" t="str">
        <f>Para1!F163</f>
        <v>public office</v>
      </c>
      <c r="J21" s="537"/>
      <c r="K21" s="667" t="str">
        <f>Para1!F194</f>
        <v>morning</v>
      </c>
      <c r="L21" s="665" t="str">
        <f>Para1!F158</f>
        <v>afternoon</v>
      </c>
      <c r="M21" s="240"/>
      <c r="N21" s="250"/>
      <c r="O21" s="250"/>
      <c r="P21" s="632" t="str">
        <f>Para1!F194</f>
        <v>morning</v>
      </c>
      <c r="Q21" s="634" t="str">
        <f>Para1!F158</f>
        <v>afternoon</v>
      </c>
    </row>
    <row r="22" spans="1:23" s="26" customFormat="1" ht="15.75" customHeight="1" thickBot="1" x14ac:dyDescent="0.25">
      <c r="A22" s="639" t="str">
        <f>Para1!F106</f>
        <v>date</v>
      </c>
      <c r="B22" s="640"/>
      <c r="C22" s="536"/>
      <c r="D22" s="649"/>
      <c r="E22" s="660"/>
      <c r="F22" s="658"/>
      <c r="G22" s="659"/>
      <c r="H22" s="647"/>
      <c r="I22" s="638"/>
      <c r="J22" s="257"/>
      <c r="K22" s="668"/>
      <c r="L22" s="666"/>
      <c r="M22" s="196"/>
      <c r="N22" s="250"/>
      <c r="O22" s="250"/>
      <c r="P22" s="633"/>
      <c r="Q22" s="635"/>
    </row>
    <row r="23" spans="1:23" ht="17" customHeight="1" thickTop="1" x14ac:dyDescent="0.15">
      <c r="A23" s="27" t="s">
        <v>4</v>
      </c>
      <c r="B23" s="153" t="str">
        <f>IF(Mai!B53=Para1!$F$153,Para1!$F$109,IF(Mai!B53=Para1!$F$109,Para1!$F$148,IF(Mai!B53=Para1!$F$148,Para1!$F$111,IF(Mai!B53=Para1!$F$111,Para1!$F$120,IF(Mai!B53=Para1!$F$120,Para1!$F$170,IF(Mai!B53=Para1!$F$170,Para1!$F$173,Para1!$F$153))))))</f>
        <v>Mon</v>
      </c>
      <c r="C23" s="186"/>
      <c r="D23" s="293"/>
      <c r="E23" s="298"/>
      <c r="F23" s="295"/>
      <c r="G23" s="294"/>
      <c r="H23" s="294"/>
      <c r="I23" s="296"/>
      <c r="J23" s="312"/>
      <c r="K23" s="378"/>
      <c r="L23" s="379"/>
      <c r="M23" s="131"/>
      <c r="N23" s="197"/>
      <c r="O23" s="299"/>
      <c r="P23" s="366">
        <v>0</v>
      </c>
      <c r="Q23" s="366">
        <v>0</v>
      </c>
      <c r="R23" s="299" t="str">
        <f>IF(VLOOKUP(A23,Para1!$B$67:$E$72,2,FALSE)="6.",VLOOKUP(A23,Para1!$B$67:$E$72,3,FALSE),"")</f>
        <v>Pfingstmontag</v>
      </c>
      <c r="S23" s="299" t="str">
        <f>IF((P23+Q23)=0,"",IF(ISNA(R23),"",IF(R23="","",VLOOKUP(R23,Para1!$D$67:$G$79,3,FALSE)*(IF(P23+Q23=1,0.5,1)))))</f>
        <v/>
      </c>
      <c r="T23" s="299" t="str">
        <f>IF(P23+Q23=0,"",IF(ISNA(R24),"",IF(R24="","",VLOOKUP(R24,Para1!$D$67:$G$79,4,FALSE)*(IF(P23+Q23=1,0.5,1)))))</f>
        <v/>
      </c>
      <c r="U23" s="299" t="str">
        <f t="shared" ref="U23" si="1">IF(SUM(S23:T23)&gt;0,K23,"")</f>
        <v/>
      </c>
      <c r="V23" s="299" t="str">
        <f t="shared" ref="V23" si="2">IF(SUM(S23:T23)&gt;0,L23,"")</f>
        <v/>
      </c>
      <c r="W23" s="299">
        <f>IF(S23=0,P23+Q23,0)</f>
        <v>0</v>
      </c>
    </row>
    <row r="24" spans="1:23" ht="17" customHeight="1" x14ac:dyDescent="0.15">
      <c r="A24" s="102" t="s">
        <v>6</v>
      </c>
      <c r="B24" s="153" t="str">
        <f>IF(B23=Para1!$F$153,Para1!$F$109,IF(B23=Para1!$F$109,Para1!$F$148,IF(B23=Para1!$F$148,Para1!$F$111,IF(B23=Para1!$F$111,Para1!$F$120,IF(B23=Para1!$F$120,Para1!$F$170,IF(B23=Para1!$F$170,Para1!$F$173,Para1!$F$153))))))</f>
        <v>Tue</v>
      </c>
      <c r="C24" s="185"/>
      <c r="D24" s="293"/>
      <c r="E24" s="298"/>
      <c r="F24" s="295"/>
      <c r="G24" s="294"/>
      <c r="H24" s="294"/>
      <c r="I24" s="296"/>
      <c r="J24" s="312"/>
      <c r="K24" s="378"/>
      <c r="L24" s="379"/>
      <c r="M24" s="131"/>
      <c r="N24" s="197"/>
      <c r="O24" s="299"/>
      <c r="P24" s="366">
        <f>Mai!P48</f>
        <v>1</v>
      </c>
      <c r="Q24" s="366">
        <f>Mai!Q48</f>
        <v>1</v>
      </c>
      <c r="R24" s="299" t="e">
        <f>IF(VLOOKUP(A24,Para1!$B$67:$E$72,2,FALSE)="6.",VLOOKUP(A24,Para1!$B$67:$E$72,3,FALSE),"")</f>
        <v>#N/A</v>
      </c>
      <c r="S24" s="299" t="str">
        <f>IF((P24+Q24)=0,"",IF(ISNA(R24),"",IF(R24="","",VLOOKUP(R24,Para1!$D$67:$G$79,3,FALSE)*(IF(P24+Q24=1,0.5,1)))))</f>
        <v/>
      </c>
      <c r="T24" s="299" t="str">
        <f>IF(P24+Q24=0,"",IF(ISNA(R25),"",IF(R25="","",VLOOKUP(R25,Para1!$D$67:$G$79,4,FALSE)*(IF(P24+Q24=1,0.5,1)))))</f>
        <v/>
      </c>
      <c r="U24" s="299" t="str">
        <f t="shared" ref="U24:U53" si="3">IF(SUM(S24:T24)&gt;0,K24,"")</f>
        <v/>
      </c>
      <c r="V24" s="299" t="str">
        <f t="shared" ref="V24:V53" si="4">IF(SUM(S24:T24)&gt;0,L24,"")</f>
        <v/>
      </c>
      <c r="W24" s="299">
        <f t="shared" ref="W24:W53" si="5">IF(S24=0,P24+Q24,0)</f>
        <v>0</v>
      </c>
    </row>
    <row r="25" spans="1:23" ht="17" customHeight="1" x14ac:dyDescent="0.15">
      <c r="A25" s="102" t="s">
        <v>8</v>
      </c>
      <c r="B25" s="153" t="str">
        <f>IF(B24=Para1!$F$153,Para1!$F$109,IF(B24=Para1!$F$109,Para1!$F$148,IF(B24=Para1!$F$148,Para1!$F$111,IF(B24=Para1!$F$111,Para1!$F$120,IF(B24=Para1!$F$120,Para1!$F$170,IF(B24=Para1!$F$170,Para1!$F$173,Para1!$F$153))))))</f>
        <v>Wed</v>
      </c>
      <c r="C25" s="185"/>
      <c r="D25" s="293"/>
      <c r="E25" s="298"/>
      <c r="F25" s="295"/>
      <c r="G25" s="294"/>
      <c r="H25" s="294"/>
      <c r="I25" s="296"/>
      <c r="J25" s="312"/>
      <c r="K25" s="378"/>
      <c r="L25" s="379"/>
      <c r="M25" s="129"/>
      <c r="N25" s="197"/>
      <c r="O25" s="299"/>
      <c r="P25" s="366">
        <f>Mai!P49</f>
        <v>1</v>
      </c>
      <c r="Q25" s="366">
        <f>Mai!Q49</f>
        <v>1</v>
      </c>
      <c r="R25" s="299" t="e">
        <f>IF(VLOOKUP(A25,Para1!$B$67:$E$72,2,FALSE)="6.",VLOOKUP(A25,Para1!$B$67:$E$72,3,FALSE),"")</f>
        <v>#N/A</v>
      </c>
      <c r="S25" s="299" t="str">
        <f>IF((P25+Q25)=0,"",IF(ISNA(R25),"",IF(R25="","",VLOOKUP(R25,Para1!$D$67:$G$79,3,FALSE)*(IF(P25+Q25=1,0.5,1)))))</f>
        <v/>
      </c>
      <c r="T25" s="299" t="str">
        <f>IF(P25+Q25=0,"",IF(ISNA(R26),"",IF(R26="","",VLOOKUP(R26,Para1!$D$67:$G$79,4,FALSE)*(IF(P25+Q25=1,0.5,1)))))</f>
        <v/>
      </c>
      <c r="U25" s="299" t="str">
        <f t="shared" si="3"/>
        <v/>
      </c>
      <c r="V25" s="299" t="str">
        <f t="shared" si="4"/>
        <v/>
      </c>
      <c r="W25" s="299">
        <f t="shared" si="5"/>
        <v>0</v>
      </c>
    </row>
    <row r="26" spans="1:23" ht="17" customHeight="1" x14ac:dyDescent="0.15">
      <c r="A26" s="102" t="s">
        <v>10</v>
      </c>
      <c r="B26" s="153" t="str">
        <f>IF(B25=Para1!$F$153,Para1!$F$109,IF(B25=Para1!$F$109,Para1!$F$148,IF(B25=Para1!$F$148,Para1!$F$111,IF(B25=Para1!$F$111,Para1!$F$120,IF(B25=Para1!$F$120,Para1!$F$170,IF(B25=Para1!$F$170,Para1!$F$173,Para1!$F$153))))))</f>
        <v>Thu</v>
      </c>
      <c r="C26" s="186"/>
      <c r="D26" s="293"/>
      <c r="E26" s="298"/>
      <c r="F26" s="295"/>
      <c r="G26" s="294"/>
      <c r="H26" s="294"/>
      <c r="I26" s="296"/>
      <c r="J26" s="312"/>
      <c r="K26" s="378"/>
      <c r="L26" s="379"/>
      <c r="M26" s="129"/>
      <c r="N26" s="197"/>
      <c r="O26" s="299"/>
      <c r="P26" s="366">
        <f>Mai!P50</f>
        <v>1</v>
      </c>
      <c r="Q26" s="366">
        <f>Mai!Q50</f>
        <v>1</v>
      </c>
      <c r="R26" s="299" t="e">
        <f>IF(VLOOKUP(A26,Para1!$B$67:$E$72,2,FALSE)="6.",VLOOKUP(A26,Para1!$B$67:$E$72,3,FALSE),"")</f>
        <v>#N/A</v>
      </c>
      <c r="S26" s="299" t="str">
        <f>IF((P26+Q26)=0,"",IF(ISNA(R26),"",IF(R26="","",VLOOKUP(R26,Para1!$D$67:$G$79,3,FALSE)*(IF(P26+Q26=1,0.5,1)))))</f>
        <v/>
      </c>
      <c r="T26" s="299" t="str">
        <f>IF(P26+Q26=0,"",IF(ISNA(R27),"",IF(R27="","",VLOOKUP(R27,Para1!$D$67:$G$79,4,FALSE)*(IF(P26+Q26=1,0.5,1)))))</f>
        <v/>
      </c>
      <c r="U26" s="299" t="str">
        <f t="shared" si="3"/>
        <v/>
      </c>
      <c r="V26" s="299" t="str">
        <f t="shared" si="4"/>
        <v/>
      </c>
      <c r="W26" s="299">
        <f t="shared" si="5"/>
        <v>0</v>
      </c>
    </row>
    <row r="27" spans="1:23" s="39" customFormat="1" ht="17" customHeight="1" x14ac:dyDescent="0.15">
      <c r="A27" s="27" t="s">
        <v>12</v>
      </c>
      <c r="B27" s="153" t="str">
        <f>IF(B26=Para1!$F$153,Para1!$F$109,IF(B26=Para1!$F$109,Para1!$F$148,IF(B26=Para1!$F$148,Para1!$F$111,IF(B26=Para1!$F$111,Para1!$F$120,IF(B26=Para1!$F$120,Para1!$F$170,IF(B26=Para1!$F$170,Para1!$F$173,Para1!$F$153))))))</f>
        <v>Fri</v>
      </c>
      <c r="C27" s="186"/>
      <c r="D27" s="293"/>
      <c r="E27" s="298"/>
      <c r="F27" s="295"/>
      <c r="G27" s="294"/>
      <c r="H27" s="294"/>
      <c r="I27" s="296"/>
      <c r="J27" s="312"/>
      <c r="K27" s="378"/>
      <c r="L27" s="379"/>
      <c r="M27" s="129"/>
      <c r="N27" s="197"/>
      <c r="O27" s="299"/>
      <c r="P27" s="366">
        <f>Mai!P51</f>
        <v>1</v>
      </c>
      <c r="Q27" s="366">
        <f>Mai!Q51</f>
        <v>1</v>
      </c>
      <c r="R27" s="299" t="e">
        <f>IF(VLOOKUP(A27,Para1!$B$67:$E$72,2,FALSE)="6.",VLOOKUP(A27,Para1!$B$67:$E$72,3,FALSE),"")</f>
        <v>#N/A</v>
      </c>
      <c r="S27" s="299" t="str">
        <f>IF((P27+Q27)=0,"",IF(ISNA(R27),"",IF(R27="","",VLOOKUP(R27,Para1!$D$67:$G$79,3,FALSE)*(IF(P27+Q27=1,0.5,1)))))</f>
        <v/>
      </c>
      <c r="T27" s="299" t="str">
        <f>IF(P27+Q27=0,"",IF(ISNA(R28),"",IF(R28="","",VLOOKUP(R28,Para1!$D$67:$G$79,4,FALSE)*(IF(P27+Q27=1,0.5,1)))))</f>
        <v/>
      </c>
      <c r="U27" s="299" t="str">
        <f t="shared" si="3"/>
        <v/>
      </c>
      <c r="V27" s="299" t="str">
        <f t="shared" si="4"/>
        <v/>
      </c>
      <c r="W27" s="299">
        <f t="shared" si="5"/>
        <v>0</v>
      </c>
    </row>
    <row r="28" spans="1:23" s="39" customFormat="1" ht="17" customHeight="1" x14ac:dyDescent="0.15">
      <c r="A28" s="27" t="s">
        <v>14</v>
      </c>
      <c r="B28" s="153" t="str">
        <f>IF(B27=Para1!$F$153,Para1!$F$109,IF(B27=Para1!$F$109,Para1!$F$148,IF(B27=Para1!$F$148,Para1!$F$111,IF(B27=Para1!$F$111,Para1!$F$120,IF(B27=Para1!$F$120,Para1!$F$170,IF(B27=Para1!$F$170,Para1!$F$173,Para1!$F$153))))))</f>
        <v>Sat</v>
      </c>
      <c r="C28" s="186"/>
      <c r="D28" s="293"/>
      <c r="E28" s="298"/>
      <c r="F28" s="295"/>
      <c r="G28" s="294"/>
      <c r="H28" s="294"/>
      <c r="I28" s="296"/>
      <c r="J28" s="312"/>
      <c r="K28" s="378"/>
      <c r="L28" s="379"/>
      <c r="M28" s="129"/>
      <c r="N28" s="197"/>
      <c r="O28" s="299"/>
      <c r="P28" s="366">
        <f>Mai!P52</f>
        <v>0</v>
      </c>
      <c r="Q28" s="366">
        <f>Mai!Q52</f>
        <v>0</v>
      </c>
      <c r="R28" s="299" t="e">
        <f>IF(VLOOKUP(A28,Para1!$B$67:$E$72,2,FALSE)="6.",VLOOKUP(A28,Para1!$B$67:$E$72,3,FALSE),"")</f>
        <v>#N/A</v>
      </c>
      <c r="S28" s="299" t="str">
        <f>IF((P28+Q28)=0,"",IF(ISNA(R28),"",IF(R28="","",VLOOKUP(R28,Para1!$D$67:$G$79,3,FALSE)*(IF(P28+Q28=1,0.5,1)))))</f>
        <v/>
      </c>
      <c r="T28" s="299" t="str">
        <f>IF(P28+Q28=0,"",IF(ISNA(R29),"",IF(R29="","",VLOOKUP(R29,Para1!$D$67:$G$79,4,FALSE)*(IF(P28+Q28=1,0.5,1)))))</f>
        <v/>
      </c>
      <c r="U28" s="299" t="str">
        <f t="shared" si="3"/>
        <v/>
      </c>
      <c r="V28" s="299" t="str">
        <f t="shared" si="4"/>
        <v/>
      </c>
      <c r="W28" s="299">
        <f t="shared" si="5"/>
        <v>0</v>
      </c>
    </row>
    <row r="29" spans="1:23" ht="17" customHeight="1" x14ac:dyDescent="0.15">
      <c r="A29" s="27" t="s">
        <v>16</v>
      </c>
      <c r="B29" s="153" t="str">
        <f>IF(B28=Para1!$F$153,Para1!$F$109,IF(B28=Para1!$F$109,Para1!$F$148,IF(B28=Para1!$F$148,Para1!$F$111,IF(B28=Para1!$F$111,Para1!$F$120,IF(B28=Para1!$F$120,Para1!$F$170,IF(B28=Para1!$F$170,Para1!$F$173,Para1!$F$153))))))</f>
        <v>Sun</v>
      </c>
      <c r="C29" s="186"/>
      <c r="D29" s="293"/>
      <c r="E29" s="298"/>
      <c r="F29" s="295"/>
      <c r="G29" s="294"/>
      <c r="H29" s="294"/>
      <c r="I29" s="296"/>
      <c r="J29" s="312"/>
      <c r="K29" s="378"/>
      <c r="L29" s="379"/>
      <c r="M29" s="129"/>
      <c r="N29" s="197"/>
      <c r="O29" s="299"/>
      <c r="P29" s="366">
        <f>Mai!P53</f>
        <v>0</v>
      </c>
      <c r="Q29" s="366">
        <f>Mai!Q53</f>
        <v>0</v>
      </c>
      <c r="R29" s="299" t="e">
        <f>IF(VLOOKUP(A29,Para1!$B$67:$E$72,2,FALSE)="6.",VLOOKUP(A29,Para1!$B$67:$E$72,3,FALSE),"")</f>
        <v>#N/A</v>
      </c>
      <c r="S29" s="299" t="str">
        <f>IF((P29+Q29)=0,"",IF(ISNA(R29),"",IF(R29="","",VLOOKUP(R29,Para1!$D$67:$G$79,3,FALSE)*(IF(P29+Q29=1,0.5,1)))))</f>
        <v/>
      </c>
      <c r="T29" s="299" t="str">
        <f>IF(P29+Q29=0,"",IF(ISNA(R30),"",IF(R30="","",VLOOKUP(R30,Para1!$D$67:$G$79,4,FALSE)*(IF(P29+Q29=1,0.5,1)))))</f>
        <v/>
      </c>
      <c r="U29" s="299" t="str">
        <f t="shared" si="3"/>
        <v/>
      </c>
      <c r="V29" s="299" t="str">
        <f t="shared" si="4"/>
        <v/>
      </c>
      <c r="W29" s="299">
        <f t="shared" si="5"/>
        <v>0</v>
      </c>
    </row>
    <row r="30" spans="1:23" ht="17" customHeight="1" x14ac:dyDescent="0.15">
      <c r="A30" s="102" t="s">
        <v>18</v>
      </c>
      <c r="B30" s="153" t="str">
        <f>IF(B29=Para1!$F$153,Para1!$F$109,IF(B29=Para1!$F$109,Para1!$F$148,IF(B29=Para1!$F$148,Para1!$F$111,IF(B29=Para1!$F$111,Para1!$F$120,IF(B29=Para1!$F$120,Para1!$F$170,IF(B29=Para1!$F$170,Para1!$F$173,Para1!$F$153))))))</f>
        <v>Mon</v>
      </c>
      <c r="C30" s="186"/>
      <c r="D30" s="293"/>
      <c r="E30" s="298"/>
      <c r="F30" s="295"/>
      <c r="G30" s="294"/>
      <c r="H30" s="294"/>
      <c r="I30" s="296"/>
      <c r="J30" s="312"/>
      <c r="K30" s="378"/>
      <c r="L30" s="379"/>
      <c r="M30" s="129"/>
      <c r="N30" s="197"/>
      <c r="O30" s="299"/>
      <c r="P30" s="367">
        <f>Mai!P47</f>
        <v>1</v>
      </c>
      <c r="Q30" s="367">
        <f>Mai!Q47</f>
        <v>1</v>
      </c>
      <c r="R30" s="299" t="e">
        <f>IF(VLOOKUP(A30,Para1!$B$67:$E$72,2,FALSE)="6.",VLOOKUP(A30,Para1!$B$67:$E$72,3,FALSE),"")</f>
        <v>#N/A</v>
      </c>
      <c r="S30" s="299" t="str">
        <f>IF((P30+Q30)=0,"",IF(ISNA(R30),"",IF(R30="","",VLOOKUP(R30,Para1!$D$67:$G$79,3,FALSE)*(IF(P30+Q30=1,0.5,1)))))</f>
        <v/>
      </c>
      <c r="T30" s="299" t="str">
        <f>IF(P30+Q30=0,"",IF(ISNA(R31),"",IF(R31="","",VLOOKUP(R31,Para1!$D$67:$G$79,4,FALSE)*(IF(P30+Q30=1,0.5,1)))))</f>
        <v/>
      </c>
      <c r="U30" s="299" t="str">
        <f t="shared" si="3"/>
        <v/>
      </c>
      <c r="V30" s="299" t="str">
        <f t="shared" si="4"/>
        <v/>
      </c>
      <c r="W30" s="299">
        <f t="shared" si="5"/>
        <v>0</v>
      </c>
    </row>
    <row r="31" spans="1:23" ht="17" customHeight="1" x14ac:dyDescent="0.15">
      <c r="A31" s="102" t="s">
        <v>19</v>
      </c>
      <c r="B31" s="153" t="str">
        <f>IF(B30=Para1!$F$153,Para1!$F$109,IF(B30=Para1!$F$109,Para1!$F$148,IF(B30=Para1!$F$148,Para1!$F$111,IF(B30=Para1!$F$111,Para1!$F$120,IF(B30=Para1!$F$120,Para1!$F$170,IF(B30=Para1!$F$170,Para1!$F$173,Para1!$F$153))))))</f>
        <v>Tue</v>
      </c>
      <c r="C31" s="185"/>
      <c r="D31" s="293"/>
      <c r="E31" s="298"/>
      <c r="F31" s="295"/>
      <c r="G31" s="294"/>
      <c r="H31" s="294"/>
      <c r="I31" s="296"/>
      <c r="J31" s="312"/>
      <c r="K31" s="378"/>
      <c r="L31" s="379"/>
      <c r="M31" s="129"/>
      <c r="N31" s="197"/>
      <c r="O31" s="299"/>
      <c r="P31" s="367">
        <f t="shared" ref="P31:Q36" si="6">P24</f>
        <v>1</v>
      </c>
      <c r="Q31" s="367">
        <f t="shared" si="6"/>
        <v>1</v>
      </c>
      <c r="R31" s="299" t="e">
        <f>IF(VLOOKUP(A31,Para1!$B$67:$E$72,2,FALSE)="6.",VLOOKUP(A31,Para1!$B$67:$E$72,3,FALSE),"")</f>
        <v>#N/A</v>
      </c>
      <c r="S31" s="299" t="str">
        <f>IF((P31+Q31)=0,"",IF(ISNA(R31),"",IF(R31="","",VLOOKUP(R31,Para1!$D$67:$G$79,3,FALSE)*(IF(P31+Q31=1,0.5,1)))))</f>
        <v/>
      </c>
      <c r="T31" s="299" t="str">
        <f>IF(P31+Q31=0,"",IF(ISNA(R32),"",IF(R32="","",VLOOKUP(R32,Para1!$D$67:$G$79,4,FALSE)*(IF(P31+Q31=1,0.5,1)))))</f>
        <v/>
      </c>
      <c r="U31" s="299" t="str">
        <f t="shared" si="3"/>
        <v/>
      </c>
      <c r="V31" s="299" t="str">
        <f t="shared" si="4"/>
        <v/>
      </c>
      <c r="W31" s="299">
        <f t="shared" si="5"/>
        <v>0</v>
      </c>
    </row>
    <row r="32" spans="1:23" ht="17" customHeight="1" x14ac:dyDescent="0.15">
      <c r="A32" s="102" t="s">
        <v>20</v>
      </c>
      <c r="B32" s="153" t="str">
        <f>IF(B31=Para1!$F$153,Para1!$F$109,IF(B31=Para1!$F$109,Para1!$F$148,IF(B31=Para1!$F$148,Para1!$F$111,IF(B31=Para1!$F$111,Para1!$F$120,IF(B31=Para1!$F$120,Para1!$F$170,IF(B31=Para1!$F$170,Para1!$F$173,Para1!$F$153))))))</f>
        <v>Wed</v>
      </c>
      <c r="C32" s="185"/>
      <c r="D32" s="293"/>
      <c r="E32" s="298"/>
      <c r="F32" s="295"/>
      <c r="G32" s="294"/>
      <c r="H32" s="294"/>
      <c r="I32" s="296"/>
      <c r="J32" s="312"/>
      <c r="K32" s="378"/>
      <c r="L32" s="379"/>
      <c r="M32" s="129"/>
      <c r="N32" s="197"/>
      <c r="O32" s="299"/>
      <c r="P32" s="367">
        <f>P25</f>
        <v>1</v>
      </c>
      <c r="Q32" s="367">
        <f>Q25</f>
        <v>1</v>
      </c>
      <c r="R32" s="299" t="str">
        <f>IF(VLOOKUP(A32,Para1!$B$67:$E$72,2,FALSE)="6.",VLOOKUP(A32,Para1!$B$67:$E$72,3,FALSE),"")</f>
        <v/>
      </c>
      <c r="S32" s="299" t="str">
        <f>IF((P32+Q32)=0,"",IF(ISNA(R32),"",IF(R32="","",VLOOKUP(R32,Para1!$D$67:$G$79,3,FALSE)*(IF(P32+Q32=1,0.5,1)))))</f>
        <v/>
      </c>
      <c r="T32" s="299" t="str">
        <f>IF(P32+Q32=0,"",IF(ISNA(R33),"",IF(R33="","",VLOOKUP(R33,Para1!$D$67:$G$79,4,FALSE)*(IF(P32+Q32=1,0.5,1)))))</f>
        <v/>
      </c>
      <c r="U32" s="299" t="str">
        <f t="shared" si="3"/>
        <v/>
      </c>
      <c r="V32" s="299" t="str">
        <f t="shared" si="4"/>
        <v/>
      </c>
      <c r="W32" s="299">
        <f t="shared" si="5"/>
        <v>0</v>
      </c>
    </row>
    <row r="33" spans="1:23" ht="17" customHeight="1" x14ac:dyDescent="0.15">
      <c r="A33" s="102" t="s">
        <v>21</v>
      </c>
      <c r="B33" s="153" t="str">
        <f>IF(B32=Para1!$F$153,Para1!$F$109,IF(B32=Para1!$F$109,Para1!$F$148,IF(B32=Para1!$F$148,Para1!$F$111,IF(B32=Para1!$F$111,Para1!$F$120,IF(B32=Para1!$F$120,Para1!$F$170,IF(B32=Para1!$F$170,Para1!$F$173,Para1!$F$153))))))</f>
        <v>Thu</v>
      </c>
      <c r="C33" s="186"/>
      <c r="D33" s="293"/>
      <c r="E33" s="298"/>
      <c r="F33" s="295"/>
      <c r="G33" s="294"/>
      <c r="H33" s="294"/>
      <c r="I33" s="296"/>
      <c r="J33" s="312"/>
      <c r="K33" s="378"/>
      <c r="L33" s="379"/>
      <c r="M33" s="129"/>
      <c r="N33" s="197"/>
      <c r="O33" s="299"/>
      <c r="P33" s="367">
        <f t="shared" si="6"/>
        <v>1</v>
      </c>
      <c r="Q33" s="367">
        <f t="shared" si="6"/>
        <v>1</v>
      </c>
      <c r="R33" s="299" t="e">
        <f>IF(VLOOKUP(A33,Para1!$B$67:$E$72,2,FALSE)="6.",VLOOKUP(A33,Para1!$B$67:$E$72,3,FALSE),"")</f>
        <v>#N/A</v>
      </c>
      <c r="S33" s="299" t="str">
        <f>IF((P33+Q33)=0,"",IF(ISNA(R33),"",IF(R33="","",VLOOKUP(R33,Para1!$D$67:$G$79,3,FALSE)*(IF(P33+Q33=1,0.5,1)))))</f>
        <v/>
      </c>
      <c r="T33" s="299" t="str">
        <f>IF(P33+Q33=0,"",IF(ISNA(R34),"",IF(R34="","",VLOOKUP(R34,Para1!$D$67:$G$79,4,FALSE)*(IF(P33+Q33=1,0.5,1)))))</f>
        <v/>
      </c>
      <c r="U33" s="299" t="str">
        <f t="shared" si="3"/>
        <v/>
      </c>
      <c r="V33" s="299" t="str">
        <f t="shared" si="4"/>
        <v/>
      </c>
      <c r="W33" s="299">
        <f t="shared" si="5"/>
        <v>0</v>
      </c>
    </row>
    <row r="34" spans="1:23" s="39" customFormat="1" ht="17" customHeight="1" x14ac:dyDescent="0.15">
      <c r="A34" s="27" t="s">
        <v>22</v>
      </c>
      <c r="B34" s="153" t="str">
        <f>IF(B33=Para1!$F$153,Para1!$F$109,IF(B33=Para1!$F$109,Para1!$F$148,IF(B33=Para1!$F$148,Para1!$F$111,IF(B33=Para1!$F$111,Para1!$F$120,IF(B33=Para1!$F$120,Para1!$F$170,IF(B33=Para1!$F$170,Para1!$F$173,Para1!$F$153))))))</f>
        <v>Fri</v>
      </c>
      <c r="C34" s="186"/>
      <c r="D34" s="293"/>
      <c r="E34" s="298"/>
      <c r="F34" s="295"/>
      <c r="G34" s="294"/>
      <c r="H34" s="294"/>
      <c r="I34" s="296"/>
      <c r="J34" s="312"/>
      <c r="K34" s="378"/>
      <c r="L34" s="379"/>
      <c r="M34" s="129"/>
      <c r="N34" s="197"/>
      <c r="O34" s="299"/>
      <c r="P34" s="367">
        <f t="shared" si="6"/>
        <v>1</v>
      </c>
      <c r="Q34" s="367">
        <f t="shared" si="6"/>
        <v>1</v>
      </c>
      <c r="R34" s="299" t="str">
        <f>IF(VLOOKUP(A34,Para1!$B$67:$E$72,2,FALSE)="6.",VLOOKUP(A34,Para1!$B$67:$E$72,3,FALSE),"")</f>
        <v/>
      </c>
      <c r="S34" s="299" t="str">
        <f>IF((P34+Q34)=0,"",IF(ISNA(R34),"",IF(R34="","",VLOOKUP(R34,Para1!$D$67:$G$79,3,FALSE)*(IF(P34+Q34=1,0.5,1)))))</f>
        <v/>
      </c>
      <c r="T34" s="299" t="str">
        <f>IF(P34+Q34=0,"",IF(ISNA(R35),"",IF(R35="","",VLOOKUP(R35,Para1!$D$67:$G$79,4,FALSE)*(IF(P34+Q34=1,0.5,1)))))</f>
        <v/>
      </c>
      <c r="U34" s="299" t="str">
        <f t="shared" si="3"/>
        <v/>
      </c>
      <c r="V34" s="299" t="str">
        <f t="shared" si="4"/>
        <v/>
      </c>
      <c r="W34" s="299">
        <f t="shared" si="5"/>
        <v>0</v>
      </c>
    </row>
    <row r="35" spans="1:23" s="39" customFormat="1" ht="17" customHeight="1" x14ac:dyDescent="0.15">
      <c r="A35" s="27" t="s">
        <v>23</v>
      </c>
      <c r="B35" s="153" t="str">
        <f>IF(B34=Para1!$F$153,Para1!$F$109,IF(B34=Para1!$F$109,Para1!$F$148,IF(B34=Para1!$F$148,Para1!$F$111,IF(B34=Para1!$F$111,Para1!$F$120,IF(B34=Para1!$F$120,Para1!$F$170,IF(B34=Para1!$F$170,Para1!$F$173,Para1!$F$153))))))</f>
        <v>Sat</v>
      </c>
      <c r="C35" s="186"/>
      <c r="D35" s="293"/>
      <c r="E35" s="298"/>
      <c r="F35" s="295"/>
      <c r="G35" s="294"/>
      <c r="H35" s="294"/>
      <c r="I35" s="296"/>
      <c r="J35" s="312"/>
      <c r="K35" s="378"/>
      <c r="L35" s="379"/>
      <c r="M35" s="129"/>
      <c r="N35" s="197"/>
      <c r="O35" s="299"/>
      <c r="P35" s="367">
        <f t="shared" si="6"/>
        <v>0</v>
      </c>
      <c r="Q35" s="367">
        <f t="shared" si="6"/>
        <v>0</v>
      </c>
      <c r="R35" s="299" t="str">
        <f>IF(VLOOKUP(A35,Para1!$B$67:$E$72,2,FALSE)="6.",VLOOKUP(A35,Para1!$B$67:$E$72,3,FALSE),"")</f>
        <v/>
      </c>
      <c r="S35" s="299" t="str">
        <f>IF((P35+Q35)=0,"",IF(ISNA(R35),"",IF(R35="","",VLOOKUP(R35,Para1!$D$67:$G$79,3,FALSE)*(IF(P35+Q35=1,0.5,1)))))</f>
        <v/>
      </c>
      <c r="T35" s="299" t="str">
        <f>IF(P35+Q35=0,"",IF(ISNA(R36),"",IF(R36="","",VLOOKUP(R36,Para1!$D$67:$G$79,4,FALSE)*(IF(P35+Q35=1,0.5,1)))))</f>
        <v/>
      </c>
      <c r="U35" s="299" t="str">
        <f t="shared" si="3"/>
        <v/>
      </c>
      <c r="V35" s="299" t="str">
        <f t="shared" si="4"/>
        <v/>
      </c>
      <c r="W35" s="299">
        <f t="shared" si="5"/>
        <v>0</v>
      </c>
    </row>
    <row r="36" spans="1:23" ht="17" customHeight="1" x14ac:dyDescent="0.15">
      <c r="A36" s="27" t="s">
        <v>24</v>
      </c>
      <c r="B36" s="153" t="str">
        <f>IF(B35=Para1!$F$153,Para1!$F$109,IF(B35=Para1!$F$109,Para1!$F$148,IF(B35=Para1!$F$148,Para1!$F$111,IF(B35=Para1!$F$111,Para1!$F$120,IF(B35=Para1!$F$120,Para1!$F$170,IF(B35=Para1!$F$170,Para1!$F$173,Para1!$F$153))))))</f>
        <v>Sun</v>
      </c>
      <c r="C36" s="186"/>
      <c r="D36" s="293"/>
      <c r="E36" s="298"/>
      <c r="F36" s="295"/>
      <c r="G36" s="294"/>
      <c r="H36" s="294"/>
      <c r="I36" s="296"/>
      <c r="J36" s="312"/>
      <c r="K36" s="378"/>
      <c r="L36" s="379"/>
      <c r="M36" s="129"/>
      <c r="N36" s="197"/>
      <c r="O36" s="299"/>
      <c r="P36" s="367">
        <f t="shared" si="6"/>
        <v>0</v>
      </c>
      <c r="Q36" s="367">
        <f t="shared" si="6"/>
        <v>0</v>
      </c>
      <c r="R36" s="299" t="e">
        <f>IF(VLOOKUP(A36,Para1!$B$67:$E$72,2,FALSE)="6.",VLOOKUP(A36,Para1!$B$67:$E$72,3,FALSE),"")</f>
        <v>#N/A</v>
      </c>
      <c r="S36" s="299" t="str">
        <f>IF((P36+Q36)=0,"",IF(ISNA(R36),"",IF(R36="","",VLOOKUP(R36,Para1!$D$67:$G$79,3,FALSE)*(IF(P36+Q36=1,0.5,1)))))</f>
        <v/>
      </c>
      <c r="T36" s="299" t="str">
        <f>IF(P36+Q36=0,"",IF(ISNA(R37),"",IF(R37="","",VLOOKUP(R37,Para1!$D$67:$G$79,4,FALSE)*(IF(P36+Q36=1,0.5,1)))))</f>
        <v/>
      </c>
      <c r="U36" s="299" t="str">
        <f t="shared" si="3"/>
        <v/>
      </c>
      <c r="V36" s="299" t="str">
        <f t="shared" si="4"/>
        <v/>
      </c>
      <c r="W36" s="299">
        <f t="shared" si="5"/>
        <v>0</v>
      </c>
    </row>
    <row r="37" spans="1:23" ht="17" customHeight="1" x14ac:dyDescent="0.15">
      <c r="A37" s="102" t="s">
        <v>25</v>
      </c>
      <c r="B37" s="153" t="str">
        <f>IF(B36=Para1!$F$153,Para1!$F$109,IF(B36=Para1!$F$109,Para1!$F$148,IF(B36=Para1!$F$148,Para1!$F$111,IF(B36=Para1!$F$111,Para1!$F$120,IF(B36=Para1!$F$120,Para1!$F$170,IF(B36=Para1!$F$170,Para1!$F$173,Para1!$F$153))))))</f>
        <v>Mon</v>
      </c>
      <c r="C37" s="186"/>
      <c r="D37" s="293"/>
      <c r="E37" s="298"/>
      <c r="F37" s="295"/>
      <c r="G37" s="294"/>
      <c r="H37" s="294"/>
      <c r="I37" s="296"/>
      <c r="J37" s="312"/>
      <c r="K37" s="378"/>
      <c r="L37" s="379"/>
      <c r="M37" s="129"/>
      <c r="N37" s="197"/>
      <c r="O37" s="299"/>
      <c r="P37" s="367">
        <f>P30</f>
        <v>1</v>
      </c>
      <c r="Q37" s="367">
        <f>Q30</f>
        <v>1</v>
      </c>
      <c r="R37" s="299" t="e">
        <f>IF(VLOOKUP(A37,Para1!$B$67:$E$72,2,FALSE)="6.",VLOOKUP(A37,Para1!$B$67:$E$72,3,FALSE),"")</f>
        <v>#N/A</v>
      </c>
      <c r="S37" s="299" t="str">
        <f>IF((P37+Q37)=0,"",IF(ISNA(R37),"",IF(R37="","",VLOOKUP(R37,Para1!$D$67:$G$79,3,FALSE)*(IF(P37+Q37=1,0.5,1)))))</f>
        <v/>
      </c>
      <c r="T37" s="299" t="str">
        <f>IF(P37+Q37=0,"",IF(ISNA(R38),"",IF(R38="","",VLOOKUP(R38,Para1!$D$67:$G$79,4,FALSE)*(IF(P37+Q37=1,0.5,1)))))</f>
        <v/>
      </c>
      <c r="U37" s="299" t="str">
        <f t="shared" si="3"/>
        <v/>
      </c>
      <c r="V37" s="299" t="str">
        <f t="shared" si="4"/>
        <v/>
      </c>
      <c r="W37" s="299">
        <f t="shared" si="5"/>
        <v>0</v>
      </c>
    </row>
    <row r="38" spans="1:23" ht="17" customHeight="1" x14ac:dyDescent="0.15">
      <c r="A38" s="102" t="s">
        <v>26</v>
      </c>
      <c r="B38" s="153" t="str">
        <f>IF(B37=Para1!$F$153,Para1!$F$109,IF(B37=Para1!$F$109,Para1!$F$148,IF(B37=Para1!$F$148,Para1!$F$111,IF(B37=Para1!$F$111,Para1!$F$120,IF(B37=Para1!$F$120,Para1!$F$170,IF(B37=Para1!$F$170,Para1!$F$173,Para1!$F$153))))))</f>
        <v>Tue</v>
      </c>
      <c r="C38" s="185"/>
      <c r="D38" s="293"/>
      <c r="E38" s="298"/>
      <c r="F38" s="295"/>
      <c r="G38" s="294"/>
      <c r="H38" s="294"/>
      <c r="I38" s="296"/>
      <c r="J38" s="312"/>
      <c r="K38" s="378"/>
      <c r="L38" s="379"/>
      <c r="M38" s="129"/>
      <c r="N38" s="197"/>
      <c r="O38" s="299"/>
      <c r="P38" s="367">
        <f t="shared" ref="P38:Q43" si="7">P31</f>
        <v>1</v>
      </c>
      <c r="Q38" s="367">
        <f t="shared" si="7"/>
        <v>1</v>
      </c>
      <c r="R38" s="299" t="e">
        <f>IF(VLOOKUP(A38,Para1!$B$67:$E$72,2,FALSE)="6.",VLOOKUP(A38,Para1!$B$67:$E$72,3,FALSE),"")</f>
        <v>#N/A</v>
      </c>
      <c r="S38" s="299" t="str">
        <f>IF((P38+Q38)=0,"",IF(ISNA(R38),"",IF(R38="","",VLOOKUP(R38,Para1!$D$67:$G$79,3,FALSE)*(IF(P38+Q38=1,0.5,1)))))</f>
        <v/>
      </c>
      <c r="T38" s="299" t="str">
        <f>IF(P38+Q38=0,"",IF(ISNA(R39),"",IF(R39="","",VLOOKUP(R39,Para1!$D$67:$G$79,4,FALSE)*(IF(P38+Q38=1,0.5,1)))))</f>
        <v/>
      </c>
      <c r="U38" s="299" t="str">
        <f t="shared" si="3"/>
        <v/>
      </c>
      <c r="V38" s="299" t="str">
        <f t="shared" si="4"/>
        <v/>
      </c>
      <c r="W38" s="299">
        <f t="shared" si="5"/>
        <v>0</v>
      </c>
    </row>
    <row r="39" spans="1:23" ht="17" customHeight="1" x14ac:dyDescent="0.15">
      <c r="A39" s="102" t="s">
        <v>27</v>
      </c>
      <c r="B39" s="153" t="str">
        <f>IF(B38=Para1!$F$153,Para1!$F$109,IF(B38=Para1!$F$109,Para1!$F$148,IF(B38=Para1!$F$148,Para1!$F$111,IF(B38=Para1!$F$111,Para1!$F$120,IF(B38=Para1!$F$120,Para1!$F$170,IF(B38=Para1!$F$170,Para1!$F$173,Para1!$F$153))))))</f>
        <v>Wed</v>
      </c>
      <c r="C39" s="185"/>
      <c r="D39" s="293"/>
      <c r="E39" s="298"/>
      <c r="F39" s="295"/>
      <c r="G39" s="294"/>
      <c r="H39" s="294"/>
      <c r="I39" s="296"/>
      <c r="J39" s="312"/>
      <c r="K39" s="378"/>
      <c r="L39" s="379"/>
      <c r="M39" s="129"/>
      <c r="N39" s="197"/>
      <c r="O39" s="299"/>
      <c r="P39" s="367">
        <f>P32</f>
        <v>1</v>
      </c>
      <c r="Q39" s="367">
        <f>Q32</f>
        <v>1</v>
      </c>
      <c r="R39" s="299" t="e">
        <f>IF(VLOOKUP(A39,Para1!$B$67:$E$72,2,FALSE)="6.",VLOOKUP(A39,Para1!$B$67:$E$72,3,FALSE),"")</f>
        <v>#N/A</v>
      </c>
      <c r="S39" s="299" t="str">
        <f>IF((P39+Q39)=0,"",IF(ISNA(R39),"",IF(R39="","",VLOOKUP(R39,Para1!$D$67:$G$79,3,FALSE)*(IF(P39+Q39=1,0.5,1)))))</f>
        <v/>
      </c>
      <c r="T39" s="299" t="str">
        <f>IF(P39+Q39=0,"",IF(ISNA(R40),"",IF(R40="","",VLOOKUP(R40,Para1!$D$67:$G$79,4,FALSE)*(IF(P39+Q39=1,0.5,1)))))</f>
        <v/>
      </c>
      <c r="U39" s="299" t="str">
        <f t="shared" si="3"/>
        <v/>
      </c>
      <c r="V39" s="299" t="str">
        <f t="shared" si="4"/>
        <v/>
      </c>
      <c r="W39" s="299">
        <f t="shared" si="5"/>
        <v>0</v>
      </c>
    </row>
    <row r="40" spans="1:23" ht="17" customHeight="1" x14ac:dyDescent="0.15">
      <c r="A40" s="102" t="s">
        <v>28</v>
      </c>
      <c r="B40" s="153" t="str">
        <f>IF(B39=Para1!$F$153,Para1!$F$109,IF(B39=Para1!$F$109,Para1!$F$148,IF(B39=Para1!$F$148,Para1!$F$111,IF(B39=Para1!$F$111,Para1!$F$120,IF(B39=Para1!$F$120,Para1!$F$170,IF(B39=Para1!$F$170,Para1!$F$173,Para1!$F$153))))))</f>
        <v>Thu</v>
      </c>
      <c r="C40" s="186"/>
      <c r="D40" s="293"/>
      <c r="E40" s="298"/>
      <c r="F40" s="295"/>
      <c r="G40" s="294"/>
      <c r="H40" s="294"/>
      <c r="I40" s="296"/>
      <c r="J40" s="312"/>
      <c r="K40" s="378"/>
      <c r="L40" s="379"/>
      <c r="M40" s="129"/>
      <c r="N40" s="197"/>
      <c r="O40" s="299"/>
      <c r="P40" s="367">
        <f t="shared" si="7"/>
        <v>1</v>
      </c>
      <c r="Q40" s="367">
        <f t="shared" si="7"/>
        <v>1</v>
      </c>
      <c r="R40" s="299" t="e">
        <f>IF(VLOOKUP(A40,Para1!$B$67:$E$72,2,FALSE)="6.",VLOOKUP(A40,Para1!$B$67:$E$72,3,FALSE),"")</f>
        <v>#N/A</v>
      </c>
      <c r="S40" s="299" t="str">
        <f>IF((P40+Q40)=0,"",IF(ISNA(R40),"",IF(R40="","",VLOOKUP(R40,Para1!$D$67:$G$79,3,FALSE)*(IF(P40+Q40=1,0.5,1)))))</f>
        <v/>
      </c>
      <c r="T40" s="299" t="str">
        <f>IF(P40+Q40=0,"",IF(ISNA(R41),"",IF(R41="","",VLOOKUP(R41,Para1!$D$67:$G$79,4,FALSE)*(IF(P40+Q40=1,0.5,1)))))</f>
        <v/>
      </c>
      <c r="U40" s="299" t="str">
        <f t="shared" si="3"/>
        <v/>
      </c>
      <c r="V40" s="299" t="str">
        <f t="shared" si="4"/>
        <v/>
      </c>
      <c r="W40" s="299">
        <f t="shared" si="5"/>
        <v>0</v>
      </c>
    </row>
    <row r="41" spans="1:23" s="39" customFormat="1" ht="17" customHeight="1" x14ac:dyDescent="0.15">
      <c r="A41" s="27" t="s">
        <v>29</v>
      </c>
      <c r="B41" s="153" t="str">
        <f>IF(B40=Para1!$F$153,Para1!$F$109,IF(B40=Para1!$F$109,Para1!$F$148,IF(B40=Para1!$F$148,Para1!$F$111,IF(B40=Para1!$F$111,Para1!$F$120,IF(B40=Para1!$F$120,Para1!$F$170,IF(B40=Para1!$F$170,Para1!$F$173,Para1!$F$153))))))</f>
        <v>Fri</v>
      </c>
      <c r="C41" s="186"/>
      <c r="D41" s="293"/>
      <c r="E41" s="298"/>
      <c r="F41" s="295"/>
      <c r="G41" s="294"/>
      <c r="H41" s="294"/>
      <c r="I41" s="296"/>
      <c r="J41" s="312"/>
      <c r="K41" s="378"/>
      <c r="L41" s="379"/>
      <c r="M41" s="129"/>
      <c r="N41" s="197"/>
      <c r="O41" s="299"/>
      <c r="P41" s="367">
        <f t="shared" si="7"/>
        <v>1</v>
      </c>
      <c r="Q41" s="367">
        <f t="shared" si="7"/>
        <v>1</v>
      </c>
      <c r="R41" s="299" t="e">
        <f>IF(VLOOKUP(A41,Para1!$B$67:$E$72,2,FALSE)="6.",VLOOKUP(A41,Para1!$B$67:$E$72,3,FALSE),"")</f>
        <v>#N/A</v>
      </c>
      <c r="S41" s="299" t="str">
        <f>IF((P41+Q41)=0,"",IF(ISNA(R41),"",IF(R41="","",VLOOKUP(R41,Para1!$D$67:$G$79,3,FALSE)*(IF(P41+Q41=1,0.5,1)))))</f>
        <v/>
      </c>
      <c r="T41" s="299" t="str">
        <f>IF(P41+Q41=0,"",IF(ISNA(R42),"",IF(R42="","",VLOOKUP(R42,Para1!$D$67:$G$79,4,FALSE)*(IF(P41+Q41=1,0.5,1)))))</f>
        <v/>
      </c>
      <c r="U41" s="299" t="str">
        <f t="shared" si="3"/>
        <v/>
      </c>
      <c r="V41" s="299" t="str">
        <f t="shared" si="4"/>
        <v/>
      </c>
      <c r="W41" s="299">
        <f t="shared" si="5"/>
        <v>0</v>
      </c>
    </row>
    <row r="42" spans="1:23" s="39" customFormat="1" ht="17" customHeight="1" x14ac:dyDescent="0.15">
      <c r="A42" s="27" t="s">
        <v>30</v>
      </c>
      <c r="B42" s="153" t="str">
        <f>IF(B41=Para1!$F$153,Para1!$F$109,IF(B41=Para1!$F$109,Para1!$F$148,IF(B41=Para1!$F$148,Para1!$F$111,IF(B41=Para1!$F$111,Para1!$F$120,IF(B41=Para1!$F$120,Para1!$F$170,IF(B41=Para1!$F$170,Para1!$F$173,Para1!$F$153))))))</f>
        <v>Sat</v>
      </c>
      <c r="C42" s="186"/>
      <c r="D42" s="293"/>
      <c r="E42" s="298"/>
      <c r="F42" s="295"/>
      <c r="G42" s="294"/>
      <c r="H42" s="294"/>
      <c r="I42" s="296"/>
      <c r="J42" s="312"/>
      <c r="K42" s="378"/>
      <c r="L42" s="379"/>
      <c r="M42" s="129"/>
      <c r="N42" s="197"/>
      <c r="O42" s="299"/>
      <c r="P42" s="367">
        <f t="shared" si="7"/>
        <v>0</v>
      </c>
      <c r="Q42" s="367">
        <f t="shared" si="7"/>
        <v>0</v>
      </c>
      <c r="R42" s="299" t="e">
        <f>IF(VLOOKUP(A42,Para1!$B$67:$E$72,2,FALSE)="6.",VLOOKUP(A42,Para1!$B$67:$E$72,3,FALSE),"")</f>
        <v>#N/A</v>
      </c>
      <c r="S42" s="299" t="str">
        <f>IF((P42+Q42)=0,"",IF(ISNA(R42),"",IF(R42="","",VLOOKUP(R42,Para1!$D$67:$G$79,3,FALSE)*(IF(P42+Q42=1,0.5,1)))))</f>
        <v/>
      </c>
      <c r="T42" s="299" t="str">
        <f>IF(P42+Q42=0,"",IF(ISNA(R43),"",IF(R43="","",VLOOKUP(R43,Para1!$D$67:$G$79,4,FALSE)*(IF(P42+Q42=1,0.5,1)))))</f>
        <v/>
      </c>
      <c r="U42" s="299" t="str">
        <f t="shared" si="3"/>
        <v/>
      </c>
      <c r="V42" s="299" t="str">
        <f t="shared" si="4"/>
        <v/>
      </c>
      <c r="W42" s="299">
        <f t="shared" si="5"/>
        <v>0</v>
      </c>
    </row>
    <row r="43" spans="1:23" ht="17" customHeight="1" x14ac:dyDescent="0.15">
      <c r="A43" s="27" t="s">
        <v>31</v>
      </c>
      <c r="B43" s="153" t="str">
        <f>IF(B42=Para1!$F$153,Para1!$F$109,IF(B42=Para1!$F$109,Para1!$F$148,IF(B42=Para1!$F$148,Para1!$F$111,IF(B42=Para1!$F$111,Para1!$F$120,IF(B42=Para1!$F$120,Para1!$F$170,IF(B42=Para1!$F$170,Para1!$F$173,Para1!$F$153))))))</f>
        <v>Sun</v>
      </c>
      <c r="C43" s="186"/>
      <c r="D43" s="293"/>
      <c r="E43" s="298"/>
      <c r="F43" s="295"/>
      <c r="G43" s="294"/>
      <c r="H43" s="294"/>
      <c r="I43" s="296"/>
      <c r="J43" s="312"/>
      <c r="K43" s="378"/>
      <c r="L43" s="379"/>
      <c r="M43" s="129"/>
      <c r="N43" s="197"/>
      <c r="O43" s="299"/>
      <c r="P43" s="367">
        <f t="shared" si="7"/>
        <v>0</v>
      </c>
      <c r="Q43" s="367">
        <f t="shared" si="7"/>
        <v>0</v>
      </c>
      <c r="R43" s="299" t="str">
        <f>IF(VLOOKUP(A43,Para1!$B$67:$E$72,2,FALSE)="6.",VLOOKUP(A43,Para1!$B$67:$E$72,3,FALSE),"")</f>
        <v/>
      </c>
      <c r="S43" s="299" t="str">
        <f>IF((P43+Q43)=0,"",IF(ISNA(R43),"",IF(R43="","",VLOOKUP(R43,Para1!$D$67:$G$79,3,FALSE)*(IF(P43+Q43=1,0.5,1)))))</f>
        <v/>
      </c>
      <c r="T43" s="299" t="str">
        <f>IF(P43+Q43=0,"",IF(ISNA(R44),"",IF(R44="","",VLOOKUP(R44,Para1!$D$67:$G$79,4,FALSE)*(IF(P43+Q43=1,0.5,1)))))</f>
        <v/>
      </c>
      <c r="U43" s="299" t="str">
        <f t="shared" si="3"/>
        <v/>
      </c>
      <c r="V43" s="299" t="str">
        <f t="shared" si="4"/>
        <v/>
      </c>
      <c r="W43" s="299">
        <f t="shared" si="5"/>
        <v>0</v>
      </c>
    </row>
    <row r="44" spans="1:23" ht="17" customHeight="1" x14ac:dyDescent="0.15">
      <c r="A44" s="102" t="s">
        <v>32</v>
      </c>
      <c r="B44" s="153" t="str">
        <f>IF(B43=Para1!$F$153,Para1!$F$109,IF(B43=Para1!$F$109,Para1!$F$148,IF(B43=Para1!$F$148,Para1!$F$111,IF(B43=Para1!$F$111,Para1!$F$120,IF(B43=Para1!$F$120,Para1!$F$170,IF(B43=Para1!$F$170,Para1!$F$173,Para1!$F$153))))))</f>
        <v>Mon</v>
      </c>
      <c r="C44" s="186"/>
      <c r="D44" s="293"/>
      <c r="E44" s="298"/>
      <c r="F44" s="295"/>
      <c r="G44" s="294"/>
      <c r="H44" s="294"/>
      <c r="I44" s="296"/>
      <c r="J44" s="312"/>
      <c r="K44" s="378"/>
      <c r="L44" s="379"/>
      <c r="M44" s="129"/>
      <c r="N44" s="197"/>
      <c r="O44" s="299"/>
      <c r="P44" s="367">
        <f>P37</f>
        <v>1</v>
      </c>
      <c r="Q44" s="367">
        <f>Q37</f>
        <v>1</v>
      </c>
      <c r="R44" s="299" t="e">
        <f>IF(VLOOKUP(A44,Para1!$B$67:$E$72,2,FALSE)="6.",VLOOKUP(A44,Para1!$B$67:$E$72,3,FALSE),"")</f>
        <v>#N/A</v>
      </c>
      <c r="S44" s="299" t="str">
        <f>IF((P44+Q44)=0,"",IF(ISNA(R44),"",IF(R44="","",VLOOKUP(R44,Para1!$D$67:$G$79,3,FALSE)*(IF(P44+Q44=1,0.5,1)))))</f>
        <v/>
      </c>
      <c r="T44" s="299" t="str">
        <f>IF(P44+Q44=0,"",IF(ISNA(R45),"",IF(R45="","",VLOOKUP(R45,Para1!$D$67:$G$79,4,FALSE)*(IF(P44+Q44=1,0.5,1)))))</f>
        <v/>
      </c>
      <c r="U44" s="299" t="str">
        <f t="shared" si="3"/>
        <v/>
      </c>
      <c r="V44" s="299" t="str">
        <f t="shared" si="4"/>
        <v/>
      </c>
      <c r="W44" s="299">
        <f t="shared" si="5"/>
        <v>0</v>
      </c>
    </row>
    <row r="45" spans="1:23" ht="17" customHeight="1" x14ac:dyDescent="0.15">
      <c r="A45" s="102" t="s">
        <v>33</v>
      </c>
      <c r="B45" s="153" t="str">
        <f>IF(B44=Para1!$F$153,Para1!$F$109,IF(B44=Para1!$F$109,Para1!$F$148,IF(B44=Para1!$F$148,Para1!$F$111,IF(B44=Para1!$F$111,Para1!$F$120,IF(B44=Para1!$F$120,Para1!$F$170,IF(B44=Para1!$F$170,Para1!$F$173,Para1!$F$153))))))</f>
        <v>Tue</v>
      </c>
      <c r="C45" s="185"/>
      <c r="D45" s="293"/>
      <c r="E45" s="298"/>
      <c r="F45" s="295"/>
      <c r="G45" s="294"/>
      <c r="H45" s="294"/>
      <c r="I45" s="296"/>
      <c r="J45" s="312"/>
      <c r="K45" s="378"/>
      <c r="L45" s="379"/>
      <c r="M45" s="129"/>
      <c r="N45" s="197"/>
      <c r="O45" s="299"/>
      <c r="P45" s="367">
        <f t="shared" ref="P45:Q50" si="8">P38</f>
        <v>1</v>
      </c>
      <c r="Q45" s="367">
        <f t="shared" si="8"/>
        <v>1</v>
      </c>
      <c r="R45" s="299" t="e">
        <f>IF(VLOOKUP(A45,Para1!$B$67:$E$72,2,FALSE)="6.",VLOOKUP(A45,Para1!$B$67:$E$72,3,FALSE),"")</f>
        <v>#N/A</v>
      </c>
      <c r="S45" s="299" t="str">
        <f>IF((P45+Q45)=0,"",IF(ISNA(R45),"",IF(R45="","",VLOOKUP(R45,Para1!$D$67:$G$79,3,FALSE)*(IF(P45+Q45=1,0.5,1)))))</f>
        <v/>
      </c>
      <c r="T45" s="299" t="str">
        <f>IF(P45+Q45=0,"",IF(ISNA(R46),"",IF(R46="","",VLOOKUP(R46,Para1!$D$67:$G$79,4,FALSE)*(IF(P45+Q45=1,0.5,1)))))</f>
        <v/>
      </c>
      <c r="U45" s="299" t="str">
        <f t="shared" si="3"/>
        <v/>
      </c>
      <c r="V45" s="299" t="str">
        <f t="shared" si="4"/>
        <v/>
      </c>
      <c r="W45" s="299">
        <f t="shared" si="5"/>
        <v>0</v>
      </c>
    </row>
    <row r="46" spans="1:23" ht="17" customHeight="1" x14ac:dyDescent="0.15">
      <c r="A46" s="102" t="s">
        <v>34</v>
      </c>
      <c r="B46" s="153" t="str">
        <f>IF(B45=Para1!$F$153,Para1!$F$109,IF(B45=Para1!$F$109,Para1!$F$148,IF(B45=Para1!$F$148,Para1!$F$111,IF(B45=Para1!$F$111,Para1!$F$120,IF(B45=Para1!$F$120,Para1!$F$170,IF(B45=Para1!$F$170,Para1!$F$173,Para1!$F$153))))))</f>
        <v>Wed</v>
      </c>
      <c r="C46" s="185"/>
      <c r="D46" s="293"/>
      <c r="E46" s="298"/>
      <c r="F46" s="295"/>
      <c r="G46" s="294"/>
      <c r="H46" s="294"/>
      <c r="I46" s="296"/>
      <c r="J46" s="312"/>
      <c r="K46" s="378"/>
      <c r="L46" s="379"/>
      <c r="M46" s="129"/>
      <c r="N46" s="197"/>
      <c r="O46" s="299"/>
      <c r="P46" s="367">
        <f t="shared" si="8"/>
        <v>1</v>
      </c>
      <c r="Q46" s="367">
        <f t="shared" si="8"/>
        <v>1</v>
      </c>
      <c r="R46" s="299" t="e">
        <f>IF(VLOOKUP(A46,Para1!$B$67:$E$72,2,FALSE)="6.",VLOOKUP(A46,Para1!$B$67:$E$72,3,FALSE),"")</f>
        <v>#N/A</v>
      </c>
      <c r="S46" s="299" t="str">
        <f>IF((P46+Q46)=0,"",IF(ISNA(R46),"",IF(R46="","",VLOOKUP(R46,Para1!$D$67:$G$79,3,FALSE)*(IF(P46+Q46=1,0.5,1)))))</f>
        <v/>
      </c>
      <c r="T46" s="299" t="str">
        <f>IF(P46+Q46=0,"",IF(ISNA(R47),"",IF(R47="","",VLOOKUP(R47,Para1!$D$67:$G$79,4,FALSE)*(IF(P46+Q46=1,0.5,1)))))</f>
        <v/>
      </c>
      <c r="U46" s="299" t="str">
        <f t="shared" si="3"/>
        <v/>
      </c>
      <c r="V46" s="299" t="str">
        <f t="shared" si="4"/>
        <v/>
      </c>
      <c r="W46" s="299">
        <f t="shared" si="5"/>
        <v>0</v>
      </c>
    </row>
    <row r="47" spans="1:23" ht="17" customHeight="1" x14ac:dyDescent="0.15">
      <c r="A47" s="102" t="s">
        <v>35</v>
      </c>
      <c r="B47" s="153" t="str">
        <f>IF(B46=Para1!$F$153,Para1!$F$109,IF(B46=Para1!$F$109,Para1!$F$148,IF(B46=Para1!$F$148,Para1!$F$111,IF(B46=Para1!$F$111,Para1!$F$120,IF(B46=Para1!$F$120,Para1!$F$170,IF(B46=Para1!$F$170,Para1!$F$173,Para1!$F$153))))))</f>
        <v>Thu</v>
      </c>
      <c r="C47" s="186"/>
      <c r="D47" s="293"/>
      <c r="E47" s="298"/>
      <c r="F47" s="295"/>
      <c r="G47" s="294"/>
      <c r="H47" s="294"/>
      <c r="I47" s="296"/>
      <c r="J47" s="312"/>
      <c r="K47" s="378"/>
      <c r="L47" s="379"/>
      <c r="M47" s="129"/>
      <c r="N47" s="197"/>
      <c r="O47" s="299"/>
      <c r="P47" s="367">
        <f t="shared" si="8"/>
        <v>1</v>
      </c>
      <c r="Q47" s="367">
        <f t="shared" si="8"/>
        <v>1</v>
      </c>
      <c r="R47" s="299" t="e">
        <f>IF(VLOOKUP(A47,Para1!$B$67:$E$72,2,FALSE)="6.",VLOOKUP(A47,Para1!$B$67:$E$72,3,FALSE),"")</f>
        <v>#N/A</v>
      </c>
      <c r="S47" s="299" t="str">
        <f>IF((P47+Q47)=0,"",IF(ISNA(R47),"",IF(R47="","",VLOOKUP(R47,Para1!$D$67:$G$79,3,FALSE)*(IF(P47+Q47=1,0.5,1)))))</f>
        <v/>
      </c>
      <c r="T47" s="299" t="str">
        <f>IF(P47+Q47=0,"",IF(ISNA(R48),"",IF(R48="","",VLOOKUP(R48,Para1!$D$67:$G$79,4,FALSE)*(IF(P47+Q47=1,0.5,1)))))</f>
        <v/>
      </c>
      <c r="U47" s="299" t="str">
        <f t="shared" si="3"/>
        <v/>
      </c>
      <c r="V47" s="299" t="str">
        <f t="shared" si="4"/>
        <v/>
      </c>
      <c r="W47" s="299">
        <f t="shared" si="5"/>
        <v>0</v>
      </c>
    </row>
    <row r="48" spans="1:23" s="39" customFormat="1" ht="16.5" customHeight="1" x14ac:dyDescent="0.15">
      <c r="A48" s="27" t="s">
        <v>36</v>
      </c>
      <c r="B48" s="153" t="str">
        <f>IF(B47=Para1!$F$153,Para1!$F$109,IF(B47=Para1!$F$109,Para1!$F$148,IF(B47=Para1!$F$148,Para1!$F$111,IF(B47=Para1!$F$111,Para1!$F$120,IF(B47=Para1!$F$120,Para1!$F$170,IF(B47=Para1!$F$170,Para1!$F$173,Para1!$F$153))))))</f>
        <v>Fri</v>
      </c>
      <c r="C48" s="186"/>
      <c r="D48" s="293"/>
      <c r="E48" s="298"/>
      <c r="F48" s="295"/>
      <c r="G48" s="294"/>
      <c r="H48" s="294"/>
      <c r="I48" s="296"/>
      <c r="J48" s="312"/>
      <c r="K48" s="378"/>
      <c r="L48" s="379"/>
      <c r="M48" s="129"/>
      <c r="N48" s="197"/>
      <c r="O48" s="299"/>
      <c r="P48" s="367">
        <f t="shared" si="8"/>
        <v>1</v>
      </c>
      <c r="Q48" s="367">
        <f t="shared" si="8"/>
        <v>1</v>
      </c>
      <c r="R48" s="299" t="e">
        <f>IF(VLOOKUP(A48,Para1!$B$67:$E$72,2,FALSE)="6.",VLOOKUP(A48,Para1!$B$67:$E$72,3,FALSE),"")</f>
        <v>#N/A</v>
      </c>
      <c r="S48" s="299" t="str">
        <f>IF((P48+Q48)=0,"",IF(ISNA(R48),"",IF(R48="","",VLOOKUP(R48,Para1!$D$67:$G$79,3,FALSE)*(IF(P48+Q48=1,0.5,1)))))</f>
        <v/>
      </c>
      <c r="T48" s="299" t="str">
        <f>IF(P48+Q48=0,"",IF(ISNA(R49),"",IF(R49="","",VLOOKUP(R49,Para1!$D$67:$G$79,4,FALSE)*(IF(P48+Q48=1,0.5,1)))))</f>
        <v/>
      </c>
      <c r="U48" s="299" t="str">
        <f t="shared" si="3"/>
        <v/>
      </c>
      <c r="V48" s="299" t="str">
        <f t="shared" si="4"/>
        <v/>
      </c>
      <c r="W48" s="299">
        <f t="shared" si="5"/>
        <v>0</v>
      </c>
    </row>
    <row r="49" spans="1:25" s="39" customFormat="1" ht="16.5" customHeight="1" x14ac:dyDescent="0.15">
      <c r="A49" s="27" t="s">
        <v>37</v>
      </c>
      <c r="B49" s="153" t="str">
        <f>IF(B48=Para1!$F$153,Para1!$F$109,IF(B48=Para1!$F$109,Para1!$F$148,IF(B48=Para1!$F$148,Para1!$F$111,IF(B48=Para1!$F$111,Para1!$F$120,IF(B48=Para1!$F$120,Para1!$F$170,IF(B48=Para1!$F$170,Para1!$F$173,Para1!$F$153))))))</f>
        <v>Sat</v>
      </c>
      <c r="C49" s="186"/>
      <c r="D49" s="293"/>
      <c r="E49" s="298"/>
      <c r="F49" s="295"/>
      <c r="G49" s="294"/>
      <c r="H49" s="294"/>
      <c r="I49" s="296"/>
      <c r="J49" s="312"/>
      <c r="K49" s="378"/>
      <c r="L49" s="379"/>
      <c r="M49" s="129"/>
      <c r="N49" s="197"/>
      <c r="O49" s="299"/>
      <c r="P49" s="367">
        <f t="shared" si="8"/>
        <v>0</v>
      </c>
      <c r="Q49" s="367">
        <f t="shared" si="8"/>
        <v>0</v>
      </c>
      <c r="R49" s="299" t="e">
        <f>IF(VLOOKUP(A49,Para1!$B$67:$E$72,2,FALSE)="6.",VLOOKUP(A49,Para1!$B$67:$E$72,3,FALSE),"")</f>
        <v>#N/A</v>
      </c>
      <c r="S49" s="299" t="str">
        <f>IF((P49+Q49)=0,"",IF(ISNA(R49),"",IF(R49="","",VLOOKUP(R49,Para1!$D$67:$G$79,3,FALSE)*(IF(P49+Q49=1,0.5,1)))))</f>
        <v/>
      </c>
      <c r="T49" s="299" t="str">
        <f>IF(P49+Q49=0,"",IF(ISNA(R50),"",IF(R50="","",VLOOKUP(R50,Para1!$D$67:$G$79,4,FALSE)*(IF(P49+Q49=1,0.5,1)))))</f>
        <v/>
      </c>
      <c r="U49" s="299" t="str">
        <f t="shared" si="3"/>
        <v/>
      </c>
      <c r="V49" s="299" t="str">
        <f t="shared" si="4"/>
        <v/>
      </c>
      <c r="W49" s="299">
        <f t="shared" si="5"/>
        <v>0</v>
      </c>
    </row>
    <row r="50" spans="1:25" ht="17" customHeight="1" x14ac:dyDescent="0.15">
      <c r="A50" s="27" t="s">
        <v>38</v>
      </c>
      <c r="B50" s="153" t="str">
        <f>IF(B49=Para1!$F$153,Para1!$F$109,IF(B49=Para1!$F$109,Para1!$F$148,IF(B49=Para1!$F$148,Para1!$F$111,IF(B49=Para1!$F$111,Para1!$F$120,IF(B49=Para1!$F$120,Para1!$F$170,IF(B49=Para1!$F$170,Para1!$F$173,Para1!$F$153))))))</f>
        <v>Sun</v>
      </c>
      <c r="C50" s="186"/>
      <c r="D50" s="293"/>
      <c r="E50" s="298"/>
      <c r="F50" s="295"/>
      <c r="G50" s="294"/>
      <c r="H50" s="294"/>
      <c r="I50" s="296"/>
      <c r="J50" s="312"/>
      <c r="K50" s="378"/>
      <c r="L50" s="379"/>
      <c r="M50" s="129"/>
      <c r="N50" s="197"/>
      <c r="O50" s="299"/>
      <c r="P50" s="368">
        <f>P43</f>
        <v>0</v>
      </c>
      <c r="Q50" s="368">
        <f t="shared" si="8"/>
        <v>0</v>
      </c>
      <c r="R50" s="299" t="e">
        <f>IF(VLOOKUP(A50,Para1!$B$67:$E$72,2,FALSE)="6.",VLOOKUP(A50,Para1!$B$67:$E$72,3,FALSE),"")</f>
        <v>#N/A</v>
      </c>
      <c r="S50" s="299" t="str">
        <f>IF((P50+Q50)=0,"",IF(ISNA(R50),"",IF(R50="","",VLOOKUP(R50,Para1!$D$67:$G$79,3,FALSE)*(IF(P50+Q50=1,0.5,1)))))</f>
        <v/>
      </c>
      <c r="T50" s="299" t="str">
        <f>IF(P50+Q50=0,"",IF(ISNA(R51),"",IF(R51="","",VLOOKUP(R51,Para1!$D$67:$G$79,4,FALSE)*(IF(P50+Q50=1,0.5,1)))))</f>
        <v/>
      </c>
      <c r="U50" s="299" t="str">
        <f t="shared" si="3"/>
        <v/>
      </c>
      <c r="V50" s="299" t="str">
        <f t="shared" si="4"/>
        <v/>
      </c>
      <c r="W50" s="299">
        <f t="shared" si="5"/>
        <v>0</v>
      </c>
    </row>
    <row r="51" spans="1:25" ht="17" customHeight="1" x14ac:dyDescent="0.15">
      <c r="A51" s="102" t="s">
        <v>39</v>
      </c>
      <c r="B51" s="153" t="str">
        <f>IF(B50=Para1!$F$153,Para1!$F$109,IF(B50=Para1!$F$109,Para1!$F$148,IF(B50=Para1!$F$148,Para1!$F$111,IF(B50=Para1!$F$111,Para1!$F$120,IF(B50=Para1!$F$120,Para1!$F$170,IF(B50=Para1!$F$170,Para1!$F$173,Para1!$F$153))))))</f>
        <v>Mon</v>
      </c>
      <c r="C51" s="186"/>
      <c r="D51" s="293"/>
      <c r="E51" s="298"/>
      <c r="F51" s="295"/>
      <c r="G51" s="294"/>
      <c r="H51" s="294"/>
      <c r="I51" s="296"/>
      <c r="J51" s="312"/>
      <c r="K51" s="378"/>
      <c r="L51" s="379"/>
      <c r="M51" s="129"/>
      <c r="N51" s="197"/>
      <c r="O51" s="299"/>
      <c r="P51" s="339">
        <f>P44</f>
        <v>1</v>
      </c>
      <c r="Q51" s="367">
        <f>Q44</f>
        <v>1</v>
      </c>
      <c r="R51" s="299" t="e">
        <f>IF(VLOOKUP(A51,Para1!$B$67:$E$72,2,FALSE)="6.",VLOOKUP(A51,Para1!$B$67:$E$72,3,FALSE),"")</f>
        <v>#N/A</v>
      </c>
      <c r="S51" s="299" t="str">
        <f>IF((P51+Q51)=0,"",IF(ISNA(R51),"",IF(R51="","",VLOOKUP(R51,Para1!$D$67:$G$79,3,FALSE)*(IF(P51+Q51=1,0.5,1)))))</f>
        <v/>
      </c>
      <c r="T51" s="299" t="str">
        <f>IF(P51+Q51=0,"",IF(ISNA(R52),"",IF(R52="","",VLOOKUP(R52,Para1!$D$67:$G$79,4,FALSE)*(IF(P51+Q51=1,0.5,1)))))</f>
        <v/>
      </c>
      <c r="U51" s="299" t="str">
        <f t="shared" si="3"/>
        <v/>
      </c>
      <c r="V51" s="299" t="str">
        <f t="shared" si="4"/>
        <v/>
      </c>
      <c r="W51" s="299">
        <f t="shared" si="5"/>
        <v>0</v>
      </c>
    </row>
    <row r="52" spans="1:25" ht="17" customHeight="1" thickBot="1" x14ac:dyDescent="0.2">
      <c r="A52" s="102" t="s">
        <v>40</v>
      </c>
      <c r="B52" s="153" t="str">
        <f>IF(B51=Para1!$F$153,Para1!$F$109,IF(B51=Para1!$F$109,Para1!$F$148,IF(B51=Para1!$F$148,Para1!$F$111,IF(B51=Para1!$F$111,Para1!$F$120,IF(B51=Para1!$F$120,Para1!$F$170,IF(B51=Para1!$F$170,Para1!$F$173,Para1!$F$153))))))</f>
        <v>Tue</v>
      </c>
      <c r="C52" s="185"/>
      <c r="D52" s="293"/>
      <c r="E52" s="298"/>
      <c r="F52" s="295"/>
      <c r="G52" s="294"/>
      <c r="H52" s="294"/>
      <c r="I52" s="296"/>
      <c r="J52" s="312"/>
      <c r="K52" s="378"/>
      <c r="L52" s="379"/>
      <c r="M52" s="129"/>
      <c r="N52" s="197"/>
      <c r="O52" s="299"/>
      <c r="P52" s="375">
        <f t="shared" ref="P52:Q52" si="9">P45</f>
        <v>1</v>
      </c>
      <c r="Q52" s="368">
        <f t="shared" si="9"/>
        <v>1</v>
      </c>
      <c r="R52" s="299" t="e">
        <f>IF(VLOOKUP(A52,Para1!$B$67:$E$72,2,FALSE)="6.",VLOOKUP(A52,Para1!$B$67:$E$72,3,FALSE),"")</f>
        <v>#N/A</v>
      </c>
      <c r="S52" s="299" t="str">
        <f>IF((P52+Q52)=0,"",IF(ISNA(R52),"",IF(R52="","",VLOOKUP(R52,Para1!$D$67:$G$79,3,FALSE)*(IF(P52+Q52=1,0.5,1)))))</f>
        <v/>
      </c>
      <c r="T52" s="299" t="str">
        <f>IF(P52+Q52=0,"",IF(ISNA(Juli!R23),"",IF(Juli!R23="","",VLOOKUP(Juli!R23,Para1!$D$67:$G$79,4,FALSE)*(IF(P52+Q52=1,0.5,1)))))</f>
        <v/>
      </c>
      <c r="U52" s="299" t="str">
        <f t="shared" si="3"/>
        <v/>
      </c>
      <c r="V52" s="299" t="str">
        <f t="shared" si="4"/>
        <v/>
      </c>
      <c r="W52" s="299">
        <f t="shared" si="5"/>
        <v>0</v>
      </c>
    </row>
    <row r="53" spans="1:25" ht="17" customHeight="1" thickTop="1" thickBot="1" x14ac:dyDescent="0.2">
      <c r="A53" s="38"/>
      <c r="B53" s="156"/>
      <c r="C53" s="259"/>
      <c r="D53" s="314"/>
      <c r="E53" s="106"/>
      <c r="F53" s="108"/>
      <c r="G53" s="107"/>
      <c r="H53" s="107"/>
      <c r="I53" s="158"/>
      <c r="J53" s="313"/>
      <c r="K53" s="387"/>
      <c r="L53" s="388"/>
      <c r="M53" s="129"/>
      <c r="N53" s="197"/>
      <c r="O53" s="299"/>
      <c r="P53" s="373"/>
      <c r="Q53" s="373"/>
      <c r="R53" s="299" t="e">
        <f>IF(VLOOKUP(A53,Para1!$B$67:$E$72,2,FALSE)="6.",VLOOKUP(A53,Para1!$B$67:$E$72,3,FALSE),"")</f>
        <v>#N/A</v>
      </c>
      <c r="S53" s="299" t="str">
        <f>IF((P53+Q53)=0,"",IF(ISNA(R53),"",IF(R53="","",VLOOKUP(R53,Para1!$D$67:$G$79,3,FALSE)*(IF(P53+Q53=1,0.5,1)))))</f>
        <v/>
      </c>
      <c r="T53" s="299"/>
      <c r="U53" s="299" t="str">
        <f t="shared" si="3"/>
        <v/>
      </c>
      <c r="V53" s="299" t="str">
        <f t="shared" si="4"/>
        <v/>
      </c>
      <c r="W53" s="299">
        <f t="shared" si="5"/>
        <v>0</v>
      </c>
    </row>
    <row r="54" spans="1:25" ht="15" thickTop="1" x14ac:dyDescent="0.15">
      <c r="A54" s="36"/>
      <c r="B54" s="32"/>
      <c r="C54" s="16"/>
      <c r="D54" s="145">
        <f t="shared" ref="D54:I54" si="10">SUM(D23:D53)</f>
        <v>0</v>
      </c>
      <c r="E54" s="92">
        <f t="shared" si="10"/>
        <v>0</v>
      </c>
      <c r="F54" s="31">
        <f t="shared" si="10"/>
        <v>0</v>
      </c>
      <c r="G54" s="31">
        <f t="shared" si="10"/>
        <v>0</v>
      </c>
      <c r="H54" s="31">
        <f t="shared" si="10"/>
        <v>0</v>
      </c>
      <c r="I54" s="146">
        <f t="shared" si="10"/>
        <v>0</v>
      </c>
      <c r="J54" s="189"/>
      <c r="P54" s="622" t="str">
        <f>Para1!F174&amp;" "&amp;Para1!F168</f>
        <v>balance due / half-day</v>
      </c>
      <c r="Q54" s="623"/>
      <c r="R54" s="299">
        <f>SUM(W23:W53)</f>
        <v>0</v>
      </c>
      <c r="S54" s="299">
        <f>SUM(S23:S53)</f>
        <v>0</v>
      </c>
      <c r="T54" s="299">
        <f>SUM(T23:T53)</f>
        <v>0</v>
      </c>
    </row>
    <row r="55" spans="1:25" ht="15" thickBot="1" x14ac:dyDescent="0.2">
      <c r="A55" s="37"/>
      <c r="B55" s="33"/>
      <c r="C55" s="33"/>
      <c r="D55" s="596">
        <f t="shared" ref="D55:I55" si="11">D54*24</f>
        <v>0</v>
      </c>
      <c r="E55" s="594">
        <f t="shared" si="11"/>
        <v>0</v>
      </c>
      <c r="F55" s="587">
        <f t="shared" si="11"/>
        <v>0</v>
      </c>
      <c r="G55" s="587">
        <f t="shared" si="11"/>
        <v>0</v>
      </c>
      <c r="H55" s="587">
        <f t="shared" si="11"/>
        <v>0</v>
      </c>
      <c r="I55" s="588">
        <f t="shared" si="11"/>
        <v>0</v>
      </c>
      <c r="J55" s="190"/>
      <c r="M55" s="163" t="str">
        <f>Para1!G2</f>
        <v>AE v1_01 20.08.2019</v>
      </c>
      <c r="P55" s="624">
        <f>(Para1!M59/100*$G$3+((S54+T54)/100*$G$3))/(SUM(P23:Q53)-R54)/24</f>
        <v>0</v>
      </c>
      <c r="Q55" s="625"/>
    </row>
    <row r="56" spans="1:25" ht="15" thickTop="1" x14ac:dyDescent="0.15">
      <c r="Q56" s="16"/>
    </row>
    <row r="57" spans="1:25" ht="22.5" customHeight="1" x14ac:dyDescent="0.15">
      <c r="A57" s="139" t="str">
        <f>Para1!F106</f>
        <v>date</v>
      </c>
      <c r="B57" s="46"/>
      <c r="C57" s="46"/>
      <c r="D57" s="559"/>
      <c r="E57" s="46"/>
      <c r="F57" s="560" t="str">
        <f>Para1!F191&amp;" "&amp;Para1!F152</f>
        <v>signature employee</v>
      </c>
      <c r="G57" s="46"/>
      <c r="H57" s="561"/>
      <c r="I57" s="561"/>
      <c r="J57" s="561"/>
      <c r="K57" s="561"/>
      <c r="L57" s="561"/>
      <c r="P57" s="5"/>
      <c r="Q57" s="16"/>
      <c r="T57" s="132"/>
      <c r="U57" s="46"/>
      <c r="Y57" s="58"/>
    </row>
    <row r="58" spans="1:25" x14ac:dyDescent="0.15">
      <c r="A58" s="5"/>
      <c r="B58" s="5"/>
      <c r="C58" s="5"/>
      <c r="D58" s="5"/>
      <c r="E58" s="5"/>
      <c r="F58" s="5"/>
      <c r="G58" s="5"/>
      <c r="H58" s="5"/>
      <c r="I58" s="562"/>
      <c r="J58" s="562"/>
      <c r="K58" s="562"/>
      <c r="L58" s="562"/>
    </row>
    <row r="59" spans="1:25" ht="22.5" customHeight="1" x14ac:dyDescent="0.15">
      <c r="A59" s="5"/>
      <c r="B59" s="5"/>
      <c r="C59" s="5"/>
      <c r="D59" s="5"/>
      <c r="E59" s="5"/>
      <c r="F59" s="563" t="str">
        <f>Para1!F191&amp;" "&amp;Para1!F193</f>
        <v>signature manager</v>
      </c>
      <c r="G59" s="5"/>
      <c r="H59" s="564"/>
      <c r="I59" s="565"/>
      <c r="J59" s="565"/>
      <c r="K59" s="565"/>
      <c r="L59" s="565"/>
    </row>
    <row r="60" spans="1:25" x14ac:dyDescent="0.15">
      <c r="A60" s="37"/>
      <c r="B60" s="16"/>
      <c r="C60" s="16"/>
      <c r="D60" s="16"/>
      <c r="E60" s="16"/>
      <c r="F60" s="16"/>
      <c r="G60" s="16"/>
      <c r="H60" s="99"/>
      <c r="I60" s="16"/>
      <c r="J60" s="16"/>
      <c r="K60" s="16"/>
      <c r="L60" s="16"/>
      <c r="M60" s="16"/>
      <c r="N60" s="16"/>
    </row>
    <row r="61" spans="1:25" ht="22.5" customHeight="1" x14ac:dyDescent="0.15">
      <c r="A61" s="42"/>
      <c r="B61" s="136"/>
      <c r="C61" s="136"/>
      <c r="D61" s="133"/>
      <c r="E61" s="45"/>
      <c r="F61" s="133"/>
      <c r="G61" s="141"/>
      <c r="H61" s="99"/>
      <c r="I61" s="48"/>
      <c r="J61" s="48"/>
      <c r="K61" s="141"/>
      <c r="L61" s="16"/>
      <c r="M61" s="141"/>
      <c r="N61" s="139"/>
      <c r="R61" s="58"/>
    </row>
    <row r="62" spans="1:25" x14ac:dyDescent="0.15">
      <c r="A62" s="37"/>
      <c r="B62" s="16"/>
      <c r="C62" s="16"/>
      <c r="D62" s="16"/>
      <c r="E62" s="16"/>
      <c r="F62" s="16"/>
      <c r="G62" s="16"/>
      <c r="H62" s="99"/>
      <c r="I62" s="16"/>
      <c r="J62" s="16"/>
      <c r="K62" s="16"/>
      <c r="L62" s="16"/>
      <c r="M62" s="16"/>
      <c r="N62" s="16"/>
    </row>
    <row r="63" spans="1:25" x14ac:dyDescent="0.15">
      <c r="A63" s="37"/>
      <c r="B63" s="16"/>
      <c r="C63" s="16"/>
      <c r="D63" s="16"/>
      <c r="E63" s="16"/>
      <c r="F63" s="16"/>
      <c r="G63" s="16"/>
      <c r="H63" s="99"/>
      <c r="I63" s="16"/>
      <c r="J63" s="16"/>
      <c r="K63" s="16"/>
      <c r="L63" s="16"/>
      <c r="M63" s="16"/>
      <c r="N63" s="16"/>
    </row>
    <row r="64" spans="1:25" x14ac:dyDescent="0.15">
      <c r="A64" s="37"/>
      <c r="B64" s="16"/>
      <c r="C64" s="16"/>
      <c r="D64" s="16"/>
      <c r="E64" s="16"/>
      <c r="F64" s="16"/>
      <c r="G64" s="16"/>
      <c r="H64" s="99"/>
      <c r="I64" s="16"/>
      <c r="J64" s="16"/>
      <c r="K64" s="16"/>
      <c r="L64" s="16"/>
      <c r="M64" s="16"/>
      <c r="N64" s="16"/>
    </row>
    <row r="65" spans="1:14" x14ac:dyDescent="0.15">
      <c r="A65" s="37"/>
      <c r="B65" s="16"/>
      <c r="C65" s="16"/>
      <c r="D65" s="16"/>
      <c r="E65" s="16"/>
      <c r="F65" s="16"/>
      <c r="G65" s="16"/>
      <c r="H65" s="99"/>
      <c r="I65" s="16"/>
      <c r="J65" s="16"/>
      <c r="K65" s="16"/>
      <c r="L65" s="16"/>
      <c r="M65" s="16"/>
      <c r="N65" s="16"/>
    </row>
    <row r="66" spans="1:14" x14ac:dyDescent="0.15">
      <c r="A66" s="37"/>
      <c r="B66" s="16"/>
      <c r="C66" s="16"/>
      <c r="D66" s="16"/>
      <c r="E66" s="16"/>
      <c r="F66" s="16"/>
      <c r="G66" s="16"/>
      <c r="H66" s="99"/>
      <c r="I66" s="16"/>
      <c r="J66" s="16"/>
      <c r="K66" s="16"/>
      <c r="L66" s="16"/>
      <c r="M66" s="16"/>
      <c r="N66" s="16"/>
    </row>
    <row r="67" spans="1:14" x14ac:dyDescent="0.15">
      <c r="A67" s="37"/>
      <c r="B67" s="16"/>
      <c r="C67" s="16"/>
      <c r="D67" s="16"/>
      <c r="E67" s="16"/>
      <c r="F67" s="16"/>
      <c r="G67" s="16"/>
      <c r="H67" s="99"/>
      <c r="I67" s="16"/>
      <c r="J67" s="16"/>
      <c r="K67" s="16"/>
      <c r="L67" s="16"/>
      <c r="M67" s="16"/>
      <c r="N67" s="16"/>
    </row>
  </sheetData>
  <sheetProtection password="CF1F" sheet="1" objects="1" scenarios="1"/>
  <mergeCells count="29">
    <mergeCell ref="P20:Q20"/>
    <mergeCell ref="P21:P22"/>
    <mergeCell ref="Q21:Q22"/>
    <mergeCell ref="P54:Q54"/>
    <mergeCell ref="P55:Q55"/>
    <mergeCell ref="A1:B1"/>
    <mergeCell ref="A3:B3"/>
    <mergeCell ref="A21:B21"/>
    <mergeCell ref="D1:E1"/>
    <mergeCell ref="D21:D22"/>
    <mergeCell ref="A22:B22"/>
    <mergeCell ref="B13:E13"/>
    <mergeCell ref="C14:E14"/>
    <mergeCell ref="C15:E15"/>
    <mergeCell ref="C16:E16"/>
    <mergeCell ref="C17:E17"/>
    <mergeCell ref="C18:E18"/>
    <mergeCell ref="I21:I22"/>
    <mergeCell ref="D20:I20"/>
    <mergeCell ref="G21:G22"/>
    <mergeCell ref="F21:F22"/>
    <mergeCell ref="E21:E22"/>
    <mergeCell ref="H21:H22"/>
    <mergeCell ref="J9:K9"/>
    <mergeCell ref="J10:K10"/>
    <mergeCell ref="K20:L20"/>
    <mergeCell ref="M20:N20"/>
    <mergeCell ref="K21:K22"/>
    <mergeCell ref="L21:L22"/>
  </mergeCells>
  <phoneticPr fontId="0" type="noConversion"/>
  <conditionalFormatting sqref="A23:B52">
    <cfRule type="expression" dxfId="53" priority="6">
      <formula>$S23=0</formula>
    </cfRule>
    <cfRule type="expression" dxfId="52" priority="7">
      <formula>$P23+$Q23=0</formula>
    </cfRule>
  </conditionalFormatting>
  <conditionalFormatting sqref="D23:I52">
    <cfRule type="expression" dxfId="51" priority="4">
      <formula>$P23+$Q23=1</formula>
    </cfRule>
    <cfRule type="expression" dxfId="50" priority="5">
      <formula>$P23+$Q23=0</formula>
    </cfRule>
  </conditionalFormatting>
  <conditionalFormatting sqref="D23:I52 K23:L52 P23:Q52">
    <cfRule type="expression" dxfId="49" priority="3">
      <formula>$S23=0</formula>
    </cfRule>
  </conditionalFormatting>
  <conditionalFormatting sqref="K23:K52 P23:P52">
    <cfRule type="expression" dxfId="48" priority="2">
      <formula>$P23=0</formula>
    </cfRule>
  </conditionalFormatting>
  <conditionalFormatting sqref="L23:L52 Q23:Q52">
    <cfRule type="expression" dxfId="47" priority="1">
      <formula>$Q23=0</formula>
    </cfRule>
  </conditionalFormatting>
  <dataValidations disablePrompts="1" count="1">
    <dataValidation type="textLength" allowBlank="1" showErrorMessage="1" errorTitle="Zeichenzahl überschritten!" error="Die maximal zulässige Anzahl Zeichen in dieser Spalte beschränkt sich auf 25. Klicken Sie auf Wiederholen, um den eingegebenen Text zu überarbeiten oder auf Abbrechen um wieder in die leere Zelle zu gelangen." promptTitle="Kommentar" prompt="Die Kommentareingabe ist aus Übersichtlichkeitsgründen auf maximal 50 Zeichen beschränkt. Bitte fassen Sie sich möglichst kurz." sqref="M23:M53" xr:uid="{00000000-0002-0000-0800-000000000000}">
      <formula1>0</formula1>
      <formula2>25</formula2>
    </dataValidation>
  </dataValidations>
  <pageMargins left="0.4" right="0.41" top="0.79" bottom="0.39370078740157483" header="0.28999999999999998" footer="0.15748031496062992"/>
  <pageSetup paperSize="9" scale="65" orientation="portrait" verticalDpi="300" r:id="rId1"/>
  <headerFooter alignWithMargins="0">
    <oddHeader>&amp;C&amp;"Arial,Fett Kursiv"&amp;16Absenzenerfassung -  &amp;A</oddHeader>
    <oddFooter>&amp;L&amp;Z&amp;F</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16</vt:i4>
      </vt:variant>
    </vt:vector>
  </HeadingPairs>
  <TitlesOfParts>
    <vt:vector size="34" baseType="lpstr">
      <vt:lpstr>Information</vt:lpstr>
      <vt:lpstr>Persönliche Daten (pers. data)</vt:lpstr>
      <vt:lpstr>Jahresübersicht (Overview)</vt:lpstr>
      <vt:lpstr>Januar</vt:lpstr>
      <vt:lpstr>Februar</vt:lpstr>
      <vt:lpstr>Maerz</vt:lpstr>
      <vt:lpstr>April</vt:lpstr>
      <vt:lpstr>Mai</vt:lpstr>
      <vt:lpstr>Juni</vt:lpstr>
      <vt:lpstr>Juli</vt:lpstr>
      <vt:lpstr>August</vt:lpstr>
      <vt:lpstr>September</vt:lpstr>
      <vt:lpstr>Oktober</vt:lpstr>
      <vt:lpstr>November</vt:lpstr>
      <vt:lpstr>Dezember</vt:lpstr>
      <vt:lpstr>Zeitkennzahlen (key figures)</vt:lpstr>
      <vt:lpstr>Umrechnung (calculation)</vt:lpstr>
      <vt:lpstr>Para1</vt:lpstr>
      <vt:lpstr>April!Print_Area</vt:lpstr>
      <vt:lpstr>August!Print_Area</vt:lpstr>
      <vt:lpstr>Dezember!Print_Area</vt:lpstr>
      <vt:lpstr>Februar!Print_Area</vt:lpstr>
      <vt:lpstr>Information!Print_Area</vt:lpstr>
      <vt:lpstr>'Jahresübersicht (Overview)'!Print_Area</vt:lpstr>
      <vt:lpstr>Januar!Print_Area</vt:lpstr>
      <vt:lpstr>Juli!Print_Area</vt:lpstr>
      <vt:lpstr>Juni!Print_Area</vt:lpstr>
      <vt:lpstr>Maerz!Print_Area</vt:lpstr>
      <vt:lpstr>Mai!Print_Area</vt:lpstr>
      <vt:lpstr>November!Print_Area</vt:lpstr>
      <vt:lpstr>Oktober!Print_Area</vt:lpstr>
      <vt:lpstr>'Persönliche Daten (pers. data)'!Print_Area</vt:lpstr>
      <vt:lpstr>September!Print_Area</vt:lpstr>
      <vt:lpstr>'Zeitkennzahlen (key figures)'!Print_Area</vt:lpstr>
    </vt:vector>
  </TitlesOfParts>
  <Company>Universität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AD/VD Netz</dc:creator>
  <dc:description>Kennwort: aze</dc:description>
  <cp:lastModifiedBy>Christina Wapp</cp:lastModifiedBy>
  <cp:lastPrinted>2013-02-25T11:00:14Z</cp:lastPrinted>
  <dcterms:created xsi:type="dcterms:W3CDTF">1998-05-15T09:55:22Z</dcterms:created>
  <dcterms:modified xsi:type="dcterms:W3CDTF">2020-11-12T08:18:35Z</dcterms:modified>
</cp:coreProperties>
</file>