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ate1904="1" codeName="DieseArbeitsmappe"/>
  <mc:AlternateContent xmlns:mc="http://schemas.openxmlformats.org/markup-compatibility/2006">
    <mc:Choice Requires="x15">
      <x15ac:absPath xmlns:x15ac="http://schemas.microsoft.com/office/spreadsheetml/2010/11/ac" url="/Volumes/artorg_admdoc/Personnel/Arbeitszeiterfassung/Arbeitszeiterfassung 2021/"/>
    </mc:Choice>
  </mc:AlternateContent>
  <xr:revisionPtr revIDLastSave="0" documentId="8_{6AAF3F8A-B0DE-4146-9C49-3C4AE5913372}" xr6:coauthVersionLast="36" xr6:coauthVersionMax="36" xr10:uidLastSave="{00000000-0000-0000-0000-000000000000}"/>
  <workbookProtection workbookPassword="CC4A" lockStructure="1"/>
  <bookViews>
    <workbookView xWindow="0" yWindow="460" windowWidth="30880" windowHeight="19100" tabRatio="911" xr2:uid="{00000000-000D-0000-FFFF-FFFF00000000}"/>
  </bookViews>
  <sheets>
    <sheet name="Information" sheetId="30" r:id="rId1"/>
    <sheet name="Persönliche Daten (pers. data)" sheetId="31" r:id="rId2"/>
    <sheet name="Jahresübersicht (Overview)" sheetId="29" r:id="rId3"/>
    <sheet name="Januar" sheetId="2" r:id="rId4"/>
    <sheet name="Februar" sheetId="4" r:id="rId5"/>
    <sheet name="Maerz" sheetId="7" r:id="rId6"/>
    <sheet name="April" sheetId="8" r:id="rId7"/>
    <sheet name="Mai" sheetId="9" r:id="rId8"/>
    <sheet name="Juni" sheetId="10" r:id="rId9"/>
    <sheet name="Juli" sheetId="11" r:id="rId10"/>
    <sheet name="August" sheetId="12" r:id="rId11"/>
    <sheet name="September" sheetId="13" r:id="rId12"/>
    <sheet name="Oktober" sheetId="14" r:id="rId13"/>
    <sheet name="November" sheetId="15" r:id="rId14"/>
    <sheet name="Dezember" sheetId="16" r:id="rId15"/>
    <sheet name="Zeitkennzahlen (key figures)" sheetId="27" r:id="rId16"/>
    <sheet name="Umrechnung (calculation)" sheetId="23" r:id="rId17"/>
    <sheet name="Para1" sheetId="3" r:id="rId18"/>
  </sheets>
  <definedNames>
    <definedName name="_xlnm.Print_Area" localSheetId="6">April!$A$1:$Z$60</definedName>
    <definedName name="_xlnm.Print_Area" localSheetId="10">August!$A$1:$Z$60</definedName>
    <definedName name="_xlnm.Print_Area" localSheetId="14">Dezember!$A$1:$Z$60</definedName>
    <definedName name="_xlnm.Print_Area" localSheetId="4">Februar!$A$1:$Z$60</definedName>
    <definedName name="_xlnm.Print_Area" localSheetId="2">'Jahresübersicht (Overview)'!$A$1:$O$58</definedName>
    <definedName name="_xlnm.Print_Area" localSheetId="3">Januar!$A$1:$Z$60</definedName>
    <definedName name="_xlnm.Print_Area" localSheetId="9">Juli!$A$1:$Z$60</definedName>
    <definedName name="_xlnm.Print_Area" localSheetId="8">Juni!$A$1:$Z$60</definedName>
    <definedName name="_xlnm.Print_Area" localSheetId="5">Maerz!$A$1:$Z$60</definedName>
    <definedName name="_xlnm.Print_Area" localSheetId="7">Mai!$A$1:$Z$60</definedName>
    <definedName name="_xlnm.Print_Area" localSheetId="13">November!$A$1:$Z$60</definedName>
    <definedName name="_xlnm.Print_Area" localSheetId="12">Oktober!$A$1:$Z$60</definedName>
    <definedName name="_xlnm.Print_Area" localSheetId="1">'Persönliche Daten (pers. data)'!$A$1:$O$35</definedName>
    <definedName name="_xlnm.Print_Area" localSheetId="11">September!$A$1:$Z$60</definedName>
    <definedName name="_xlnm.Print_Area" localSheetId="15">'Zeitkennzahlen (key figures)'!$A$1:$K$28</definedName>
  </definedNames>
  <calcPr calcId="181029"/>
</workbook>
</file>

<file path=xl/calcChain.xml><?xml version="1.0" encoding="utf-8"?>
<calcChain xmlns="http://schemas.openxmlformats.org/spreadsheetml/2006/main">
  <c r="D10" i="30" l="1"/>
  <c r="AD52" i="4" l="1"/>
  <c r="AE52" i="4"/>
  <c r="AG52" i="4" s="1"/>
  <c r="AH52" i="4"/>
  <c r="J290" i="3" l="1"/>
  <c r="J242" i="3" l="1"/>
  <c r="J241" i="3"/>
  <c r="Q9" i="31" l="1"/>
  <c r="Q10" i="31"/>
  <c r="Q8" i="31"/>
  <c r="G9" i="30"/>
  <c r="G8" i="30"/>
  <c r="C9" i="29" l="1"/>
  <c r="I9" i="16" l="1"/>
  <c r="L30" i="2"/>
  <c r="J244" i="3" l="1"/>
  <c r="W17" i="16" l="1"/>
  <c r="W16" i="16"/>
  <c r="W15" i="16"/>
  <c r="W14" i="16"/>
  <c r="N8" i="16"/>
  <c r="I16" i="16"/>
  <c r="W17" i="15"/>
  <c r="W16" i="15"/>
  <c r="W15" i="15"/>
  <c r="W14" i="15"/>
  <c r="N8" i="15"/>
  <c r="I16" i="15"/>
  <c r="I9" i="15"/>
  <c r="W17" i="14"/>
  <c r="W16" i="14"/>
  <c r="W15" i="14"/>
  <c r="W14" i="14"/>
  <c r="N8" i="14"/>
  <c r="I16" i="14"/>
  <c r="I9" i="14"/>
  <c r="W17" i="13"/>
  <c r="W16" i="13"/>
  <c r="W15" i="13"/>
  <c r="W14" i="13"/>
  <c r="N8" i="13"/>
  <c r="I16" i="13"/>
  <c r="I9" i="13"/>
  <c r="W17" i="12"/>
  <c r="W16" i="12"/>
  <c r="W15" i="12"/>
  <c r="W14" i="12"/>
  <c r="N8" i="12"/>
  <c r="I16" i="12"/>
  <c r="I9" i="12"/>
  <c r="W17" i="11"/>
  <c r="W16" i="11"/>
  <c r="W15" i="11"/>
  <c r="W14" i="11"/>
  <c r="N8" i="11"/>
  <c r="I16" i="11"/>
  <c r="I9" i="11"/>
  <c r="W17" i="10"/>
  <c r="W16" i="10"/>
  <c r="W15" i="10"/>
  <c r="W14" i="10"/>
  <c r="N8" i="10"/>
  <c r="I16" i="10"/>
  <c r="I9" i="10"/>
  <c r="W17" i="9"/>
  <c r="W16" i="9"/>
  <c r="W15" i="9"/>
  <c r="W14" i="9"/>
  <c r="N8" i="9"/>
  <c r="I16" i="9"/>
  <c r="I9" i="9"/>
  <c r="I16" i="8"/>
  <c r="I9" i="8"/>
  <c r="N8" i="8"/>
  <c r="W17" i="8"/>
  <c r="W16" i="8"/>
  <c r="W15" i="8"/>
  <c r="W14" i="8"/>
  <c r="I16" i="7"/>
  <c r="I9" i="7"/>
  <c r="N8" i="7"/>
  <c r="W17" i="7"/>
  <c r="W16" i="7"/>
  <c r="W15" i="7"/>
  <c r="W14" i="7"/>
  <c r="W17" i="4"/>
  <c r="W16" i="4"/>
  <c r="W15" i="4"/>
  <c r="W14" i="4"/>
  <c r="I16" i="4"/>
  <c r="I9" i="4"/>
  <c r="N8" i="4"/>
  <c r="J295" i="3"/>
  <c r="A81" i="30" s="1"/>
  <c r="J243" i="3"/>
  <c r="A34" i="31" s="1"/>
  <c r="AH54" i="15" l="1"/>
  <c r="AH54" i="13"/>
  <c r="AH54" i="10"/>
  <c r="AH54" i="8"/>
  <c r="AH53" i="4"/>
  <c r="AH54" i="4"/>
  <c r="AH24" i="2"/>
  <c r="I16" i="2"/>
  <c r="W17" i="2"/>
  <c r="W16" i="2"/>
  <c r="W15" i="2"/>
  <c r="W14" i="2"/>
  <c r="N8" i="2"/>
  <c r="AH25" i="2"/>
  <c r="Q8" i="2" l="1"/>
  <c r="J236" i="3" l="1"/>
  <c r="L29" i="31" s="1"/>
  <c r="J239" i="3"/>
  <c r="J234" i="3"/>
  <c r="L28" i="31" s="1"/>
  <c r="L9" i="27" l="1"/>
  <c r="J240" i="3" l="1"/>
  <c r="F190" i="3"/>
  <c r="B11" i="13" s="1"/>
  <c r="B11" i="8" l="1"/>
  <c r="B11" i="11"/>
  <c r="B11" i="4"/>
  <c r="B11" i="12"/>
  <c r="B11" i="7"/>
  <c r="B11" i="14"/>
  <c r="B11" i="16"/>
  <c r="B11" i="10"/>
  <c r="B11" i="15"/>
  <c r="B11" i="9"/>
  <c r="J238" i="3" l="1"/>
  <c r="J233" i="3"/>
  <c r="H28" i="31" s="1"/>
  <c r="J235" i="3"/>
  <c r="H29" i="31" s="1"/>
  <c r="J237" i="3"/>
  <c r="J226" i="3"/>
  <c r="J227" i="3"/>
  <c r="D16" i="31" s="1"/>
  <c r="J228" i="3"/>
  <c r="J229" i="3"/>
  <c r="J230" i="3"/>
  <c r="J231" i="3"/>
  <c r="J232" i="3"/>
  <c r="L30" i="31" l="1"/>
  <c r="H30" i="31"/>
  <c r="AD25" i="15" l="1"/>
  <c r="F195" i="3" l="1"/>
  <c r="J215" i="3" l="1"/>
  <c r="F200" i="3"/>
  <c r="J217" i="3"/>
  <c r="A4" i="31" s="1"/>
  <c r="F91" i="3" l="1"/>
  <c r="AB21" i="14" s="1"/>
  <c r="F143" i="3"/>
  <c r="A30" i="29" s="1"/>
  <c r="AB21" i="7" l="1"/>
  <c r="AB21" i="11"/>
  <c r="AB21" i="13"/>
  <c r="AB21" i="8"/>
  <c r="AB21" i="16"/>
  <c r="AB21" i="12"/>
  <c r="AB21" i="2"/>
  <c r="AB21" i="9"/>
  <c r="AB21" i="15"/>
  <c r="AB21" i="4"/>
  <c r="AB21" i="10"/>
  <c r="I5" i="31"/>
  <c r="F178" i="3"/>
  <c r="F187" i="3"/>
  <c r="H15" i="31" s="1"/>
  <c r="F188" i="3"/>
  <c r="F189" i="3"/>
  <c r="F191" i="3"/>
  <c r="J225" i="3" l="1"/>
  <c r="J266" i="3" l="1"/>
  <c r="B37" i="30" s="1"/>
  <c r="J267" i="3"/>
  <c r="B38" i="30" s="1"/>
  <c r="J255" i="3"/>
  <c r="J253" i="3"/>
  <c r="B19" i="30" s="1"/>
  <c r="J254" i="3"/>
  <c r="K4" i="29" l="1"/>
  <c r="F161" i="3" l="1"/>
  <c r="J300" i="3" s="1"/>
  <c r="F162" i="3"/>
  <c r="F128" i="3"/>
  <c r="J299" i="3" s="1"/>
  <c r="Q5" i="31" s="1"/>
  <c r="Q6" i="31" l="1"/>
  <c r="K5" i="31"/>
  <c r="G22" i="29"/>
  <c r="G30" i="29"/>
  <c r="D30" i="29"/>
  <c r="D22" i="29"/>
  <c r="D11" i="29"/>
  <c r="C4" i="29"/>
  <c r="K2" i="29"/>
  <c r="C2" i="29"/>
  <c r="G2" i="29"/>
  <c r="G4" i="29"/>
  <c r="C8" i="29"/>
  <c r="D9" i="31"/>
  <c r="D8" i="31"/>
  <c r="O2" i="31"/>
  <c r="O33" i="29" l="1"/>
  <c r="E9" i="31"/>
  <c r="F9" i="31" s="1"/>
  <c r="G9" i="31" s="1"/>
  <c r="H9" i="31" s="1"/>
  <c r="I9" i="31" s="1"/>
  <c r="J9" i="31" s="1"/>
  <c r="K9" i="31" s="1"/>
  <c r="L9" i="31" s="1"/>
  <c r="M9" i="31" s="1"/>
  <c r="N9" i="31" s="1"/>
  <c r="N9" i="29" s="1"/>
  <c r="D9" i="29"/>
  <c r="E8" i="31"/>
  <c r="E8" i="29" s="1"/>
  <c r="D8" i="29"/>
  <c r="M9" i="29" l="1"/>
  <c r="G9" i="29"/>
  <c r="I9" i="29"/>
  <c r="K9" i="29"/>
  <c r="E9" i="29"/>
  <c r="F8" i="31"/>
  <c r="F8" i="29" s="1"/>
  <c r="H9" i="29"/>
  <c r="F9" i="29"/>
  <c r="L9" i="29"/>
  <c r="J9" i="29"/>
  <c r="G8" i="31"/>
  <c r="H8" i="31" l="1"/>
  <c r="G8" i="29"/>
  <c r="I8" i="31" l="1"/>
  <c r="J8" i="31" s="1"/>
  <c r="H8" i="29"/>
  <c r="F102" i="3"/>
  <c r="I8" i="29" l="1"/>
  <c r="J277" i="3"/>
  <c r="C54" i="30" s="1"/>
  <c r="J294" i="3"/>
  <c r="J248" i="3"/>
  <c r="A12" i="30" s="1"/>
  <c r="J249" i="3"/>
  <c r="A13" i="30" s="1"/>
  <c r="J259" i="3"/>
  <c r="B28" i="30" s="1"/>
  <c r="J251" i="3"/>
  <c r="H15" i="30" s="1"/>
  <c r="J252" i="3"/>
  <c r="B18" i="30" s="1"/>
  <c r="B20" i="30"/>
  <c r="B21" i="30"/>
  <c r="J256" i="3"/>
  <c r="B25" i="30" s="1"/>
  <c r="J257" i="3"/>
  <c r="B26" i="30" s="1"/>
  <c r="J258" i="3"/>
  <c r="B27" i="30" s="1"/>
  <c r="J261" i="3"/>
  <c r="B30" i="30" s="1"/>
  <c r="J262" i="3"/>
  <c r="B31" i="30" s="1"/>
  <c r="J264" i="3"/>
  <c r="B33" i="30" s="1"/>
  <c r="J265" i="3"/>
  <c r="B35" i="30" s="1"/>
  <c r="J269" i="3"/>
  <c r="B44" i="30" s="1"/>
  <c r="J270" i="3"/>
  <c r="B45" i="30" s="1"/>
  <c r="J271" i="3"/>
  <c r="B47" i="30" s="1"/>
  <c r="J268" i="3"/>
  <c r="B40" i="30" s="1"/>
  <c r="J272" i="3"/>
  <c r="B49" i="30" s="1"/>
  <c r="J273" i="3"/>
  <c r="B50" i="30" s="1"/>
  <c r="J274" i="3"/>
  <c r="B51" i="30" s="1"/>
  <c r="J275" i="3"/>
  <c r="B53" i="30" s="1"/>
  <c r="J276" i="3"/>
  <c r="B54" i="30" s="1"/>
  <c r="J278" i="3"/>
  <c r="B56" i="30" s="1"/>
  <c r="J279" i="3"/>
  <c r="B58" i="30" s="1"/>
  <c r="J280" i="3"/>
  <c r="B62" i="30" s="1"/>
  <c r="J281" i="3"/>
  <c r="B63" i="30" s="1"/>
  <c r="J282" i="3"/>
  <c r="B64" i="30" s="1"/>
  <c r="J283" i="3"/>
  <c r="B66" i="30" s="1"/>
  <c r="J284" i="3"/>
  <c r="B67" i="30" s="1"/>
  <c r="J285" i="3"/>
  <c r="B69" i="30" s="1"/>
  <c r="J286" i="3"/>
  <c r="B70" i="30" s="1"/>
  <c r="J287" i="3"/>
  <c r="B71" i="30" s="1"/>
  <c r="J288" i="3"/>
  <c r="B73" i="30" s="1"/>
  <c r="J289" i="3"/>
  <c r="B74" i="30" s="1"/>
  <c r="B77" i="30"/>
  <c r="J291" i="3"/>
  <c r="B78" i="30" s="1"/>
  <c r="J292" i="3"/>
  <c r="B79" i="30" s="1"/>
  <c r="J293" i="3"/>
  <c r="J247" i="3"/>
  <c r="A4" i="30" s="1"/>
  <c r="J250" i="3"/>
  <c r="A15" i="30" s="1"/>
  <c r="J263" i="3"/>
  <c r="B32" i="30" s="1"/>
  <c r="F87" i="3"/>
  <c r="J260" i="3"/>
  <c r="B29" i="30" s="1"/>
  <c r="K8" i="31" l="1"/>
  <c r="J8" i="29"/>
  <c r="B17" i="30"/>
  <c r="L8" i="31" l="1"/>
  <c r="K8" i="29"/>
  <c r="L10" i="30"/>
  <c r="M8" i="31" l="1"/>
  <c r="L8" i="29"/>
  <c r="F155" i="3"/>
  <c r="A60" i="30" s="1"/>
  <c r="N8" i="31" l="1"/>
  <c r="M8" i="29"/>
  <c r="F125" i="3"/>
  <c r="O8" i="31" l="1"/>
  <c r="H3" i="27" s="1"/>
  <c r="N8" i="29"/>
  <c r="F208" i="3"/>
  <c r="F170" i="3"/>
  <c r="F205" i="3"/>
  <c r="F151" i="3"/>
  <c r="F211" i="3"/>
  <c r="F92" i="3"/>
  <c r="F112" i="3"/>
  <c r="F89" i="3" l="1"/>
  <c r="J221" i="3"/>
  <c r="J218" i="3"/>
  <c r="J219" i="3"/>
  <c r="J220" i="3"/>
  <c r="J224" i="3"/>
  <c r="B7" i="27" s="1"/>
  <c r="J223" i="3"/>
  <c r="B6" i="27" s="1"/>
  <c r="J222" i="3"/>
  <c r="D15" i="31" s="1"/>
  <c r="J216" i="3"/>
  <c r="H8" i="27" s="1"/>
  <c r="F210" i="3"/>
  <c r="B5" i="27" s="1"/>
  <c r="G43" i="23"/>
  <c r="F183" i="3"/>
  <c r="C35" i="23" s="1"/>
  <c r="F97" i="3"/>
  <c r="F110" i="3"/>
  <c r="F86" i="3"/>
  <c r="F119" i="3"/>
  <c r="F209" i="3"/>
  <c r="B54" i="23" l="1"/>
  <c r="B56" i="23"/>
  <c r="B49" i="23"/>
  <c r="A20" i="15"/>
  <c r="B47" i="23"/>
  <c r="B32" i="23"/>
  <c r="B40" i="23"/>
  <c r="A20" i="9"/>
  <c r="A20" i="2"/>
  <c r="A20" i="13"/>
  <c r="A20" i="8"/>
  <c r="A20" i="16"/>
  <c r="A20" i="12"/>
  <c r="A20" i="4"/>
  <c r="A20" i="10"/>
  <c r="A20" i="14"/>
  <c r="A20" i="7"/>
  <c r="A20" i="11"/>
  <c r="AF24" i="2" l="1"/>
  <c r="AF25" i="2"/>
  <c r="AE25" i="2"/>
  <c r="AE24" i="2"/>
  <c r="AD24" i="4"/>
  <c r="AG24" i="2" l="1"/>
  <c r="AG25" i="2"/>
  <c r="C3" i="3" l="1"/>
  <c r="H25" i="29" l="1"/>
  <c r="M25" i="29"/>
  <c r="N25" i="29"/>
  <c r="L25" i="29"/>
  <c r="E25" i="29"/>
  <c r="F25" i="29"/>
  <c r="K25" i="29"/>
  <c r="C25" i="29"/>
  <c r="I25" i="29"/>
  <c r="J25" i="29"/>
  <c r="D25" i="29"/>
  <c r="G25" i="29"/>
  <c r="F130" i="3"/>
  <c r="A42" i="30" s="1"/>
  <c r="C3" i="27" l="1"/>
  <c r="F120" i="3"/>
  <c r="F103" i="3"/>
  <c r="C3" i="16"/>
  <c r="C3" i="15"/>
  <c r="C3" i="14"/>
  <c r="C3" i="13"/>
  <c r="C3" i="12"/>
  <c r="C3" i="11"/>
  <c r="C3" i="10"/>
  <c r="C3" i="9"/>
  <c r="C3" i="8"/>
  <c r="C3" i="7"/>
  <c r="C3" i="4"/>
  <c r="H3" i="2"/>
  <c r="F124" i="3"/>
  <c r="F150" i="3"/>
  <c r="B4" i="23" s="1"/>
  <c r="F192" i="3"/>
  <c r="B1" i="23" s="1"/>
  <c r="F106" i="3"/>
  <c r="G11" i="23" s="1"/>
  <c r="A76" i="30" l="1"/>
  <c r="G9" i="27"/>
  <c r="F2" i="23"/>
  <c r="B2" i="23"/>
  <c r="F4" i="23"/>
  <c r="G4" i="23"/>
  <c r="B11" i="23"/>
  <c r="C4" i="23"/>
  <c r="A22" i="16"/>
  <c r="A22" i="15"/>
  <c r="A22" i="14"/>
  <c r="A22" i="13"/>
  <c r="A22" i="12"/>
  <c r="A22" i="11"/>
  <c r="A22" i="10"/>
  <c r="A22" i="9"/>
  <c r="A22" i="8"/>
  <c r="A22" i="7"/>
  <c r="A22" i="4"/>
  <c r="M3" i="16"/>
  <c r="Z1" i="16"/>
  <c r="M1" i="16"/>
  <c r="H1" i="16"/>
  <c r="C1" i="16"/>
  <c r="M3" i="15"/>
  <c r="Z1" i="15"/>
  <c r="M1" i="15"/>
  <c r="H1" i="15"/>
  <c r="C1" i="15"/>
  <c r="M3" i="14"/>
  <c r="Z1" i="14"/>
  <c r="M1" i="14"/>
  <c r="H1" i="14"/>
  <c r="C1" i="14"/>
  <c r="M3" i="13"/>
  <c r="Z1" i="13"/>
  <c r="M1" i="13"/>
  <c r="H1" i="13"/>
  <c r="C1" i="13"/>
  <c r="M3" i="12"/>
  <c r="Z1" i="12"/>
  <c r="M1" i="12"/>
  <c r="H1" i="12"/>
  <c r="C1" i="12"/>
  <c r="M3" i="11"/>
  <c r="Z1" i="11"/>
  <c r="M1" i="11"/>
  <c r="H1" i="11"/>
  <c r="C1" i="11"/>
  <c r="M3" i="10"/>
  <c r="Z1" i="10"/>
  <c r="M1" i="10"/>
  <c r="H1" i="10"/>
  <c r="C1" i="10"/>
  <c r="M3" i="9"/>
  <c r="Z1" i="9"/>
  <c r="M1" i="9"/>
  <c r="H1" i="9"/>
  <c r="C1" i="9"/>
  <c r="M3" i="8"/>
  <c r="Z1" i="8"/>
  <c r="M1" i="8"/>
  <c r="H1" i="8"/>
  <c r="C1" i="8"/>
  <c r="M3" i="7"/>
  <c r="Z1" i="7"/>
  <c r="M1" i="7"/>
  <c r="H1" i="7"/>
  <c r="C1" i="7"/>
  <c r="M3" i="4"/>
  <c r="Z1" i="4"/>
  <c r="M1" i="4"/>
  <c r="H1" i="4"/>
  <c r="C1" i="4"/>
  <c r="K25" i="27" l="1"/>
  <c r="F171" i="3"/>
  <c r="F152" i="3"/>
  <c r="F199" i="3"/>
  <c r="F99" i="3"/>
  <c r="F141" i="3"/>
  <c r="F159" i="3"/>
  <c r="F166" i="3"/>
  <c r="U22" i="2" s="1"/>
  <c r="F202" i="3"/>
  <c r="F207" i="3"/>
  <c r="G63" i="3"/>
  <c r="B24" i="2" s="1"/>
  <c r="F90" i="3"/>
  <c r="B72" i="30" s="1"/>
  <c r="F126" i="3"/>
  <c r="F145" i="3"/>
  <c r="F116" i="3"/>
  <c r="F138" i="3"/>
  <c r="F153" i="3"/>
  <c r="F118" i="3"/>
  <c r="F107" i="3"/>
  <c r="F108" i="3"/>
  <c r="F109" i="3"/>
  <c r="F148" i="3"/>
  <c r="F176" i="3"/>
  <c r="F173" i="3"/>
  <c r="F203" i="3"/>
  <c r="F84" i="3"/>
  <c r="F113" i="3"/>
  <c r="F114" i="3"/>
  <c r="F88" i="3"/>
  <c r="F177" i="3"/>
  <c r="F127" i="3"/>
  <c r="F158" i="3"/>
  <c r="F137" i="3"/>
  <c r="F122" i="3"/>
  <c r="F201" i="3"/>
  <c r="F193" i="3"/>
  <c r="L2" i="31" s="1"/>
  <c r="F194" i="3"/>
  <c r="F196" i="3"/>
  <c r="F197" i="3"/>
  <c r="F198" i="3"/>
  <c r="F98" i="3"/>
  <c r="F163" i="3"/>
  <c r="A31" i="29" s="1"/>
  <c r="F180" i="3"/>
  <c r="F181" i="3"/>
  <c r="A41" i="29" s="1"/>
  <c r="F182" i="3"/>
  <c r="B13" i="27" s="1"/>
  <c r="F100" i="3"/>
  <c r="F174" i="3"/>
  <c r="C3" i="2"/>
  <c r="F186" i="3"/>
  <c r="A21" i="31" s="1"/>
  <c r="F85" i="3"/>
  <c r="F93" i="3"/>
  <c r="F94" i="3"/>
  <c r="F95" i="3"/>
  <c r="F96" i="3"/>
  <c r="E8" i="27" s="1"/>
  <c r="F101" i="3"/>
  <c r="A34" i="29" s="1"/>
  <c r="F104" i="3"/>
  <c r="F105" i="3"/>
  <c r="F111" i="3"/>
  <c r="E5" i="31" s="1"/>
  <c r="F115" i="3"/>
  <c r="H20" i="31" s="1"/>
  <c r="F117" i="3"/>
  <c r="B48" i="30" s="1"/>
  <c r="F121" i="3"/>
  <c r="F123" i="3"/>
  <c r="F129" i="3"/>
  <c r="F131" i="3"/>
  <c r="J2" i="31" s="1"/>
  <c r="F132" i="3"/>
  <c r="F133" i="3"/>
  <c r="F134" i="3"/>
  <c r="F135" i="3"/>
  <c r="F136" i="3"/>
  <c r="B55" i="30" s="1"/>
  <c r="F139" i="3"/>
  <c r="F140" i="3"/>
  <c r="B19" i="27" s="1"/>
  <c r="F142" i="3"/>
  <c r="A25" i="31" s="1"/>
  <c r="F144" i="3"/>
  <c r="A33" i="29" s="1"/>
  <c r="F146" i="3"/>
  <c r="F147" i="3"/>
  <c r="F149" i="3"/>
  <c r="F154" i="3"/>
  <c r="A7" i="31" s="1"/>
  <c r="F156" i="3"/>
  <c r="A14" i="29" s="1"/>
  <c r="F157" i="3"/>
  <c r="F160" i="3"/>
  <c r="F2" i="31" s="1"/>
  <c r="F164" i="3"/>
  <c r="F165" i="3"/>
  <c r="F167" i="3"/>
  <c r="F168" i="3"/>
  <c r="B5" i="31" s="1"/>
  <c r="F169" i="3"/>
  <c r="B24" i="30" s="1"/>
  <c r="F172" i="3"/>
  <c r="F175" i="3"/>
  <c r="F179" i="3"/>
  <c r="F184" i="3"/>
  <c r="F185" i="3"/>
  <c r="A25" i="29" s="1"/>
  <c r="F204" i="3"/>
  <c r="A2" i="31" s="1"/>
  <c r="F206" i="3"/>
  <c r="B21" i="27" s="1"/>
  <c r="F83" i="3"/>
  <c r="A8" i="31" l="1"/>
  <c r="N22" i="14"/>
  <c r="N22" i="10"/>
  <c r="N22" i="4"/>
  <c r="N22" i="13"/>
  <c r="N22" i="9"/>
  <c r="N22" i="2"/>
  <c r="N22" i="16"/>
  <c r="N22" i="12"/>
  <c r="N22" i="8"/>
  <c r="N22" i="15"/>
  <c r="N22" i="11"/>
  <c r="N22" i="7"/>
  <c r="U9" i="13"/>
  <c r="U9" i="9"/>
  <c r="U9" i="2"/>
  <c r="U9" i="16"/>
  <c r="U9" i="12"/>
  <c r="U9" i="8"/>
  <c r="U9" i="15"/>
  <c r="U9" i="11"/>
  <c r="U9" i="7"/>
  <c r="U9" i="14"/>
  <c r="U9" i="10"/>
  <c r="U9" i="4"/>
  <c r="B10" i="27"/>
  <c r="H15" i="2"/>
  <c r="L31" i="31"/>
  <c r="H31" i="31"/>
  <c r="A20" i="31"/>
  <c r="A24" i="31"/>
  <c r="H24" i="31"/>
  <c r="H25" i="31"/>
  <c r="A17" i="31"/>
  <c r="H17" i="31"/>
  <c r="A1" i="31"/>
  <c r="A23" i="30"/>
  <c r="A15" i="31"/>
  <c r="W21" i="16"/>
  <c r="W21" i="12"/>
  <c r="W21" i="8"/>
  <c r="P21" i="2"/>
  <c r="P21" i="13"/>
  <c r="P21" i="9"/>
  <c r="W21" i="15"/>
  <c r="W21" i="11"/>
  <c r="W21" i="7"/>
  <c r="P21" i="16"/>
  <c r="P21" i="12"/>
  <c r="P21" i="8"/>
  <c r="W21" i="14"/>
  <c r="W21" i="10"/>
  <c r="W21" i="4"/>
  <c r="P21" i="15"/>
  <c r="P21" i="11"/>
  <c r="W21" i="13"/>
  <c r="W21" i="9"/>
  <c r="P21" i="4"/>
  <c r="P21" i="14"/>
  <c r="P21" i="10"/>
  <c r="G39" i="29"/>
  <c r="G7" i="31"/>
  <c r="M15" i="16"/>
  <c r="M15" i="12"/>
  <c r="M15" i="8"/>
  <c r="M15" i="13"/>
  <c r="M15" i="9"/>
  <c r="M15" i="14"/>
  <c r="M15" i="10"/>
  <c r="M15" i="4"/>
  <c r="M15" i="2"/>
  <c r="M15" i="15"/>
  <c r="M15" i="11"/>
  <c r="M15" i="7"/>
  <c r="F39" i="29"/>
  <c r="F7" i="31"/>
  <c r="L39" i="29"/>
  <c r="L7" i="31"/>
  <c r="K39" i="29"/>
  <c r="K7" i="31"/>
  <c r="O7" i="31"/>
  <c r="O7" i="29"/>
  <c r="M39" i="29"/>
  <c r="M7" i="31"/>
  <c r="C39" i="29"/>
  <c r="C7" i="31"/>
  <c r="A9" i="29"/>
  <c r="A9" i="31"/>
  <c r="N39" i="29"/>
  <c r="N7" i="31"/>
  <c r="J4" i="29"/>
  <c r="A11" i="31"/>
  <c r="M14" i="15"/>
  <c r="M14" i="11"/>
  <c r="M14" i="7"/>
  <c r="M14" i="16"/>
  <c r="M14" i="12"/>
  <c r="M14" i="8"/>
  <c r="M14" i="13"/>
  <c r="M14" i="9"/>
  <c r="M14" i="14"/>
  <c r="M14" i="10"/>
  <c r="M14" i="4"/>
  <c r="M18" i="15"/>
  <c r="M18" i="11"/>
  <c r="M18" i="7"/>
  <c r="M18" i="16"/>
  <c r="M18" i="12"/>
  <c r="M18" i="8"/>
  <c r="M18" i="13"/>
  <c r="M18" i="9"/>
  <c r="M18" i="14"/>
  <c r="M18" i="10"/>
  <c r="M18" i="4"/>
  <c r="M18" i="2"/>
  <c r="H39" i="29"/>
  <c r="H7" i="31"/>
  <c r="J39" i="29"/>
  <c r="J7" i="31"/>
  <c r="M16" i="8"/>
  <c r="M17" i="9"/>
  <c r="M17" i="14"/>
  <c r="M16" i="13"/>
  <c r="M17" i="10"/>
  <c r="M16" i="9"/>
  <c r="M17" i="4"/>
  <c r="M17" i="15"/>
  <c r="M16" i="14"/>
  <c r="M17" i="11"/>
  <c r="M16" i="10"/>
  <c r="M17" i="7"/>
  <c r="M16" i="4"/>
  <c r="M17" i="16"/>
  <c r="M16" i="15"/>
  <c r="M17" i="12"/>
  <c r="M16" i="11"/>
  <c r="M17" i="8"/>
  <c r="M16" i="7"/>
  <c r="M16" i="16"/>
  <c r="M17" i="13"/>
  <c r="M16" i="12"/>
  <c r="M13" i="14"/>
  <c r="M13" i="10"/>
  <c r="M13" i="4"/>
  <c r="M13" i="15"/>
  <c r="M13" i="11"/>
  <c r="M13" i="7"/>
  <c r="M13" i="16"/>
  <c r="M13" i="12"/>
  <c r="M13" i="8"/>
  <c r="M13" i="13"/>
  <c r="M13" i="9"/>
  <c r="E39" i="29"/>
  <c r="E7" i="31"/>
  <c r="I39" i="29"/>
  <c r="I7" i="31"/>
  <c r="K10" i="30"/>
  <c r="N2" i="31"/>
  <c r="M12" i="13"/>
  <c r="M12" i="9"/>
  <c r="M12" i="14"/>
  <c r="M12" i="10"/>
  <c r="M12" i="4"/>
  <c r="M12" i="15"/>
  <c r="M12" i="11"/>
  <c r="M12" i="7"/>
  <c r="M12" i="16"/>
  <c r="M12" i="12"/>
  <c r="M12" i="8"/>
  <c r="D39" i="29"/>
  <c r="D7" i="31"/>
  <c r="P21" i="7"/>
  <c r="D22" i="14"/>
  <c r="D22" i="10"/>
  <c r="D22" i="4"/>
  <c r="D22" i="15"/>
  <c r="D22" i="11"/>
  <c r="D22" i="7"/>
  <c r="D22" i="2"/>
  <c r="D22" i="16"/>
  <c r="D22" i="12"/>
  <c r="D22" i="8"/>
  <c r="D22" i="13"/>
  <c r="D22" i="9"/>
  <c r="L21" i="14"/>
  <c r="L21" i="10"/>
  <c r="L21" i="4"/>
  <c r="L21" i="13"/>
  <c r="L21" i="9"/>
  <c r="L21" i="2"/>
  <c r="L21" i="16"/>
  <c r="L21" i="12"/>
  <c r="L21" i="8"/>
  <c r="L21" i="15"/>
  <c r="L21" i="11"/>
  <c r="L21" i="7"/>
  <c r="H22" i="2"/>
  <c r="H22" i="15"/>
  <c r="H22" i="11"/>
  <c r="H22" i="7"/>
  <c r="H22" i="16"/>
  <c r="H22" i="12"/>
  <c r="H22" i="8"/>
  <c r="H22" i="13"/>
  <c r="H22" i="9"/>
  <c r="H22" i="14"/>
  <c r="H22" i="10"/>
  <c r="H22" i="4"/>
  <c r="B34" i="30"/>
  <c r="B42" i="23"/>
  <c r="B36" i="30"/>
  <c r="A32" i="29"/>
  <c r="B48" i="23"/>
  <c r="B43" i="23"/>
  <c r="B41" i="23"/>
  <c r="AB55" i="2"/>
  <c r="AB55" i="7"/>
  <c r="AB55" i="4"/>
  <c r="B58" i="23"/>
  <c r="B51" i="23"/>
  <c r="B55" i="23"/>
  <c r="K56" i="16"/>
  <c r="B57" i="23"/>
  <c r="B50" i="23"/>
  <c r="B16" i="23"/>
  <c r="A8" i="29"/>
  <c r="B52" i="30"/>
  <c r="B12" i="27"/>
  <c r="B46" i="30"/>
  <c r="B11" i="27"/>
  <c r="L11" i="2"/>
  <c r="M16" i="2"/>
  <c r="M17" i="2"/>
  <c r="B25" i="2"/>
  <c r="B26" i="2" s="1"/>
  <c r="AC26" i="2" s="1"/>
  <c r="A1" i="29"/>
  <c r="B61" i="30"/>
  <c r="B43" i="30"/>
  <c r="F22" i="29"/>
  <c r="B39" i="30"/>
  <c r="B68" i="30"/>
  <c r="B65" i="30"/>
  <c r="B57" i="30"/>
  <c r="F30" i="29"/>
  <c r="C30" i="29"/>
  <c r="F16" i="23"/>
  <c r="L11" i="16"/>
  <c r="L11" i="7"/>
  <c r="L11" i="9"/>
  <c r="L11" i="11"/>
  <c r="L11" i="13"/>
  <c r="L11" i="15"/>
  <c r="L11" i="4"/>
  <c r="L11" i="8"/>
  <c r="L11" i="10"/>
  <c r="L11" i="12"/>
  <c r="L11" i="14"/>
  <c r="M12" i="2"/>
  <c r="M13" i="2"/>
  <c r="M14" i="2"/>
  <c r="A3" i="16"/>
  <c r="A3" i="15"/>
  <c r="A3" i="14"/>
  <c r="A3" i="13"/>
  <c r="A3" i="12"/>
  <c r="A3" i="11"/>
  <c r="A3" i="10"/>
  <c r="A3" i="9"/>
  <c r="A3" i="8"/>
  <c r="A3" i="7"/>
  <c r="A3" i="4"/>
  <c r="E3" i="16"/>
  <c r="E3" i="15"/>
  <c r="E3" i="14"/>
  <c r="E3" i="13"/>
  <c r="E3" i="12"/>
  <c r="E3" i="11"/>
  <c r="E3" i="10"/>
  <c r="E3" i="9"/>
  <c r="E3" i="8"/>
  <c r="E3" i="7"/>
  <c r="E3" i="4"/>
  <c r="E3" i="2"/>
  <c r="B24" i="23"/>
  <c r="F24" i="23"/>
  <c r="B27" i="23"/>
  <c r="G19" i="23"/>
  <c r="G27" i="23"/>
  <c r="B19" i="23"/>
  <c r="F27" i="23"/>
  <c r="C19" i="23"/>
  <c r="C27" i="23"/>
  <c r="F19" i="23"/>
  <c r="A15" i="29"/>
  <c r="K55" i="16"/>
  <c r="K55" i="15"/>
  <c r="K55" i="14"/>
  <c r="K55" i="13"/>
  <c r="K55" i="12"/>
  <c r="K55" i="11"/>
  <c r="K55" i="10"/>
  <c r="K55" i="9"/>
  <c r="K55" i="8"/>
  <c r="K55" i="7"/>
  <c r="K55" i="4"/>
  <c r="K56" i="15"/>
  <c r="K56" i="14"/>
  <c r="K56" i="13"/>
  <c r="K56" i="12"/>
  <c r="K56" i="11"/>
  <c r="K56" i="10"/>
  <c r="K56" i="9"/>
  <c r="K56" i="8"/>
  <c r="K56" i="7"/>
  <c r="K56" i="4"/>
  <c r="K56" i="2"/>
  <c r="B9" i="23"/>
  <c r="F9" i="23"/>
  <c r="B17" i="27"/>
  <c r="A4" i="29"/>
  <c r="B3" i="27"/>
  <c r="A51" i="29"/>
  <c r="T13" i="16"/>
  <c r="T13" i="15"/>
  <c r="T13" i="14"/>
  <c r="T13" i="13"/>
  <c r="T13" i="12"/>
  <c r="T13" i="11"/>
  <c r="T13" i="10"/>
  <c r="T13" i="9"/>
  <c r="T13" i="8"/>
  <c r="T13" i="7"/>
  <c r="T13" i="4"/>
  <c r="F2" i="29"/>
  <c r="G1" i="16"/>
  <c r="G1" i="14"/>
  <c r="G1" i="13"/>
  <c r="G1" i="9"/>
  <c r="G1" i="8"/>
  <c r="G1" i="7"/>
  <c r="G1" i="4"/>
  <c r="G1" i="15"/>
  <c r="G1" i="12"/>
  <c r="G1" i="11"/>
  <c r="G1" i="10"/>
  <c r="E1" i="27"/>
  <c r="A55" i="29"/>
  <c r="T17" i="16"/>
  <c r="T17" i="15"/>
  <c r="T17" i="14"/>
  <c r="T17" i="13"/>
  <c r="T17" i="12"/>
  <c r="T17" i="11"/>
  <c r="T17" i="10"/>
  <c r="T17" i="9"/>
  <c r="T17" i="8"/>
  <c r="T17" i="7"/>
  <c r="T17" i="4"/>
  <c r="H14" i="16"/>
  <c r="H14" i="15"/>
  <c r="H14" i="14"/>
  <c r="H14" i="13"/>
  <c r="H14" i="12"/>
  <c r="H14" i="11"/>
  <c r="H14" i="10"/>
  <c r="H14" i="9"/>
  <c r="H14" i="8"/>
  <c r="H14" i="7"/>
  <c r="H14" i="4"/>
  <c r="A46" i="29"/>
  <c r="P22" i="16"/>
  <c r="P22" i="15"/>
  <c r="P22" i="12"/>
  <c r="P22" i="10"/>
  <c r="P22" i="9"/>
  <c r="P22" i="14"/>
  <c r="P22" i="13"/>
  <c r="P22" i="11"/>
  <c r="P22" i="8"/>
  <c r="P22" i="7"/>
  <c r="T8" i="16"/>
  <c r="T8" i="15"/>
  <c r="T8" i="14"/>
  <c r="T8" i="13"/>
  <c r="T8" i="12"/>
  <c r="T8" i="11"/>
  <c r="T8" i="10"/>
  <c r="T8" i="9"/>
  <c r="T8" i="8"/>
  <c r="T8" i="7"/>
  <c r="T8" i="4"/>
  <c r="P22" i="4"/>
  <c r="A40" i="29"/>
  <c r="M8" i="16"/>
  <c r="M8" i="15"/>
  <c r="M8" i="14"/>
  <c r="M8" i="13"/>
  <c r="M8" i="12"/>
  <c r="M8" i="11"/>
  <c r="M8" i="10"/>
  <c r="M8" i="9"/>
  <c r="M8" i="8"/>
  <c r="M8" i="7"/>
  <c r="M8" i="4"/>
  <c r="B24" i="27"/>
  <c r="J2" i="29"/>
  <c r="L1" i="16"/>
  <c r="L1" i="15"/>
  <c r="L1" i="12"/>
  <c r="L1" i="11"/>
  <c r="L1" i="10"/>
  <c r="L1" i="14"/>
  <c r="L1" i="13"/>
  <c r="L1" i="9"/>
  <c r="L1" i="8"/>
  <c r="L1" i="7"/>
  <c r="L1" i="4"/>
  <c r="G1" i="27"/>
  <c r="A27" i="29"/>
  <c r="H10" i="16"/>
  <c r="H10" i="15"/>
  <c r="H10" i="14"/>
  <c r="H10" i="13"/>
  <c r="H10" i="12"/>
  <c r="H10" i="11"/>
  <c r="H10" i="10"/>
  <c r="H10" i="9"/>
  <c r="H10" i="8"/>
  <c r="H10" i="7"/>
  <c r="H10" i="4"/>
  <c r="E4" i="29"/>
  <c r="L3" i="16"/>
  <c r="L3" i="15"/>
  <c r="L3" i="14"/>
  <c r="L3" i="13"/>
  <c r="L3" i="8"/>
  <c r="L3" i="7"/>
  <c r="L3" i="4"/>
  <c r="L3" i="12"/>
  <c r="L3" i="11"/>
  <c r="L3" i="10"/>
  <c r="L3" i="9"/>
  <c r="E3" i="27"/>
  <c r="A58" i="29"/>
  <c r="A60" i="15"/>
  <c r="A60" i="13"/>
  <c r="A60" i="11"/>
  <c r="A60" i="9"/>
  <c r="A60" i="7"/>
  <c r="A23" i="16"/>
  <c r="A60" i="16"/>
  <c r="A60" i="14"/>
  <c r="A60" i="12"/>
  <c r="A60" i="10"/>
  <c r="A60" i="8"/>
  <c r="A60" i="4"/>
  <c r="A23" i="15"/>
  <c r="A23" i="12"/>
  <c r="A23" i="10"/>
  <c r="A23" i="9"/>
  <c r="A23" i="7"/>
  <c r="A23" i="14"/>
  <c r="A23" i="13"/>
  <c r="A23" i="11"/>
  <c r="A23" i="8"/>
  <c r="A23" i="4"/>
  <c r="B27" i="27"/>
  <c r="Y7" i="2"/>
  <c r="Y7" i="16"/>
  <c r="Y7" i="14"/>
  <c r="Y7" i="12"/>
  <c r="Y7" i="10"/>
  <c r="Y7" i="8"/>
  <c r="Y7" i="4"/>
  <c r="Q7" i="15"/>
  <c r="Q7" i="13"/>
  <c r="Q7" i="11"/>
  <c r="Q7" i="9"/>
  <c r="Q7" i="7"/>
  <c r="H17" i="16"/>
  <c r="H15" i="16"/>
  <c r="H11" i="16"/>
  <c r="H8" i="16"/>
  <c r="H17" i="15"/>
  <c r="H15" i="15"/>
  <c r="H11" i="15"/>
  <c r="H8" i="15"/>
  <c r="H17" i="14"/>
  <c r="H15" i="14"/>
  <c r="H11" i="14"/>
  <c r="H8" i="14"/>
  <c r="H17" i="13"/>
  <c r="H15" i="13"/>
  <c r="H11" i="13"/>
  <c r="H8" i="13"/>
  <c r="H17" i="12"/>
  <c r="H15" i="12"/>
  <c r="H11" i="12"/>
  <c r="H8" i="12"/>
  <c r="H17" i="11"/>
  <c r="H15" i="11"/>
  <c r="H11" i="11"/>
  <c r="H8" i="11"/>
  <c r="H17" i="10"/>
  <c r="Y7" i="15"/>
  <c r="Y7" i="13"/>
  <c r="Y7" i="11"/>
  <c r="Y7" i="9"/>
  <c r="Y7" i="7"/>
  <c r="Q7" i="16"/>
  <c r="Q7" i="14"/>
  <c r="Q7" i="12"/>
  <c r="Q7" i="10"/>
  <c r="Q7" i="8"/>
  <c r="Q7" i="4"/>
  <c r="B12" i="16"/>
  <c r="B12" i="14"/>
  <c r="B12" i="12"/>
  <c r="B12" i="10"/>
  <c r="B12" i="9"/>
  <c r="B12" i="7"/>
  <c r="H15" i="10"/>
  <c r="H11" i="10"/>
  <c r="H8" i="10"/>
  <c r="H17" i="9"/>
  <c r="H15" i="9"/>
  <c r="H11" i="9"/>
  <c r="H8" i="9"/>
  <c r="H17" i="8"/>
  <c r="H15" i="8"/>
  <c r="H11" i="8"/>
  <c r="H8" i="8"/>
  <c r="H17" i="7"/>
  <c r="H15" i="7"/>
  <c r="H11" i="7"/>
  <c r="H8" i="7"/>
  <c r="H17" i="4"/>
  <c r="H15" i="4"/>
  <c r="H11" i="4"/>
  <c r="H8" i="4"/>
  <c r="B12" i="15"/>
  <c r="B12" i="13"/>
  <c r="B12" i="11"/>
  <c r="B12" i="8"/>
  <c r="B12" i="4"/>
  <c r="H60" i="16"/>
  <c r="Q60" i="15"/>
  <c r="H60" i="14"/>
  <c r="Q60" i="13"/>
  <c r="H60" i="12"/>
  <c r="Q60" i="11"/>
  <c r="H60" i="10"/>
  <c r="Q60" i="9"/>
  <c r="H60" i="8"/>
  <c r="Q60" i="7"/>
  <c r="H60" i="4"/>
  <c r="Q60" i="16"/>
  <c r="H60" i="15"/>
  <c r="Q60" i="14"/>
  <c r="H60" i="13"/>
  <c r="Q60" i="12"/>
  <c r="H60" i="11"/>
  <c r="Q60" i="10"/>
  <c r="H60" i="9"/>
  <c r="Q60" i="8"/>
  <c r="H60" i="7"/>
  <c r="Q60" i="4"/>
  <c r="E27" i="27"/>
  <c r="I27" i="27"/>
  <c r="U15" i="2"/>
  <c r="U15" i="16"/>
  <c r="U15" i="15"/>
  <c r="U15" i="14"/>
  <c r="U15" i="13"/>
  <c r="U15" i="12"/>
  <c r="U15" i="11"/>
  <c r="U15" i="10"/>
  <c r="U15" i="9"/>
  <c r="U15" i="8"/>
  <c r="U15" i="7"/>
  <c r="U15" i="4"/>
  <c r="K23" i="2"/>
  <c r="K23" i="16"/>
  <c r="I23" i="16"/>
  <c r="G23" i="16"/>
  <c r="E23" i="16"/>
  <c r="K23" i="14"/>
  <c r="I23" i="14"/>
  <c r="G23" i="14"/>
  <c r="K23" i="15"/>
  <c r="I23" i="15"/>
  <c r="G23" i="15"/>
  <c r="E23" i="15"/>
  <c r="E23" i="14"/>
  <c r="K23" i="12"/>
  <c r="I23" i="12"/>
  <c r="G23" i="12"/>
  <c r="E23" i="12"/>
  <c r="K23" i="10"/>
  <c r="I23" i="10"/>
  <c r="G23" i="10"/>
  <c r="E23" i="10"/>
  <c r="K23" i="9"/>
  <c r="I23" i="9"/>
  <c r="G23" i="9"/>
  <c r="E23" i="9"/>
  <c r="K23" i="7"/>
  <c r="I23" i="7"/>
  <c r="G23" i="7"/>
  <c r="E23" i="7"/>
  <c r="K23" i="13"/>
  <c r="I23" i="13"/>
  <c r="G23" i="13"/>
  <c r="E23" i="13"/>
  <c r="K23" i="11"/>
  <c r="I23" i="11"/>
  <c r="G23" i="11"/>
  <c r="E23" i="11"/>
  <c r="K23" i="8"/>
  <c r="I23" i="8"/>
  <c r="G23" i="8"/>
  <c r="E23" i="8"/>
  <c r="K23" i="4"/>
  <c r="I23" i="4"/>
  <c r="G23" i="4"/>
  <c r="E23" i="4"/>
  <c r="AB55" i="16"/>
  <c r="AB55" i="14"/>
  <c r="AB55" i="12"/>
  <c r="AB55" i="10"/>
  <c r="AB55" i="8"/>
  <c r="M22" i="16"/>
  <c r="AB55" i="15"/>
  <c r="AB55" i="13"/>
  <c r="AB55" i="11"/>
  <c r="AB55" i="9"/>
  <c r="M22" i="15"/>
  <c r="M22" i="14"/>
  <c r="M22" i="12"/>
  <c r="M22" i="10"/>
  <c r="M22" i="9"/>
  <c r="M22" i="13"/>
  <c r="M22" i="11"/>
  <c r="M22" i="8"/>
  <c r="M22" i="7"/>
  <c r="M22" i="4"/>
  <c r="B8" i="16"/>
  <c r="B8" i="14"/>
  <c r="B8" i="12"/>
  <c r="B8" i="10"/>
  <c r="B8" i="9"/>
  <c r="B8" i="7"/>
  <c r="B8" i="15"/>
  <c r="B8" i="13"/>
  <c r="B8" i="11"/>
  <c r="B8" i="8"/>
  <c r="B8" i="4"/>
  <c r="W7" i="2"/>
  <c r="W7" i="16"/>
  <c r="W7" i="14"/>
  <c r="W7" i="12"/>
  <c r="W7" i="10"/>
  <c r="W7" i="8"/>
  <c r="W7" i="4"/>
  <c r="N7" i="15"/>
  <c r="N7" i="13"/>
  <c r="N7" i="11"/>
  <c r="N7" i="9"/>
  <c r="N7" i="7"/>
  <c r="W7" i="15"/>
  <c r="W7" i="13"/>
  <c r="W7" i="11"/>
  <c r="W7" i="9"/>
  <c r="W7" i="7"/>
  <c r="N7" i="16"/>
  <c r="N7" i="14"/>
  <c r="N7" i="12"/>
  <c r="N7" i="10"/>
  <c r="N7" i="8"/>
  <c r="N7" i="4"/>
  <c r="B10" i="2"/>
  <c r="B10" i="16"/>
  <c r="B10" i="14"/>
  <c r="B10" i="12"/>
  <c r="B10" i="10"/>
  <c r="B10" i="9"/>
  <c r="B10" i="7"/>
  <c r="B10" i="15"/>
  <c r="B10" i="13"/>
  <c r="B10" i="11"/>
  <c r="B10" i="8"/>
  <c r="B10" i="4"/>
  <c r="Y21" i="2"/>
  <c r="Y21" i="16"/>
  <c r="Y21" i="14"/>
  <c r="Y21" i="12"/>
  <c r="Y21" i="9"/>
  <c r="Y21" i="7"/>
  <c r="Y21" i="10"/>
  <c r="Y21" i="15"/>
  <c r="Y21" i="13"/>
  <c r="Y21" i="11"/>
  <c r="Y21" i="8"/>
  <c r="Y21" i="4"/>
  <c r="H16" i="2"/>
  <c r="H16" i="16"/>
  <c r="H16" i="15"/>
  <c r="H16" i="14"/>
  <c r="H16" i="13"/>
  <c r="H16" i="12"/>
  <c r="H16" i="11"/>
  <c r="H16" i="10"/>
  <c r="H16" i="9"/>
  <c r="H16" i="8"/>
  <c r="H16" i="7"/>
  <c r="H16" i="4"/>
  <c r="T22" i="2"/>
  <c r="T22" i="16"/>
  <c r="T22" i="15"/>
  <c r="T22" i="12"/>
  <c r="T22" i="10"/>
  <c r="T22" i="9"/>
  <c r="T22" i="7"/>
  <c r="T22" i="14"/>
  <c r="T22" i="13"/>
  <c r="T22" i="11"/>
  <c r="T22" i="8"/>
  <c r="T22" i="4"/>
  <c r="B11" i="2"/>
  <c r="AC22" i="2"/>
  <c r="AC22" i="16"/>
  <c r="AC22" i="14"/>
  <c r="AC22" i="12"/>
  <c r="AC22" i="10"/>
  <c r="AC22" i="9"/>
  <c r="AC22" i="7"/>
  <c r="X22" i="15"/>
  <c r="AC22" i="15"/>
  <c r="AC22" i="13"/>
  <c r="AC22" i="11"/>
  <c r="AC22" i="8"/>
  <c r="AC22" i="4"/>
  <c r="X22" i="16"/>
  <c r="X22" i="14"/>
  <c r="X22" i="13"/>
  <c r="X22" i="11"/>
  <c r="X22" i="8"/>
  <c r="X22" i="12"/>
  <c r="X22" i="10"/>
  <c r="X22" i="9"/>
  <c r="X22" i="7"/>
  <c r="X22" i="4"/>
  <c r="D58" i="29"/>
  <c r="B15" i="27"/>
  <c r="B23" i="27"/>
  <c r="A50" i="29"/>
  <c r="T12" i="16"/>
  <c r="T12" i="15"/>
  <c r="T12" i="14"/>
  <c r="T12" i="13"/>
  <c r="T12" i="12"/>
  <c r="T12" i="11"/>
  <c r="T12" i="10"/>
  <c r="T12" i="9"/>
  <c r="T12" i="8"/>
  <c r="T12" i="7"/>
  <c r="T12" i="4"/>
  <c r="A18" i="29"/>
  <c r="T7" i="16"/>
  <c r="T7" i="15"/>
  <c r="T7" i="14"/>
  <c r="T7" i="13"/>
  <c r="T7" i="12"/>
  <c r="T7" i="11"/>
  <c r="T7" i="10"/>
  <c r="T7" i="9"/>
  <c r="T7" i="8"/>
  <c r="T7" i="7"/>
  <c r="T7" i="4"/>
  <c r="A2" i="29"/>
  <c r="A1" i="16"/>
  <c r="A1" i="15"/>
  <c r="A1" i="12"/>
  <c r="A1" i="11"/>
  <c r="A1" i="10"/>
  <c r="A1" i="14"/>
  <c r="A1" i="13"/>
  <c r="A1" i="9"/>
  <c r="A1" i="8"/>
  <c r="A1" i="7"/>
  <c r="A1" i="4"/>
  <c r="B1" i="27"/>
  <c r="A56" i="29"/>
  <c r="T18" i="16"/>
  <c r="T18" i="15"/>
  <c r="T18" i="14"/>
  <c r="T18" i="13"/>
  <c r="T18" i="12"/>
  <c r="T18" i="11"/>
  <c r="T18" i="10"/>
  <c r="T18" i="9"/>
  <c r="T18" i="8"/>
  <c r="T18" i="7"/>
  <c r="T18" i="4"/>
  <c r="A35" i="29"/>
  <c r="A54" i="29"/>
  <c r="T16" i="16"/>
  <c r="T16" i="15"/>
  <c r="T16" i="14"/>
  <c r="T16" i="13"/>
  <c r="T16" i="12"/>
  <c r="T16" i="11"/>
  <c r="T16" i="10"/>
  <c r="T16" i="9"/>
  <c r="T16" i="8"/>
  <c r="T16" i="7"/>
  <c r="T16" i="4"/>
  <c r="A49" i="29"/>
  <c r="T11" i="16"/>
  <c r="T11" i="15"/>
  <c r="T11" i="14"/>
  <c r="T11" i="13"/>
  <c r="T11" i="12"/>
  <c r="T11" i="11"/>
  <c r="T11" i="10"/>
  <c r="T11" i="9"/>
  <c r="T11" i="8"/>
  <c r="T11" i="7"/>
  <c r="T11" i="4"/>
  <c r="A37" i="29"/>
  <c r="M7" i="16"/>
  <c r="M7" i="15"/>
  <c r="M7" i="14"/>
  <c r="M7" i="13"/>
  <c r="M7" i="12"/>
  <c r="M7" i="11"/>
  <c r="M7" i="10"/>
  <c r="M7" i="9"/>
  <c r="M7" i="8"/>
  <c r="M7" i="7"/>
  <c r="M7" i="4"/>
  <c r="N2" i="29"/>
  <c r="Y1" i="16"/>
  <c r="Y1" i="15"/>
  <c r="Y1" i="14"/>
  <c r="Y1" i="13"/>
  <c r="Y1" i="8"/>
  <c r="Y1" i="7"/>
  <c r="Y1" i="4"/>
  <c r="Y1" i="12"/>
  <c r="Y1" i="11"/>
  <c r="Y1" i="10"/>
  <c r="Y1" i="9"/>
  <c r="A16" i="29"/>
  <c r="H7" i="16"/>
  <c r="H7" i="15"/>
  <c r="H7" i="14"/>
  <c r="H7" i="13"/>
  <c r="H7" i="12"/>
  <c r="H7" i="10"/>
  <c r="H7" i="9"/>
  <c r="H7" i="8"/>
  <c r="H7" i="7"/>
  <c r="H7" i="4"/>
  <c r="H7" i="11"/>
  <c r="A11" i="29"/>
  <c r="B7" i="15"/>
  <c r="B7" i="13"/>
  <c r="B7" i="11"/>
  <c r="B7" i="8"/>
  <c r="B7" i="4"/>
  <c r="B7" i="16"/>
  <c r="B7" i="14"/>
  <c r="B7" i="12"/>
  <c r="B7" i="10"/>
  <c r="B7" i="9"/>
  <c r="B7" i="7"/>
  <c r="U14" i="2"/>
  <c r="U14" i="16"/>
  <c r="U14" i="15"/>
  <c r="U14" i="14"/>
  <c r="U14" i="13"/>
  <c r="U14" i="12"/>
  <c r="U14" i="11"/>
  <c r="U14" i="10"/>
  <c r="U14" i="9"/>
  <c r="U14" i="8"/>
  <c r="U14" i="7"/>
  <c r="U14" i="4"/>
  <c r="U10" i="16"/>
  <c r="U10" i="15"/>
  <c r="U10" i="14"/>
  <c r="U10" i="13"/>
  <c r="U10" i="12"/>
  <c r="U10" i="11"/>
  <c r="U10" i="10"/>
  <c r="U10" i="9"/>
  <c r="U10" i="8"/>
  <c r="U10" i="7"/>
  <c r="U10" i="4"/>
  <c r="T14" i="2"/>
  <c r="T14" i="16"/>
  <c r="T14" i="15"/>
  <c r="T14" i="14"/>
  <c r="T14" i="13"/>
  <c r="T14" i="12"/>
  <c r="T14" i="11"/>
  <c r="T14" i="10"/>
  <c r="T14" i="9"/>
  <c r="T14" i="8"/>
  <c r="T14" i="7"/>
  <c r="T14" i="4"/>
  <c r="T9" i="2"/>
  <c r="R22" i="16"/>
  <c r="Q22" i="15"/>
  <c r="Q22" i="16"/>
  <c r="R22" i="15"/>
  <c r="Q22" i="14"/>
  <c r="R22" i="14"/>
  <c r="Q22" i="13"/>
  <c r="R22" i="12"/>
  <c r="Q22" i="11"/>
  <c r="R22" i="10"/>
  <c r="R22" i="9"/>
  <c r="Q22" i="8"/>
  <c r="R22" i="7"/>
  <c r="R22" i="13"/>
  <c r="Q22" i="12"/>
  <c r="R22" i="11"/>
  <c r="Q22" i="10"/>
  <c r="Q22" i="9"/>
  <c r="R22" i="8"/>
  <c r="Q22" i="4"/>
  <c r="Q22" i="7"/>
  <c r="R22" i="4"/>
  <c r="T9" i="16"/>
  <c r="T9" i="15"/>
  <c r="T9" i="14"/>
  <c r="T9" i="13"/>
  <c r="T9" i="12"/>
  <c r="T9" i="11"/>
  <c r="T9" i="10"/>
  <c r="T9" i="9"/>
  <c r="T9" i="8"/>
  <c r="T9" i="7"/>
  <c r="T9" i="4"/>
  <c r="F23" i="2"/>
  <c r="J23" i="15"/>
  <c r="H23" i="15"/>
  <c r="F23" i="15"/>
  <c r="D23" i="15"/>
  <c r="J23" i="16"/>
  <c r="H23" i="16"/>
  <c r="F23" i="16"/>
  <c r="D23" i="16"/>
  <c r="J23" i="14"/>
  <c r="H23" i="14"/>
  <c r="F23" i="14"/>
  <c r="D23" i="14"/>
  <c r="J23" i="13"/>
  <c r="H23" i="13"/>
  <c r="F23" i="13"/>
  <c r="D23" i="13"/>
  <c r="J23" i="11"/>
  <c r="H23" i="11"/>
  <c r="F23" i="11"/>
  <c r="D23" i="11"/>
  <c r="J23" i="8"/>
  <c r="H23" i="8"/>
  <c r="F23" i="8"/>
  <c r="D23" i="8"/>
  <c r="J23" i="12"/>
  <c r="H23" i="12"/>
  <c r="F23" i="12"/>
  <c r="D23" i="12"/>
  <c r="J23" i="10"/>
  <c r="H23" i="10"/>
  <c r="F23" i="10"/>
  <c r="D23" i="10"/>
  <c r="J23" i="9"/>
  <c r="H23" i="9"/>
  <c r="F23" i="9"/>
  <c r="D23" i="9"/>
  <c r="J23" i="7"/>
  <c r="H23" i="7"/>
  <c r="F23" i="7"/>
  <c r="J23" i="4"/>
  <c r="H23" i="4"/>
  <c r="F23" i="4"/>
  <c r="D23" i="4"/>
  <c r="D23" i="7"/>
  <c r="L22" i="2"/>
  <c r="L22" i="15"/>
  <c r="L22" i="16"/>
  <c r="L22" i="14"/>
  <c r="L22" i="13"/>
  <c r="L22" i="11"/>
  <c r="L22" i="8"/>
  <c r="L22" i="12"/>
  <c r="L22" i="10"/>
  <c r="L22" i="9"/>
  <c r="L22" i="4"/>
  <c r="L22" i="7"/>
  <c r="B9" i="15"/>
  <c r="B9" i="13"/>
  <c r="B9" i="11"/>
  <c r="B9" i="8"/>
  <c r="B9" i="4"/>
  <c r="B9" i="16"/>
  <c r="B9" i="14"/>
  <c r="B9" i="12"/>
  <c r="B9" i="10"/>
  <c r="B9" i="9"/>
  <c r="B9" i="7"/>
  <c r="X7" i="2"/>
  <c r="X7" i="15"/>
  <c r="X7" i="13"/>
  <c r="X7" i="11"/>
  <c r="X7" i="9"/>
  <c r="X7" i="7"/>
  <c r="P7" i="16"/>
  <c r="P7" i="14"/>
  <c r="P7" i="12"/>
  <c r="P7" i="10"/>
  <c r="P7" i="8"/>
  <c r="P7" i="4"/>
  <c r="X7" i="16"/>
  <c r="X7" i="14"/>
  <c r="X7" i="12"/>
  <c r="X7" i="10"/>
  <c r="X7" i="8"/>
  <c r="X7" i="4"/>
  <c r="P7" i="15"/>
  <c r="P7" i="13"/>
  <c r="P7" i="11"/>
  <c r="P7" i="9"/>
  <c r="P7" i="7"/>
  <c r="H9" i="2"/>
  <c r="H9" i="16"/>
  <c r="H9" i="15"/>
  <c r="H9" i="14"/>
  <c r="H9" i="13"/>
  <c r="H9" i="12"/>
  <c r="H9" i="11"/>
  <c r="H9" i="10"/>
  <c r="H9" i="9"/>
  <c r="H9" i="8"/>
  <c r="H9" i="7"/>
  <c r="H9" i="4"/>
  <c r="E9" i="16"/>
  <c r="E9" i="15"/>
  <c r="E9" i="14"/>
  <c r="E9" i="13"/>
  <c r="E9" i="12"/>
  <c r="E9" i="11"/>
  <c r="E9" i="10"/>
  <c r="E9" i="9"/>
  <c r="E9" i="8"/>
  <c r="E9" i="7"/>
  <c r="E9" i="4"/>
  <c r="AB22" i="2"/>
  <c r="AB22" i="15"/>
  <c r="AB22" i="13"/>
  <c r="AB22" i="11"/>
  <c r="AB22" i="8"/>
  <c r="AB22" i="4"/>
  <c r="W22" i="16"/>
  <c r="AB22" i="16"/>
  <c r="AB22" i="14"/>
  <c r="AB22" i="12"/>
  <c r="AB22" i="10"/>
  <c r="AB22" i="9"/>
  <c r="AB22" i="7"/>
  <c r="W22" i="14"/>
  <c r="W22" i="12"/>
  <c r="W22" i="10"/>
  <c r="W22" i="9"/>
  <c r="W22" i="7"/>
  <c r="W22" i="13"/>
  <c r="W22" i="11"/>
  <c r="W22" i="8"/>
  <c r="W22" i="4"/>
  <c r="U22" i="15"/>
  <c r="U22" i="16"/>
  <c r="U22" i="14"/>
  <c r="U22" i="13"/>
  <c r="U22" i="11"/>
  <c r="U22" i="8"/>
  <c r="U22" i="12"/>
  <c r="U22" i="10"/>
  <c r="U22" i="9"/>
  <c r="U22" i="4"/>
  <c r="U22" i="7"/>
  <c r="S22" i="2"/>
  <c r="S22" i="15"/>
  <c r="S22" i="16"/>
  <c r="S22" i="14"/>
  <c r="S22" i="13"/>
  <c r="S22" i="11"/>
  <c r="S22" i="8"/>
  <c r="S22" i="12"/>
  <c r="S22" i="10"/>
  <c r="S22" i="9"/>
  <c r="S22" i="7"/>
  <c r="S22" i="4"/>
  <c r="M22" i="2"/>
  <c r="J58" i="29"/>
  <c r="B14" i="27"/>
  <c r="B16" i="27"/>
  <c r="B18" i="27"/>
  <c r="B20" i="27"/>
  <c r="B22" i="27"/>
  <c r="C22" i="29"/>
  <c r="A19" i="29"/>
  <c r="C11" i="29"/>
  <c r="Q60" i="2"/>
  <c r="H60" i="2"/>
  <c r="W22" i="2"/>
  <c r="X22" i="2"/>
  <c r="U10" i="2"/>
  <c r="Q22" i="2"/>
  <c r="R22" i="2"/>
  <c r="H17" i="2"/>
  <c r="H8" i="2"/>
  <c r="E9" i="2"/>
  <c r="H11" i="2"/>
  <c r="B8" i="2"/>
  <c r="B9" i="2"/>
  <c r="B7" i="2"/>
  <c r="H10" i="2"/>
  <c r="B12" i="2"/>
  <c r="N7" i="2"/>
  <c r="P7" i="2"/>
  <c r="Q7" i="2"/>
  <c r="H14" i="2"/>
  <c r="W21" i="2"/>
  <c r="D23" i="2"/>
  <c r="J23" i="2"/>
  <c r="E23" i="2"/>
  <c r="I23" i="2"/>
  <c r="M8" i="2"/>
  <c r="H23" i="2"/>
  <c r="G23" i="2"/>
  <c r="A48" i="29"/>
  <c r="A52" i="29"/>
  <c r="A47" i="29"/>
  <c r="A53" i="29"/>
  <c r="K55" i="2"/>
  <c r="H7" i="2"/>
  <c r="A23" i="2"/>
  <c r="A60" i="2"/>
  <c r="M7" i="2"/>
  <c r="P22" i="2"/>
  <c r="G1" i="2"/>
  <c r="L1" i="2"/>
  <c r="Y1" i="2"/>
  <c r="T7" i="2"/>
  <c r="T11" i="2"/>
  <c r="T13" i="2"/>
  <c r="T17" i="2"/>
  <c r="A1" i="2"/>
  <c r="A3" i="2"/>
  <c r="L3" i="2"/>
  <c r="T8" i="2"/>
  <c r="T12" i="2"/>
  <c r="T16" i="2"/>
  <c r="T18" i="2"/>
  <c r="A7" i="29"/>
  <c r="A24" i="29"/>
  <c r="N13" i="29"/>
  <c r="N32" i="29"/>
  <c r="N45" i="29"/>
  <c r="D13" i="29"/>
  <c r="D32" i="29"/>
  <c r="D45" i="29"/>
  <c r="E13" i="29"/>
  <c r="E32" i="29"/>
  <c r="E45" i="29"/>
  <c r="F13" i="29"/>
  <c r="F32" i="29"/>
  <c r="F45" i="29"/>
  <c r="G13" i="29"/>
  <c r="G32" i="29"/>
  <c r="G45" i="29"/>
  <c r="H13" i="29"/>
  <c r="H32" i="29"/>
  <c r="H45" i="29"/>
  <c r="I13" i="29"/>
  <c r="I32" i="29"/>
  <c r="I45" i="29"/>
  <c r="J13" i="29"/>
  <c r="J32" i="29"/>
  <c r="J45" i="29"/>
  <c r="K13" i="29"/>
  <c r="K32" i="29"/>
  <c r="K45" i="29"/>
  <c r="L13" i="29"/>
  <c r="L32" i="29"/>
  <c r="L45" i="29"/>
  <c r="M13" i="29"/>
  <c r="M32" i="29"/>
  <c r="M45" i="29"/>
  <c r="A39" i="29"/>
  <c r="O13" i="29"/>
  <c r="O32" i="29"/>
  <c r="O45" i="29"/>
  <c r="A22" i="29"/>
  <c r="A17" i="29"/>
  <c r="A28" i="29"/>
  <c r="A43" i="29"/>
  <c r="C13" i="29"/>
  <c r="C32" i="29"/>
  <c r="C45" i="29"/>
  <c r="A26" i="29"/>
  <c r="A45" i="29"/>
  <c r="A13" i="29"/>
  <c r="N7" i="29"/>
  <c r="N24" i="29"/>
  <c r="D7" i="29"/>
  <c r="D24" i="29"/>
  <c r="E7" i="29"/>
  <c r="E24" i="29"/>
  <c r="F7" i="29"/>
  <c r="F24" i="29"/>
  <c r="G7" i="29"/>
  <c r="G24" i="29"/>
  <c r="H7" i="29"/>
  <c r="H24" i="29"/>
  <c r="I7" i="29"/>
  <c r="I24" i="29"/>
  <c r="J7" i="29"/>
  <c r="J24" i="29"/>
  <c r="K7" i="29"/>
  <c r="K24" i="29"/>
  <c r="L7" i="29"/>
  <c r="L24" i="29"/>
  <c r="M7" i="29"/>
  <c r="M24" i="29"/>
  <c r="O24" i="29"/>
  <c r="O39" i="29"/>
  <c r="A20" i="29"/>
  <c r="C7" i="29"/>
  <c r="C24" i="29"/>
  <c r="AB26" i="2" l="1"/>
  <c r="B27" i="2"/>
  <c r="AC27" i="2" l="1"/>
  <c r="AB27" i="2"/>
  <c r="B28" i="2"/>
  <c r="B29" i="2" l="1"/>
  <c r="AB28" i="2"/>
  <c r="AC28" i="2"/>
  <c r="B30" i="2" l="1"/>
  <c r="AC30" i="2" s="1"/>
  <c r="AB29" i="2"/>
  <c r="AC29" i="2"/>
  <c r="B31" i="2" l="1"/>
  <c r="AB30" i="2"/>
  <c r="B32" i="2" l="1"/>
  <c r="AB31" i="2"/>
  <c r="AC31" i="2"/>
  <c r="B33" i="2" l="1"/>
  <c r="B34" i="2" s="1"/>
  <c r="B35" i="2" s="1"/>
  <c r="B36" i="2" s="1"/>
  <c r="B37" i="2" s="1"/>
  <c r="B38" i="2" s="1"/>
  <c r="B39" i="2" s="1"/>
  <c r="B40" i="2" s="1"/>
  <c r="B41" i="2" s="1"/>
  <c r="B42" i="2" s="1"/>
  <c r="B43" i="2" s="1"/>
  <c r="B44" i="2" s="1"/>
  <c r="B45" i="2" s="1"/>
  <c r="B46" i="2" s="1"/>
  <c r="B47" i="2" s="1"/>
  <c r="B48" i="2" s="1"/>
  <c r="B49" i="2" s="1"/>
  <c r="B50" i="2" s="1"/>
  <c r="B51" i="2" s="1"/>
  <c r="B52" i="2" s="1"/>
  <c r="B53" i="2" s="1"/>
  <c r="B54" i="2"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24" i="7" s="1"/>
  <c r="AB32" i="2"/>
  <c r="AC32" i="2"/>
  <c r="N27" i="29" l="1"/>
  <c r="M27" i="29"/>
  <c r="L27" i="29"/>
  <c r="K27" i="29"/>
  <c r="J27" i="29"/>
  <c r="I27" i="29"/>
  <c r="H27" i="29"/>
  <c r="G27" i="29"/>
  <c r="F27" i="29"/>
  <c r="E27" i="29"/>
  <c r="D27" i="29"/>
  <c r="C27" i="29"/>
  <c r="X58" i="16"/>
  <c r="X58" i="15"/>
  <c r="X58" i="14"/>
  <c r="X58" i="13"/>
  <c r="X58" i="12"/>
  <c r="X58" i="11"/>
  <c r="X58" i="10"/>
  <c r="AE54" i="13"/>
  <c r="AE54" i="10"/>
  <c r="AE54" i="15"/>
  <c r="AE54" i="8"/>
  <c r="AE54" i="4"/>
  <c r="AE53" i="4"/>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24" i="7"/>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25" i="12"/>
  <c r="AD26" i="12"/>
  <c r="AD27" i="12"/>
  <c r="AD28" i="12"/>
  <c r="AD29" i="12"/>
  <c r="AD30" i="12"/>
  <c r="AD31" i="12"/>
  <c r="AD32" i="12"/>
  <c r="AD33" i="12"/>
  <c r="AD34" i="12"/>
  <c r="AD35" i="12"/>
  <c r="AD36" i="12"/>
  <c r="AD37" i="12"/>
  <c r="AD38" i="12"/>
  <c r="AD39" i="12"/>
  <c r="AD40" i="12"/>
  <c r="AD41" i="12"/>
  <c r="AD42" i="12"/>
  <c r="AD43" i="12"/>
  <c r="AD44" i="12"/>
  <c r="AD45" i="12"/>
  <c r="AD46" i="12"/>
  <c r="AD47" i="12"/>
  <c r="AD48" i="12"/>
  <c r="AD49" i="12"/>
  <c r="AD50" i="12"/>
  <c r="AD51" i="12"/>
  <c r="AD52" i="12"/>
  <c r="AD53" i="12"/>
  <c r="AD54" i="12"/>
  <c r="F23" i="27" l="1"/>
  <c r="AG53" i="4"/>
  <c r="AG54" i="15"/>
  <c r="AG54" i="10"/>
  <c r="AG54" i="4"/>
  <c r="AG54" i="13"/>
  <c r="AG54" i="8"/>
  <c r="F3" i="27"/>
  <c r="I1" i="27"/>
  <c r="F1" i="27"/>
  <c r="C1" i="27"/>
  <c r="C1" i="2"/>
  <c r="H1" i="2"/>
  <c r="M1" i="2"/>
  <c r="M3" i="2"/>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25" i="11"/>
  <c r="AD26" i="11"/>
  <c r="AD27" i="11"/>
  <c r="AD28" i="11"/>
  <c r="AD29" i="11"/>
  <c r="AD30" i="11"/>
  <c r="AD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25" i="13"/>
  <c r="AD26" i="13"/>
  <c r="AD27" i="13"/>
  <c r="AD28" i="13"/>
  <c r="AD29" i="13"/>
  <c r="AD30" i="13"/>
  <c r="AD31" i="13"/>
  <c r="AD32" i="13"/>
  <c r="AD33" i="13"/>
  <c r="AD34" i="13"/>
  <c r="AD35" i="13"/>
  <c r="AD36" i="13"/>
  <c r="AD37" i="13"/>
  <c r="AD38" i="13"/>
  <c r="AD39" i="13"/>
  <c r="AD40" i="13"/>
  <c r="AD41" i="13"/>
  <c r="AD42" i="13"/>
  <c r="AD43" i="13"/>
  <c r="AD44" i="13"/>
  <c r="AD45" i="13"/>
  <c r="AD46" i="13"/>
  <c r="AD47" i="13"/>
  <c r="AD48" i="13"/>
  <c r="AD49" i="13"/>
  <c r="AD50" i="13"/>
  <c r="AD51" i="13"/>
  <c r="AD52" i="13"/>
  <c r="AD53" i="13"/>
  <c r="AD54" i="13"/>
  <c r="AD25" i="14"/>
  <c r="AD26" i="14"/>
  <c r="AD27" i="14"/>
  <c r="AD28" i="14"/>
  <c r="AD29" i="14"/>
  <c r="AD30" i="14"/>
  <c r="AD31" i="14"/>
  <c r="AD32" i="14"/>
  <c r="AD33" i="14"/>
  <c r="AD34" i="14"/>
  <c r="AD35" i="14"/>
  <c r="AD36" i="14"/>
  <c r="AD37" i="14"/>
  <c r="AD38" i="14"/>
  <c r="AD39" i="14"/>
  <c r="AD40" i="14"/>
  <c r="AD41" i="14"/>
  <c r="AD42" i="14"/>
  <c r="AD43" i="14"/>
  <c r="AD44" i="14"/>
  <c r="AD45" i="14"/>
  <c r="AD46" i="14"/>
  <c r="AD47" i="14"/>
  <c r="AD48" i="14"/>
  <c r="AD49" i="14"/>
  <c r="AD50" i="14"/>
  <c r="AD51" i="14"/>
  <c r="AD52" i="14"/>
  <c r="AD53" i="14"/>
  <c r="AD54" i="14"/>
  <c r="AD26" i="15"/>
  <c r="AD27" i="15"/>
  <c r="AD28" i="15"/>
  <c r="AD29" i="15"/>
  <c r="AD30" i="15"/>
  <c r="AD31" i="15"/>
  <c r="AD32" i="15"/>
  <c r="AD33" i="15"/>
  <c r="AD34" i="15"/>
  <c r="AD35" i="15"/>
  <c r="AD36" i="15"/>
  <c r="AD37" i="15"/>
  <c r="AD38" i="15"/>
  <c r="AD39" i="15"/>
  <c r="AD40" i="15"/>
  <c r="AD41" i="15"/>
  <c r="AD42" i="15"/>
  <c r="AD43" i="15"/>
  <c r="AD44" i="15"/>
  <c r="AD45" i="15"/>
  <c r="AD46" i="15"/>
  <c r="AD47" i="15"/>
  <c r="AD48" i="15"/>
  <c r="AD49" i="15"/>
  <c r="AD50" i="15"/>
  <c r="AD51" i="15"/>
  <c r="AD52" i="15"/>
  <c r="AD53" i="15"/>
  <c r="AD54" i="15"/>
  <c r="AD25" i="16"/>
  <c r="AD26" i="16"/>
  <c r="AD27" i="16"/>
  <c r="AD28" i="16"/>
  <c r="AD29" i="16"/>
  <c r="AD30" i="16"/>
  <c r="AD31" i="16"/>
  <c r="AD32" i="16"/>
  <c r="AD33" i="16"/>
  <c r="AD34" i="16"/>
  <c r="AD35" i="16"/>
  <c r="AD36" i="16"/>
  <c r="AD37" i="16"/>
  <c r="AD38" i="16"/>
  <c r="AD39" i="16"/>
  <c r="AD40" i="16"/>
  <c r="AD41" i="16"/>
  <c r="AD42" i="16"/>
  <c r="AD43" i="16"/>
  <c r="AD44" i="16"/>
  <c r="AD45" i="16"/>
  <c r="AD46" i="16"/>
  <c r="AD50" i="16"/>
  <c r="AD51" i="16"/>
  <c r="AD52" i="16"/>
  <c r="AD53" i="16"/>
  <c r="AD24" i="16"/>
  <c r="AD24" i="15"/>
  <c r="AD24" i="14"/>
  <c r="AD24" i="13"/>
  <c r="AD24" i="11"/>
  <c r="AD24" i="10"/>
  <c r="AD24" i="9"/>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X58" i="9"/>
  <c r="K23" i="27" l="1"/>
  <c r="H23" i="27"/>
  <c r="I23" i="27"/>
  <c r="J23" i="27"/>
  <c r="AD53" i="4"/>
  <c r="AD5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Z1" i="2" l="1"/>
  <c r="C8" i="2"/>
  <c r="C14" i="29" s="1"/>
  <c r="C11" i="2" l="1"/>
  <c r="O57" i="29"/>
  <c r="I15" i="2"/>
  <c r="O27" i="29"/>
  <c r="O2" i="29"/>
  <c r="H3" i="4" l="1"/>
  <c r="C8" i="4" s="1"/>
  <c r="X18" i="2"/>
  <c r="H3" i="7" l="1"/>
  <c r="C8" i="7" s="1"/>
  <c r="E14" i="29" s="1"/>
  <c r="H3" i="8" l="1"/>
  <c r="C8" i="8" s="1"/>
  <c r="Q300" i="3"/>
  <c r="H3" i="9" l="1"/>
  <c r="C8" i="9" s="1"/>
  <c r="G14" i="29" s="1"/>
  <c r="X58" i="8"/>
  <c r="X58" i="7"/>
  <c r="X58" i="2"/>
  <c r="X58" i="4"/>
  <c r="H3" i="10" l="1"/>
  <c r="C8" i="10" s="1"/>
  <c r="H14" i="29" s="1"/>
  <c r="H3" i="11" l="1"/>
  <c r="C8" i="11" s="1"/>
  <c r="I14" i="29" s="1"/>
  <c r="H3" i="12" l="1"/>
  <c r="C8" i="12" s="1"/>
  <c r="J14" i="29" s="1"/>
  <c r="AE26" i="2"/>
  <c r="AB33" i="2"/>
  <c r="AB40" i="2" s="1"/>
  <c r="AG26" i="2" l="1"/>
  <c r="H3" i="13"/>
  <c r="C8" i="13" s="1"/>
  <c r="K14" i="29" s="1"/>
  <c r="AC33" i="2"/>
  <c r="AF26" i="2"/>
  <c r="AC34" i="2"/>
  <c r="AC41" i="2" s="1"/>
  <c r="AB47" i="2"/>
  <c r="AC40" i="2" l="1"/>
  <c r="AE40" i="2" s="1"/>
  <c r="H3" i="14"/>
  <c r="C8" i="14" s="1"/>
  <c r="L14" i="29" s="1"/>
  <c r="AF33" i="2"/>
  <c r="AE33" i="2"/>
  <c r="AF27" i="2"/>
  <c r="AE27" i="2"/>
  <c r="AG27" i="2" s="1"/>
  <c r="AB34" i="2"/>
  <c r="AC35" i="2"/>
  <c r="AC42" i="2" s="1"/>
  <c r="AC49" i="2" s="1"/>
  <c r="AC25" i="4" s="1"/>
  <c r="AB54" i="2"/>
  <c r="AC48" i="2"/>
  <c r="AC24" i="4" s="1"/>
  <c r="L24" i="2"/>
  <c r="L26" i="2"/>
  <c r="L27" i="2"/>
  <c r="L28" i="2"/>
  <c r="L29" i="2"/>
  <c r="L31" i="2"/>
  <c r="L32" i="2"/>
  <c r="L33" i="2"/>
  <c r="L34" i="2"/>
  <c r="L35" i="2"/>
  <c r="L36" i="2"/>
  <c r="L37" i="2"/>
  <c r="L38" i="2"/>
  <c r="L39" i="2"/>
  <c r="L40" i="2"/>
  <c r="L41" i="2"/>
  <c r="L42" i="2"/>
  <c r="L43" i="2"/>
  <c r="L44" i="2"/>
  <c r="L45" i="2"/>
  <c r="L46" i="2"/>
  <c r="L47" i="2"/>
  <c r="L48" i="2"/>
  <c r="L49" i="2"/>
  <c r="L50" i="2"/>
  <c r="L51" i="2"/>
  <c r="L52" i="2"/>
  <c r="L53" i="2"/>
  <c r="L54" i="2"/>
  <c r="AC47" i="2" l="1"/>
  <c r="AF47" i="2" s="1"/>
  <c r="AF40" i="2"/>
  <c r="AG40" i="2"/>
  <c r="AG33" i="2"/>
  <c r="H3" i="15"/>
  <c r="C8" i="15" s="1"/>
  <c r="M14" i="29" s="1"/>
  <c r="AF34" i="2"/>
  <c r="AE34" i="2"/>
  <c r="AG34" i="2" s="1"/>
  <c r="AF28" i="2"/>
  <c r="AE28" i="2"/>
  <c r="O8" i="29"/>
  <c r="AB35" i="2"/>
  <c r="AB30" i="4"/>
  <c r="AB41" i="2"/>
  <c r="AC36" i="2"/>
  <c r="AC43" i="2" s="1"/>
  <c r="AC50" i="2" s="1"/>
  <c r="AC26" i="4" s="1"/>
  <c r="AC54" i="2" l="1"/>
  <c r="AC30" i="4" s="1"/>
  <c r="AE47" i="2"/>
  <c r="AG47" i="2" s="1"/>
  <c r="AG28" i="2"/>
  <c r="H3" i="16"/>
  <c r="AF29" i="2"/>
  <c r="AE29" i="2"/>
  <c r="AF41" i="2"/>
  <c r="AE41" i="2"/>
  <c r="AG41" i="2" s="1"/>
  <c r="AF35" i="2"/>
  <c r="AE35" i="2"/>
  <c r="AB48" i="2"/>
  <c r="AB42" i="2"/>
  <c r="AB36" i="2"/>
  <c r="AC37" i="2"/>
  <c r="AC44" i="2" s="1"/>
  <c r="AC51" i="2" s="1"/>
  <c r="AC27" i="4" s="1"/>
  <c r="AE30" i="4" l="1"/>
  <c r="AG30" i="4" s="1"/>
  <c r="AF30" i="4"/>
  <c r="AE54" i="2"/>
  <c r="AG54" i="2" s="1"/>
  <c r="AF54" i="2"/>
  <c r="C8" i="16"/>
  <c r="AG35" i="2"/>
  <c r="AG29" i="2"/>
  <c r="AF42" i="2"/>
  <c r="AE42" i="2"/>
  <c r="AF30" i="2"/>
  <c r="AE30" i="2"/>
  <c r="AG30" i="2" s="1"/>
  <c r="AF36" i="2"/>
  <c r="AE36" i="2"/>
  <c r="AB24" i="4"/>
  <c r="AF48" i="2"/>
  <c r="AE48" i="2"/>
  <c r="AG48" i="2" s="1"/>
  <c r="AB37" i="2"/>
  <c r="AB49" i="2"/>
  <c r="AC38" i="2"/>
  <c r="AC45" i="2" s="1"/>
  <c r="AC52" i="2" s="1"/>
  <c r="AC28" i="4" s="1"/>
  <c r="AB43" i="2"/>
  <c r="N14" i="29" l="1"/>
  <c r="AG36" i="2"/>
  <c r="AG42" i="2"/>
  <c r="AF43" i="2"/>
  <c r="AE43" i="2"/>
  <c r="AF31" i="2"/>
  <c r="AE31" i="2"/>
  <c r="AG31" i="2" s="1"/>
  <c r="AF49" i="2"/>
  <c r="AE49" i="2"/>
  <c r="AF37" i="2"/>
  <c r="AE37" i="2"/>
  <c r="AG37" i="2" s="1"/>
  <c r="AF24" i="4"/>
  <c r="AE24" i="4"/>
  <c r="AG24" i="4" s="1"/>
  <c r="AB38" i="2"/>
  <c r="AB25" i="4"/>
  <c r="AB44" i="2"/>
  <c r="AB50" i="2"/>
  <c r="AC39" i="2"/>
  <c r="AC46" i="2" s="1"/>
  <c r="AC53" i="2" s="1"/>
  <c r="AG49" i="2" l="1"/>
  <c r="AG43" i="2"/>
  <c r="AF32" i="2"/>
  <c r="AE32" i="2"/>
  <c r="AG32" i="2" s="1"/>
  <c r="AF50" i="2"/>
  <c r="AE50" i="2"/>
  <c r="AF44" i="2"/>
  <c r="AE44" i="2"/>
  <c r="AG44" i="2" s="1"/>
  <c r="AF38" i="2"/>
  <c r="AE38" i="2"/>
  <c r="AG38" i="2" s="1"/>
  <c r="AF25" i="4"/>
  <c r="AE25" i="4"/>
  <c r="AC29" i="4"/>
  <c r="AB39" i="2"/>
  <c r="AB51" i="2"/>
  <c r="AB45" i="2"/>
  <c r="AB26" i="4"/>
  <c r="AC31" i="4"/>
  <c r="AC38" i="4" s="1"/>
  <c r="AC45" i="4" s="1"/>
  <c r="AG50" i="2" l="1"/>
  <c r="AG25" i="4"/>
  <c r="AF45" i="2"/>
  <c r="AE45" i="2"/>
  <c r="AG45" i="2" s="1"/>
  <c r="AF39" i="2"/>
  <c r="AE39" i="2"/>
  <c r="AG39" i="2" s="1"/>
  <c r="AF51" i="2"/>
  <c r="AE51" i="2"/>
  <c r="AG51" i="2" s="1"/>
  <c r="AF26" i="4"/>
  <c r="AE26" i="4"/>
  <c r="AB52" i="2"/>
  <c r="AB27" i="4"/>
  <c r="AB46" i="2"/>
  <c r="AB31" i="4"/>
  <c r="AG26" i="4" l="1"/>
  <c r="AF46" i="2"/>
  <c r="AE46" i="2"/>
  <c r="AG46" i="2" s="1"/>
  <c r="AF52" i="2"/>
  <c r="AE52" i="2"/>
  <c r="AG52" i="2" s="1"/>
  <c r="AF31" i="4"/>
  <c r="AE31" i="4"/>
  <c r="AG31" i="4" s="1"/>
  <c r="AF27" i="4"/>
  <c r="AE27" i="4"/>
  <c r="AG27" i="4" s="1"/>
  <c r="AB53" i="2"/>
  <c r="AB28" i="4"/>
  <c r="AB38" i="4"/>
  <c r="G23" i="27"/>
  <c r="G26" i="3"/>
  <c r="J26" i="3" s="1"/>
  <c r="F26" i="3"/>
  <c r="I26" i="3" s="1"/>
  <c r="F7" i="3"/>
  <c r="I7" i="3" s="1"/>
  <c r="G7" i="3"/>
  <c r="J7" i="3" s="1"/>
  <c r="H7" i="3"/>
  <c r="K7" i="3" s="1"/>
  <c r="F8" i="3"/>
  <c r="I8" i="3" s="1"/>
  <c r="G8" i="3"/>
  <c r="J8" i="3" s="1"/>
  <c r="H8" i="3"/>
  <c r="K8" i="3" s="1"/>
  <c r="F9" i="3"/>
  <c r="I9" i="3" s="1"/>
  <c r="G9" i="3"/>
  <c r="J9" i="3" s="1"/>
  <c r="H9" i="3"/>
  <c r="K9" i="3" s="1"/>
  <c r="F10" i="3"/>
  <c r="I10" i="3" s="1"/>
  <c r="G10" i="3"/>
  <c r="J10" i="3" s="1"/>
  <c r="H10" i="3"/>
  <c r="K10" i="3" s="1"/>
  <c r="F11" i="3"/>
  <c r="I11" i="3" s="1"/>
  <c r="G11" i="3"/>
  <c r="J11" i="3" s="1"/>
  <c r="H11" i="3"/>
  <c r="K11" i="3" s="1"/>
  <c r="F12" i="3"/>
  <c r="I12" i="3" s="1"/>
  <c r="G12" i="3"/>
  <c r="J12" i="3" s="1"/>
  <c r="H12" i="3"/>
  <c r="K12" i="3" s="1"/>
  <c r="F13" i="3"/>
  <c r="I13" i="3" s="1"/>
  <c r="G13" i="3"/>
  <c r="J13" i="3" s="1"/>
  <c r="H13" i="3"/>
  <c r="K13" i="3" s="1"/>
  <c r="F14" i="3"/>
  <c r="I14" i="3" s="1"/>
  <c r="G14" i="3"/>
  <c r="J14" i="3" s="1"/>
  <c r="H14" i="3"/>
  <c r="K14" i="3" s="1"/>
  <c r="F15" i="3"/>
  <c r="I15" i="3" s="1"/>
  <c r="G15" i="3"/>
  <c r="J15" i="3" s="1"/>
  <c r="H15" i="3"/>
  <c r="K15" i="3" s="1"/>
  <c r="F16" i="3"/>
  <c r="I16" i="3" s="1"/>
  <c r="G16" i="3"/>
  <c r="J16" i="3" s="1"/>
  <c r="H16" i="3"/>
  <c r="K16" i="3" s="1"/>
  <c r="F17" i="3"/>
  <c r="I17" i="3" s="1"/>
  <c r="G17" i="3"/>
  <c r="J17" i="3" s="1"/>
  <c r="H17" i="3"/>
  <c r="K17" i="3" s="1"/>
  <c r="F18" i="3"/>
  <c r="I18" i="3" s="1"/>
  <c r="G18" i="3"/>
  <c r="J18" i="3" s="1"/>
  <c r="H18" i="3"/>
  <c r="K18" i="3" s="1"/>
  <c r="F19" i="3"/>
  <c r="I19" i="3" s="1"/>
  <c r="G19" i="3"/>
  <c r="J19" i="3" s="1"/>
  <c r="H19" i="3"/>
  <c r="K19" i="3" s="1"/>
  <c r="F20" i="3"/>
  <c r="I20" i="3" s="1"/>
  <c r="G20" i="3"/>
  <c r="J20" i="3" s="1"/>
  <c r="H20" i="3"/>
  <c r="K20" i="3" s="1"/>
  <c r="F21" i="3"/>
  <c r="I21" i="3" s="1"/>
  <c r="G21" i="3"/>
  <c r="J21" i="3" s="1"/>
  <c r="H21" i="3"/>
  <c r="K21" i="3" s="1"/>
  <c r="F22" i="3"/>
  <c r="I22" i="3" s="1"/>
  <c r="G22" i="3"/>
  <c r="J22" i="3" s="1"/>
  <c r="H22" i="3"/>
  <c r="K22" i="3" s="1"/>
  <c r="F23" i="3"/>
  <c r="I23" i="3" s="1"/>
  <c r="G23" i="3"/>
  <c r="J23" i="3" s="1"/>
  <c r="H23" i="3"/>
  <c r="K23" i="3" s="1"/>
  <c r="F24" i="3"/>
  <c r="I24" i="3" s="1"/>
  <c r="G24" i="3"/>
  <c r="J24" i="3" s="1"/>
  <c r="H24" i="3"/>
  <c r="K24" i="3" s="1"/>
  <c r="F25" i="3"/>
  <c r="I25" i="3" s="1"/>
  <c r="G25" i="3"/>
  <c r="J25" i="3" s="1"/>
  <c r="H25" i="3"/>
  <c r="K25" i="3" s="1"/>
  <c r="H26" i="3"/>
  <c r="K26" i="3" s="1"/>
  <c r="F27" i="3"/>
  <c r="I27" i="3" s="1"/>
  <c r="G27" i="3"/>
  <c r="J27" i="3" s="1"/>
  <c r="H27" i="3"/>
  <c r="K27" i="3" s="1"/>
  <c r="F28" i="3"/>
  <c r="I28" i="3" s="1"/>
  <c r="G28" i="3"/>
  <c r="J28" i="3" s="1"/>
  <c r="H28" i="3"/>
  <c r="K28" i="3" s="1"/>
  <c r="F29" i="3"/>
  <c r="I29" i="3" s="1"/>
  <c r="G29" i="3"/>
  <c r="J29" i="3" s="1"/>
  <c r="H29" i="3"/>
  <c r="K29" i="3" s="1"/>
  <c r="F30" i="3"/>
  <c r="I30" i="3" s="1"/>
  <c r="G30" i="3"/>
  <c r="J30" i="3" s="1"/>
  <c r="H30" i="3"/>
  <c r="K30" i="3" s="1"/>
  <c r="F31" i="3"/>
  <c r="I31" i="3" s="1"/>
  <c r="G31" i="3"/>
  <c r="J31" i="3" s="1"/>
  <c r="H31" i="3"/>
  <c r="K31" i="3" s="1"/>
  <c r="F32" i="3"/>
  <c r="I32" i="3" s="1"/>
  <c r="G32" i="3"/>
  <c r="J32" i="3" s="1"/>
  <c r="H32" i="3"/>
  <c r="K32" i="3" s="1"/>
  <c r="F33" i="3"/>
  <c r="I33" i="3" s="1"/>
  <c r="G33" i="3"/>
  <c r="J33" i="3" s="1"/>
  <c r="H33" i="3"/>
  <c r="K33" i="3" s="1"/>
  <c r="F34" i="3"/>
  <c r="I34" i="3" s="1"/>
  <c r="G34" i="3"/>
  <c r="J34" i="3" s="1"/>
  <c r="H34" i="3"/>
  <c r="K34" i="3" s="1"/>
  <c r="F35" i="3"/>
  <c r="I35" i="3" s="1"/>
  <c r="G35" i="3"/>
  <c r="J35" i="3" s="1"/>
  <c r="H35" i="3"/>
  <c r="K35" i="3" s="1"/>
  <c r="F36" i="3"/>
  <c r="I36" i="3" s="1"/>
  <c r="G36" i="3"/>
  <c r="J36" i="3" s="1"/>
  <c r="H36" i="3"/>
  <c r="K36" i="3" s="1"/>
  <c r="F37" i="3"/>
  <c r="I37" i="3" s="1"/>
  <c r="G37" i="3"/>
  <c r="J37" i="3" s="1"/>
  <c r="H37" i="3"/>
  <c r="K37" i="3" s="1"/>
  <c r="F38" i="3"/>
  <c r="I38" i="3" s="1"/>
  <c r="G38" i="3"/>
  <c r="J38" i="3" s="1"/>
  <c r="H38" i="3"/>
  <c r="K38" i="3" s="1"/>
  <c r="F39" i="3"/>
  <c r="I39" i="3" s="1"/>
  <c r="G39" i="3"/>
  <c r="J39" i="3" s="1"/>
  <c r="H39" i="3"/>
  <c r="K39" i="3" s="1"/>
  <c r="F40" i="3"/>
  <c r="I40" i="3" s="1"/>
  <c r="G40" i="3"/>
  <c r="J40" i="3" s="1"/>
  <c r="H40" i="3"/>
  <c r="K40" i="3" s="1"/>
  <c r="F41" i="3"/>
  <c r="I41" i="3" s="1"/>
  <c r="G41" i="3"/>
  <c r="J41" i="3" s="1"/>
  <c r="H41" i="3"/>
  <c r="K41" i="3" s="1"/>
  <c r="F42" i="3"/>
  <c r="I42" i="3" s="1"/>
  <c r="G42" i="3"/>
  <c r="J42" i="3" s="1"/>
  <c r="H42" i="3"/>
  <c r="K42" i="3" s="1"/>
  <c r="F43" i="3"/>
  <c r="I43" i="3" s="1"/>
  <c r="G43" i="3"/>
  <c r="J43" i="3" s="1"/>
  <c r="H43" i="3"/>
  <c r="K43" i="3" s="1"/>
  <c r="F44" i="3"/>
  <c r="I44" i="3" s="1"/>
  <c r="G44" i="3"/>
  <c r="J44" i="3" s="1"/>
  <c r="H44" i="3"/>
  <c r="K44" i="3" s="1"/>
  <c r="F45" i="3"/>
  <c r="I45" i="3" s="1"/>
  <c r="G45" i="3"/>
  <c r="J45" i="3" s="1"/>
  <c r="H45" i="3"/>
  <c r="K45" i="3" s="1"/>
  <c r="F46" i="3"/>
  <c r="I46" i="3" s="1"/>
  <c r="G46" i="3"/>
  <c r="J46" i="3" s="1"/>
  <c r="H46" i="3"/>
  <c r="K46" i="3" s="1"/>
  <c r="F47" i="3"/>
  <c r="I47" i="3" s="1"/>
  <c r="G47" i="3"/>
  <c r="J47" i="3" s="1"/>
  <c r="H47" i="3"/>
  <c r="K47" i="3" s="1"/>
  <c r="F48" i="3"/>
  <c r="I48" i="3" s="1"/>
  <c r="G48" i="3"/>
  <c r="J48" i="3" s="1"/>
  <c r="H48" i="3"/>
  <c r="K48" i="3" s="1"/>
  <c r="F49" i="3"/>
  <c r="I49" i="3" s="1"/>
  <c r="G49" i="3"/>
  <c r="J49" i="3" s="1"/>
  <c r="H49" i="3"/>
  <c r="K49" i="3" s="1"/>
  <c r="F50" i="3"/>
  <c r="I50" i="3" s="1"/>
  <c r="G50" i="3"/>
  <c r="J50" i="3" s="1"/>
  <c r="H50" i="3"/>
  <c r="K50" i="3" s="1"/>
  <c r="F51" i="3"/>
  <c r="I51" i="3" s="1"/>
  <c r="G51" i="3"/>
  <c r="J51" i="3" s="1"/>
  <c r="H51" i="3"/>
  <c r="K51" i="3" s="1"/>
  <c r="F52" i="3"/>
  <c r="I52" i="3" s="1"/>
  <c r="G52" i="3"/>
  <c r="J52" i="3" s="1"/>
  <c r="H52" i="3"/>
  <c r="K52" i="3" s="1"/>
  <c r="F53" i="3"/>
  <c r="I53" i="3" s="1"/>
  <c r="G53" i="3"/>
  <c r="J53" i="3" s="1"/>
  <c r="H53" i="3"/>
  <c r="K53" i="3" s="1"/>
  <c r="F54" i="3"/>
  <c r="I54" i="3" s="1"/>
  <c r="G54" i="3"/>
  <c r="J54" i="3" s="1"/>
  <c r="H54" i="3"/>
  <c r="K54" i="3" s="1"/>
  <c r="F55" i="3"/>
  <c r="I55" i="3" s="1"/>
  <c r="G55" i="3"/>
  <c r="J55" i="3" s="1"/>
  <c r="H55" i="3"/>
  <c r="K55" i="3" s="1"/>
  <c r="F56" i="3"/>
  <c r="I56" i="3" s="1"/>
  <c r="G56" i="3"/>
  <c r="J56" i="3" s="1"/>
  <c r="H56" i="3"/>
  <c r="K56" i="3" s="1"/>
  <c r="H6" i="3"/>
  <c r="K6" i="3" s="1"/>
  <c r="G6" i="3"/>
  <c r="J6" i="3" s="1"/>
  <c r="F6" i="3"/>
  <c r="I6" i="3" s="1"/>
  <c r="L24" i="16"/>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25" i="2"/>
  <c r="L55" i="2" s="1"/>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U55" i="2"/>
  <c r="W13" i="2" s="1"/>
  <c r="U55" i="4"/>
  <c r="W13" i="4" s="1"/>
  <c r="D51" i="29" s="1"/>
  <c r="U55" i="7"/>
  <c r="W13" i="7" s="1"/>
  <c r="E51" i="29" s="1"/>
  <c r="U55" i="8"/>
  <c r="W13" i="8" s="1"/>
  <c r="F51" i="29" s="1"/>
  <c r="U55" i="9"/>
  <c r="W13" i="9" s="1"/>
  <c r="G51" i="29" s="1"/>
  <c r="U55" i="10"/>
  <c r="W13" i="10" s="1"/>
  <c r="H51" i="29" s="1"/>
  <c r="U55" i="11"/>
  <c r="W13" i="11" s="1"/>
  <c r="I51" i="29" s="1"/>
  <c r="U55" i="12"/>
  <c r="W13" i="12" s="1"/>
  <c r="J51" i="29" s="1"/>
  <c r="U55" i="13"/>
  <c r="W13" i="13" s="1"/>
  <c r="K51" i="29" s="1"/>
  <c r="U55" i="14"/>
  <c r="W13" i="14" s="1"/>
  <c r="L51" i="29" s="1"/>
  <c r="T55" i="2"/>
  <c r="W12" i="2" s="1"/>
  <c r="T55" i="4"/>
  <c r="W12" i="4" s="1"/>
  <c r="D50" i="29" s="1"/>
  <c r="T55" i="7"/>
  <c r="W12" i="7" s="1"/>
  <c r="E50" i="29" s="1"/>
  <c r="T55" i="8"/>
  <c r="W12" i="8" s="1"/>
  <c r="F50" i="29" s="1"/>
  <c r="T55" i="9"/>
  <c r="W12" i="9" s="1"/>
  <c r="G50" i="29" s="1"/>
  <c r="T55" i="10"/>
  <c r="W12" i="10" s="1"/>
  <c r="H50" i="29" s="1"/>
  <c r="T55" i="11"/>
  <c r="W12" i="11" s="1"/>
  <c r="I50" i="29" s="1"/>
  <c r="T55" i="12"/>
  <c r="W12" i="12" s="1"/>
  <c r="J50" i="29" s="1"/>
  <c r="T55" i="13"/>
  <c r="W12" i="13" s="1"/>
  <c r="K50" i="29" s="1"/>
  <c r="T55" i="14"/>
  <c r="W12" i="14" s="1"/>
  <c r="L50" i="29" s="1"/>
  <c r="S55" i="2"/>
  <c r="W11" i="2" s="1"/>
  <c r="S55" i="4"/>
  <c r="W11" i="4" s="1"/>
  <c r="D49" i="29" s="1"/>
  <c r="S55" i="7"/>
  <c r="W11" i="7" s="1"/>
  <c r="E49" i="29" s="1"/>
  <c r="S55" i="8"/>
  <c r="W11" i="8" s="1"/>
  <c r="F49" i="29" s="1"/>
  <c r="S55" i="9"/>
  <c r="W11" i="9" s="1"/>
  <c r="G49" i="29" s="1"/>
  <c r="S55" i="10"/>
  <c r="W11" i="10" s="1"/>
  <c r="H49" i="29" s="1"/>
  <c r="S55" i="11"/>
  <c r="W11" i="11" s="1"/>
  <c r="I49" i="29" s="1"/>
  <c r="S55" i="12"/>
  <c r="W11" i="12" s="1"/>
  <c r="J49" i="29" s="1"/>
  <c r="S55" i="13"/>
  <c r="W11" i="13" s="1"/>
  <c r="K49" i="29" s="1"/>
  <c r="S55" i="14"/>
  <c r="W11" i="14" s="1"/>
  <c r="L49" i="29" s="1"/>
  <c r="R55" i="2"/>
  <c r="W10" i="2" s="1"/>
  <c r="R55" i="4"/>
  <c r="W10" i="4" s="1"/>
  <c r="D48" i="29" s="1"/>
  <c r="R55" i="7"/>
  <c r="W10" i="7" s="1"/>
  <c r="E48" i="29" s="1"/>
  <c r="R55" i="8"/>
  <c r="W10" i="8" s="1"/>
  <c r="F48" i="29" s="1"/>
  <c r="R55" i="9"/>
  <c r="W10" i="9" s="1"/>
  <c r="G48" i="29" s="1"/>
  <c r="R55" i="10"/>
  <c r="W10" i="10" s="1"/>
  <c r="H48" i="29" s="1"/>
  <c r="R55" i="11"/>
  <c r="W10" i="11" s="1"/>
  <c r="I48" i="29" s="1"/>
  <c r="R55" i="12"/>
  <c r="W10" i="12" s="1"/>
  <c r="J48" i="29" s="1"/>
  <c r="R55" i="13"/>
  <c r="W10" i="13" s="1"/>
  <c r="K48" i="29" s="1"/>
  <c r="R55" i="14"/>
  <c r="W10" i="14" s="1"/>
  <c r="L48" i="29" s="1"/>
  <c r="Q55" i="2"/>
  <c r="W9" i="2" s="1"/>
  <c r="Q55" i="4"/>
  <c r="W9" i="4" s="1"/>
  <c r="D47" i="29" s="1"/>
  <c r="Q55" i="7"/>
  <c r="W9" i="7" s="1"/>
  <c r="E47" i="29" s="1"/>
  <c r="Q55" i="8"/>
  <c r="W9" i="8" s="1"/>
  <c r="F47" i="29" s="1"/>
  <c r="Q55" i="9"/>
  <c r="W9" i="9" s="1"/>
  <c r="G47" i="29" s="1"/>
  <c r="Q55" i="10"/>
  <c r="W9" i="10" s="1"/>
  <c r="H47" i="29" s="1"/>
  <c r="Q55" i="11"/>
  <c r="W9" i="11" s="1"/>
  <c r="I47" i="29" s="1"/>
  <c r="Q55" i="12"/>
  <c r="W9" i="12" s="1"/>
  <c r="J47" i="29" s="1"/>
  <c r="Q55" i="13"/>
  <c r="W9" i="13" s="1"/>
  <c r="K47" i="29" s="1"/>
  <c r="Q55" i="14"/>
  <c r="W9" i="14" s="1"/>
  <c r="L47" i="29" s="1"/>
  <c r="P55" i="2"/>
  <c r="W8" i="2" s="1"/>
  <c r="P55" i="4"/>
  <c r="W8" i="4" s="1"/>
  <c r="D46" i="29" s="1"/>
  <c r="P55" i="7"/>
  <c r="W8" i="7" s="1"/>
  <c r="E46" i="29" s="1"/>
  <c r="P55" i="8"/>
  <c r="W8" i="8" s="1"/>
  <c r="F46" i="29" s="1"/>
  <c r="P55" i="9"/>
  <c r="W8" i="9" s="1"/>
  <c r="G46" i="29" s="1"/>
  <c r="P55" i="10"/>
  <c r="W8" i="10" s="1"/>
  <c r="H46" i="29" s="1"/>
  <c r="P55" i="11"/>
  <c r="W8" i="11" s="1"/>
  <c r="I46" i="29" s="1"/>
  <c r="P55" i="12"/>
  <c r="W8" i="12" s="1"/>
  <c r="J46" i="29" s="1"/>
  <c r="P55" i="13"/>
  <c r="W8" i="13" s="1"/>
  <c r="K46" i="29" s="1"/>
  <c r="P55" i="14"/>
  <c r="P55" i="15"/>
  <c r="W8" i="15" s="1"/>
  <c r="M46" i="29" s="1"/>
  <c r="Q55" i="15"/>
  <c r="W9" i="15" s="1"/>
  <c r="M47" i="29" s="1"/>
  <c r="R55" i="15"/>
  <c r="W10" i="15" s="1"/>
  <c r="M48" i="29" s="1"/>
  <c r="S55" i="15"/>
  <c r="W11" i="15" s="1"/>
  <c r="M49" i="29" s="1"/>
  <c r="T55" i="15"/>
  <c r="W12" i="15" s="1"/>
  <c r="M50" i="29" s="1"/>
  <c r="U55" i="15"/>
  <c r="P55" i="16"/>
  <c r="Q55" i="16"/>
  <c r="R55" i="16"/>
  <c r="S55" i="16"/>
  <c r="T55" i="16"/>
  <c r="U55" i="16"/>
  <c r="C37" i="23"/>
  <c r="F58" i="23"/>
  <c r="G51" i="23"/>
  <c r="G29" i="23"/>
  <c r="C29" i="23"/>
  <c r="G21" i="23"/>
  <c r="C21" i="23"/>
  <c r="G13" i="23"/>
  <c r="C13" i="23"/>
  <c r="G6" i="23"/>
  <c r="C6" i="23"/>
  <c r="A22" i="2"/>
  <c r="U56" i="15" l="1"/>
  <c r="W13" i="15"/>
  <c r="M51" i="29" s="1"/>
  <c r="P56" i="14"/>
  <c r="W8" i="14"/>
  <c r="L46" i="29" s="1"/>
  <c r="P56" i="16"/>
  <c r="W8" i="16"/>
  <c r="N46" i="29" s="1"/>
  <c r="R56" i="16"/>
  <c r="W10" i="16"/>
  <c r="N48" i="29" s="1"/>
  <c r="S56" i="16"/>
  <c r="W11" i="16"/>
  <c r="N49" i="29" s="1"/>
  <c r="U56" i="16"/>
  <c r="W13" i="16"/>
  <c r="N51" i="29" s="1"/>
  <c r="T56" i="16"/>
  <c r="W12" i="16"/>
  <c r="N50" i="29" s="1"/>
  <c r="Q56" i="16"/>
  <c r="W9" i="16"/>
  <c r="N47" i="29" s="1"/>
  <c r="C46" i="29"/>
  <c r="C49" i="29"/>
  <c r="C50" i="29"/>
  <c r="AF53" i="2"/>
  <c r="AF55" i="2" s="1"/>
  <c r="AE53" i="2"/>
  <c r="AG53" i="2" s="1"/>
  <c r="AD55" i="2" s="1"/>
  <c r="AF38" i="4"/>
  <c r="AE38" i="4"/>
  <c r="AG38" i="4" s="1"/>
  <c r="AF28" i="4"/>
  <c r="AE28" i="4"/>
  <c r="AG28" i="4" s="1"/>
  <c r="Y9" i="2"/>
  <c r="X9" i="4" s="1"/>
  <c r="Y9" i="4" s="1"/>
  <c r="X9" i="7" s="1"/>
  <c r="Y9" i="7" s="1"/>
  <c r="X9" i="8" s="1"/>
  <c r="Y9" i="8" s="1"/>
  <c r="X9" i="9" s="1"/>
  <c r="Y9" i="9" s="1"/>
  <c r="X9" i="10" s="1"/>
  <c r="Y9" i="10" s="1"/>
  <c r="X9" i="11" s="1"/>
  <c r="Y9" i="11" s="1"/>
  <c r="X9" i="12" s="1"/>
  <c r="Y9" i="12" s="1"/>
  <c r="X9" i="13" s="1"/>
  <c r="Y9" i="13" s="1"/>
  <c r="X9" i="14" s="1"/>
  <c r="Y9" i="14" s="1"/>
  <c r="C47" i="29"/>
  <c r="Y10" i="2"/>
  <c r="X10" i="4" s="1"/>
  <c r="Y10" i="4" s="1"/>
  <c r="X10" i="7" s="1"/>
  <c r="Y10" i="7" s="1"/>
  <c r="X10" i="8" s="1"/>
  <c r="Y10" i="8" s="1"/>
  <c r="X10" i="9" s="1"/>
  <c r="Y10" i="9" s="1"/>
  <c r="X10" i="10" s="1"/>
  <c r="Y10" i="10" s="1"/>
  <c r="X10" i="11" s="1"/>
  <c r="Y10" i="11" s="1"/>
  <c r="X10" i="12" s="1"/>
  <c r="Y10" i="12" s="1"/>
  <c r="X10" i="13" s="1"/>
  <c r="Y10" i="13" s="1"/>
  <c r="X10" i="14" s="1"/>
  <c r="Y10" i="14" s="1"/>
  <c r="C48" i="29"/>
  <c r="Y13" i="2"/>
  <c r="X13" i="4" s="1"/>
  <c r="Y13" i="4" s="1"/>
  <c r="X13" i="7" s="1"/>
  <c r="Y13" i="7" s="1"/>
  <c r="X13" i="8" s="1"/>
  <c r="Y13" i="8" s="1"/>
  <c r="X13" i="9" s="1"/>
  <c r="Y13" i="9" s="1"/>
  <c r="X13" i="10" s="1"/>
  <c r="Y13" i="10" s="1"/>
  <c r="X13" i="11" s="1"/>
  <c r="Y13" i="11" s="1"/>
  <c r="X13" i="12" s="1"/>
  <c r="Y13" i="12" s="1"/>
  <c r="X13" i="13" s="1"/>
  <c r="Y13" i="13" s="1"/>
  <c r="X13" i="14" s="1"/>
  <c r="Y13" i="14" s="1"/>
  <c r="C51" i="29"/>
  <c r="Y12" i="2"/>
  <c r="X12" i="4" s="1"/>
  <c r="Y12" i="4" s="1"/>
  <c r="X12" i="7" s="1"/>
  <c r="Y12" i="7" s="1"/>
  <c r="X12" i="8" s="1"/>
  <c r="Y12" i="8" s="1"/>
  <c r="X12" i="9" s="1"/>
  <c r="Y12" i="9" s="1"/>
  <c r="X12" i="10" s="1"/>
  <c r="Y12" i="10" s="1"/>
  <c r="X12" i="11" s="1"/>
  <c r="Y12" i="11" s="1"/>
  <c r="X12" i="12" s="1"/>
  <c r="Y12" i="12" s="1"/>
  <c r="X12" i="13" s="1"/>
  <c r="Y12" i="13" s="1"/>
  <c r="X12" i="14" s="1"/>
  <c r="Y12" i="14" s="1"/>
  <c r="AB29" i="4"/>
  <c r="Y8" i="2"/>
  <c r="X8" i="4" s="1"/>
  <c r="Y8" i="4" s="1"/>
  <c r="X8" i="7" s="1"/>
  <c r="Y8" i="7" s="1"/>
  <c r="X8" i="8" s="1"/>
  <c r="Y8" i="8" s="1"/>
  <c r="X8" i="9" s="1"/>
  <c r="Y8" i="9" s="1"/>
  <c r="X8" i="10" s="1"/>
  <c r="Y8" i="10" s="1"/>
  <c r="X8" i="11" s="1"/>
  <c r="Y8" i="11" s="1"/>
  <c r="X8" i="12" s="1"/>
  <c r="Y8" i="12" s="1"/>
  <c r="X8" i="13" s="1"/>
  <c r="Y8" i="13" s="1"/>
  <c r="X8" i="14" s="1"/>
  <c r="Y8" i="14" s="1"/>
  <c r="AB45" i="4"/>
  <c r="T56" i="7"/>
  <c r="R56" i="13"/>
  <c r="R56" i="2"/>
  <c r="N24" i="2"/>
  <c r="N25" i="2" s="1"/>
  <c r="L55" i="16"/>
  <c r="L55" i="13"/>
  <c r="K15" i="29" s="1"/>
  <c r="L55" i="11"/>
  <c r="L55" i="10"/>
  <c r="H15" i="29" s="1"/>
  <c r="L55" i="7"/>
  <c r="E15" i="29" s="1"/>
  <c r="R56" i="10"/>
  <c r="R56" i="14"/>
  <c r="S56" i="14"/>
  <c r="S56" i="13"/>
  <c r="Q56" i="12"/>
  <c r="R56" i="12"/>
  <c r="S56" i="12"/>
  <c r="Q56" i="11"/>
  <c r="T56" i="11"/>
  <c r="R56" i="11"/>
  <c r="T56" i="10"/>
  <c r="R56" i="9"/>
  <c r="T56" i="9"/>
  <c r="R56" i="8"/>
  <c r="T56" i="8"/>
  <c r="U56" i="8"/>
  <c r="S56" i="7"/>
  <c r="U56" i="7"/>
  <c r="S56" i="4"/>
  <c r="T56" i="4"/>
  <c r="U56" i="4"/>
  <c r="Q56" i="2"/>
  <c r="L55" i="8"/>
  <c r="F15" i="29" s="1"/>
  <c r="L55" i="9"/>
  <c r="L55" i="14"/>
  <c r="L55" i="4"/>
  <c r="D15" i="29" s="1"/>
  <c r="C15" i="29"/>
  <c r="L55" i="15"/>
  <c r="M15" i="29" s="1"/>
  <c r="T56" i="15"/>
  <c r="S56" i="15"/>
  <c r="R56" i="15"/>
  <c r="Q56" i="15"/>
  <c r="P56" i="15"/>
  <c r="P56" i="13"/>
  <c r="P56" i="12"/>
  <c r="P56" i="11"/>
  <c r="P56" i="10"/>
  <c r="P56" i="9"/>
  <c r="P56" i="8"/>
  <c r="P56" i="7"/>
  <c r="P56" i="2"/>
  <c r="Q56" i="14"/>
  <c r="Q56" i="9"/>
  <c r="Q56" i="8"/>
  <c r="Q56" i="7"/>
  <c r="Q56" i="4"/>
  <c r="R56" i="4"/>
  <c r="S56" i="10"/>
  <c r="S56" i="9"/>
  <c r="T56" i="14"/>
  <c r="T56" i="13"/>
  <c r="T56" i="2"/>
  <c r="U56" i="14"/>
  <c r="U56" i="13"/>
  <c r="U56" i="12"/>
  <c r="U56" i="11"/>
  <c r="U56" i="10"/>
  <c r="U56" i="2"/>
  <c r="L55" i="12"/>
  <c r="J15" i="29" s="1"/>
  <c r="Q56" i="13"/>
  <c r="T56" i="12"/>
  <c r="S56" i="11"/>
  <c r="Q56" i="10"/>
  <c r="U56" i="9"/>
  <c r="S56" i="8"/>
  <c r="R56" i="7"/>
  <c r="P56" i="4"/>
  <c r="Y11" i="2"/>
  <c r="X11" i="4" s="1"/>
  <c r="Y11" i="4" s="1"/>
  <c r="X11" i="7" s="1"/>
  <c r="Y11" i="7" s="1"/>
  <c r="X11" i="8" s="1"/>
  <c r="Y11" i="8" s="1"/>
  <c r="X11" i="9" s="1"/>
  <c r="Y11" i="9" s="1"/>
  <c r="X11" i="10" s="1"/>
  <c r="Y11" i="10" s="1"/>
  <c r="X11" i="11" s="1"/>
  <c r="Y11" i="11" s="1"/>
  <c r="X11" i="12" s="1"/>
  <c r="Y11" i="12" s="1"/>
  <c r="X11" i="13" s="1"/>
  <c r="Y11" i="13" s="1"/>
  <c r="X11" i="14" s="1"/>
  <c r="Y11" i="14" s="1"/>
  <c r="S56" i="2"/>
  <c r="O46" i="29" l="1"/>
  <c r="O25" i="29"/>
  <c r="N30" i="31" s="1"/>
  <c r="J30" i="31" s="1"/>
  <c r="O49" i="29"/>
  <c r="O51" i="29"/>
  <c r="O47" i="29"/>
  <c r="O48" i="29"/>
  <c r="O50" i="29"/>
  <c r="X13" i="15"/>
  <c r="Y13" i="15" s="1"/>
  <c r="X13" i="16" s="1"/>
  <c r="Y13" i="16" s="1"/>
  <c r="F22" i="27" s="1"/>
  <c r="N15" i="29"/>
  <c r="L56" i="16"/>
  <c r="L56" i="14"/>
  <c r="L15" i="29"/>
  <c r="X12" i="15"/>
  <c r="Y12" i="15" s="1"/>
  <c r="X12" i="16" s="1"/>
  <c r="Y12" i="16" s="1"/>
  <c r="F21" i="27" s="1"/>
  <c r="X11" i="15"/>
  <c r="Y11" i="15" s="1"/>
  <c r="X11" i="16" s="1"/>
  <c r="Y11" i="16" s="1"/>
  <c r="X10" i="15"/>
  <c r="Y10" i="15" s="1"/>
  <c r="X10" i="16" s="1"/>
  <c r="Y10" i="16" s="1"/>
  <c r="F17" i="27" s="1"/>
  <c r="X9" i="15"/>
  <c r="Y9" i="15" s="1"/>
  <c r="X9" i="16" s="1"/>
  <c r="Y9" i="16" s="1"/>
  <c r="F16" i="27" s="1"/>
  <c r="L56" i="9"/>
  <c r="G15" i="29"/>
  <c r="X8" i="15"/>
  <c r="Y8" i="15" s="1"/>
  <c r="X8" i="16" s="1"/>
  <c r="Y8" i="16" s="1"/>
  <c r="F15" i="27" s="1"/>
  <c r="L56" i="11"/>
  <c r="I15" i="29"/>
  <c r="AF45" i="4"/>
  <c r="AE45" i="4"/>
  <c r="AG45" i="4" s="1"/>
  <c r="AF29" i="4"/>
  <c r="AE29" i="4"/>
  <c r="AG29" i="4" s="1"/>
  <c r="AE55" i="2"/>
  <c r="AB56" i="2" s="1"/>
  <c r="L56" i="7"/>
  <c r="L56" i="4"/>
  <c r="L56" i="13"/>
  <c r="L56" i="10"/>
  <c r="L56" i="8"/>
  <c r="L56" i="2"/>
  <c r="L56" i="12"/>
  <c r="L56" i="15"/>
  <c r="M28" i="2" l="1"/>
  <c r="AH28" i="2" s="1"/>
  <c r="M35" i="2"/>
  <c r="AH35" i="2" s="1"/>
  <c r="M42" i="2"/>
  <c r="AH42" i="2" s="1"/>
  <c r="M49" i="2"/>
  <c r="AH49" i="2" s="1"/>
  <c r="M26" i="2"/>
  <c r="M29" i="2"/>
  <c r="AH29" i="2" s="1"/>
  <c r="M36" i="2"/>
  <c r="AH36" i="2" s="1"/>
  <c r="M43" i="2"/>
  <c r="AH43" i="2" s="1"/>
  <c r="M50" i="2"/>
  <c r="AH50" i="2" s="1"/>
  <c r="M31" i="2"/>
  <c r="AH31" i="2" s="1"/>
  <c r="M39" i="2"/>
  <c r="AH39" i="2" s="1"/>
  <c r="M32" i="2"/>
  <c r="AH32" i="2" s="1"/>
  <c r="M40" i="2"/>
  <c r="AH40" i="2" s="1"/>
  <c r="M44" i="2"/>
  <c r="AH44" i="2" s="1"/>
  <c r="M48" i="2"/>
  <c r="AH48" i="2" s="1"/>
  <c r="M52" i="2"/>
  <c r="AH52" i="2" s="1"/>
  <c r="M33" i="2"/>
  <c r="AH33" i="2" s="1"/>
  <c r="M37" i="2"/>
  <c r="AH37" i="2" s="1"/>
  <c r="M41" i="2"/>
  <c r="AH41" i="2" s="1"/>
  <c r="M45" i="2"/>
  <c r="AH45" i="2" s="1"/>
  <c r="M53" i="2"/>
  <c r="AH53" i="2" s="1"/>
  <c r="M30" i="2"/>
  <c r="AH30" i="2" s="1"/>
  <c r="M34" i="2"/>
  <c r="AH34" i="2" s="1"/>
  <c r="M38" i="2"/>
  <c r="AH38" i="2" s="1"/>
  <c r="M46" i="2"/>
  <c r="AH46" i="2" s="1"/>
  <c r="M54" i="2"/>
  <c r="AH54" i="2" s="1"/>
  <c r="M27" i="2"/>
  <c r="AH27" i="2" s="1"/>
  <c r="M47" i="2"/>
  <c r="AH47" i="2" s="1"/>
  <c r="M51" i="2"/>
  <c r="AH51" i="2" s="1"/>
  <c r="K17" i="27"/>
  <c r="H17" i="27"/>
  <c r="I17" i="27"/>
  <c r="J17" i="27"/>
  <c r="I21" i="27"/>
  <c r="J21" i="27"/>
  <c r="H21" i="27"/>
  <c r="K21" i="27"/>
  <c r="J22" i="27"/>
  <c r="I22" i="27"/>
  <c r="K22" i="27"/>
  <c r="H22" i="27"/>
  <c r="I15" i="27"/>
  <c r="J15" i="27"/>
  <c r="H15" i="27"/>
  <c r="K15" i="27"/>
  <c r="J16" i="27"/>
  <c r="K16" i="27"/>
  <c r="H16" i="27"/>
  <c r="I16" i="27"/>
  <c r="O15" i="29"/>
  <c r="L32" i="31" l="1"/>
  <c r="H32" i="31"/>
  <c r="N26" i="2"/>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AH26" i="2"/>
  <c r="Y14" i="2"/>
  <c r="X14" i="4" s="1"/>
  <c r="F18" i="2"/>
  <c r="C40" i="29"/>
  <c r="I9" i="2" l="1"/>
  <c r="C41" i="29"/>
  <c r="C34" i="29"/>
  <c r="C35" i="29" s="1"/>
  <c r="Y16" i="2"/>
  <c r="X16" i="4" s="1"/>
  <c r="C55" i="29"/>
  <c r="Y17" i="2"/>
  <c r="X17" i="4" s="1"/>
  <c r="C54" i="29"/>
  <c r="I17" i="2"/>
  <c r="I15" i="4" s="1"/>
  <c r="C53" i="29"/>
  <c r="C52" i="29"/>
  <c r="Y15" i="2"/>
  <c r="X15" i="4" s="1"/>
  <c r="W18" i="2"/>
  <c r="M55" i="2"/>
  <c r="M56" i="2" s="1"/>
  <c r="P8" i="4"/>
  <c r="C9" i="2" l="1"/>
  <c r="C10" i="2" s="1"/>
  <c r="C12" i="2" s="1"/>
  <c r="C11" i="4" s="1"/>
  <c r="C26" i="29"/>
  <c r="X18" i="4"/>
  <c r="C56" i="29"/>
  <c r="C18" i="29" s="1"/>
  <c r="C17" i="29"/>
  <c r="Y18" i="2"/>
  <c r="C28" i="29" l="1"/>
  <c r="C16" i="29"/>
  <c r="C19" i="29" s="1"/>
  <c r="C20" i="29" s="1"/>
  <c r="G15" i="27"/>
  <c r="G16" i="27"/>
  <c r="G17" i="27"/>
  <c r="G21" i="27"/>
  <c r="G22" i="27"/>
  <c r="D14" i="29" l="1"/>
  <c r="F14" i="29" l="1"/>
  <c r="O14" i="29" s="1"/>
  <c r="I8" i="2" l="1"/>
  <c r="I11" i="2" s="1"/>
  <c r="I8" i="4" s="1"/>
  <c r="AC32" i="4"/>
  <c r="AC39" i="4" s="1"/>
  <c r="AC46" i="4" s="1"/>
  <c r="AC24" i="7" s="1"/>
  <c r="AC33" i="4" l="1"/>
  <c r="AC40" i="4" s="1"/>
  <c r="AC47" i="4" s="1"/>
  <c r="AC25" i="7" s="1"/>
  <c r="AB32" i="4"/>
  <c r="AF32" i="4" l="1"/>
  <c r="AE32" i="4"/>
  <c r="AB39" i="4"/>
  <c r="AB33" i="4"/>
  <c r="AC34" i="4"/>
  <c r="AC41" i="4" s="1"/>
  <c r="AC48" i="4" s="1"/>
  <c r="AC26" i="7" s="1"/>
  <c r="AG32" i="4" l="1"/>
  <c r="AF33" i="4"/>
  <c r="AE33" i="4"/>
  <c r="AF39" i="4"/>
  <c r="AE39" i="4"/>
  <c r="AB40" i="4"/>
  <c r="AB34" i="4"/>
  <c r="AC35" i="4"/>
  <c r="AC42" i="4" s="1"/>
  <c r="AC49" i="4" s="1"/>
  <c r="AC27" i="7" s="1"/>
  <c r="AB46" i="4"/>
  <c r="AB24" i="7" s="1"/>
  <c r="AF24" i="7" l="1"/>
  <c r="AE24" i="7"/>
  <c r="AG24" i="7" s="1"/>
  <c r="AG39" i="4"/>
  <c r="AG33" i="4"/>
  <c r="AF34" i="4"/>
  <c r="AE34" i="4"/>
  <c r="AG34" i="4" s="1"/>
  <c r="AF46" i="4"/>
  <c r="AE46" i="4"/>
  <c r="AF40" i="4"/>
  <c r="AE40" i="4"/>
  <c r="AB35" i="4"/>
  <c r="AC36" i="4"/>
  <c r="AC43" i="4" s="1"/>
  <c r="AC50" i="4" s="1"/>
  <c r="AB41" i="4"/>
  <c r="AB47" i="4"/>
  <c r="AB25" i="7" s="1"/>
  <c r="AG46" i="4" l="1"/>
  <c r="AG40" i="4"/>
  <c r="AF41" i="4"/>
  <c r="AE41" i="4"/>
  <c r="AG41" i="4" s="1"/>
  <c r="AF47" i="4"/>
  <c r="AE47" i="4"/>
  <c r="AF35" i="4"/>
  <c r="AE35" i="4"/>
  <c r="AG35" i="4" s="1"/>
  <c r="AE25" i="7"/>
  <c r="AF25" i="7"/>
  <c r="AB48" i="4"/>
  <c r="AB26" i="7" s="1"/>
  <c r="AB42" i="4"/>
  <c r="AB36" i="4"/>
  <c r="AC37" i="4"/>
  <c r="AC44" i="4" s="1"/>
  <c r="AC51" i="4" s="1"/>
  <c r="AC29" i="7" s="1"/>
  <c r="AG47" i="4" l="1"/>
  <c r="AG25" i="7"/>
  <c r="AF42" i="4"/>
  <c r="AE42" i="4"/>
  <c r="AG42" i="4" s="1"/>
  <c r="AF36" i="4"/>
  <c r="AE36" i="4"/>
  <c r="AG36" i="4" s="1"/>
  <c r="AF48" i="4"/>
  <c r="AE48" i="4"/>
  <c r="AG48" i="4" s="1"/>
  <c r="AE26" i="7"/>
  <c r="AF26" i="7"/>
  <c r="AB37" i="4"/>
  <c r="B25" i="7"/>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24" i="8" s="1"/>
  <c r="AB43" i="4"/>
  <c r="AB49" i="4"/>
  <c r="AB27" i="7" s="1"/>
  <c r="AG26" i="7" l="1"/>
  <c r="AE27" i="7"/>
  <c r="AG27" i="7" s="1"/>
  <c r="AF27" i="7"/>
  <c r="AF49" i="4"/>
  <c r="AE49" i="4"/>
  <c r="AG49" i="4" s="1"/>
  <c r="AF43" i="4"/>
  <c r="AE43" i="4"/>
  <c r="AG43" i="4" s="1"/>
  <c r="AF37" i="4"/>
  <c r="AE37" i="4"/>
  <c r="AB50" i="4"/>
  <c r="AC31" i="7"/>
  <c r="AC38" i="7" s="1"/>
  <c r="AC45" i="7" s="1"/>
  <c r="AB44" i="4"/>
  <c r="AG37" i="4" l="1"/>
  <c r="AF44" i="4"/>
  <c r="AE44" i="4"/>
  <c r="AF50" i="4"/>
  <c r="AE50" i="4"/>
  <c r="AG50" i="4" s="1"/>
  <c r="AE28" i="7"/>
  <c r="AG28" i="7" s="1"/>
  <c r="AF28" i="7"/>
  <c r="AC52" i="7"/>
  <c r="AC28" i="8" s="1"/>
  <c r="AC32" i="7"/>
  <c r="AC39" i="7" s="1"/>
  <c r="AC46" i="7" s="1"/>
  <c r="AC53" i="7" s="1"/>
  <c r="AC29" i="8" s="1"/>
  <c r="AC43" i="8" s="1"/>
  <c r="AB31" i="7"/>
  <c r="AB51" i="4"/>
  <c r="AB29" i="7" s="1"/>
  <c r="AG44" i="4" l="1"/>
  <c r="AE31" i="7"/>
  <c r="AG31" i="7" s="1"/>
  <c r="AF31" i="7"/>
  <c r="AF51" i="4"/>
  <c r="AF55" i="4" s="1"/>
  <c r="AE51" i="4"/>
  <c r="AE29" i="7"/>
  <c r="AG29" i="7" s="1"/>
  <c r="AF29" i="7"/>
  <c r="AB38" i="7"/>
  <c r="AB32" i="7"/>
  <c r="AC33" i="7"/>
  <c r="AC40" i="7" s="1"/>
  <c r="AC47" i="7" s="1"/>
  <c r="AC54" i="7" s="1"/>
  <c r="AC30" i="8" s="1"/>
  <c r="AG51" i="4" l="1"/>
  <c r="AD55" i="4" s="1"/>
  <c r="AE55" i="4"/>
  <c r="AE38" i="7"/>
  <c r="AG38" i="7" s="1"/>
  <c r="AF38" i="7"/>
  <c r="AE32" i="7"/>
  <c r="AF32" i="7"/>
  <c r="AE30" i="7"/>
  <c r="AF30" i="7"/>
  <c r="AB33" i="7"/>
  <c r="AC34" i="7"/>
  <c r="AC41" i="7" s="1"/>
  <c r="AC48" i="7" s="1"/>
  <c r="AC24" i="8" s="1"/>
  <c r="AB39" i="7"/>
  <c r="AB45" i="7"/>
  <c r="AG32" i="7" l="1"/>
  <c r="AG30" i="7"/>
  <c r="AB56" i="4"/>
  <c r="AE39" i="7"/>
  <c r="AF39" i="7"/>
  <c r="AE45" i="7"/>
  <c r="AG45" i="7" s="1"/>
  <c r="AF45" i="7"/>
  <c r="AE33" i="7"/>
  <c r="AF33" i="7"/>
  <c r="AB34" i="7"/>
  <c r="AC35" i="7"/>
  <c r="AC42" i="7" s="1"/>
  <c r="AC49" i="7" s="1"/>
  <c r="AC25" i="8" s="1"/>
  <c r="AB52" i="7"/>
  <c r="AB46" i="7"/>
  <c r="AB40" i="7"/>
  <c r="M25" i="4" l="1"/>
  <c r="AH25" i="4" s="1"/>
  <c r="M32" i="4"/>
  <c r="AH32" i="4" s="1"/>
  <c r="M39" i="4"/>
  <c r="AH39" i="4" s="1"/>
  <c r="M46" i="4"/>
  <c r="AH46" i="4" s="1"/>
  <c r="M26" i="4"/>
  <c r="AH26" i="4" s="1"/>
  <c r="M33" i="4"/>
  <c r="AH33" i="4" s="1"/>
  <c r="M40" i="4"/>
  <c r="AH40" i="4" s="1"/>
  <c r="M47" i="4"/>
  <c r="AH47" i="4" s="1"/>
  <c r="M30" i="4"/>
  <c r="AH30" i="4" s="1"/>
  <c r="M34" i="4"/>
  <c r="AH34" i="4" s="1"/>
  <c r="M42" i="4"/>
  <c r="AH42" i="4" s="1"/>
  <c r="M50" i="4"/>
  <c r="AH50" i="4" s="1"/>
  <c r="M27" i="4"/>
  <c r="AH27" i="4" s="1"/>
  <c r="M31" i="4"/>
  <c r="AH31" i="4" s="1"/>
  <c r="M35" i="4"/>
  <c r="AH35" i="4" s="1"/>
  <c r="M43" i="4"/>
  <c r="AH43" i="4" s="1"/>
  <c r="M51" i="4"/>
  <c r="AH51" i="4" s="1"/>
  <c r="M28" i="4"/>
  <c r="AH28" i="4" s="1"/>
  <c r="M36" i="4"/>
  <c r="AH36" i="4" s="1"/>
  <c r="M44" i="4"/>
  <c r="AH44" i="4" s="1"/>
  <c r="M48" i="4"/>
  <c r="AH48" i="4" s="1"/>
  <c r="M24" i="4"/>
  <c r="M29" i="4"/>
  <c r="AH29" i="4" s="1"/>
  <c r="M37" i="4"/>
  <c r="AH37" i="4" s="1"/>
  <c r="M41" i="4"/>
  <c r="AH41" i="4" s="1"/>
  <c r="M45" i="4"/>
  <c r="AH45" i="4" s="1"/>
  <c r="M49" i="4"/>
  <c r="AH49" i="4" s="1"/>
  <c r="M38" i="4"/>
  <c r="AH38" i="4" s="1"/>
  <c r="D55" i="29"/>
  <c r="I11" i="4"/>
  <c r="I8" i="7" s="1"/>
  <c r="D53" i="29"/>
  <c r="D52" i="29"/>
  <c r="D54" i="29"/>
  <c r="AG33" i="7"/>
  <c r="AG39" i="7"/>
  <c r="F18" i="4"/>
  <c r="AE40" i="7"/>
  <c r="AF40" i="7"/>
  <c r="AE52" i="7"/>
  <c r="AF52" i="7"/>
  <c r="AE46" i="7"/>
  <c r="AF46" i="7"/>
  <c r="AE34" i="7"/>
  <c r="AG34" i="7" s="1"/>
  <c r="AF34" i="7"/>
  <c r="AB28" i="8"/>
  <c r="AB53" i="7"/>
  <c r="AB35" i="7"/>
  <c r="AC36" i="7"/>
  <c r="AC43" i="7" s="1"/>
  <c r="AB47" i="7"/>
  <c r="AB41" i="7"/>
  <c r="AH24" i="4" l="1"/>
  <c r="N24" i="4"/>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48" i="4" s="1"/>
  <c r="N49" i="4" s="1"/>
  <c r="N50" i="4" s="1"/>
  <c r="N51" i="4" s="1"/>
  <c r="Y17" i="4"/>
  <c r="X17" i="7" s="1"/>
  <c r="D34" i="29"/>
  <c r="AG52" i="7"/>
  <c r="AG46" i="7"/>
  <c r="AG40" i="7"/>
  <c r="M55" i="4"/>
  <c r="M56" i="4" s="1"/>
  <c r="D26" i="29"/>
  <c r="I17" i="4"/>
  <c r="I15" i="7" s="1"/>
  <c r="D56" i="29"/>
  <c r="D18" i="29" s="1"/>
  <c r="Q8" i="4"/>
  <c r="P8" i="7" s="1"/>
  <c r="D40" i="29"/>
  <c r="AE35" i="7"/>
  <c r="AG35" i="7" s="1"/>
  <c r="AF35" i="7"/>
  <c r="AE28" i="8"/>
  <c r="AG28" i="8" s="1"/>
  <c r="AF28" i="8"/>
  <c r="AE41" i="7"/>
  <c r="AG41" i="7" s="1"/>
  <c r="AF41" i="7"/>
  <c r="AE47" i="7"/>
  <c r="AF47" i="7"/>
  <c r="AE53" i="7"/>
  <c r="AF53" i="7"/>
  <c r="Y14" i="4"/>
  <c r="X14" i="7" s="1"/>
  <c r="W18" i="4"/>
  <c r="Y15" i="4"/>
  <c r="X15" i="7" s="1"/>
  <c r="Y16" i="4"/>
  <c r="X16" i="7" s="1"/>
  <c r="AC50" i="7"/>
  <c r="AC26" i="8" s="1"/>
  <c r="AB29" i="8"/>
  <c r="AB43" i="8" s="1"/>
  <c r="AB48" i="7"/>
  <c r="AB54" i="7"/>
  <c r="AB36" i="7"/>
  <c r="AC37" i="7"/>
  <c r="AC44" i="7" s="1"/>
  <c r="AC51" i="7" s="1"/>
  <c r="AB42" i="7"/>
  <c r="N52" i="4" l="1"/>
  <c r="N53" i="4" s="1"/>
  <c r="N54" i="4" s="1"/>
  <c r="C9" i="4"/>
  <c r="C10" i="4" s="1"/>
  <c r="C12" i="4" s="1"/>
  <c r="C11" i="7" s="1"/>
  <c r="D17" i="29"/>
  <c r="D35" i="29"/>
  <c r="D41" i="29"/>
  <c r="D16" i="29"/>
  <c r="D28" i="29"/>
  <c r="AG47" i="7"/>
  <c r="AG53" i="7"/>
  <c r="AE36" i="7"/>
  <c r="AG36" i="7" s="1"/>
  <c r="AF36" i="7"/>
  <c r="AB24" i="8"/>
  <c r="AE48" i="7"/>
  <c r="AG48" i="7" s="1"/>
  <c r="AF48" i="7"/>
  <c r="AE42" i="7"/>
  <c r="AG42" i="7" s="1"/>
  <c r="AF42" i="7"/>
  <c r="AE54" i="7"/>
  <c r="AE29" i="8"/>
  <c r="AF29" i="8"/>
  <c r="Y18" i="4"/>
  <c r="X18" i="7"/>
  <c r="AC27" i="8"/>
  <c r="AB30" i="8"/>
  <c r="AB49" i="7"/>
  <c r="AB37" i="7"/>
  <c r="AB43" i="7"/>
  <c r="D19" i="29" l="1"/>
  <c r="D20" i="29" s="1"/>
  <c r="AG54" i="7"/>
  <c r="AG29" i="8"/>
  <c r="AE43" i="7"/>
  <c r="AG43" i="7" s="1"/>
  <c r="AF43" i="7"/>
  <c r="AE37" i="7"/>
  <c r="AF37" i="7"/>
  <c r="AE30" i="8"/>
  <c r="AF30" i="8"/>
  <c r="AE49" i="7"/>
  <c r="AG49" i="7" s="1"/>
  <c r="AF49" i="7"/>
  <c r="AE24" i="8"/>
  <c r="AF24" i="8"/>
  <c r="AB50" i="7"/>
  <c r="AB25" i="8"/>
  <c r="AB44" i="7"/>
  <c r="AG24" i="8" l="1"/>
  <c r="AG30" i="8"/>
  <c r="AG37" i="7"/>
  <c r="AF54" i="7"/>
  <c r="AE50" i="7"/>
  <c r="AG50" i="7" s="1"/>
  <c r="AF50" i="7"/>
  <c r="AE44" i="7"/>
  <c r="AF44" i="7"/>
  <c r="AE25" i="8"/>
  <c r="AF25" i="8"/>
  <c r="AB51" i="7"/>
  <c r="AB26" i="8"/>
  <c r="B25" i="8"/>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24" i="9" s="1"/>
  <c r="AG25" i="8" l="1"/>
  <c r="M25" i="8"/>
  <c r="AC40" i="8"/>
  <c r="AB40" i="8"/>
  <c r="AG44" i="7"/>
  <c r="AE26" i="8"/>
  <c r="AF26" i="8"/>
  <c r="AE51" i="7"/>
  <c r="AF51" i="7"/>
  <c r="AF55" i="7" s="1"/>
  <c r="AB27" i="8"/>
  <c r="AC31" i="8"/>
  <c r="AC38" i="8" s="1"/>
  <c r="AG26" i="8" l="1"/>
  <c r="M26" i="8"/>
  <c r="AC45" i="8"/>
  <c r="AC52" i="8" s="1"/>
  <c r="AC29" i="9" s="1"/>
  <c r="AC36" i="9" s="1"/>
  <c r="AC43" i="9" s="1"/>
  <c r="AC50" i="9" s="1"/>
  <c r="AC26" i="10" s="1"/>
  <c r="AC40" i="10" s="1"/>
  <c r="AG51" i="7"/>
  <c r="AD55" i="7" s="1"/>
  <c r="AE55" i="7"/>
  <c r="AE27" i="8"/>
  <c r="AF27" i="8"/>
  <c r="AC32" i="8"/>
  <c r="AC39" i="8" s="1"/>
  <c r="AC46" i="8" s="1"/>
  <c r="AC53" i="8" s="1"/>
  <c r="AC30" i="9" s="1"/>
  <c r="AC37" i="9" s="1"/>
  <c r="AC51" i="9" s="1"/>
  <c r="AB31" i="8"/>
  <c r="M27" i="8" l="1"/>
  <c r="AG27" i="8"/>
  <c r="AB56" i="7"/>
  <c r="M52" i="7" s="1"/>
  <c r="AH52" i="7" s="1"/>
  <c r="AE31" i="8"/>
  <c r="AG31" i="8" s="1"/>
  <c r="AF31" i="8"/>
  <c r="AC27" i="10"/>
  <c r="AC34" i="10" s="1"/>
  <c r="AC41" i="10" s="1"/>
  <c r="AC48" i="10" s="1"/>
  <c r="AC25" i="11" s="1"/>
  <c r="AC32" i="11" s="1"/>
  <c r="AC39" i="11" s="1"/>
  <c r="AC46" i="11" s="1"/>
  <c r="AC53" i="11" s="1"/>
  <c r="AC29" i="12" s="1"/>
  <c r="AB38" i="8"/>
  <c r="AB45" i="8" s="1"/>
  <c r="AB52" i="8" s="1"/>
  <c r="AC47" i="8"/>
  <c r="AC24" i="9" s="1"/>
  <c r="AB32" i="8"/>
  <c r="M54" i="7" l="1"/>
  <c r="AH54" i="7" s="1"/>
  <c r="M25" i="7"/>
  <c r="AH25" i="7" s="1"/>
  <c r="M32" i="7"/>
  <c r="AH32" i="7" s="1"/>
  <c r="M39" i="7"/>
  <c r="AH39" i="7" s="1"/>
  <c r="M46" i="7"/>
  <c r="AH46" i="7" s="1"/>
  <c r="M53" i="7"/>
  <c r="AH53" i="7" s="1"/>
  <c r="M26" i="7"/>
  <c r="AH26" i="7" s="1"/>
  <c r="M33" i="7"/>
  <c r="AH33" i="7" s="1"/>
  <c r="M40" i="7"/>
  <c r="AH40" i="7" s="1"/>
  <c r="M47" i="7"/>
  <c r="AH47" i="7" s="1"/>
  <c r="M29" i="7"/>
  <c r="AH29" i="7" s="1"/>
  <c r="M37" i="7"/>
  <c r="AH37" i="7" s="1"/>
  <c r="M41" i="7"/>
  <c r="AH41" i="7" s="1"/>
  <c r="M45" i="7"/>
  <c r="AH45" i="7" s="1"/>
  <c r="M49" i="7"/>
  <c r="AH49" i="7" s="1"/>
  <c r="M30" i="7"/>
  <c r="AH30" i="7" s="1"/>
  <c r="M34" i="7"/>
  <c r="AH34" i="7" s="1"/>
  <c r="M38" i="7"/>
  <c r="AH38" i="7" s="1"/>
  <c r="M42" i="7"/>
  <c r="AH42" i="7" s="1"/>
  <c r="M50" i="7"/>
  <c r="AH50" i="7" s="1"/>
  <c r="M27" i="7"/>
  <c r="AH27" i="7" s="1"/>
  <c r="M31" i="7"/>
  <c r="AH31" i="7" s="1"/>
  <c r="M35" i="7"/>
  <c r="AH35" i="7" s="1"/>
  <c r="M43" i="7"/>
  <c r="AH43" i="7" s="1"/>
  <c r="M51" i="7"/>
  <c r="AH51" i="7" s="1"/>
  <c r="M24" i="7"/>
  <c r="N24" i="7" s="1"/>
  <c r="N25" i="7" s="1"/>
  <c r="M28" i="7"/>
  <c r="AH28" i="7" s="1"/>
  <c r="M36" i="7"/>
  <c r="AH36" i="7" s="1"/>
  <c r="M44" i="7"/>
  <c r="AH44" i="7" s="1"/>
  <c r="M48" i="7"/>
  <c r="AH48" i="7" s="1"/>
  <c r="E53" i="29"/>
  <c r="Y17" i="7"/>
  <c r="X17" i="8" s="1"/>
  <c r="E26" i="29"/>
  <c r="E52" i="29"/>
  <c r="Y16" i="7"/>
  <c r="X16" i="8" s="1"/>
  <c r="Q8" i="7"/>
  <c r="P8" i="8" s="1"/>
  <c r="AC31" i="9"/>
  <c r="AC38" i="9" s="1"/>
  <c r="AC45" i="9" s="1"/>
  <c r="AC52" i="9" s="1"/>
  <c r="AC28" i="10" s="1"/>
  <c r="AC35" i="10" s="1"/>
  <c r="AC42" i="10" s="1"/>
  <c r="AC49" i="10" s="1"/>
  <c r="AC26" i="11" s="1"/>
  <c r="AC33" i="11" s="1"/>
  <c r="AC40" i="11" s="1"/>
  <c r="AC47" i="11" s="1"/>
  <c r="AC54" i="11" s="1"/>
  <c r="AC30" i="12" s="1"/>
  <c r="AC37" i="12" s="1"/>
  <c r="AC44" i="12" s="1"/>
  <c r="AC51" i="12" s="1"/>
  <c r="AC27" i="13" s="1"/>
  <c r="AC34" i="13" s="1"/>
  <c r="AC41" i="13" s="1"/>
  <c r="AC48" i="13" s="1"/>
  <c r="AC25" i="14" s="1"/>
  <c r="AE38" i="8"/>
  <c r="AG38" i="8" s="1"/>
  <c r="AF38" i="8"/>
  <c r="AE32" i="8"/>
  <c r="AG32" i="8" s="1"/>
  <c r="AF32" i="8"/>
  <c r="AC34" i="8"/>
  <c r="AC41" i="8" s="1"/>
  <c r="AB39" i="8"/>
  <c r="AC48" i="8" l="1"/>
  <c r="AC25" i="9" s="1"/>
  <c r="AC32" i="9" s="1"/>
  <c r="AC39" i="9" s="1"/>
  <c r="AC46" i="9" s="1"/>
  <c r="AC53" i="9" s="1"/>
  <c r="N26" i="7"/>
  <c r="N27" i="7" s="1"/>
  <c r="N28" i="7" s="1"/>
  <c r="N29" i="7" s="1"/>
  <c r="N30" i="7" s="1"/>
  <c r="N31" i="7" s="1"/>
  <c r="N32" i="7" s="1"/>
  <c r="N33" i="7" s="1"/>
  <c r="N34" i="7" s="1"/>
  <c r="N35" i="7" s="1"/>
  <c r="N36" i="7" s="1"/>
  <c r="N37" i="7" s="1"/>
  <c r="N38" i="7" s="1"/>
  <c r="N39" i="7" s="1"/>
  <c r="N40" i="7" s="1"/>
  <c r="N41" i="7" s="1"/>
  <c r="N42" i="7" s="1"/>
  <c r="N43" i="7" s="1"/>
  <c r="N44" i="7" s="1"/>
  <c r="N45" i="7" s="1"/>
  <c r="N46" i="7" s="1"/>
  <c r="N47" i="7" s="1"/>
  <c r="N48" i="7" s="1"/>
  <c r="N49" i="7" s="1"/>
  <c r="N50" i="7" s="1"/>
  <c r="N51" i="7" s="1"/>
  <c r="N52" i="7" s="1"/>
  <c r="N53" i="7" s="1"/>
  <c r="N54" i="7" s="1"/>
  <c r="E28" i="29"/>
  <c r="AH24" i="7"/>
  <c r="E54" i="29"/>
  <c r="I17" i="7"/>
  <c r="I15" i="8" s="1"/>
  <c r="F18" i="7"/>
  <c r="E40" i="29"/>
  <c r="E55" i="29"/>
  <c r="I11" i="7"/>
  <c r="I8" i="8" s="1"/>
  <c r="Y15" i="7"/>
  <c r="X15" i="8" s="1"/>
  <c r="E16" i="29"/>
  <c r="E34" i="29"/>
  <c r="E35" i="29" s="1"/>
  <c r="Y14" i="7"/>
  <c r="X14" i="8" s="1"/>
  <c r="W18" i="7"/>
  <c r="M55" i="7"/>
  <c r="M56" i="7" s="1"/>
  <c r="AE39" i="8"/>
  <c r="AG39" i="8" s="1"/>
  <c r="AF39" i="8"/>
  <c r="AE33" i="8"/>
  <c r="AG33" i="8" s="1"/>
  <c r="AF33" i="8"/>
  <c r="AE45" i="8"/>
  <c r="AG45" i="8" s="1"/>
  <c r="AF45" i="8"/>
  <c r="AB46" i="8"/>
  <c r="AB34" i="8"/>
  <c r="AC35" i="8"/>
  <c r="AC26" i="9" l="1"/>
  <c r="AC33" i="9" s="1"/>
  <c r="AC40" i="9" s="1"/>
  <c r="AC47" i="9" s="1"/>
  <c r="AC42" i="8"/>
  <c r="E56" i="29"/>
  <c r="E18" i="29" s="1"/>
  <c r="C9" i="7"/>
  <c r="C10" i="7" s="1"/>
  <c r="C12" i="7" s="1"/>
  <c r="C11" i="8" s="1"/>
  <c r="E41" i="29"/>
  <c r="E17" i="29"/>
  <c r="X18" i="8"/>
  <c r="Y18" i="7"/>
  <c r="AE34" i="8"/>
  <c r="AF34" i="8"/>
  <c r="AE46" i="8"/>
  <c r="AG46" i="8" s="1"/>
  <c r="AF46" i="8"/>
  <c r="AE40" i="8"/>
  <c r="AF40" i="8"/>
  <c r="AE52" i="8"/>
  <c r="AG52" i="8" s="1"/>
  <c r="AF52" i="8"/>
  <c r="AC54" i="9"/>
  <c r="AC30" i="10" s="1"/>
  <c r="AC37" i="10" s="1"/>
  <c r="AC44" i="10" s="1"/>
  <c r="AC51" i="10" s="1"/>
  <c r="AC28" i="11" s="1"/>
  <c r="AC35" i="11" s="1"/>
  <c r="AC42" i="11" s="1"/>
  <c r="AC49" i="11" s="1"/>
  <c r="AB29" i="9"/>
  <c r="AB35" i="8"/>
  <c r="AB42" i="8" s="1"/>
  <c r="AB47" i="8"/>
  <c r="AC50" i="8"/>
  <c r="AC27" i="9" s="1"/>
  <c r="AC34" i="9" s="1"/>
  <c r="AC41" i="9" s="1"/>
  <c r="AC48" i="9" s="1"/>
  <c r="AC31" i="10" s="1"/>
  <c r="AB41" i="8"/>
  <c r="AB53" i="8"/>
  <c r="AG40" i="8" l="1"/>
  <c r="E19" i="29"/>
  <c r="E20" i="29" s="1"/>
  <c r="AG34" i="8"/>
  <c r="AC25" i="12"/>
  <c r="AC32" i="12" s="1"/>
  <c r="AC39" i="12" s="1"/>
  <c r="AC46" i="12" s="1"/>
  <c r="AC53" i="12" s="1"/>
  <c r="AC29" i="13" s="1"/>
  <c r="AC36" i="13" s="1"/>
  <c r="AC43" i="13" s="1"/>
  <c r="AC50" i="13" s="1"/>
  <c r="AC27" i="14" s="1"/>
  <c r="AC34" i="14" s="1"/>
  <c r="AC41" i="14" s="1"/>
  <c r="AC48" i="14" s="1"/>
  <c r="AC24" i="15" s="1"/>
  <c r="AC31" i="15" s="1"/>
  <c r="AE47" i="8"/>
  <c r="AG47" i="8" s="1"/>
  <c r="AF47" i="8"/>
  <c r="AE41" i="8"/>
  <c r="AF41" i="8"/>
  <c r="AE35" i="8"/>
  <c r="AG35" i="8" s="1"/>
  <c r="AF35" i="8"/>
  <c r="AE29" i="9"/>
  <c r="AG29" i="9" s="1"/>
  <c r="AF29" i="9"/>
  <c r="AF53" i="8"/>
  <c r="AE53" i="8"/>
  <c r="AG53" i="8" s="1"/>
  <c r="AC38" i="10"/>
  <c r="AC45" i="10" s="1"/>
  <c r="AC52" i="10" s="1"/>
  <c r="AC29" i="11" s="1"/>
  <c r="AC36" i="11" s="1"/>
  <c r="AC43" i="11" s="1"/>
  <c r="AC50" i="11" s="1"/>
  <c r="AC26" i="12" s="1"/>
  <c r="AC33" i="12" s="1"/>
  <c r="AC40" i="12" s="1"/>
  <c r="AC47" i="12" s="1"/>
  <c r="AC54" i="12" s="1"/>
  <c r="AC30" i="13" s="1"/>
  <c r="AC37" i="13" s="1"/>
  <c r="AC44" i="13" s="1"/>
  <c r="AC51" i="13" s="1"/>
  <c r="AC28" i="14" s="1"/>
  <c r="AC35" i="14" s="1"/>
  <c r="AC42" i="14" s="1"/>
  <c r="AC49" i="14" s="1"/>
  <c r="AC25" i="15" s="1"/>
  <c r="AB24" i="9"/>
  <c r="AB36" i="9"/>
  <c r="AB30" i="9"/>
  <c r="AB48" i="8"/>
  <c r="AC37" i="8"/>
  <c r="AC44" i="8" s="1"/>
  <c r="AC51" i="8" s="1"/>
  <c r="AC28" i="9" s="1"/>
  <c r="AC35" i="9" s="1"/>
  <c r="AC42" i="9" s="1"/>
  <c r="AC49" i="9" s="1"/>
  <c r="AG41" i="8" l="1"/>
  <c r="AE36" i="8"/>
  <c r="AF36" i="8"/>
  <c r="AE30" i="9"/>
  <c r="AG30" i="9" s="1"/>
  <c r="AF30" i="9"/>
  <c r="AE36" i="9"/>
  <c r="AG36" i="9" s="1"/>
  <c r="AF36" i="9"/>
  <c r="AE42" i="8"/>
  <c r="AG42" i="8" s="1"/>
  <c r="AF42" i="8"/>
  <c r="AE48" i="8"/>
  <c r="AF48" i="8"/>
  <c r="AE24" i="9"/>
  <c r="AF24" i="9"/>
  <c r="AB25" i="9"/>
  <c r="AC47" i="10"/>
  <c r="AC24" i="11" s="1"/>
  <c r="AC31" i="11" s="1"/>
  <c r="AC38" i="11" s="1"/>
  <c r="AC45" i="11" s="1"/>
  <c r="AC52" i="11" s="1"/>
  <c r="AC28" i="12" s="1"/>
  <c r="AC35" i="12" s="1"/>
  <c r="AC42" i="12" s="1"/>
  <c r="AC49" i="12" s="1"/>
  <c r="AC25" i="13" s="1"/>
  <c r="AC25" i="10"/>
  <c r="AC32" i="10" s="1"/>
  <c r="AC39" i="10" s="1"/>
  <c r="AC46" i="10" s="1"/>
  <c r="AC53" i="10" s="1"/>
  <c r="AC30" i="11" s="1"/>
  <c r="AC37" i="11" s="1"/>
  <c r="AC44" i="11" s="1"/>
  <c r="AC51" i="11" s="1"/>
  <c r="AC27" i="12" s="1"/>
  <c r="AC34" i="12" s="1"/>
  <c r="AC41" i="12" s="1"/>
  <c r="AC48" i="12" s="1"/>
  <c r="AC24" i="13" s="1"/>
  <c r="AC31" i="13" s="1"/>
  <c r="AC38" i="13" s="1"/>
  <c r="AC45" i="13" s="1"/>
  <c r="AC52" i="13" s="1"/>
  <c r="AC29" i="14" s="1"/>
  <c r="AC36" i="14" s="1"/>
  <c r="AC43" i="14" s="1"/>
  <c r="AC50" i="14" s="1"/>
  <c r="AC26" i="15" s="1"/>
  <c r="AC33" i="15" s="1"/>
  <c r="AC40" i="15" s="1"/>
  <c r="AC47" i="15" s="1"/>
  <c r="AB37" i="9"/>
  <c r="AB51" i="9" s="1"/>
  <c r="AB31" i="9"/>
  <c r="AB43" i="9"/>
  <c r="AC36" i="12"/>
  <c r="AC43" i="12" s="1"/>
  <c r="AC50" i="12" s="1"/>
  <c r="AC26" i="13" s="1"/>
  <c r="AC33" i="13" s="1"/>
  <c r="AC40" i="13" s="1"/>
  <c r="AC47" i="13" s="1"/>
  <c r="AC24" i="14" s="1"/>
  <c r="AC31" i="14" s="1"/>
  <c r="AC38" i="14" s="1"/>
  <c r="AC45" i="14" s="1"/>
  <c r="AC52" i="14" s="1"/>
  <c r="AC28" i="15" s="1"/>
  <c r="AC35" i="15" s="1"/>
  <c r="AC42" i="15" s="1"/>
  <c r="AC49" i="15" s="1"/>
  <c r="AC38" i="15"/>
  <c r="AC32" i="15"/>
  <c r="AC39" i="15" s="1"/>
  <c r="AC46" i="15" s="1"/>
  <c r="AC53" i="15" s="1"/>
  <c r="AC30" i="16" s="1"/>
  <c r="AC37" i="16" s="1"/>
  <c r="AC44" i="16" s="1"/>
  <c r="AC51" i="16" s="1"/>
  <c r="AC32" i="14"/>
  <c r="AC39" i="14" s="1"/>
  <c r="AC46" i="14" s="1"/>
  <c r="AC53" i="14" s="1"/>
  <c r="AC29" i="15" s="1"/>
  <c r="AC36" i="15" s="1"/>
  <c r="AC43" i="15" s="1"/>
  <c r="AC50" i="15" s="1"/>
  <c r="AC27" i="16" s="1"/>
  <c r="AC34" i="16" s="1"/>
  <c r="AC41" i="16" s="1"/>
  <c r="AB37" i="8"/>
  <c r="AG24" i="9" l="1"/>
  <c r="AC26" i="16"/>
  <c r="AC33" i="16" s="1"/>
  <c r="AC40" i="16" s="1"/>
  <c r="AC54" i="16" s="1"/>
  <c r="AC24" i="16"/>
  <c r="AC31" i="16" s="1"/>
  <c r="AC38" i="16" s="1"/>
  <c r="AC45" i="16" s="1"/>
  <c r="AC52" i="16" s="1"/>
  <c r="AG36" i="8"/>
  <c r="AG48" i="8"/>
  <c r="AE49" i="8"/>
  <c r="AG49" i="8" s="1"/>
  <c r="AF49" i="8"/>
  <c r="AE37" i="8"/>
  <c r="AF37" i="8"/>
  <c r="AE31" i="9"/>
  <c r="AG31" i="9" s="1"/>
  <c r="AF31" i="9"/>
  <c r="AE43" i="8"/>
  <c r="AF43" i="8"/>
  <c r="AF43" i="9"/>
  <c r="AE43" i="9"/>
  <c r="AF37" i="9"/>
  <c r="AE37" i="9"/>
  <c r="AG37" i="9" s="1"/>
  <c r="AE25" i="9"/>
  <c r="AF25" i="9"/>
  <c r="AB26" i="9"/>
  <c r="AB38" i="9"/>
  <c r="AB32" i="9"/>
  <c r="AB50" i="9"/>
  <c r="AC32" i="13"/>
  <c r="AC39" i="13" s="1"/>
  <c r="AC46" i="13" s="1"/>
  <c r="AC53" i="13" s="1"/>
  <c r="AC30" i="14" s="1"/>
  <c r="AC37" i="14" s="1"/>
  <c r="AC44" i="14" s="1"/>
  <c r="AC51" i="14" s="1"/>
  <c r="AC27" i="15" s="1"/>
  <c r="AC34" i="15" s="1"/>
  <c r="AC41" i="15" s="1"/>
  <c r="AC48" i="15" s="1"/>
  <c r="AC25" i="16" s="1"/>
  <c r="AC45" i="15"/>
  <c r="AB44" i="8"/>
  <c r="AB50" i="8"/>
  <c r="B25" i="9"/>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24" i="10" s="1"/>
  <c r="AB33" i="9" l="1"/>
  <c r="AE33" i="9" s="1"/>
  <c r="AG33" i="9" s="1"/>
  <c r="AG43" i="8"/>
  <c r="AG37" i="8"/>
  <c r="AG43" i="9"/>
  <c r="AG25" i="9"/>
  <c r="AC32" i="16"/>
  <c r="AC39" i="16" s="1"/>
  <c r="AC46" i="16" s="1"/>
  <c r="AC53" i="16" s="1"/>
  <c r="AE44" i="8"/>
  <c r="AF44" i="8"/>
  <c r="AE32" i="9"/>
  <c r="AG32" i="9" s="1"/>
  <c r="AF32" i="9"/>
  <c r="AF44" i="9"/>
  <c r="AE44" i="9"/>
  <c r="AG44" i="9" s="1"/>
  <c r="AE50" i="8"/>
  <c r="AF50" i="8"/>
  <c r="AF50" i="9"/>
  <c r="AE50" i="9"/>
  <c r="AG50" i="9" s="1"/>
  <c r="AF38" i="9"/>
  <c r="AE38" i="9"/>
  <c r="AG38" i="9" s="1"/>
  <c r="AE26" i="9"/>
  <c r="AG26" i="9" s="1"/>
  <c r="AF26" i="9"/>
  <c r="AB27" i="9"/>
  <c r="AB39" i="9"/>
  <c r="AB45" i="9"/>
  <c r="AB26" i="10"/>
  <c r="AC52" i="15"/>
  <c r="AB51" i="8"/>
  <c r="AB40" i="10" l="1"/>
  <c r="AC33" i="10"/>
  <c r="AB33" i="10"/>
  <c r="AB40" i="9"/>
  <c r="AB47" i="9" s="1"/>
  <c r="AF33" i="9"/>
  <c r="AG44" i="8"/>
  <c r="AG50" i="8"/>
  <c r="AE51" i="8"/>
  <c r="AF51" i="8"/>
  <c r="AF55" i="8" s="1"/>
  <c r="AE26" i="10"/>
  <c r="AG26" i="10" s="1"/>
  <c r="AF26" i="10"/>
  <c r="AF40" i="9"/>
  <c r="AF51" i="9"/>
  <c r="AE51" i="9"/>
  <c r="AG51" i="9" s="1"/>
  <c r="AF45" i="9"/>
  <c r="AE45" i="9"/>
  <c r="AG45" i="9" s="1"/>
  <c r="AF39" i="9"/>
  <c r="AE39" i="9"/>
  <c r="AE27" i="9"/>
  <c r="AF27" i="9"/>
  <c r="AB52" i="9"/>
  <c r="AB27" i="10"/>
  <c r="AB34" i="9"/>
  <c r="AB46" i="9"/>
  <c r="AB53" i="9" s="1"/>
  <c r="AC29" i="16"/>
  <c r="AB28" i="9"/>
  <c r="AC29" i="10" l="1"/>
  <c r="AC36" i="10" s="1"/>
  <c r="AC43" i="10" s="1"/>
  <c r="AC50" i="10" s="1"/>
  <c r="AC27" i="11" s="1"/>
  <c r="AC34" i="11" s="1"/>
  <c r="AC41" i="11" s="1"/>
  <c r="AC48" i="11" s="1"/>
  <c r="AB29" i="10"/>
  <c r="AE40" i="9"/>
  <c r="AG40" i="9" s="1"/>
  <c r="AG27" i="9"/>
  <c r="AG51" i="8"/>
  <c r="AD55" i="8" s="1"/>
  <c r="AG39" i="9"/>
  <c r="AE55" i="8"/>
  <c r="AE28" i="9"/>
  <c r="AF28" i="9"/>
  <c r="AE34" i="9"/>
  <c r="AF34" i="9"/>
  <c r="AF27" i="10"/>
  <c r="AE27" i="10"/>
  <c r="AG27" i="10" s="1"/>
  <c r="AF52" i="9"/>
  <c r="AE52" i="9"/>
  <c r="AG52" i="9" s="1"/>
  <c r="AF46" i="9"/>
  <c r="AE46" i="9"/>
  <c r="AF47" i="9"/>
  <c r="AE47" i="9"/>
  <c r="AG47" i="9" s="1"/>
  <c r="AB28" i="10"/>
  <c r="AB41" i="9"/>
  <c r="AB34" i="10"/>
  <c r="AB54" i="9"/>
  <c r="AC36" i="16"/>
  <c r="AB35" i="9"/>
  <c r="AC31" i="12" l="1"/>
  <c r="AC38" i="12" s="1"/>
  <c r="AC45" i="12" s="1"/>
  <c r="AC52" i="12" s="1"/>
  <c r="AC28" i="13" s="1"/>
  <c r="AC35" i="13" s="1"/>
  <c r="AC42" i="13" s="1"/>
  <c r="AC49" i="13" s="1"/>
  <c r="AC26" i="14" s="1"/>
  <c r="AC33" i="14" s="1"/>
  <c r="AC40" i="14" s="1"/>
  <c r="AC47" i="14" s="1"/>
  <c r="AC54" i="14" s="1"/>
  <c r="AC30" i="15" s="1"/>
  <c r="AC37" i="15" s="1"/>
  <c r="AC44" i="15" s="1"/>
  <c r="AC51" i="15" s="1"/>
  <c r="AC28" i="16" s="1"/>
  <c r="AC35" i="16" s="1"/>
  <c r="AC42" i="16" s="1"/>
  <c r="AC49" i="16" s="1"/>
  <c r="AG34" i="9"/>
  <c r="AG28" i="9"/>
  <c r="AB56" i="8"/>
  <c r="M36" i="8" s="1"/>
  <c r="AG46" i="9"/>
  <c r="AE35" i="9"/>
  <c r="AF35" i="9"/>
  <c r="AF54" i="9"/>
  <c r="AE54" i="9"/>
  <c r="AG54" i="9" s="1"/>
  <c r="AF41" i="9"/>
  <c r="AE41" i="9"/>
  <c r="AE34" i="10"/>
  <c r="AG34" i="10" s="1"/>
  <c r="AF34" i="10"/>
  <c r="AF53" i="9"/>
  <c r="AE53" i="9"/>
  <c r="AE28" i="10"/>
  <c r="AG28" i="10" s="1"/>
  <c r="AF28" i="10"/>
  <c r="AB42" i="9"/>
  <c r="AB41" i="10"/>
  <c r="AB35" i="10"/>
  <c r="AB30" i="10"/>
  <c r="AB48" i="9"/>
  <c r="AB31" i="10" s="1"/>
  <c r="AC43" i="16"/>
  <c r="M43" i="8" l="1"/>
  <c r="AH43" i="8" s="1"/>
  <c r="M40" i="8"/>
  <c r="AH40" i="8" s="1"/>
  <c r="M24" i="8"/>
  <c r="N24" i="8" s="1"/>
  <c r="M29" i="8"/>
  <c r="AH29" i="8" s="1"/>
  <c r="AH36" i="8"/>
  <c r="M50" i="8"/>
  <c r="AH50" i="8" s="1"/>
  <c r="M30" i="8"/>
  <c r="AH30" i="8" s="1"/>
  <c r="M37" i="8"/>
  <c r="AH37" i="8" s="1"/>
  <c r="M44" i="8"/>
  <c r="AH44" i="8" s="1"/>
  <c r="M51" i="8"/>
  <c r="AH51" i="8" s="1"/>
  <c r="AH27" i="8"/>
  <c r="M31" i="8"/>
  <c r="AH31" i="8" s="1"/>
  <c r="M35" i="8"/>
  <c r="AH35" i="8" s="1"/>
  <c r="M39" i="8"/>
  <c r="AH39" i="8" s="1"/>
  <c r="M47" i="8"/>
  <c r="AH47" i="8" s="1"/>
  <c r="M28" i="8"/>
  <c r="AH28" i="8" s="1"/>
  <c r="M32" i="8"/>
  <c r="AH32" i="8" s="1"/>
  <c r="M48" i="8"/>
  <c r="AH48" i="8" s="1"/>
  <c r="M52" i="8"/>
  <c r="AH52" i="8" s="1"/>
  <c r="M33" i="8"/>
  <c r="AH33" i="8" s="1"/>
  <c r="M41" i="8"/>
  <c r="AH41" i="8" s="1"/>
  <c r="M45" i="8"/>
  <c r="AH45" i="8" s="1"/>
  <c r="M49" i="8"/>
  <c r="AH49" i="8" s="1"/>
  <c r="M53" i="8"/>
  <c r="AH53" i="8" s="1"/>
  <c r="AH26" i="8"/>
  <c r="M34" i="8"/>
  <c r="AH34" i="8" s="1"/>
  <c r="M38" i="8"/>
  <c r="AH38" i="8" s="1"/>
  <c r="M42" i="8"/>
  <c r="AH42" i="8" s="1"/>
  <c r="M46" i="8"/>
  <c r="AH46" i="8" s="1"/>
  <c r="AG41" i="9"/>
  <c r="AG35" i="9"/>
  <c r="AG53" i="9"/>
  <c r="AF33" i="10"/>
  <c r="AE33" i="10"/>
  <c r="AG33" i="10" s="1"/>
  <c r="AF48" i="9"/>
  <c r="AE48" i="9"/>
  <c r="AF29" i="10"/>
  <c r="AE29" i="10"/>
  <c r="AG29" i="10" s="1"/>
  <c r="AF41" i="10"/>
  <c r="AE41" i="10"/>
  <c r="AG41" i="10" s="1"/>
  <c r="AB37" i="10"/>
  <c r="AE30" i="10"/>
  <c r="AG30" i="10" s="1"/>
  <c r="AF30" i="10"/>
  <c r="AF35" i="10"/>
  <c r="AE35" i="10"/>
  <c r="AG35" i="10" s="1"/>
  <c r="AF42" i="9"/>
  <c r="AE42" i="9"/>
  <c r="AB42" i="10"/>
  <c r="AB36" i="10"/>
  <c r="AB48" i="10"/>
  <c r="AB49" i="9"/>
  <c r="AC50" i="16"/>
  <c r="AH24" i="8" l="1"/>
  <c r="AH25" i="8"/>
  <c r="N25" i="8"/>
  <c r="N26" i="8" s="1"/>
  <c r="N27" i="8" s="1"/>
  <c r="N28" i="8" s="1"/>
  <c r="N29" i="8" s="1"/>
  <c r="N30" i="8" s="1"/>
  <c r="N31" i="8" s="1"/>
  <c r="N32" i="8" s="1"/>
  <c r="N33" i="8" s="1"/>
  <c r="N34" i="8" s="1"/>
  <c r="N35" i="8" s="1"/>
  <c r="N36" i="8" s="1"/>
  <c r="N37" i="8" s="1"/>
  <c r="N38" i="8" s="1"/>
  <c r="N39" i="8" s="1"/>
  <c r="N40" i="8" s="1"/>
  <c r="N41" i="8" s="1"/>
  <c r="N42" i="8" s="1"/>
  <c r="N43" i="8" s="1"/>
  <c r="N44" i="8" s="1"/>
  <c r="N45" i="8" s="1"/>
  <c r="N46" i="8" s="1"/>
  <c r="N47" i="8" s="1"/>
  <c r="N48" i="8" s="1"/>
  <c r="N49" i="8" s="1"/>
  <c r="N50" i="8" s="1"/>
  <c r="N51" i="8" s="1"/>
  <c r="N52" i="8" s="1"/>
  <c r="N53" i="8" s="1"/>
  <c r="N54" i="8" s="1"/>
  <c r="AB44" i="10"/>
  <c r="AF44" i="10" s="1"/>
  <c r="AG48" i="9"/>
  <c r="AG42" i="9"/>
  <c r="AE24" i="10"/>
  <c r="AF24" i="10"/>
  <c r="AE40" i="10"/>
  <c r="AG40" i="10" s="1"/>
  <c r="AF40" i="10"/>
  <c r="AE36" i="10"/>
  <c r="AG36" i="10" s="1"/>
  <c r="AF36" i="10"/>
  <c r="AF49" i="9"/>
  <c r="AF55" i="9" s="1"/>
  <c r="AE49" i="9"/>
  <c r="AE55" i="9" s="1"/>
  <c r="AE48" i="10"/>
  <c r="AG48" i="10" s="1"/>
  <c r="AF48" i="10"/>
  <c r="AE42" i="10"/>
  <c r="AG42" i="10" s="1"/>
  <c r="AF42" i="10"/>
  <c r="AF37" i="10"/>
  <c r="AE37" i="10"/>
  <c r="AG37" i="10" s="1"/>
  <c r="AB25" i="10"/>
  <c r="AB43" i="10"/>
  <c r="AB25" i="11"/>
  <c r="AB49" i="10"/>
  <c r="AB47" i="10"/>
  <c r="AE44" i="10" l="1"/>
  <c r="AG44" i="10" s="1"/>
  <c r="AB51" i="10"/>
  <c r="AF51" i="10" s="1"/>
  <c r="AB24" i="11"/>
  <c r="AG24" i="10"/>
  <c r="AG49" i="9"/>
  <c r="AD55" i="9" s="1"/>
  <c r="AB56" i="9" s="1"/>
  <c r="AF47" i="10"/>
  <c r="AE47" i="10"/>
  <c r="AG47" i="10" s="1"/>
  <c r="AF49" i="10"/>
  <c r="AE49" i="10"/>
  <c r="AG49" i="10" s="1"/>
  <c r="AF31" i="10"/>
  <c r="AE31" i="10"/>
  <c r="AF43" i="10"/>
  <c r="AE43" i="10"/>
  <c r="AG43" i="10" s="1"/>
  <c r="AF25" i="10"/>
  <c r="AE25" i="10"/>
  <c r="AF25" i="11"/>
  <c r="AE25" i="11"/>
  <c r="AG25" i="11" s="1"/>
  <c r="AB26" i="11"/>
  <c r="AB32" i="11"/>
  <c r="AB50" i="10"/>
  <c r="AB32" i="10"/>
  <c r="AB28" i="11"/>
  <c r="AB38" i="10"/>
  <c r="AE51" i="10" l="1"/>
  <c r="AG51" i="10" s="1"/>
  <c r="M27" i="9"/>
  <c r="AH27" i="9" s="1"/>
  <c r="M34" i="9"/>
  <c r="AH34" i="9" s="1"/>
  <c r="M41" i="9"/>
  <c r="AH41" i="9" s="1"/>
  <c r="M48" i="9"/>
  <c r="AH48" i="9" s="1"/>
  <c r="M32" i="9"/>
  <c r="AH32" i="9" s="1"/>
  <c r="M42" i="9"/>
  <c r="AH42" i="9" s="1"/>
  <c r="M49" i="9"/>
  <c r="AH49" i="9" s="1"/>
  <c r="M43" i="9"/>
  <c r="AH43" i="9" s="1"/>
  <c r="M28" i="9"/>
  <c r="AH28" i="9" s="1"/>
  <c r="M35" i="9"/>
  <c r="AH35" i="9" s="1"/>
  <c r="AG31" i="10"/>
  <c r="AG25" i="10"/>
  <c r="AF28" i="11"/>
  <c r="AE28" i="11"/>
  <c r="AG28" i="11" s="1"/>
  <c r="AF24" i="11"/>
  <c r="AE24" i="11"/>
  <c r="AG24" i="11" s="1"/>
  <c r="AE38" i="10"/>
  <c r="AF38" i="10"/>
  <c r="AE32" i="10"/>
  <c r="AF32" i="10"/>
  <c r="AF32" i="11"/>
  <c r="AE32" i="11"/>
  <c r="AG32" i="11" s="1"/>
  <c r="AE50" i="10"/>
  <c r="AG50" i="10" s="1"/>
  <c r="AF50" i="10"/>
  <c r="AF26" i="11"/>
  <c r="AE26" i="11"/>
  <c r="AG26" i="11" s="1"/>
  <c r="AB45" i="10"/>
  <c r="AB33" i="11"/>
  <c r="AB35" i="11"/>
  <c r="AB39" i="10"/>
  <c r="AB27" i="11"/>
  <c r="AB39" i="11"/>
  <c r="AB31" i="11"/>
  <c r="M26" i="9" l="1"/>
  <c r="AH26" i="9" s="1"/>
  <c r="M30" i="9"/>
  <c r="AH30" i="9" s="1"/>
  <c r="M38" i="9"/>
  <c r="AH38" i="9" s="1"/>
  <c r="M46" i="9"/>
  <c r="AH46" i="9" s="1"/>
  <c r="M50" i="9"/>
  <c r="AH50" i="9" s="1"/>
  <c r="M54" i="9"/>
  <c r="AH54" i="9" s="1"/>
  <c r="M31" i="9"/>
  <c r="AH31" i="9" s="1"/>
  <c r="M39" i="9"/>
  <c r="AH39" i="9" s="1"/>
  <c r="M47" i="9"/>
  <c r="AH47" i="9" s="1"/>
  <c r="M51" i="9"/>
  <c r="AH51" i="9" s="1"/>
  <c r="M24" i="9"/>
  <c r="AH24" i="9" s="1"/>
  <c r="M36" i="9"/>
  <c r="AH36" i="9" s="1"/>
  <c r="M40" i="9"/>
  <c r="AH40" i="9" s="1"/>
  <c r="M44" i="9"/>
  <c r="AH44" i="9" s="1"/>
  <c r="M52" i="9"/>
  <c r="AH52" i="9" s="1"/>
  <c r="M25" i="9"/>
  <c r="AH25" i="9" s="1"/>
  <c r="M29" i="9"/>
  <c r="AH29" i="9" s="1"/>
  <c r="M33" i="9"/>
  <c r="AH33" i="9" s="1"/>
  <c r="M37" i="9"/>
  <c r="AH37" i="9" s="1"/>
  <c r="M45" i="9"/>
  <c r="AH45" i="9" s="1"/>
  <c r="M53" i="9"/>
  <c r="AH53" i="9" s="1"/>
  <c r="AG32" i="10"/>
  <c r="AG38" i="10"/>
  <c r="B25" i="10"/>
  <c r="AF39" i="10"/>
  <c r="AE39" i="10"/>
  <c r="AF33" i="11"/>
  <c r="AE33" i="11"/>
  <c r="AG33" i="11" s="1"/>
  <c r="AF31" i="11"/>
  <c r="AE31" i="11"/>
  <c r="AG31" i="11" s="1"/>
  <c r="AF39" i="11"/>
  <c r="AE39" i="11"/>
  <c r="AG39" i="11" s="1"/>
  <c r="AF27" i="11"/>
  <c r="AE27" i="11"/>
  <c r="AG27" i="11" s="1"/>
  <c r="AF35" i="11"/>
  <c r="AE35" i="11"/>
  <c r="AG35" i="11" s="1"/>
  <c r="AF45" i="10"/>
  <c r="AE45" i="10"/>
  <c r="AB46" i="11"/>
  <c r="AB34" i="11"/>
  <c r="AB46" i="10"/>
  <c r="AB42" i="11"/>
  <c r="AB40" i="11"/>
  <c r="AB52" i="10"/>
  <c r="AB38" i="11"/>
  <c r="AG45" i="10" l="1"/>
  <c r="AG39" i="10"/>
  <c r="B26" i="10"/>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AF38" i="11"/>
  <c r="AE38" i="11"/>
  <c r="AG38" i="11" s="1"/>
  <c r="AE52" i="10"/>
  <c r="AF52" i="10"/>
  <c r="AF42" i="11"/>
  <c r="AE42" i="11"/>
  <c r="AG42" i="11" s="1"/>
  <c r="AF40" i="11"/>
  <c r="AE40" i="11"/>
  <c r="AG40" i="11" s="1"/>
  <c r="AE46" i="10"/>
  <c r="AF46" i="10"/>
  <c r="AF34" i="11"/>
  <c r="AE34" i="11"/>
  <c r="AG34" i="11" s="1"/>
  <c r="AF46" i="11"/>
  <c r="AE46" i="11"/>
  <c r="AG46" i="11" s="1"/>
  <c r="AB29" i="11"/>
  <c r="AB47" i="11"/>
  <c r="AB49" i="11"/>
  <c r="AB53" i="10"/>
  <c r="AB41" i="11"/>
  <c r="AB53" i="11"/>
  <c r="AB45" i="11"/>
  <c r="AB54" i="11" l="1"/>
  <c r="AB25" i="12"/>
  <c r="AG46" i="10"/>
  <c r="AG52" i="10"/>
  <c r="B24" i="1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AF47" i="11"/>
  <c r="AE47" i="11"/>
  <c r="AG47" i="11" s="1"/>
  <c r="AF45" i="11"/>
  <c r="AE45" i="11"/>
  <c r="AG45" i="11" s="1"/>
  <c r="AF41" i="11"/>
  <c r="AE41" i="11"/>
  <c r="AG41" i="11" s="1"/>
  <c r="AF53" i="11"/>
  <c r="AE53" i="11"/>
  <c r="AG53" i="11" s="1"/>
  <c r="AE53" i="10"/>
  <c r="AF53" i="10"/>
  <c r="AF55" i="10" s="1"/>
  <c r="AF49" i="11"/>
  <c r="AE49" i="11"/>
  <c r="AG49" i="11" s="1"/>
  <c r="AF29" i="11"/>
  <c r="AE29" i="11"/>
  <c r="AB29" i="12"/>
  <c r="AB30" i="11"/>
  <c r="AB36" i="11"/>
  <c r="AB48" i="11"/>
  <c r="AB31" i="12" s="1"/>
  <c r="AB52" i="11"/>
  <c r="AG29" i="11" l="1"/>
  <c r="AG53" i="10"/>
  <c r="AD55" i="10" s="1"/>
  <c r="AE55" i="10"/>
  <c r="B24" i="12"/>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AB28" i="12"/>
  <c r="AF52" i="11"/>
  <c r="AE52" i="11"/>
  <c r="AG52" i="11" s="1"/>
  <c r="AF48" i="11"/>
  <c r="AE48" i="11"/>
  <c r="AG48" i="11" s="1"/>
  <c r="AF54" i="11"/>
  <c r="AE54" i="11"/>
  <c r="AG54" i="11" s="1"/>
  <c r="AF36" i="11"/>
  <c r="AE36" i="11"/>
  <c r="AE25" i="12"/>
  <c r="AG25" i="12" s="1"/>
  <c r="AF25" i="12"/>
  <c r="AE29" i="12"/>
  <c r="AG29" i="12" s="1"/>
  <c r="AF29" i="12"/>
  <c r="AF30" i="11"/>
  <c r="AE30" i="11"/>
  <c r="AB43" i="11"/>
  <c r="AB32" i="12"/>
  <c r="AB37" i="11"/>
  <c r="AB30" i="12"/>
  <c r="AB35" i="12" l="1"/>
  <c r="AF35" i="12" s="1"/>
  <c r="AB56" i="10"/>
  <c r="M31" i="10" s="1"/>
  <c r="AH31" i="10" s="1"/>
  <c r="AG30" i="11"/>
  <c r="AG36" i="11"/>
  <c r="B24" i="13"/>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AF37" i="11"/>
  <c r="AE37" i="11"/>
  <c r="AF24" i="12"/>
  <c r="AE24" i="12"/>
  <c r="AE30" i="12"/>
  <c r="AG30" i="12" s="1"/>
  <c r="AF30" i="12"/>
  <c r="AE32" i="12"/>
  <c r="AG32" i="12" s="1"/>
  <c r="AF32" i="12"/>
  <c r="AF43" i="11"/>
  <c r="AE43" i="11"/>
  <c r="AE28" i="12"/>
  <c r="AG28" i="12" s="1"/>
  <c r="AF28" i="12"/>
  <c r="AB37" i="12"/>
  <c r="AB44" i="11"/>
  <c r="AB50" i="11"/>
  <c r="AB39" i="12"/>
  <c r="AB36" i="12"/>
  <c r="AB42" i="12" l="1"/>
  <c r="AF42" i="12" s="1"/>
  <c r="AE35" i="12"/>
  <c r="AG35" i="12" s="1"/>
  <c r="M24" i="10"/>
  <c r="AH24" i="10" s="1"/>
  <c r="M38" i="10"/>
  <c r="AH38" i="10" s="1"/>
  <c r="M45" i="10"/>
  <c r="AH45" i="10" s="1"/>
  <c r="M52" i="10"/>
  <c r="AH52" i="10" s="1"/>
  <c r="M25" i="10"/>
  <c r="AH25" i="10" s="1"/>
  <c r="M32" i="10"/>
  <c r="AH32" i="10" s="1"/>
  <c r="M39" i="10"/>
  <c r="AH39" i="10" s="1"/>
  <c r="M46" i="10"/>
  <c r="AH46" i="10" s="1"/>
  <c r="M53" i="10"/>
  <c r="AH53" i="10" s="1"/>
  <c r="M24" i="12"/>
  <c r="AH24" i="12" s="1"/>
  <c r="M28" i="10"/>
  <c r="AH28" i="10" s="1"/>
  <c r="M36" i="10"/>
  <c r="AH36" i="10" s="1"/>
  <c r="M40" i="10"/>
  <c r="AH40" i="10" s="1"/>
  <c r="M44" i="10"/>
  <c r="AH44" i="10" s="1"/>
  <c r="M48" i="10"/>
  <c r="AH48" i="10" s="1"/>
  <c r="M29" i="10"/>
  <c r="AH29" i="10" s="1"/>
  <c r="M33" i="10"/>
  <c r="AH33" i="10" s="1"/>
  <c r="M37" i="10"/>
  <c r="AH37" i="10" s="1"/>
  <c r="M41" i="10"/>
  <c r="AH41" i="10" s="1"/>
  <c r="M49" i="10"/>
  <c r="AH49" i="10" s="1"/>
  <c r="M26" i="10"/>
  <c r="AH26" i="10" s="1"/>
  <c r="M30" i="10"/>
  <c r="AH30" i="10" s="1"/>
  <c r="M34" i="10"/>
  <c r="AH34" i="10" s="1"/>
  <c r="M42" i="10"/>
  <c r="AH42" i="10" s="1"/>
  <c r="M50" i="10"/>
  <c r="AH50" i="10" s="1"/>
  <c r="M27" i="10"/>
  <c r="AH27" i="10" s="1"/>
  <c r="M35" i="10"/>
  <c r="AH35" i="10" s="1"/>
  <c r="M43" i="10"/>
  <c r="AH43" i="10" s="1"/>
  <c r="M47" i="10"/>
  <c r="AH47" i="10" s="1"/>
  <c r="M51" i="10"/>
  <c r="AH51" i="10" s="1"/>
  <c r="H26" i="29"/>
  <c r="H40" i="29"/>
  <c r="AG43" i="11"/>
  <c r="AG37" i="11"/>
  <c r="AG24" i="12"/>
  <c r="H53" i="29"/>
  <c r="H55" i="29"/>
  <c r="H54" i="29"/>
  <c r="H52" i="29"/>
  <c r="B24" i="14"/>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AE42" i="12"/>
  <c r="AG42" i="12" s="1"/>
  <c r="AE39" i="12"/>
  <c r="AG39" i="12" s="1"/>
  <c r="AF39" i="12"/>
  <c r="AF44" i="11"/>
  <c r="AE44" i="11"/>
  <c r="AE36" i="12"/>
  <c r="AG36" i="12" s="1"/>
  <c r="AF36" i="12"/>
  <c r="AE31" i="12"/>
  <c r="AG31" i="12" s="1"/>
  <c r="AF31" i="12"/>
  <c r="AF50" i="11"/>
  <c r="AE50" i="11"/>
  <c r="AE37" i="12"/>
  <c r="AG37" i="12" s="1"/>
  <c r="AF37" i="12"/>
  <c r="AB38" i="12"/>
  <c r="AB46" i="12"/>
  <c r="AB26" i="12"/>
  <c r="AB44" i="12"/>
  <c r="AB51" i="11"/>
  <c r="AB49" i="12"/>
  <c r="AB43" i="12"/>
  <c r="T19" i="16"/>
  <c r="H34" i="29" l="1"/>
  <c r="F18" i="10"/>
  <c r="H16" i="29"/>
  <c r="M55" i="10"/>
  <c r="M56" i="10" s="1"/>
  <c r="AG50" i="11"/>
  <c r="AG44" i="11"/>
  <c r="H56" i="29"/>
  <c r="H18" i="29" s="1"/>
  <c r="W18" i="10"/>
  <c r="B24" i="15"/>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AE43" i="12"/>
  <c r="AG43" i="12" s="1"/>
  <c r="AF43" i="12"/>
  <c r="AE46" i="12"/>
  <c r="AG46" i="12" s="1"/>
  <c r="AF46" i="12"/>
  <c r="AE49" i="12"/>
  <c r="AG49" i="12" s="1"/>
  <c r="AF49" i="12"/>
  <c r="AF51" i="11"/>
  <c r="AF55" i="11" s="1"/>
  <c r="AE51" i="11"/>
  <c r="AE44" i="12"/>
  <c r="AG44" i="12" s="1"/>
  <c r="AF44" i="12"/>
  <c r="AE26" i="12"/>
  <c r="AF26" i="12"/>
  <c r="AE38" i="12"/>
  <c r="AG38" i="12" s="1"/>
  <c r="AF38" i="12"/>
  <c r="AB27" i="12"/>
  <c r="AB51" i="12"/>
  <c r="AB33" i="12"/>
  <c r="AB45" i="12"/>
  <c r="AB53" i="12"/>
  <c r="AB25" i="13"/>
  <c r="AB50" i="12"/>
  <c r="C9" i="10" l="1"/>
  <c r="C10" i="10" s="1"/>
  <c r="AF25" i="13"/>
  <c r="H17" i="29"/>
  <c r="H19" i="29" s="1"/>
  <c r="AG51" i="11"/>
  <c r="AD55" i="11" s="1"/>
  <c r="AG26" i="12"/>
  <c r="AE55" i="11"/>
  <c r="B24" i="16"/>
  <c r="B25" i="16" s="1"/>
  <c r="B26" i="16" s="1"/>
  <c r="B27" i="16" s="1"/>
  <c r="B28" i="16" s="1"/>
  <c r="B29" i="16" s="1"/>
  <c r="B30" i="16" s="1"/>
  <c r="B31" i="16" s="1"/>
  <c r="B32" i="16" s="1"/>
  <c r="B33" i="16" s="1"/>
  <c r="B34" i="16" s="1"/>
  <c r="B35" i="16" s="1"/>
  <c r="B36" i="16" s="1"/>
  <c r="B37" i="16" s="1"/>
  <c r="B38" i="16" s="1"/>
  <c r="B39" i="16" s="1"/>
  <c r="B40" i="16" s="1"/>
  <c r="B41" i="16" s="1"/>
  <c r="B42" i="16" s="1"/>
  <c r="B43" i="16" s="1"/>
  <c r="B44" i="16" s="1"/>
  <c r="B45" i="16" s="1"/>
  <c r="B46" i="16" s="1"/>
  <c r="B47" i="16" s="1"/>
  <c r="B48" i="16" s="1"/>
  <c r="B49" i="16" s="1"/>
  <c r="B50" i="16" s="1"/>
  <c r="B51" i="16" s="1"/>
  <c r="B52" i="16" s="1"/>
  <c r="B53" i="16" s="1"/>
  <c r="B54" i="16" s="1"/>
  <c r="AE25" i="13"/>
  <c r="AG25" i="13" s="1"/>
  <c r="AE50" i="12"/>
  <c r="AG50" i="12" s="1"/>
  <c r="AF50" i="12"/>
  <c r="AE53" i="12"/>
  <c r="AG53" i="12" s="1"/>
  <c r="AF53" i="12"/>
  <c r="AE45" i="12"/>
  <c r="AG45" i="12" s="1"/>
  <c r="AF45" i="12"/>
  <c r="AE33" i="12"/>
  <c r="AF33" i="12"/>
  <c r="AE51" i="12"/>
  <c r="AG51" i="12" s="1"/>
  <c r="AF51" i="12"/>
  <c r="AE27" i="12"/>
  <c r="AF27" i="12"/>
  <c r="AB29" i="13"/>
  <c r="AB40" i="12"/>
  <c r="AB34" i="12"/>
  <c r="AB52" i="12"/>
  <c r="AB27" i="13"/>
  <c r="AB32" i="13"/>
  <c r="AB26" i="13"/>
  <c r="AF27" i="13" l="1"/>
  <c r="AF29" i="13"/>
  <c r="AF26" i="13"/>
  <c r="AF32" i="13"/>
  <c r="AB56" i="11"/>
  <c r="AG27" i="12"/>
  <c r="AG33" i="12"/>
  <c r="AE32" i="13"/>
  <c r="AG32" i="13" s="1"/>
  <c r="AE52" i="12"/>
  <c r="AG52" i="12" s="1"/>
  <c r="AF52" i="12"/>
  <c r="AE34" i="12"/>
  <c r="AF34" i="12"/>
  <c r="AE26" i="13"/>
  <c r="AG26" i="13" s="1"/>
  <c r="AE27" i="13"/>
  <c r="AG27" i="13" s="1"/>
  <c r="AE40" i="12"/>
  <c r="AF40" i="12"/>
  <c r="AE29" i="13"/>
  <c r="AG29" i="13" s="1"/>
  <c r="AB28" i="13"/>
  <c r="AB41" i="12"/>
  <c r="AB47" i="12"/>
  <c r="AB34" i="13"/>
  <c r="I40" i="29"/>
  <c r="AB36" i="13"/>
  <c r="AB39" i="13"/>
  <c r="AB33" i="13"/>
  <c r="M29" i="11" l="1"/>
  <c r="AH29" i="11" s="1"/>
  <c r="M36" i="11"/>
  <c r="AH36" i="11" s="1"/>
  <c r="M43" i="11"/>
  <c r="AH43" i="11" s="1"/>
  <c r="M50" i="11"/>
  <c r="AH50" i="11" s="1"/>
  <c r="M35" i="11"/>
  <c r="AH35" i="11" s="1"/>
  <c r="M30" i="11"/>
  <c r="AH30" i="11" s="1"/>
  <c r="M37" i="11"/>
  <c r="AH37" i="11" s="1"/>
  <c r="M44" i="11"/>
  <c r="AH44" i="11" s="1"/>
  <c r="M51" i="11"/>
  <c r="AH51" i="11" s="1"/>
  <c r="AF33" i="13"/>
  <c r="AF34" i="13"/>
  <c r="AF39" i="13"/>
  <c r="AF36" i="13"/>
  <c r="AF28" i="13"/>
  <c r="M26" i="11"/>
  <c r="AH26" i="11" s="1"/>
  <c r="M41" i="11"/>
  <c r="AH41" i="11" s="1"/>
  <c r="M48" i="11"/>
  <c r="AH48" i="11" s="1"/>
  <c r="M46" i="11"/>
  <c r="AH46" i="11" s="1"/>
  <c r="M24" i="11"/>
  <c r="AH24" i="11" s="1"/>
  <c r="M42" i="11"/>
  <c r="AH42" i="11" s="1"/>
  <c r="M31" i="11"/>
  <c r="AH31" i="11" s="1"/>
  <c r="M53" i="11"/>
  <c r="AH53" i="11" s="1"/>
  <c r="M33" i="11"/>
  <c r="AH33" i="11" s="1"/>
  <c r="M40" i="11"/>
  <c r="AH40" i="11" s="1"/>
  <c r="M47" i="11"/>
  <c r="AH47" i="11" s="1"/>
  <c r="M27" i="11"/>
  <c r="AH27" i="11" s="1"/>
  <c r="M38" i="11"/>
  <c r="AH38" i="11" s="1"/>
  <c r="M49" i="11"/>
  <c r="AH49" i="11" s="1"/>
  <c r="M25" i="11"/>
  <c r="AH25" i="11" s="1"/>
  <c r="M32" i="11"/>
  <c r="AH32" i="11" s="1"/>
  <c r="M39" i="11"/>
  <c r="AH39" i="11" s="1"/>
  <c r="M54" i="11"/>
  <c r="AH54" i="11" s="1"/>
  <c r="M34" i="11"/>
  <c r="AH34" i="11" s="1"/>
  <c r="M45" i="11"/>
  <c r="AH45" i="11" s="1"/>
  <c r="M52" i="11"/>
  <c r="AH52" i="11" s="1"/>
  <c r="M28" i="11"/>
  <c r="AH28" i="11" s="1"/>
  <c r="I52" i="29"/>
  <c r="I55" i="29"/>
  <c r="I34" i="29"/>
  <c r="F18" i="11"/>
  <c r="I26" i="29"/>
  <c r="I53" i="29"/>
  <c r="I54" i="29"/>
  <c r="AG40" i="12"/>
  <c r="AG34" i="12"/>
  <c r="AE33" i="13"/>
  <c r="AG33" i="13" s="1"/>
  <c r="AE36" i="13"/>
  <c r="AG36" i="13" s="1"/>
  <c r="AE47" i="12"/>
  <c r="AF47" i="12"/>
  <c r="AE28" i="13"/>
  <c r="AG28" i="13" s="1"/>
  <c r="AE39" i="13"/>
  <c r="AG39" i="13" s="1"/>
  <c r="AE34" i="13"/>
  <c r="AG34" i="13" s="1"/>
  <c r="AE41" i="12"/>
  <c r="AF41" i="12"/>
  <c r="AB41" i="13"/>
  <c r="AB48" i="12"/>
  <c r="AB43" i="13"/>
  <c r="AB54" i="12"/>
  <c r="AB35" i="13"/>
  <c r="AB46" i="13"/>
  <c r="AB40" i="13"/>
  <c r="AF40" i="13" l="1"/>
  <c r="AF43" i="13"/>
  <c r="AF46" i="13"/>
  <c r="AF35" i="13"/>
  <c r="AF41" i="13"/>
  <c r="M55" i="11"/>
  <c r="M56" i="11" s="1"/>
  <c r="I17" i="29"/>
  <c r="I56" i="29"/>
  <c r="I18" i="29" s="1"/>
  <c r="AG41" i="12"/>
  <c r="AG47" i="12"/>
  <c r="I16" i="29"/>
  <c r="W18" i="11"/>
  <c r="AE35" i="13"/>
  <c r="AG35" i="13" s="1"/>
  <c r="AE46" i="13"/>
  <c r="AG46" i="13" s="1"/>
  <c r="AF54" i="12"/>
  <c r="AE54" i="12"/>
  <c r="AE48" i="12"/>
  <c r="AF48" i="12"/>
  <c r="AE40" i="13"/>
  <c r="AG40" i="13" s="1"/>
  <c r="AE43" i="13"/>
  <c r="AG43" i="13" s="1"/>
  <c r="AE41" i="13"/>
  <c r="AG41" i="13" s="1"/>
  <c r="AB42" i="13"/>
  <c r="AB30" i="13"/>
  <c r="AB48" i="13"/>
  <c r="AB50" i="13"/>
  <c r="AB24" i="13"/>
  <c r="AB53" i="13"/>
  <c r="AB47" i="13"/>
  <c r="C9" i="11" l="1"/>
  <c r="C10" i="11" s="1"/>
  <c r="AF50" i="13"/>
  <c r="AF47" i="13"/>
  <c r="AF48" i="13"/>
  <c r="AF30" i="13"/>
  <c r="AF24" i="13"/>
  <c r="AF42" i="13"/>
  <c r="I19" i="29"/>
  <c r="AG48" i="12"/>
  <c r="AG54" i="12"/>
  <c r="AE47" i="13"/>
  <c r="AG47" i="13" s="1"/>
  <c r="AE53" i="13"/>
  <c r="AG53" i="13" s="1"/>
  <c r="AF53" i="13"/>
  <c r="AE50" i="13"/>
  <c r="AG50" i="13" s="1"/>
  <c r="AE48" i="13"/>
  <c r="AG48" i="13" s="1"/>
  <c r="AE30" i="13"/>
  <c r="AE24" i="13"/>
  <c r="AE42" i="13"/>
  <c r="AG42" i="13" s="1"/>
  <c r="AF55" i="12"/>
  <c r="AE55" i="12"/>
  <c r="AB27" i="14"/>
  <c r="AB25" i="14"/>
  <c r="AB37" i="13"/>
  <c r="AB31" i="13"/>
  <c r="AB49" i="13"/>
  <c r="AB30" i="14"/>
  <c r="AB24" i="14"/>
  <c r="F18" i="8"/>
  <c r="AF31" i="13" l="1"/>
  <c r="AF24" i="14"/>
  <c r="AF37" i="13"/>
  <c r="AF49" i="13"/>
  <c r="AD55" i="12"/>
  <c r="AB56" i="12" s="1"/>
  <c r="AG24" i="13"/>
  <c r="AG30" i="13"/>
  <c r="Y17" i="8"/>
  <c r="X17" i="9" s="1"/>
  <c r="F55" i="29"/>
  <c r="Y14" i="8"/>
  <c r="X14" i="9" s="1"/>
  <c r="F52" i="29"/>
  <c r="Q8" i="8"/>
  <c r="P8" i="9" s="1"/>
  <c r="F40" i="29"/>
  <c r="Y16" i="8"/>
  <c r="X16" i="9" s="1"/>
  <c r="F54" i="29"/>
  <c r="Y15" i="8"/>
  <c r="X15" i="9" s="1"/>
  <c r="F53" i="29"/>
  <c r="I17" i="8"/>
  <c r="I15" i="9" s="1"/>
  <c r="F34" i="29"/>
  <c r="F35" i="29" s="1"/>
  <c r="I11" i="8"/>
  <c r="I8" i="9" s="1"/>
  <c r="F26" i="29"/>
  <c r="AE24" i="14"/>
  <c r="AG24" i="14" s="1"/>
  <c r="AE49" i="13"/>
  <c r="AG49" i="13" s="1"/>
  <c r="AE37" i="13"/>
  <c r="AE27" i="14"/>
  <c r="AG27" i="14" s="1"/>
  <c r="AF27" i="14"/>
  <c r="AE30" i="14"/>
  <c r="AG30" i="14" s="1"/>
  <c r="AF30" i="14"/>
  <c r="AE31" i="13"/>
  <c r="AE25" i="14"/>
  <c r="AG25" i="14" s="1"/>
  <c r="AF25" i="14"/>
  <c r="AB26" i="14"/>
  <c r="AB32" i="14"/>
  <c r="AB34" i="14"/>
  <c r="AB38" i="13"/>
  <c r="AB44" i="13"/>
  <c r="W18" i="8"/>
  <c r="AB37" i="14"/>
  <c r="AB31" i="14"/>
  <c r="M55" i="8"/>
  <c r="M56" i="8" s="1"/>
  <c r="M26" i="12" l="1"/>
  <c r="AH26" i="12" s="1"/>
  <c r="M33" i="12"/>
  <c r="AH33" i="12" s="1"/>
  <c r="M40" i="12"/>
  <c r="AH40" i="12" s="1"/>
  <c r="M47" i="12"/>
  <c r="AH47" i="12" s="1"/>
  <c r="M54" i="12"/>
  <c r="AH54" i="12" s="1"/>
  <c r="F28" i="29"/>
  <c r="C9" i="8"/>
  <c r="C10" i="8" s="1"/>
  <c r="C12" i="8" s="1"/>
  <c r="C11" i="9" s="1"/>
  <c r="N24" i="9" s="1"/>
  <c r="N25" i="9" s="1"/>
  <c r="N26" i="9" s="1"/>
  <c r="N27" i="9" s="1"/>
  <c r="N28" i="9" s="1"/>
  <c r="N29" i="9" s="1"/>
  <c r="N30" i="9" s="1"/>
  <c r="N31" i="9" s="1"/>
  <c r="N32" i="9" s="1"/>
  <c r="N33" i="9" s="1"/>
  <c r="N34" i="9" s="1"/>
  <c r="N35" i="9" s="1"/>
  <c r="N36" i="9" s="1"/>
  <c r="N37" i="9" s="1"/>
  <c r="N38" i="9" s="1"/>
  <c r="N39" i="9" s="1"/>
  <c r="N40" i="9" s="1"/>
  <c r="N41" i="9" s="1"/>
  <c r="N42" i="9" s="1"/>
  <c r="N43" i="9" s="1"/>
  <c r="N44" i="9" s="1"/>
  <c r="N45" i="9" s="1"/>
  <c r="N46" i="9" s="1"/>
  <c r="N47" i="9" s="1"/>
  <c r="N48" i="9" s="1"/>
  <c r="N49" i="9" s="1"/>
  <c r="N50" i="9" s="1"/>
  <c r="N51" i="9" s="1"/>
  <c r="N52" i="9" s="1"/>
  <c r="N53" i="9" s="1"/>
  <c r="N54" i="9" s="1"/>
  <c r="M27" i="12"/>
  <c r="AH27" i="12" s="1"/>
  <c r="M34" i="12"/>
  <c r="AH34" i="12" s="1"/>
  <c r="M41" i="12"/>
  <c r="AH41" i="12" s="1"/>
  <c r="M48" i="12"/>
  <c r="AH48" i="12" s="1"/>
  <c r="AF44" i="13"/>
  <c r="AF38" i="13"/>
  <c r="F41" i="29"/>
  <c r="M30" i="12"/>
  <c r="AH30" i="12" s="1"/>
  <c r="M38" i="12"/>
  <c r="AH38" i="12" s="1"/>
  <c r="M42" i="12"/>
  <c r="AH42" i="12" s="1"/>
  <c r="M46" i="12"/>
  <c r="AH46" i="12" s="1"/>
  <c r="M50" i="12"/>
  <c r="AH50" i="12" s="1"/>
  <c r="M31" i="12"/>
  <c r="AH31" i="12" s="1"/>
  <c r="M35" i="12"/>
  <c r="AH35" i="12" s="1"/>
  <c r="M39" i="12"/>
  <c r="AH39" i="12" s="1"/>
  <c r="M43" i="12"/>
  <c r="AH43" i="12" s="1"/>
  <c r="M51" i="12"/>
  <c r="AH51" i="12" s="1"/>
  <c r="M28" i="12"/>
  <c r="AH28" i="12" s="1"/>
  <c r="M32" i="12"/>
  <c r="AH32" i="12" s="1"/>
  <c r="M36" i="12"/>
  <c r="AH36" i="12" s="1"/>
  <c r="M44" i="12"/>
  <c r="AH44" i="12" s="1"/>
  <c r="M52" i="12"/>
  <c r="AH52" i="12" s="1"/>
  <c r="M25" i="12"/>
  <c r="AH25" i="12" s="1"/>
  <c r="M29" i="12"/>
  <c r="AH29" i="12" s="1"/>
  <c r="M37" i="12"/>
  <c r="AH37" i="12" s="1"/>
  <c r="M45" i="12"/>
  <c r="AH45" i="12" s="1"/>
  <c r="M49" i="12"/>
  <c r="AH49" i="12" s="1"/>
  <c r="M53" i="12"/>
  <c r="AH53" i="12" s="1"/>
  <c r="J52" i="29"/>
  <c r="J55" i="29"/>
  <c r="J26" i="29"/>
  <c r="J54" i="29"/>
  <c r="AG31" i="13"/>
  <c r="AG37" i="13"/>
  <c r="J53" i="29"/>
  <c r="Y18" i="8"/>
  <c r="X18" i="9"/>
  <c r="F56" i="29"/>
  <c r="F18" i="29" s="1"/>
  <c r="F16" i="29"/>
  <c r="F17" i="29"/>
  <c r="J40" i="29"/>
  <c r="AE38" i="13"/>
  <c r="AE31" i="14"/>
  <c r="AG31" i="14" s="1"/>
  <c r="AF31" i="14"/>
  <c r="AE44" i="13"/>
  <c r="AE34" i="14"/>
  <c r="AG34" i="14" s="1"/>
  <c r="AF34" i="14"/>
  <c r="AE37" i="14"/>
  <c r="AG37" i="14" s="1"/>
  <c r="AF37" i="14"/>
  <c r="AE32" i="14"/>
  <c r="AG32" i="14" s="1"/>
  <c r="AF32" i="14"/>
  <c r="AE26" i="14"/>
  <c r="AG26" i="14" s="1"/>
  <c r="AF26" i="14"/>
  <c r="AB51" i="13"/>
  <c r="AB39" i="14"/>
  <c r="AB33" i="14"/>
  <c r="AB45" i="13"/>
  <c r="AB41" i="14"/>
  <c r="AB44" i="14"/>
  <c r="AB38" i="14"/>
  <c r="AF51" i="13" l="1"/>
  <c r="AF45" i="13"/>
  <c r="J34" i="29"/>
  <c r="J17" i="29" s="1"/>
  <c r="F18" i="12"/>
  <c r="AG38" i="13"/>
  <c r="AG44" i="13"/>
  <c r="J16" i="29"/>
  <c r="M55" i="12"/>
  <c r="M56" i="12" s="1"/>
  <c r="W18" i="12"/>
  <c r="J56" i="29"/>
  <c r="J18" i="29" s="1"/>
  <c r="F19" i="29"/>
  <c r="AE33" i="14"/>
  <c r="AG33" i="14" s="1"/>
  <c r="AF33" i="14"/>
  <c r="AE38" i="14"/>
  <c r="AG38" i="14" s="1"/>
  <c r="AF38" i="14"/>
  <c r="AE41" i="14"/>
  <c r="AG41" i="14" s="1"/>
  <c r="AF41" i="14"/>
  <c r="AE45" i="13"/>
  <c r="AE39" i="14"/>
  <c r="AG39" i="14" s="1"/>
  <c r="AF39" i="14"/>
  <c r="AE44" i="14"/>
  <c r="AG44" i="14" s="1"/>
  <c r="AF44" i="14"/>
  <c r="AE51" i="13"/>
  <c r="AB48" i="14"/>
  <c r="AB52" i="13"/>
  <c r="AB40" i="14"/>
  <c r="AB46" i="14"/>
  <c r="AB28" i="14"/>
  <c r="AB51" i="14"/>
  <c r="AB45" i="14"/>
  <c r="C9" i="12" l="1"/>
  <c r="C10" i="12" s="1"/>
  <c r="AF52" i="13"/>
  <c r="AF55" i="13" s="1"/>
  <c r="AB24" i="15"/>
  <c r="AG51" i="13"/>
  <c r="AG45" i="13"/>
  <c r="J19" i="29"/>
  <c r="F20" i="29"/>
  <c r="AE51" i="14"/>
  <c r="AG51" i="14" s="1"/>
  <c r="AF51" i="14"/>
  <c r="AE46" i="14"/>
  <c r="AG46" i="14" s="1"/>
  <c r="AF46" i="14"/>
  <c r="AE52" i="13"/>
  <c r="AE45" i="14"/>
  <c r="AG45" i="14" s="1"/>
  <c r="AF45" i="14"/>
  <c r="AE28" i="14"/>
  <c r="AF28" i="14"/>
  <c r="AE40" i="14"/>
  <c r="AG40" i="14" s="1"/>
  <c r="AF40" i="14"/>
  <c r="AE48" i="14"/>
  <c r="AG48" i="14" s="1"/>
  <c r="AF48" i="14"/>
  <c r="AB53" i="14"/>
  <c r="AB29" i="14"/>
  <c r="AB35" i="14"/>
  <c r="AB47" i="14"/>
  <c r="AB27" i="15"/>
  <c r="AB52" i="14"/>
  <c r="AG28" i="14" l="1"/>
  <c r="AG52" i="13"/>
  <c r="AD55" i="13" s="1"/>
  <c r="AE55" i="13"/>
  <c r="AE27" i="15"/>
  <c r="AG27" i="15" s="1"/>
  <c r="AF27" i="15"/>
  <c r="AE47" i="14"/>
  <c r="AG47" i="14" s="1"/>
  <c r="AF47" i="14"/>
  <c r="AE53" i="14"/>
  <c r="AG53" i="14" s="1"/>
  <c r="AF53" i="14"/>
  <c r="AE52" i="14"/>
  <c r="AG52" i="14" s="1"/>
  <c r="AF52" i="14"/>
  <c r="AF24" i="15"/>
  <c r="AE24" i="15"/>
  <c r="AG24" i="15" s="1"/>
  <c r="AE35" i="14"/>
  <c r="AF35" i="14"/>
  <c r="AE29" i="14"/>
  <c r="AF29" i="14"/>
  <c r="AB54" i="14"/>
  <c r="AB36" i="14"/>
  <c r="AB31" i="15"/>
  <c r="AB42" i="14"/>
  <c r="AB29" i="15"/>
  <c r="AB34" i="15"/>
  <c r="AB28" i="15"/>
  <c r="AB56" i="13" l="1"/>
  <c r="AG29" i="14"/>
  <c r="AG35" i="14"/>
  <c r="AF34" i="15"/>
  <c r="AE34" i="15"/>
  <c r="AG34" i="15" s="1"/>
  <c r="AF28" i="15"/>
  <c r="AE28" i="15"/>
  <c r="AG28" i="15" s="1"/>
  <c r="AE29" i="15"/>
  <c r="AG29" i="15" s="1"/>
  <c r="AF29" i="15"/>
  <c r="AE42" i="14"/>
  <c r="AF42" i="14"/>
  <c r="AE36" i="14"/>
  <c r="AF36" i="14"/>
  <c r="AE31" i="15"/>
  <c r="AG31" i="15" s="1"/>
  <c r="AF31" i="15"/>
  <c r="AF54" i="14"/>
  <c r="AE54" i="14"/>
  <c r="AG54" i="14" s="1"/>
  <c r="AB36" i="15"/>
  <c r="AB49" i="14"/>
  <c r="AB38" i="15"/>
  <c r="AB43" i="14"/>
  <c r="AB30" i="15"/>
  <c r="AB41" i="15"/>
  <c r="AB35" i="15"/>
  <c r="M30" i="13" l="1"/>
  <c r="AH30" i="13" s="1"/>
  <c r="M37" i="13"/>
  <c r="AH37" i="13" s="1"/>
  <c r="M44" i="13"/>
  <c r="AH44" i="13" s="1"/>
  <c r="M51" i="13"/>
  <c r="AH51" i="13" s="1"/>
  <c r="M24" i="13"/>
  <c r="AH24" i="13" s="1"/>
  <c r="M31" i="13"/>
  <c r="AH31" i="13" s="1"/>
  <c r="M38" i="13"/>
  <c r="AH38" i="13" s="1"/>
  <c r="M45" i="13"/>
  <c r="AH45" i="13" s="1"/>
  <c r="M52" i="13"/>
  <c r="AH52" i="13" s="1"/>
  <c r="AB48" i="15"/>
  <c r="AB25" i="16" s="1"/>
  <c r="M28" i="13"/>
  <c r="AH28" i="13" s="1"/>
  <c r="M32" i="13"/>
  <c r="AH32" i="13" s="1"/>
  <c r="M36" i="13"/>
  <c r="AH36" i="13" s="1"/>
  <c r="M40" i="13"/>
  <c r="AH40" i="13" s="1"/>
  <c r="M48" i="13"/>
  <c r="AH48" i="13" s="1"/>
  <c r="M25" i="13"/>
  <c r="AH25" i="13" s="1"/>
  <c r="M29" i="13"/>
  <c r="AH29" i="13" s="1"/>
  <c r="M33" i="13"/>
  <c r="AH33" i="13" s="1"/>
  <c r="M41" i="13"/>
  <c r="AH41" i="13" s="1"/>
  <c r="M49" i="13"/>
  <c r="AH49" i="13" s="1"/>
  <c r="M53" i="13"/>
  <c r="AH53" i="13" s="1"/>
  <c r="M26" i="13"/>
  <c r="AH26" i="13" s="1"/>
  <c r="M34" i="13"/>
  <c r="AH34" i="13" s="1"/>
  <c r="M42" i="13"/>
  <c r="AH42" i="13" s="1"/>
  <c r="M46" i="13"/>
  <c r="AH46" i="13" s="1"/>
  <c r="M50" i="13"/>
  <c r="AH50" i="13" s="1"/>
  <c r="M27" i="13"/>
  <c r="AH27" i="13" s="1"/>
  <c r="M35" i="13"/>
  <c r="AH35" i="13" s="1"/>
  <c r="M39" i="13"/>
  <c r="AH39" i="13" s="1"/>
  <c r="M43" i="13"/>
  <c r="AH43" i="13" s="1"/>
  <c r="M47" i="13"/>
  <c r="AH47" i="13" s="1"/>
  <c r="K53" i="29"/>
  <c r="K52" i="29"/>
  <c r="K26" i="29"/>
  <c r="K55" i="29"/>
  <c r="K54" i="29"/>
  <c r="K40" i="29"/>
  <c r="AG42" i="14"/>
  <c r="AG36" i="14"/>
  <c r="AE35" i="15"/>
  <c r="AG35" i="15" s="1"/>
  <c r="AF35" i="15"/>
  <c r="AF30" i="15"/>
  <c r="AE30" i="15"/>
  <c r="AG30" i="15" s="1"/>
  <c r="AE43" i="14"/>
  <c r="AF43" i="14"/>
  <c r="AF36" i="15"/>
  <c r="AE36" i="15"/>
  <c r="AG36" i="15" s="1"/>
  <c r="AE41" i="15"/>
  <c r="AG41" i="15" s="1"/>
  <c r="AF41" i="15"/>
  <c r="AF38" i="15"/>
  <c r="AE38" i="15"/>
  <c r="AG38" i="15" s="1"/>
  <c r="AE49" i="14"/>
  <c r="AF49" i="14"/>
  <c r="AB25" i="15"/>
  <c r="AB43" i="15"/>
  <c r="AB37" i="15"/>
  <c r="AB50" i="14"/>
  <c r="AB45" i="15"/>
  <c r="AB42" i="15"/>
  <c r="AF48" i="15" l="1"/>
  <c r="AB49" i="15"/>
  <c r="AE25" i="15"/>
  <c r="K34" i="29"/>
  <c r="K17" i="29" s="1"/>
  <c r="F18" i="13"/>
  <c r="K16" i="29"/>
  <c r="K56" i="29"/>
  <c r="K18" i="29" s="1"/>
  <c r="W18" i="13"/>
  <c r="M55" i="13"/>
  <c r="M56" i="13" s="1"/>
  <c r="AG49" i="14"/>
  <c r="AG43" i="14"/>
  <c r="AF42" i="15"/>
  <c r="AE42" i="15"/>
  <c r="AG42" i="15" s="1"/>
  <c r="AE48" i="15"/>
  <c r="AG48" i="15" s="1"/>
  <c r="AE50" i="14"/>
  <c r="AF50" i="14"/>
  <c r="AF55" i="14" s="1"/>
  <c r="AE43" i="15"/>
  <c r="AG43" i="15" s="1"/>
  <c r="AF43" i="15"/>
  <c r="AE45" i="15"/>
  <c r="AG45" i="15" s="1"/>
  <c r="AF45" i="15"/>
  <c r="AE37" i="15"/>
  <c r="AG37" i="15" s="1"/>
  <c r="AF37" i="15"/>
  <c r="AF25" i="15"/>
  <c r="AB44" i="15"/>
  <c r="AB52" i="15"/>
  <c r="AB26" i="15"/>
  <c r="AB50" i="15"/>
  <c r="AB32" i="15"/>
  <c r="F18" i="9"/>
  <c r="C9" i="13" l="1"/>
  <c r="C10" i="13" s="1"/>
  <c r="K19" i="29"/>
  <c r="AG25" i="15"/>
  <c r="AG50" i="14"/>
  <c r="AD55" i="14" s="1"/>
  <c r="Y15" i="9"/>
  <c r="X15" i="10" s="1"/>
  <c r="Y15" i="10" s="1"/>
  <c r="X15" i="11" s="1"/>
  <c r="Y15" i="11" s="1"/>
  <c r="X15" i="12" s="1"/>
  <c r="Y15" i="12" s="1"/>
  <c r="X15" i="13" s="1"/>
  <c r="Y15" i="13" s="1"/>
  <c r="X15" i="14" s="1"/>
  <c r="G53" i="29"/>
  <c r="Y17" i="9"/>
  <c r="X17" i="10" s="1"/>
  <c r="Y17" i="10" s="1"/>
  <c r="X17" i="11" s="1"/>
  <c r="Y17" i="11" s="1"/>
  <c r="X17" i="12" s="1"/>
  <c r="Y17" i="12" s="1"/>
  <c r="X17" i="13" s="1"/>
  <c r="Y17" i="13" s="1"/>
  <c r="X17" i="14" s="1"/>
  <c r="G55" i="29"/>
  <c r="Y14" i="9"/>
  <c r="X14" i="10" s="1"/>
  <c r="G52" i="29"/>
  <c r="Y16" i="9"/>
  <c r="X16" i="10" s="1"/>
  <c r="Y16" i="10" s="1"/>
  <c r="X16" i="11" s="1"/>
  <c r="Y16" i="11" s="1"/>
  <c r="X16" i="12" s="1"/>
  <c r="Y16" i="12" s="1"/>
  <c r="X16" i="13" s="1"/>
  <c r="Y16" i="13" s="1"/>
  <c r="X16" i="14" s="1"/>
  <c r="G54" i="29"/>
  <c r="Q8" i="9"/>
  <c r="P8" i="10" s="1"/>
  <c r="Q8" i="10" s="1"/>
  <c r="P8" i="11" s="1"/>
  <c r="Q8" i="11" s="1"/>
  <c r="P8" i="12" s="1"/>
  <c r="Q8" i="12" s="1"/>
  <c r="P8" i="13" s="1"/>
  <c r="Q8" i="13" s="1"/>
  <c r="P8" i="14" s="1"/>
  <c r="G40" i="29"/>
  <c r="I17" i="9"/>
  <c r="I15" i="10" s="1"/>
  <c r="I17" i="10" s="1"/>
  <c r="I15" i="11" s="1"/>
  <c r="I17" i="11" s="1"/>
  <c r="I15" i="12" s="1"/>
  <c r="I17" i="12" s="1"/>
  <c r="I15" i="13" s="1"/>
  <c r="I17" i="13" s="1"/>
  <c r="I15" i="14" s="1"/>
  <c r="G34" i="29"/>
  <c r="G35" i="29" s="1"/>
  <c r="H35" i="29" s="1"/>
  <c r="I35" i="29" s="1"/>
  <c r="J35" i="29" s="1"/>
  <c r="K35" i="29" s="1"/>
  <c r="I11" i="9"/>
  <c r="I8" i="10" s="1"/>
  <c r="I11" i="10" s="1"/>
  <c r="I8" i="11" s="1"/>
  <c r="I11" i="11" s="1"/>
  <c r="I8" i="12" s="1"/>
  <c r="I11" i="12" s="1"/>
  <c r="I8" i="13" s="1"/>
  <c r="I11" i="13" s="1"/>
  <c r="I8" i="14" s="1"/>
  <c r="G26" i="29"/>
  <c r="AE49" i="15"/>
  <c r="AG49" i="15" s="1"/>
  <c r="AF49" i="15"/>
  <c r="AF32" i="15"/>
  <c r="AE32" i="15"/>
  <c r="AF52" i="15"/>
  <c r="AE52" i="15"/>
  <c r="AG52" i="15" s="1"/>
  <c r="AF44" i="15"/>
  <c r="AE44" i="15"/>
  <c r="AG44" i="15" s="1"/>
  <c r="AF25" i="16"/>
  <c r="AE25" i="16"/>
  <c r="AF50" i="15"/>
  <c r="AE50" i="15"/>
  <c r="AG50" i="15" s="1"/>
  <c r="AF26" i="15"/>
  <c r="AE26" i="15"/>
  <c r="AE55" i="14"/>
  <c r="AB51" i="15"/>
  <c r="AB39" i="15"/>
  <c r="AB27" i="16"/>
  <c r="AB33" i="15"/>
  <c r="AB29" i="16"/>
  <c r="AB32" i="16"/>
  <c r="AB26" i="16"/>
  <c r="M55" i="9"/>
  <c r="M56" i="9" s="1"/>
  <c r="W18" i="9"/>
  <c r="G28" i="29" l="1"/>
  <c r="H28" i="29" s="1"/>
  <c r="I28" i="29" s="1"/>
  <c r="J28" i="29" s="1"/>
  <c r="K28" i="29" s="1"/>
  <c r="C9" i="9"/>
  <c r="C10" i="9" s="1"/>
  <c r="C12" i="9" s="1"/>
  <c r="C11" i="10" s="1"/>
  <c r="G41" i="29"/>
  <c r="H41" i="29" s="1"/>
  <c r="I41" i="29" s="1"/>
  <c r="J41" i="29" s="1"/>
  <c r="K41" i="29" s="1"/>
  <c r="AG25" i="16"/>
  <c r="AG32" i="15"/>
  <c r="AG26" i="15"/>
  <c r="AB56" i="14"/>
  <c r="Y18" i="9"/>
  <c r="G56" i="29"/>
  <c r="G18" i="29" s="1"/>
  <c r="G16" i="29"/>
  <c r="G17" i="29"/>
  <c r="AE32" i="16"/>
  <c r="AG32" i="16" s="1"/>
  <c r="AF32" i="16"/>
  <c r="AE33" i="15"/>
  <c r="AF33" i="15"/>
  <c r="AE39" i="15"/>
  <c r="AF39" i="15"/>
  <c r="AE26" i="16"/>
  <c r="AG26" i="16" s="1"/>
  <c r="AF26" i="16"/>
  <c r="AF29" i="16"/>
  <c r="AE29" i="16"/>
  <c r="AG29" i="16" s="1"/>
  <c r="AF27" i="16"/>
  <c r="AE27" i="16"/>
  <c r="AG27" i="16" s="1"/>
  <c r="AE51" i="15"/>
  <c r="AG51" i="15" s="1"/>
  <c r="AF51" i="15"/>
  <c r="AB34" i="16"/>
  <c r="AB28" i="16"/>
  <c r="AB36" i="16"/>
  <c r="AB40" i="15"/>
  <c r="AB46" i="15"/>
  <c r="AB39" i="16"/>
  <c r="AB33" i="16"/>
  <c r="X18" i="10"/>
  <c r="Y14" i="10"/>
  <c r="M28" i="14" l="1"/>
  <c r="AH28" i="14" s="1"/>
  <c r="M35" i="14"/>
  <c r="AH35" i="14" s="1"/>
  <c r="M42" i="14"/>
  <c r="AH42" i="14" s="1"/>
  <c r="M49" i="14"/>
  <c r="AH49" i="14" s="1"/>
  <c r="N24" i="10"/>
  <c r="N25" i="10" s="1"/>
  <c r="N26" i="10" s="1"/>
  <c r="N27" i="10" s="1"/>
  <c r="N28" i="10" s="1"/>
  <c r="N29" i="10" s="1"/>
  <c r="N30" i="10" s="1"/>
  <c r="N31" i="10" s="1"/>
  <c r="N32" i="10" s="1"/>
  <c r="N33" i="10" s="1"/>
  <c r="N34" i="10" s="1"/>
  <c r="N35" i="10" s="1"/>
  <c r="N36" i="10" s="1"/>
  <c r="N37" i="10" s="1"/>
  <c r="N38" i="10" s="1"/>
  <c r="N39" i="10" s="1"/>
  <c r="N40" i="10" s="1"/>
  <c r="N41" i="10" s="1"/>
  <c r="N42" i="10" s="1"/>
  <c r="N43" i="10" s="1"/>
  <c r="N44" i="10" s="1"/>
  <c r="N45" i="10" s="1"/>
  <c r="N46" i="10" s="1"/>
  <c r="N47" i="10" s="1"/>
  <c r="N48" i="10" s="1"/>
  <c r="N49" i="10" s="1"/>
  <c r="N50" i="10" s="1"/>
  <c r="N51" i="10" s="1"/>
  <c r="N52" i="10" s="1"/>
  <c r="N53" i="10" s="1"/>
  <c r="N54" i="10" s="1"/>
  <c r="C12" i="10"/>
  <c r="C11" i="11" s="1"/>
  <c r="N24" i="11" s="1"/>
  <c r="N25" i="11" s="1"/>
  <c r="N26" i="11" s="1"/>
  <c r="N27" i="11" s="1"/>
  <c r="N28" i="11" s="1"/>
  <c r="N29" i="11" s="1"/>
  <c r="N30" i="11" s="1"/>
  <c r="N31" i="11" s="1"/>
  <c r="N32" i="11" s="1"/>
  <c r="N33" i="11" s="1"/>
  <c r="N34" i="11" s="1"/>
  <c r="N35" i="11" s="1"/>
  <c r="N36" i="11" s="1"/>
  <c r="N37" i="11" s="1"/>
  <c r="N38" i="11" s="1"/>
  <c r="N39" i="11" s="1"/>
  <c r="N40" i="11" s="1"/>
  <c r="N41" i="11" s="1"/>
  <c r="N42" i="11" s="1"/>
  <c r="N43" i="11" s="1"/>
  <c r="N44" i="11" s="1"/>
  <c r="N45" i="11" s="1"/>
  <c r="N46" i="11" s="1"/>
  <c r="N47" i="11" s="1"/>
  <c r="N48" i="11" s="1"/>
  <c r="N49" i="11" s="1"/>
  <c r="N50" i="11" s="1"/>
  <c r="N51" i="11" s="1"/>
  <c r="N52" i="11" s="1"/>
  <c r="N53" i="11" s="1"/>
  <c r="N54" i="11" s="1"/>
  <c r="M29" i="14"/>
  <c r="AH29" i="14" s="1"/>
  <c r="M36" i="14"/>
  <c r="AH36" i="14" s="1"/>
  <c r="M43" i="14"/>
  <c r="AH43" i="14" s="1"/>
  <c r="M50" i="14"/>
  <c r="AH50" i="14" s="1"/>
  <c r="AB46" i="16"/>
  <c r="M27" i="14"/>
  <c r="AH27" i="14" s="1"/>
  <c r="M31" i="14"/>
  <c r="AH31" i="14" s="1"/>
  <c r="M39" i="14"/>
  <c r="AH39" i="14" s="1"/>
  <c r="M47" i="14"/>
  <c r="AH47" i="14" s="1"/>
  <c r="M51" i="14"/>
  <c r="AH51" i="14" s="1"/>
  <c r="M24" i="14"/>
  <c r="AH24" i="14" s="1"/>
  <c r="M32" i="14"/>
  <c r="AH32" i="14" s="1"/>
  <c r="M40" i="14"/>
  <c r="AH40" i="14" s="1"/>
  <c r="M44" i="14"/>
  <c r="AH44" i="14" s="1"/>
  <c r="M48" i="14"/>
  <c r="AH48" i="14" s="1"/>
  <c r="M52" i="14"/>
  <c r="AH52" i="14" s="1"/>
  <c r="M25" i="14"/>
  <c r="AH25" i="14" s="1"/>
  <c r="M33" i="14"/>
  <c r="AH33" i="14" s="1"/>
  <c r="M37" i="14"/>
  <c r="AH37" i="14" s="1"/>
  <c r="M41" i="14"/>
  <c r="AH41" i="14" s="1"/>
  <c r="M45" i="14"/>
  <c r="AH45" i="14" s="1"/>
  <c r="M53" i="14"/>
  <c r="AH53" i="14" s="1"/>
  <c r="M26" i="14"/>
  <c r="AH26" i="14" s="1"/>
  <c r="M30" i="14"/>
  <c r="AH30" i="14" s="1"/>
  <c r="M34" i="14"/>
  <c r="AH34" i="14" s="1"/>
  <c r="M38" i="14"/>
  <c r="AH38" i="14" s="1"/>
  <c r="M46" i="14"/>
  <c r="AH46" i="14" s="1"/>
  <c r="M54" i="14"/>
  <c r="AH54" i="14" s="1"/>
  <c r="AG33" i="15"/>
  <c r="AG39" i="15"/>
  <c r="L52" i="29"/>
  <c r="G19" i="29"/>
  <c r="AF39" i="16"/>
  <c r="AE39" i="16"/>
  <c r="AG39" i="16" s="1"/>
  <c r="AF40" i="15"/>
  <c r="AE40" i="15"/>
  <c r="AF33" i="16"/>
  <c r="AE33" i="16"/>
  <c r="AG33" i="16" s="1"/>
  <c r="AF46" i="15"/>
  <c r="AE46" i="15"/>
  <c r="AE36" i="16"/>
  <c r="AG36" i="16" s="1"/>
  <c r="AF36" i="16"/>
  <c r="AE28" i="16"/>
  <c r="AG28" i="16" s="1"/>
  <c r="AF28" i="16"/>
  <c r="AE34" i="16"/>
  <c r="AG34" i="16" s="1"/>
  <c r="AF34" i="16"/>
  <c r="AB53" i="15"/>
  <c r="AB43" i="16"/>
  <c r="F18" i="14"/>
  <c r="AB47" i="15"/>
  <c r="AB35" i="16"/>
  <c r="AB41" i="16"/>
  <c r="AB40" i="16"/>
  <c r="Y18" i="10"/>
  <c r="X14" i="11"/>
  <c r="C12" i="11" l="1"/>
  <c r="C11" i="12" s="1"/>
  <c r="N24" i="12" s="1"/>
  <c r="N25" i="12" s="1"/>
  <c r="N26" i="12" s="1"/>
  <c r="N27" i="12" s="1"/>
  <c r="N28" i="12" s="1"/>
  <c r="N29" i="12" s="1"/>
  <c r="N30" i="12" s="1"/>
  <c r="N31" i="12" s="1"/>
  <c r="N32" i="12" s="1"/>
  <c r="N33" i="12" s="1"/>
  <c r="N34" i="12" s="1"/>
  <c r="N35" i="12" s="1"/>
  <c r="N36" i="12" s="1"/>
  <c r="N37" i="12" s="1"/>
  <c r="N38" i="12" s="1"/>
  <c r="N39" i="12" s="1"/>
  <c r="N40" i="12" s="1"/>
  <c r="N41" i="12" s="1"/>
  <c r="N42" i="12" s="1"/>
  <c r="N43" i="12" s="1"/>
  <c r="N44" i="12" s="1"/>
  <c r="N45" i="12" s="1"/>
  <c r="N46" i="12" s="1"/>
  <c r="N47" i="12" s="1"/>
  <c r="N48" i="12" s="1"/>
  <c r="N49" i="12" s="1"/>
  <c r="N50" i="12" s="1"/>
  <c r="N51" i="12" s="1"/>
  <c r="N52" i="12" s="1"/>
  <c r="N53" i="12" s="1"/>
  <c r="N54" i="12" s="1"/>
  <c r="AB24" i="16"/>
  <c r="AB53" i="16"/>
  <c r="AB47" i="16"/>
  <c r="AG46" i="15"/>
  <c r="AG40" i="15"/>
  <c r="Y17" i="14"/>
  <c r="L55" i="29"/>
  <c r="Q8" i="14"/>
  <c r="L40" i="29"/>
  <c r="Y16" i="14"/>
  <c r="L54" i="29"/>
  <c r="Y15" i="14"/>
  <c r="L53" i="29"/>
  <c r="I11" i="14"/>
  <c r="L26" i="29"/>
  <c r="I17" i="14"/>
  <c r="L34" i="29"/>
  <c r="L35" i="29" s="1"/>
  <c r="G20" i="29"/>
  <c r="H20" i="29" s="1"/>
  <c r="I20" i="29" s="1"/>
  <c r="J20" i="29" s="1"/>
  <c r="K20" i="29" s="1"/>
  <c r="AE40" i="16"/>
  <c r="AG40" i="16" s="1"/>
  <c r="AF40" i="16"/>
  <c r="AF41" i="16"/>
  <c r="AE41" i="16"/>
  <c r="AG41" i="16" s="1"/>
  <c r="AE47" i="15"/>
  <c r="AF47" i="15"/>
  <c r="AF43" i="16"/>
  <c r="AE43" i="16"/>
  <c r="AG43" i="16" s="1"/>
  <c r="AE53" i="15"/>
  <c r="AF53" i="15"/>
  <c r="AF46" i="16"/>
  <c r="AE46" i="16"/>
  <c r="AF35" i="16"/>
  <c r="AE35" i="16"/>
  <c r="AG35" i="16" s="1"/>
  <c r="AB42" i="16"/>
  <c r="M55" i="14"/>
  <c r="M56" i="14" s="1"/>
  <c r="W18" i="14"/>
  <c r="AB50" i="16"/>
  <c r="AB30" i="16"/>
  <c r="X18" i="11"/>
  <c r="Y14" i="11"/>
  <c r="C12" i="12" l="1"/>
  <c r="C11" i="13" s="1"/>
  <c r="N24" i="13" s="1"/>
  <c r="N25" i="13" s="1"/>
  <c r="N26" i="13" s="1"/>
  <c r="N27" i="13" s="1"/>
  <c r="N28" i="13" s="1"/>
  <c r="N29" i="13" s="1"/>
  <c r="N30" i="13" s="1"/>
  <c r="N31" i="13" s="1"/>
  <c r="N32" i="13" s="1"/>
  <c r="N33" i="13" s="1"/>
  <c r="N34" i="13" s="1"/>
  <c r="N35" i="13" s="1"/>
  <c r="N36" i="13" s="1"/>
  <c r="N37" i="13" s="1"/>
  <c r="N38" i="13" s="1"/>
  <c r="N39" i="13" s="1"/>
  <c r="N40" i="13" s="1"/>
  <c r="N41" i="13" s="1"/>
  <c r="N42" i="13" s="1"/>
  <c r="N43" i="13" s="1"/>
  <c r="N44" i="13" s="1"/>
  <c r="N45" i="13" s="1"/>
  <c r="N46" i="13" s="1"/>
  <c r="N47" i="13" s="1"/>
  <c r="N48" i="13" s="1"/>
  <c r="N49" i="13" s="1"/>
  <c r="N50" i="13" s="1"/>
  <c r="N51" i="13" s="1"/>
  <c r="N52" i="13" s="1"/>
  <c r="N53" i="13" s="1"/>
  <c r="N54" i="13" s="1"/>
  <c r="AF47" i="16"/>
  <c r="L28" i="29"/>
  <c r="AF55" i="15"/>
  <c r="C9" i="14"/>
  <c r="C10" i="14" s="1"/>
  <c r="L41" i="29"/>
  <c r="AG53" i="15"/>
  <c r="AG46" i="16"/>
  <c r="AG47" i="15"/>
  <c r="L56" i="29"/>
  <c r="L18" i="29" s="1"/>
  <c r="I15" i="15"/>
  <c r="I8" i="15"/>
  <c r="X15" i="15"/>
  <c r="X16" i="15"/>
  <c r="P8" i="15"/>
  <c r="X17" i="15"/>
  <c r="L17" i="29"/>
  <c r="L16" i="29"/>
  <c r="AE24" i="16"/>
  <c r="AF24" i="16"/>
  <c r="AF50" i="16"/>
  <c r="AE50" i="16"/>
  <c r="AG50" i="16" s="1"/>
  <c r="AF53" i="16"/>
  <c r="AE53" i="16"/>
  <c r="AG53" i="16" s="1"/>
  <c r="AE30" i="16"/>
  <c r="AF30" i="16"/>
  <c r="AF48" i="16"/>
  <c r="AE48" i="16"/>
  <c r="AE42" i="16"/>
  <c r="AG42" i="16" s="1"/>
  <c r="AF42" i="16"/>
  <c r="AB37" i="16"/>
  <c r="AB49" i="16"/>
  <c r="AE55" i="15"/>
  <c r="AB31" i="16"/>
  <c r="AB54" i="16"/>
  <c r="Y18" i="11"/>
  <c r="X14" i="12"/>
  <c r="C12" i="13" l="1"/>
  <c r="C11" i="14" s="1"/>
  <c r="N24" i="14" s="1"/>
  <c r="N25" i="14" s="1"/>
  <c r="N26" i="14" s="1"/>
  <c r="N27" i="14" s="1"/>
  <c r="N28" i="14" s="1"/>
  <c r="N29" i="14" s="1"/>
  <c r="N30" i="14" s="1"/>
  <c r="N31" i="14" s="1"/>
  <c r="N32" i="14" s="1"/>
  <c r="N33" i="14" s="1"/>
  <c r="N34" i="14" s="1"/>
  <c r="N35" i="14" s="1"/>
  <c r="N36" i="14" s="1"/>
  <c r="N37" i="14" s="1"/>
  <c r="N38" i="14" s="1"/>
  <c r="N39" i="14" s="1"/>
  <c r="N40" i="14" s="1"/>
  <c r="N41" i="14" s="1"/>
  <c r="N42" i="14" s="1"/>
  <c r="N43" i="14" s="1"/>
  <c r="N44" i="14" s="1"/>
  <c r="N45" i="14" s="1"/>
  <c r="N46" i="14" s="1"/>
  <c r="N47" i="14" s="1"/>
  <c r="N48" i="14" s="1"/>
  <c r="N49" i="14" s="1"/>
  <c r="N50" i="14" s="1"/>
  <c r="N51" i="14" s="1"/>
  <c r="N52" i="14" s="1"/>
  <c r="N53" i="14" s="1"/>
  <c r="N54" i="14" s="1"/>
  <c r="AD55" i="15"/>
  <c r="AB56" i="15" s="1"/>
  <c r="AE54" i="16"/>
  <c r="M48" i="16"/>
  <c r="AH48" i="16" s="1"/>
  <c r="AG47" i="16"/>
  <c r="AG48" i="16"/>
  <c r="AG30" i="16"/>
  <c r="AG24" i="16"/>
  <c r="L19" i="29"/>
  <c r="AF31" i="16"/>
  <c r="AE31" i="16"/>
  <c r="AF49" i="16"/>
  <c r="AE49" i="16"/>
  <c r="AF37" i="16"/>
  <c r="AE37" i="16"/>
  <c r="AB38" i="16"/>
  <c r="AB44" i="16"/>
  <c r="X18" i="12"/>
  <c r="Y14" i="12"/>
  <c r="C12" i="14" l="1"/>
  <c r="C11" i="15" s="1"/>
  <c r="M25" i="15"/>
  <c r="AH25" i="15" s="1"/>
  <c r="M32" i="15"/>
  <c r="AH32" i="15" s="1"/>
  <c r="M39" i="15"/>
  <c r="AH39" i="15" s="1"/>
  <c r="M46" i="15"/>
  <c r="AH46" i="15" s="1"/>
  <c r="M53" i="15"/>
  <c r="AH53" i="15" s="1"/>
  <c r="AG54" i="16"/>
  <c r="M26" i="15"/>
  <c r="AH26" i="15" s="1"/>
  <c r="M33" i="15"/>
  <c r="AH33" i="15" s="1"/>
  <c r="M40" i="15"/>
  <c r="AH40" i="15" s="1"/>
  <c r="M47" i="15"/>
  <c r="AH47" i="15" s="1"/>
  <c r="M49" i="16"/>
  <c r="AH49" i="16" s="1"/>
  <c r="M27" i="15"/>
  <c r="AH27" i="15" s="1"/>
  <c r="M31" i="15"/>
  <c r="AH31" i="15" s="1"/>
  <c r="M24" i="15"/>
  <c r="AH24" i="15" s="1"/>
  <c r="M28" i="15"/>
  <c r="AH28" i="15" s="1"/>
  <c r="M36" i="15"/>
  <c r="AH36" i="15" s="1"/>
  <c r="M44" i="15"/>
  <c r="AH44" i="15" s="1"/>
  <c r="M49" i="15"/>
  <c r="AH49" i="15" s="1"/>
  <c r="M30" i="15"/>
  <c r="AH30" i="15" s="1"/>
  <c r="M34" i="15"/>
  <c r="AH34" i="15" s="1"/>
  <c r="M38" i="15"/>
  <c r="AH38" i="15" s="1"/>
  <c r="M42" i="15"/>
  <c r="AH42" i="15" s="1"/>
  <c r="M51" i="15"/>
  <c r="AH51" i="15" s="1"/>
  <c r="M35" i="15"/>
  <c r="AH35" i="15" s="1"/>
  <c r="M43" i="15"/>
  <c r="AH43" i="15" s="1"/>
  <c r="M52" i="15"/>
  <c r="AH52" i="15" s="1"/>
  <c r="M29" i="15"/>
  <c r="AH29" i="15" s="1"/>
  <c r="M37" i="15"/>
  <c r="AH37" i="15" s="1"/>
  <c r="M41" i="15"/>
  <c r="AH41" i="15" s="1"/>
  <c r="M45" i="15"/>
  <c r="AH45" i="15" s="1"/>
  <c r="M50" i="15"/>
  <c r="AH50" i="15" s="1"/>
  <c r="M48" i="15"/>
  <c r="AH48" i="15" s="1"/>
  <c r="AG49" i="16"/>
  <c r="AG37" i="16"/>
  <c r="AG31" i="16"/>
  <c r="L20" i="29"/>
  <c r="AE44" i="16"/>
  <c r="AF44" i="16"/>
  <c r="AE38" i="16"/>
  <c r="AF38" i="16"/>
  <c r="F18" i="15"/>
  <c r="AB51" i="16"/>
  <c r="AB45" i="16"/>
  <c r="Y18" i="12"/>
  <c r="X14" i="13"/>
  <c r="N24" i="15" l="1"/>
  <c r="N25" i="15" s="1"/>
  <c r="N26" i="15" s="1"/>
  <c r="N27" i="15" s="1"/>
  <c r="N28" i="15" s="1"/>
  <c r="N29" i="15" s="1"/>
  <c r="N30" i="15" s="1"/>
  <c r="N31" i="15" s="1"/>
  <c r="N32" i="15" s="1"/>
  <c r="N33" i="15" s="1"/>
  <c r="N34" i="15" s="1"/>
  <c r="N35" i="15" s="1"/>
  <c r="N36" i="15" s="1"/>
  <c r="N37" i="15" s="1"/>
  <c r="N38" i="15" s="1"/>
  <c r="N39" i="15" s="1"/>
  <c r="N40" i="15" s="1"/>
  <c r="N41" i="15" s="1"/>
  <c r="N42" i="15" s="1"/>
  <c r="N43" i="15" s="1"/>
  <c r="N44" i="15" s="1"/>
  <c r="N45" i="15" s="1"/>
  <c r="N46" i="15" s="1"/>
  <c r="N47" i="15" s="1"/>
  <c r="N48" i="15" s="1"/>
  <c r="N49" i="15" s="1"/>
  <c r="N50" i="15" s="1"/>
  <c r="N51" i="15" s="1"/>
  <c r="N52" i="15" s="1"/>
  <c r="N53" i="15" s="1"/>
  <c r="N54" i="15" s="1"/>
  <c r="AG38" i="16"/>
  <c r="AG44" i="16"/>
  <c r="Q8" i="15"/>
  <c r="P8" i="16" s="1"/>
  <c r="M40" i="29"/>
  <c r="M41" i="29" s="1"/>
  <c r="I17" i="15"/>
  <c r="I15" i="16" s="1"/>
  <c r="M34" i="29"/>
  <c r="M35" i="29" s="1"/>
  <c r="AF51" i="16"/>
  <c r="AE51" i="16"/>
  <c r="AF45" i="16"/>
  <c r="AE45" i="16"/>
  <c r="AB52" i="16"/>
  <c r="M55" i="15"/>
  <c r="M56" i="15" s="1"/>
  <c r="X18" i="13"/>
  <c r="Y14" i="13"/>
  <c r="AG51" i="16" l="1"/>
  <c r="AG45" i="16"/>
  <c r="M17" i="29"/>
  <c r="AF52" i="16"/>
  <c r="AF55" i="16" s="1"/>
  <c r="AE52" i="16"/>
  <c r="Y18" i="13"/>
  <c r="X14" i="14"/>
  <c r="AE55" i="16" l="1"/>
  <c r="AG52" i="16"/>
  <c r="AD55" i="16" s="1"/>
  <c r="AB56" i="16" s="1"/>
  <c r="X18" i="14"/>
  <c r="Y14" i="14"/>
  <c r="M30" i="16" l="1"/>
  <c r="AH30" i="16" s="1"/>
  <c r="M37" i="16"/>
  <c r="AH37" i="16" s="1"/>
  <c r="M44" i="16"/>
  <c r="AH44" i="16" s="1"/>
  <c r="M51" i="16"/>
  <c r="AH51" i="16" s="1"/>
  <c r="M47" i="16"/>
  <c r="M54" i="16"/>
  <c r="Q20" i="31"/>
  <c r="M24" i="16"/>
  <c r="AH24" i="16" s="1"/>
  <c r="M31" i="16"/>
  <c r="AH31" i="16" s="1"/>
  <c r="M38" i="16"/>
  <c r="AH38" i="16" s="1"/>
  <c r="M45" i="16"/>
  <c r="AH45" i="16" s="1"/>
  <c r="M52" i="16"/>
  <c r="AH52" i="16" s="1"/>
  <c r="M29" i="16"/>
  <c r="AH29" i="16" s="1"/>
  <c r="Y18" i="14"/>
  <c r="X14" i="15"/>
  <c r="M43" i="16" l="1"/>
  <c r="AH43" i="16" s="1"/>
  <c r="M53" i="16"/>
  <c r="AH53" i="16" s="1"/>
  <c r="AH47" i="16"/>
  <c r="AH54" i="16"/>
  <c r="M40" i="16"/>
  <c r="AH40" i="16" s="1"/>
  <c r="M32" i="16"/>
  <c r="AH32" i="16" s="1"/>
  <c r="M28" i="16"/>
  <c r="AH28" i="16" s="1"/>
  <c r="M39" i="16"/>
  <c r="AH39" i="16" s="1"/>
  <c r="M33" i="16"/>
  <c r="AH33" i="16" s="1"/>
  <c r="M25" i="16"/>
  <c r="AH25" i="16" s="1"/>
  <c r="M50" i="16"/>
  <c r="AH50" i="16" s="1"/>
  <c r="M46" i="16"/>
  <c r="AH46" i="16" s="1"/>
  <c r="N55" i="29"/>
  <c r="N54" i="29"/>
  <c r="N53" i="29"/>
  <c r="M27" i="16"/>
  <c r="AH27" i="16" s="1"/>
  <c r="M42" i="16"/>
  <c r="AH42" i="16" s="1"/>
  <c r="M41" i="16"/>
  <c r="AH41" i="16" s="1"/>
  <c r="M34" i="16"/>
  <c r="AH34" i="16" s="1"/>
  <c r="M36" i="16"/>
  <c r="AH36" i="16" s="1"/>
  <c r="M35" i="16"/>
  <c r="AH35" i="16" s="1"/>
  <c r="M26" i="16"/>
  <c r="AH26" i="16" s="1"/>
  <c r="N26" i="29"/>
  <c r="Q8" i="16"/>
  <c r="F24" i="27" s="1"/>
  <c r="N40" i="29"/>
  <c r="X18" i="15"/>
  <c r="J24" i="27" l="1"/>
  <c r="G24" i="27"/>
  <c r="K24" i="27"/>
  <c r="H24" i="27"/>
  <c r="I24" i="27"/>
  <c r="O40" i="29"/>
  <c r="O41" i="29" s="1"/>
  <c r="N41" i="29"/>
  <c r="I17" i="16"/>
  <c r="F12" i="27" s="1"/>
  <c r="F18" i="16"/>
  <c r="W18" i="16"/>
  <c r="C9" i="16" s="1"/>
  <c r="N52" i="29"/>
  <c r="N56" i="29" s="1"/>
  <c r="N18" i="29" s="1"/>
  <c r="N34" i="29"/>
  <c r="M55" i="16"/>
  <c r="M56" i="16" s="1"/>
  <c r="N16" i="29"/>
  <c r="J12" i="27" l="1"/>
  <c r="G12" i="27"/>
  <c r="K12" i="27"/>
  <c r="H12" i="27"/>
  <c r="I12" i="27"/>
  <c r="N17" i="29"/>
  <c r="O17" i="29" s="1"/>
  <c r="N35" i="29"/>
  <c r="C10" i="16"/>
  <c r="O34" i="29"/>
  <c r="O35" i="29" s="1"/>
  <c r="N19" i="29" l="1"/>
  <c r="C31" i="29"/>
  <c r="K24" i="31"/>
  <c r="Y15" i="15"/>
  <c r="X15" i="16" s="1"/>
  <c r="Y15" i="16" s="1"/>
  <c r="F20" i="27" s="1"/>
  <c r="M55" i="29"/>
  <c r="O55" i="29" s="1"/>
  <c r="Y14" i="15"/>
  <c r="I11" i="15"/>
  <c r="I8" i="16" s="1"/>
  <c r="I11" i="16" s="1"/>
  <c r="F11" i="27" s="1"/>
  <c r="M26" i="29"/>
  <c r="I20" i="27" l="1"/>
  <c r="J20" i="27"/>
  <c r="G20" i="27"/>
  <c r="K20" i="27"/>
  <c r="H20" i="27"/>
  <c r="I11" i="27"/>
  <c r="J11" i="27"/>
  <c r="G11" i="27"/>
  <c r="K11" i="27"/>
  <c r="H11" i="27"/>
  <c r="M28" i="29"/>
  <c r="N28" i="29" s="1"/>
  <c r="F13" i="27"/>
  <c r="Y17" i="15"/>
  <c r="X17" i="16" s="1"/>
  <c r="Y17" i="16" s="1"/>
  <c r="F14" i="27" s="1"/>
  <c r="M53" i="29"/>
  <c r="O53" i="29" s="1"/>
  <c r="W18" i="15"/>
  <c r="C9" i="15" s="1"/>
  <c r="M52" i="29"/>
  <c r="O52" i="29" s="1"/>
  <c r="M16" i="29"/>
  <c r="O26" i="29"/>
  <c r="O28" i="29" s="1"/>
  <c r="Y16" i="15"/>
  <c r="X16" i="16" s="1"/>
  <c r="Y16" i="16" s="1"/>
  <c r="F18" i="27" s="1"/>
  <c r="M54" i="29"/>
  <c r="O54" i="29" s="1"/>
  <c r="X14" i="16"/>
  <c r="G18" i="27" l="1"/>
  <c r="I18" i="27"/>
  <c r="J18" i="27"/>
  <c r="K18" i="27"/>
  <c r="H18" i="27"/>
  <c r="I13" i="27"/>
  <c r="J13" i="27"/>
  <c r="H13" i="27"/>
  <c r="G13" i="27"/>
  <c r="K13" i="27"/>
  <c r="G14" i="27"/>
  <c r="I14" i="27"/>
  <c r="J14" i="27"/>
  <c r="K14" i="27"/>
  <c r="H14" i="27"/>
  <c r="C10" i="15"/>
  <c r="C12" i="15" s="1"/>
  <c r="C11" i="16" s="1"/>
  <c r="N24" i="16" s="1"/>
  <c r="N25" i="16" s="1"/>
  <c r="N26" i="16" s="1"/>
  <c r="N27" i="16" s="1"/>
  <c r="N28" i="16" s="1"/>
  <c r="N29" i="16" s="1"/>
  <c r="N30" i="16" s="1"/>
  <c r="N31" i="16" s="1"/>
  <c r="N32" i="16" s="1"/>
  <c r="N33" i="16" s="1"/>
  <c r="N34" i="16" s="1"/>
  <c r="N35" i="16" s="1"/>
  <c r="N36" i="16" s="1"/>
  <c r="N37" i="16" s="1"/>
  <c r="N38" i="16" s="1"/>
  <c r="N39" i="16" s="1"/>
  <c r="N40" i="16" s="1"/>
  <c r="N41" i="16" s="1"/>
  <c r="N42" i="16" s="1"/>
  <c r="N43" i="16" s="1"/>
  <c r="N44" i="16" s="1"/>
  <c r="N45" i="16" s="1"/>
  <c r="N46" i="16" s="1"/>
  <c r="N47" i="16" s="1"/>
  <c r="N48" i="16" s="1"/>
  <c r="N49" i="16" s="1"/>
  <c r="N50" i="16" s="1"/>
  <c r="N51" i="16" s="1"/>
  <c r="N52" i="16" s="1"/>
  <c r="N53" i="16" s="1"/>
  <c r="N54" i="16" s="1"/>
  <c r="N29" i="31"/>
  <c r="N31" i="31" s="1"/>
  <c r="J29" i="31"/>
  <c r="J31" i="31" s="1"/>
  <c r="Y18" i="15"/>
  <c r="M56" i="29"/>
  <c r="M18" i="29" s="1"/>
  <c r="O18" i="29" s="1"/>
  <c r="O16" i="29"/>
  <c r="Y14" i="16"/>
  <c r="X18" i="16"/>
  <c r="Y18" i="16" l="1"/>
  <c r="F19" i="27"/>
  <c r="C12" i="16"/>
  <c r="F10" i="27" s="1"/>
  <c r="Q22" i="31"/>
  <c r="Q21" i="31"/>
  <c r="M19" i="29"/>
  <c r="O19" i="29" s="1"/>
  <c r="H10" i="27" l="1"/>
  <c r="I10" i="27"/>
  <c r="K10" i="27"/>
  <c r="G10" i="27"/>
  <c r="J10" i="27"/>
  <c r="J19" i="27"/>
  <c r="G19" i="27"/>
  <c r="H19" i="27"/>
  <c r="I19" i="27"/>
  <c r="K19" i="27"/>
  <c r="Q23" i="31"/>
  <c r="H21" i="31" s="1"/>
  <c r="K25" i="31"/>
  <c r="K20" i="31" s="1"/>
  <c r="L20" i="31"/>
  <c r="M20" i="29"/>
  <c r="N20" i="29" s="1"/>
  <c r="O20" i="29" s="1"/>
  <c r="L25" i="31" l="1"/>
  <c r="K17" i="31"/>
  <c r="L16"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P21" authorId="0" shapeId="0" xr:uid="{00000000-0006-0000-03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3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 ref="M24" authorId="0" shapeId="0" xr:uid="{00000000-0006-0000-0300-000003000000}">
      <text>
        <r>
          <rPr>
            <b/>
            <sz val="10"/>
            <color indexed="81"/>
            <rFont val="Tahoma"/>
            <family val="2"/>
          </rPr>
          <t>Neujahr</t>
        </r>
      </text>
    </comment>
    <comment ref="M25" authorId="0" shapeId="0" xr:uid="{00000000-0006-0000-0300-000004000000}">
      <text>
        <r>
          <rPr>
            <b/>
            <sz val="10"/>
            <color indexed="81"/>
            <rFont val="Tahoma"/>
            <family val="2"/>
          </rPr>
          <t>Berchtoldstag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P21" authorId="0" shapeId="0" xr:uid="{00000000-0006-0000-0C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C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P21" authorId="0" shapeId="0" xr:uid="{00000000-0006-0000-0D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D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Stephan, Christian (PERS)</author>
    <author>cstephan</author>
  </authors>
  <commentList>
    <comment ref="P21" authorId="0" shapeId="0" xr:uid="{00000000-0006-0000-0E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E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 ref="M47" authorId="1" shapeId="0" xr:uid="{00000000-0006-0000-0E00-000003000000}">
      <text>
        <r>
          <rPr>
            <b/>
            <sz val="10"/>
            <color indexed="81"/>
            <rFont val="Tahoma"/>
            <family val="2"/>
          </rPr>
          <t>Heiligabend</t>
        </r>
      </text>
    </comment>
    <comment ref="M48" authorId="1" shapeId="0" xr:uid="{00000000-0006-0000-0E00-000004000000}">
      <text>
        <r>
          <rPr>
            <b/>
            <sz val="10"/>
            <color indexed="81"/>
            <rFont val="Tahoma"/>
            <family val="2"/>
          </rPr>
          <t>1. Weihnachtstag</t>
        </r>
      </text>
    </comment>
    <comment ref="M49" authorId="1" shapeId="0" xr:uid="{00000000-0006-0000-0E00-000005000000}">
      <text>
        <r>
          <rPr>
            <b/>
            <sz val="10"/>
            <color indexed="81"/>
            <rFont val="Tahoma"/>
            <family val="2"/>
          </rPr>
          <t>2. Weihnachtstag</t>
        </r>
      </text>
    </comment>
    <comment ref="M54" authorId="1" shapeId="0" xr:uid="{00000000-0006-0000-0E00-000006000000}">
      <text>
        <r>
          <rPr>
            <b/>
            <sz val="10"/>
            <color indexed="81"/>
            <rFont val="Tahoma"/>
            <family val="2"/>
          </rPr>
          <t>Silvester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E63" authorId="0" shapeId="0" xr:uid="{00000000-0006-0000-1100-000001000000}">
      <text>
        <r>
          <rPr>
            <b/>
            <sz val="12"/>
            <color indexed="81"/>
            <rFont val="Tahoma"/>
            <family val="2"/>
          </rPr>
          <t>Achtung bei Schaltjahr: Anpassung Formel 29.2. und 1.3.!!!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P21" authorId="0" shapeId="0" xr:uid="{00000000-0006-0000-04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4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P21" authorId="0" shapeId="0" xr:uid="{00000000-0006-0000-05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5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Stephan, Christian (PERS)</author>
    <author>Scherler, Rahel (PERS)</author>
  </authors>
  <commentList>
    <comment ref="P21" authorId="0" shapeId="0" xr:uid="{00000000-0006-0000-06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6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 ref="M24" authorId="1" shapeId="0" xr:uid="{00000000-0006-0000-0600-000003000000}">
      <text>
        <r>
          <rPr>
            <b/>
            <sz val="9"/>
            <color indexed="81"/>
            <rFont val="Segoe UI"/>
            <family val="2"/>
          </rPr>
          <t>Gründonnerstag</t>
        </r>
        <r>
          <rPr>
            <sz val="9"/>
            <color indexed="81"/>
            <rFont val="Segoe UI"/>
            <family val="2"/>
          </rPr>
          <t xml:space="preserve">
</t>
        </r>
      </text>
    </comment>
    <comment ref="M25" authorId="1" shapeId="0" xr:uid="{00000000-0006-0000-0600-000004000000}">
      <text>
        <r>
          <rPr>
            <b/>
            <sz val="9"/>
            <color indexed="81"/>
            <rFont val="Segoe UI"/>
            <family val="2"/>
          </rPr>
          <t>Karfreitag</t>
        </r>
      </text>
    </comment>
    <comment ref="M27" authorId="1" shapeId="0" xr:uid="{00000000-0006-0000-0600-000005000000}">
      <text>
        <r>
          <rPr>
            <b/>
            <sz val="9"/>
            <color indexed="81"/>
            <rFont val="Segoe UI"/>
            <family val="2"/>
          </rPr>
          <t>Ostern</t>
        </r>
      </text>
    </comment>
    <comment ref="M28" authorId="1" shapeId="0" xr:uid="{00000000-0006-0000-0600-000006000000}">
      <text>
        <r>
          <rPr>
            <b/>
            <sz val="9"/>
            <color indexed="81"/>
            <rFont val="Segoe UI"/>
            <family val="2"/>
          </rPr>
          <t>Ostermontag</t>
        </r>
        <r>
          <rPr>
            <sz val="9"/>
            <color indexed="81"/>
            <rFont val="Segoe UI"/>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Stephan, Christian (PERS)</author>
    <author>Scherler, Rahel (PERS)</author>
  </authors>
  <commentList>
    <comment ref="P21" authorId="0" shapeId="0" xr:uid="{00000000-0006-0000-07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7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 ref="M36" authorId="1" shapeId="0" xr:uid="{00000000-0006-0000-0700-000003000000}">
      <text>
        <r>
          <rPr>
            <b/>
            <sz val="9"/>
            <color indexed="81"/>
            <rFont val="Segoe UI"/>
            <family val="2"/>
          </rPr>
          <t>Auffahrt</t>
        </r>
      </text>
    </comment>
    <comment ref="M46" authorId="1" shapeId="0" xr:uid="{00000000-0006-0000-0700-000004000000}">
      <text>
        <r>
          <rPr>
            <b/>
            <sz val="9"/>
            <color indexed="81"/>
            <rFont val="Segoe UI"/>
            <family val="2"/>
          </rPr>
          <t>Pfingsten</t>
        </r>
        <r>
          <rPr>
            <sz val="9"/>
            <color indexed="81"/>
            <rFont val="Segoe UI"/>
            <family val="2"/>
          </rPr>
          <t xml:space="preserve">
</t>
        </r>
      </text>
    </comment>
    <comment ref="M47" authorId="1" shapeId="0" xr:uid="{00000000-0006-0000-0700-000005000000}">
      <text>
        <r>
          <rPr>
            <b/>
            <sz val="9"/>
            <color indexed="81"/>
            <rFont val="Segoe UI"/>
            <family val="2"/>
          </rPr>
          <t>Pfingstmontag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P21" authorId="0" shapeId="0" xr:uid="{00000000-0006-0000-08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8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P21" authorId="0" shapeId="0" xr:uid="{00000000-0006-0000-09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9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Stephan, Christian (PERS)</author>
    <author>cstephan</author>
  </authors>
  <commentList>
    <comment ref="P21" authorId="0" shapeId="0" xr:uid="{00000000-0006-0000-0A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A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 ref="M24" authorId="1" shapeId="0" xr:uid="{00000000-0006-0000-0A00-000003000000}">
      <text>
        <r>
          <rPr>
            <b/>
            <sz val="10"/>
            <color indexed="81"/>
            <rFont val="Tahoma"/>
            <family val="2"/>
          </rPr>
          <t>Nationalfeiertag</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P21" authorId="0" shapeId="0" xr:uid="{00000000-0006-0000-0B00-000001000000}">
      <text>
        <r>
          <rPr>
            <b/>
            <sz val="10"/>
            <color indexed="81"/>
            <rFont val="Tahoma"/>
            <family val="2"/>
          </rPr>
          <t>Tragen Sie hier ihre Absenzen in Stunden im Format hh:mm ein. Bitte lesen Sie die Infromationsmappe für genauere Angaben zum korrekten Bezug.</t>
        </r>
      </text>
    </comment>
    <comment ref="W21" authorId="0" shapeId="0" xr:uid="{00000000-0006-0000-0B00-000002000000}">
      <text>
        <r>
          <rPr>
            <b/>
            <sz val="10"/>
            <color indexed="81"/>
            <rFont val="Tahoma"/>
            <family val="2"/>
          </rPr>
          <t>Tragen Sie ihre Absenzen mit  einsprechendem Buchstaben für Vor- und Nachmittag ein. Siehe Legende mitte oben.</t>
        </r>
        <r>
          <rPr>
            <sz val="9"/>
            <color indexed="81"/>
            <rFont val="Tahoma"/>
            <family val="2"/>
          </rPr>
          <t xml:space="preserve">
</t>
        </r>
      </text>
    </comment>
  </commentList>
</comments>
</file>

<file path=xl/sharedStrings.xml><?xml version="1.0" encoding="utf-8"?>
<sst xmlns="http://schemas.openxmlformats.org/spreadsheetml/2006/main" count="1125" uniqueCount="515">
  <si>
    <t>Vormittag</t>
  </si>
  <si>
    <t>Nachmittag</t>
  </si>
  <si>
    <t>Datum</t>
  </si>
  <si>
    <t>Kommen</t>
  </si>
  <si>
    <t>Gehen</t>
  </si>
  <si>
    <t>1.</t>
  </si>
  <si>
    <t>Fr</t>
  </si>
  <si>
    <t>2.</t>
  </si>
  <si>
    <t>Sa</t>
  </si>
  <si>
    <t>3.</t>
  </si>
  <si>
    <t>So</t>
  </si>
  <si>
    <t>4.</t>
  </si>
  <si>
    <t>Mo</t>
  </si>
  <si>
    <t>5.</t>
  </si>
  <si>
    <t>Di</t>
  </si>
  <si>
    <t>6.</t>
  </si>
  <si>
    <t>Mi</t>
  </si>
  <si>
    <t>7.</t>
  </si>
  <si>
    <t>Do</t>
  </si>
  <si>
    <t>8.</t>
  </si>
  <si>
    <t>9.</t>
  </si>
  <si>
    <t>10.</t>
  </si>
  <si>
    <t>11.</t>
  </si>
  <si>
    <t>12.</t>
  </si>
  <si>
    <t>13.</t>
  </si>
  <si>
    <t>14.</t>
  </si>
  <si>
    <t>15.</t>
  </si>
  <si>
    <t>16.</t>
  </si>
  <si>
    <t>17.</t>
  </si>
  <si>
    <t>18.</t>
  </si>
  <si>
    <t>19.</t>
  </si>
  <si>
    <t>20.</t>
  </si>
  <si>
    <t>21.</t>
  </si>
  <si>
    <t>22.</t>
  </si>
  <si>
    <t>23.</t>
  </si>
  <si>
    <t>24.</t>
  </si>
  <si>
    <t>25.</t>
  </si>
  <si>
    <t>26.</t>
  </si>
  <si>
    <t>27.</t>
  </si>
  <si>
    <t>28.</t>
  </si>
  <si>
    <t>29.</t>
  </si>
  <si>
    <t>30.</t>
  </si>
  <si>
    <t xml:space="preserve">Vorname: </t>
  </si>
  <si>
    <t xml:space="preserve">Name: </t>
  </si>
  <si>
    <t xml:space="preserve">Eintrittsdatum: </t>
  </si>
  <si>
    <t xml:space="preserve">Pers-Nr.: </t>
  </si>
  <si>
    <t>Total</t>
  </si>
  <si>
    <t>31.</t>
  </si>
  <si>
    <t>Alter</t>
  </si>
  <si>
    <t>Ferien normal</t>
  </si>
  <si>
    <t>Ferien Kader</t>
  </si>
  <si>
    <t>Jahr</t>
  </si>
  <si>
    <t>Minuten</t>
  </si>
  <si>
    <t>Stunden</t>
  </si>
  <si>
    <t>Tage</t>
  </si>
  <si>
    <t>Monat</t>
  </si>
  <si>
    <t>März</t>
  </si>
  <si>
    <t>April</t>
  </si>
  <si>
    <t>Mai</t>
  </si>
  <si>
    <t>Juni</t>
  </si>
  <si>
    <t>Juli</t>
  </si>
  <si>
    <t>August</t>
  </si>
  <si>
    <t>September</t>
  </si>
  <si>
    <t>Oktober</t>
  </si>
  <si>
    <t>November</t>
  </si>
  <si>
    <t>Dezember</t>
  </si>
  <si>
    <t>Monatssoll gem. BG</t>
  </si>
  <si>
    <t>Gehaltsklasse</t>
  </si>
  <si>
    <t>Ferien
Lehrling</t>
  </si>
  <si>
    <t>Ferien Lehrling</t>
  </si>
  <si>
    <t>Ist</t>
  </si>
  <si>
    <t>Soll</t>
  </si>
  <si>
    <t>Hundertstel</t>
  </si>
  <si>
    <t>Krankheit</t>
  </si>
  <si>
    <t>Kompensation</t>
  </si>
  <si>
    <t>JAZ-Kompensation</t>
  </si>
  <si>
    <t>unbedingt ausfüllen!</t>
  </si>
  <si>
    <t>Arbeitszeit</t>
  </si>
  <si>
    <t>Öffentliches Amt</t>
  </si>
  <si>
    <t>Umrechnungstools</t>
  </si>
  <si>
    <t>Januar</t>
  </si>
  <si>
    <t>Februar</t>
  </si>
  <si>
    <t>Arbeitsmuster</t>
  </si>
  <si>
    <t>Saldo bis Dato</t>
  </si>
  <si>
    <t>Langzeitkonto</t>
  </si>
  <si>
    <t>Übertrag Vorjahr</t>
  </si>
  <si>
    <t>Kommentar</t>
  </si>
  <si>
    <t>BG</t>
  </si>
  <si>
    <t>Tagessoll</t>
  </si>
  <si>
    <t>Kurzurlaub</t>
  </si>
  <si>
    <t>Weiterbildung auf Arbeitszeit</t>
  </si>
  <si>
    <t>An der Universität Bern besteht einmal jährlich die Pflicht zur Meldung der Zeitsaldi und Abwesenheitssaldi für alle Mitarbeiterinnen und Mitarbeiter.</t>
  </si>
  <si>
    <t>Jahresübersicht</t>
  </si>
  <si>
    <t>Zeitkennzahlen</t>
  </si>
  <si>
    <t>dezimal</t>
  </si>
  <si>
    <t>hh:mm</t>
  </si>
  <si>
    <t>Reglement über das Langzeitkonto.</t>
  </si>
  <si>
    <t>Bitte lesen Sie diese Informationen, bevor Sie die Arbeitszeiterfassung nutzen!</t>
  </si>
  <si>
    <t>Stunden dezimal</t>
  </si>
  <si>
    <t>Stunden (hh:mm)</t>
  </si>
  <si>
    <t>(Bitte das Guthaben in Stunden und Minuten eingeben.)</t>
  </si>
  <si>
    <t>Absenzen</t>
  </si>
  <si>
    <t>Summe bis Dato</t>
  </si>
  <si>
    <t>(hh:mm)</t>
  </si>
  <si>
    <t>Hinweis: ein negativer Zeitsaldo muss mit Anführungszeichen eingegeben werden. Beispiel -"8:36"</t>
  </si>
  <si>
    <t>Ferien</t>
  </si>
  <si>
    <t>Bei der Erfassung von dezimalen Werten ("Industriestunden") können im Zeitmanagement-Tool geringe Rundungsdifferenzen auftreten.</t>
  </si>
  <si>
    <t>Nach- mittag</t>
  </si>
  <si>
    <t>Vor- mittag</t>
  </si>
  <si>
    <t>Soll-Arbeitszeiten</t>
  </si>
  <si>
    <t>Wochentag zu Beginn des Jahres</t>
  </si>
  <si>
    <t>Versionsnummer:</t>
  </si>
  <si>
    <t>Feiertage</t>
  </si>
  <si>
    <t>Fixe Feiertage:</t>
  </si>
  <si>
    <t>Neujahrstag</t>
  </si>
  <si>
    <t>Weihnachten</t>
  </si>
  <si>
    <t>Stephanstag</t>
  </si>
  <si>
    <t>Silvester</t>
  </si>
  <si>
    <t>Bercholdstag</t>
  </si>
  <si>
    <t>Nationalfeiertag</t>
  </si>
  <si>
    <t>Heiliger Abend</t>
  </si>
  <si>
    <t>Variable Feiertage:</t>
  </si>
  <si>
    <t>Karfreitag</t>
  </si>
  <si>
    <t>Ostern</t>
  </si>
  <si>
    <t>Ostermontag</t>
  </si>
  <si>
    <t>Pfingsten</t>
  </si>
  <si>
    <t>Pfingstmontag</t>
  </si>
  <si>
    <t>Auffahrt</t>
  </si>
  <si>
    <t>Tag</t>
  </si>
  <si>
    <t>Deutsch</t>
  </si>
  <si>
    <t>Vortag</t>
  </si>
  <si>
    <t>Feiertag</t>
  </si>
  <si>
    <t>Sprachen</t>
  </si>
  <si>
    <t>Dropdownwerte</t>
  </si>
  <si>
    <t>Monate</t>
  </si>
  <si>
    <t>Wochentage</t>
  </si>
  <si>
    <t>Persönliche Daten</t>
  </si>
  <si>
    <t>Treueprämie</t>
  </si>
  <si>
    <t xml:space="preserve">Jahrgang (4-stellig): </t>
  </si>
  <si>
    <t>0</t>
  </si>
  <si>
    <t>Speisung per 01.01.</t>
  </si>
  <si>
    <t>Langzeitkontoguthaben</t>
  </si>
  <si>
    <t>Militär/Zivilsch./Zivildienst</t>
  </si>
  <si>
    <t>Version:</t>
  </si>
  <si>
    <t>Sprache/Language:</t>
  </si>
  <si>
    <t>Dieses Instrument ist ein Hilfsmittel zur Erfassung der Arbeitszeit und der Absenzen. Personen, die von der Arbeitszeiterfassung ausgenommen sind</t>
  </si>
  <si>
    <t>Monatsblätter</t>
  </si>
  <si>
    <t>•</t>
  </si>
  <si>
    <t>Mit der Tabulatortaste können Sie einfach von Feld zu Feld springen. Die Daten werden automatisch in die nachfolgenden "Monatsblätter" übertragen</t>
  </si>
  <si>
    <t>Ferienkürzung</t>
  </si>
  <si>
    <t>1</t>
  </si>
  <si>
    <t>4.2</t>
  </si>
  <si>
    <t>Englisch</t>
  </si>
  <si>
    <t>Bezug akt. Monat</t>
  </si>
  <si>
    <t>absences</t>
  </si>
  <si>
    <t>comment</t>
  </si>
  <si>
    <t>date</t>
  </si>
  <si>
    <t>illness</t>
  </si>
  <si>
    <t>short vacation</t>
  </si>
  <si>
    <t>month</t>
  </si>
  <si>
    <t>public office</t>
  </si>
  <si>
    <t>current balance</t>
  </si>
  <si>
    <t>total</t>
  </si>
  <si>
    <t>training / education</t>
  </si>
  <si>
    <t>hours left from last year</t>
  </si>
  <si>
    <t>mandatory!</t>
  </si>
  <si>
    <t>hours taken curr. month</t>
  </si>
  <si>
    <t>Beschäftigungsgrad</t>
  </si>
  <si>
    <t>level of employment</t>
  </si>
  <si>
    <t>Verwendet</t>
  </si>
  <si>
    <t xml:space="preserve">first name: </t>
  </si>
  <si>
    <t xml:space="preserve">Bemerkungen: </t>
  </si>
  <si>
    <t xml:space="preserve">comment: </t>
  </si>
  <si>
    <t xml:space="preserve">starting date: </t>
  </si>
  <si>
    <t xml:space="preserve">Jahr: </t>
  </si>
  <si>
    <t xml:space="preserve">pers.-no.: </t>
  </si>
  <si>
    <t xml:space="preserve">surname: </t>
  </si>
  <si>
    <t xml:space="preserve">year of birth (4-digit): </t>
  </si>
  <si>
    <t xml:space="preserve">year: </t>
  </si>
  <si>
    <t>military/civil def./civil serv.</t>
  </si>
  <si>
    <t>Saldo</t>
  </si>
  <si>
    <t>compensation</t>
  </si>
  <si>
    <t>akt. Mt.</t>
  </si>
  <si>
    <t>VorMt(e)</t>
  </si>
  <si>
    <t>Kurz- urlaub</t>
  </si>
  <si>
    <t>unbezahlt</t>
  </si>
  <si>
    <t>Urlaub</t>
  </si>
  <si>
    <t>accident</t>
  </si>
  <si>
    <t>leave</t>
  </si>
  <si>
    <t>bezahlt</t>
  </si>
  <si>
    <t>paid</t>
  </si>
  <si>
    <t>hours</t>
  </si>
  <si>
    <t>days</t>
  </si>
  <si>
    <t>unpaid</t>
  </si>
  <si>
    <t>betriebsbedingt</t>
  </si>
  <si>
    <t>work related</t>
  </si>
  <si>
    <t>nicht</t>
  </si>
  <si>
    <t>not</t>
  </si>
  <si>
    <t>go</t>
  </si>
  <si>
    <t>come</t>
  </si>
  <si>
    <t>afternoon</t>
  </si>
  <si>
    <t>Differenz</t>
  </si>
  <si>
    <t>difference</t>
  </si>
  <si>
    <t>Anfang</t>
  </si>
  <si>
    <t>Ende</t>
  </si>
  <si>
    <t>Sat</t>
  </si>
  <si>
    <t>Sun</t>
  </si>
  <si>
    <t>Tue</t>
  </si>
  <si>
    <t>Thu</t>
  </si>
  <si>
    <t>Fri</t>
  </si>
  <si>
    <t>Mon</t>
  </si>
  <si>
    <t>last mnth(s)</t>
  </si>
  <si>
    <t>curr. mnth</t>
  </si>
  <si>
    <t>Wed</t>
  </si>
  <si>
    <t>Unfall</t>
  </si>
  <si>
    <t>Ferienbezug</t>
  </si>
  <si>
    <t>LZK-Bezug</t>
  </si>
  <si>
    <t>inkl.</t>
  </si>
  <si>
    <t>incl.</t>
  </si>
  <si>
    <t>Öffentl. Amt</t>
  </si>
  <si>
    <t>after- noon</t>
  </si>
  <si>
    <t>w. rel.</t>
  </si>
  <si>
    <t>Weiter- bildung</t>
  </si>
  <si>
    <t>Übertr. Vorjahr</t>
  </si>
  <si>
    <t>betr.</t>
  </si>
  <si>
    <t>hrs f. last year</t>
  </si>
  <si>
    <t>Vorgesetzter</t>
  </si>
  <si>
    <t>manager</t>
  </si>
  <si>
    <t>signature</t>
  </si>
  <si>
    <t>Unterschrift</t>
  </si>
  <si>
    <t>Mitarbeiter/In</t>
  </si>
  <si>
    <t>employee</t>
  </si>
  <si>
    <t>geleistete</t>
  </si>
  <si>
    <t>advance</t>
  </si>
  <si>
    <t>JAZ-compensation</t>
  </si>
  <si>
    <t>hours taken</t>
  </si>
  <si>
    <t>personal data</t>
  </si>
  <si>
    <t>balance due</t>
  </si>
  <si>
    <t>feeding 01.01</t>
  </si>
  <si>
    <t>current sum</t>
  </si>
  <si>
    <t>begin of the</t>
  </si>
  <si>
    <t>end of the</t>
  </si>
  <si>
    <t>(please enter in hours and minutes)</t>
  </si>
  <si>
    <t>actual</t>
  </si>
  <si>
    <t>monthly due ref. to lvl of emp</t>
  </si>
  <si>
    <t>decimal</t>
  </si>
  <si>
    <t>calculationtool</t>
  </si>
  <si>
    <t>minutes</t>
  </si>
  <si>
    <t>%</t>
  </si>
  <si>
    <t>Buchstaben</t>
  </si>
  <si>
    <t>letters</t>
  </si>
  <si>
    <t>für</t>
  </si>
  <si>
    <t>for</t>
  </si>
  <si>
    <t>key figures</t>
  </si>
  <si>
    <t>(1 d = 8.4 h)</t>
  </si>
  <si>
    <t>(8.4 h = 1 d)</t>
  </si>
  <si>
    <t>(1 = 8:24 h:mm)</t>
  </si>
  <si>
    <t>(8:24 h:mm = 1 d)</t>
  </si>
  <si>
    <t>Overview</t>
  </si>
  <si>
    <t>English</t>
  </si>
  <si>
    <t>GKs</t>
  </si>
  <si>
    <t>1-18</t>
  </si>
  <si>
    <t>19-30</t>
  </si>
  <si>
    <t>LE</t>
  </si>
  <si>
    <t>time</t>
  </si>
  <si>
    <t>Zeit</t>
  </si>
  <si>
    <t>freie</t>
  </si>
  <si>
    <t>free</t>
  </si>
  <si>
    <t>alt / neu</t>
  </si>
  <si>
    <t>old / new</t>
  </si>
  <si>
    <t>durchschnittliches</t>
  </si>
  <si>
    <t>average</t>
  </si>
  <si>
    <t>Berechnung</t>
  </si>
  <si>
    <t>calculation</t>
  </si>
  <si>
    <t>daily work-time</t>
  </si>
  <si>
    <t>Umrechnung</t>
  </si>
  <si>
    <t>transation</t>
  </si>
  <si>
    <t>Worte</t>
  </si>
  <si>
    <t>Sätze</t>
  </si>
  <si>
    <t xml:space="preserve"> </t>
  </si>
  <si>
    <t>bei fixer Teilzeitarbeit</t>
  </si>
  <si>
    <t>bei variabler Teilzeitarbeit</t>
  </si>
  <si>
    <t>for a variable part time job</t>
  </si>
  <si>
    <t>for a part time job with regulated working time</t>
  </si>
  <si>
    <t>bei Wechsel der Anstellung mitten im Monat</t>
  </si>
  <si>
    <t>bei Anstellungsbeginn mitten im Monat</t>
  </si>
  <si>
    <t>for an employment-beginn in the middle of the month</t>
  </si>
  <si>
    <t>for an employment-change in the middle of the month</t>
  </si>
  <si>
    <t>Anzahl</t>
  </si>
  <si>
    <t>(100% = 8:24 h:mm)</t>
  </si>
  <si>
    <t>number of</t>
  </si>
  <si>
    <t>Eintrittsmonat</t>
  </si>
  <si>
    <t>month of entry</t>
  </si>
  <si>
    <t>mit</t>
  </si>
  <si>
    <t>with</t>
  </si>
  <si>
    <t>Wechsel</t>
  </si>
  <si>
    <t>change</t>
  </si>
  <si>
    <t>Halbtag</t>
  </si>
  <si>
    <t>half-day</t>
  </si>
  <si>
    <t>pro</t>
  </si>
  <si>
    <t>/</t>
  </si>
  <si>
    <t>Woche</t>
  </si>
  <si>
    <t>week</t>
  </si>
  <si>
    <t>zu leistende</t>
  </si>
  <si>
    <t>of effective</t>
  </si>
  <si>
    <t>Arbeitstage</t>
  </si>
  <si>
    <t>im</t>
  </si>
  <si>
    <t>in this</t>
  </si>
  <si>
    <t>work days</t>
  </si>
  <si>
    <t>Sprache/Dropdown:</t>
  </si>
  <si>
    <t>Bearbeitung</t>
  </si>
  <si>
    <t>An</t>
  </si>
  <si>
    <t>Aus</t>
  </si>
  <si>
    <t>monthly sheets</t>
  </si>
  <si>
    <t>Please select your Language:</t>
  </si>
  <si>
    <t>Das Langzeitkonto ist jeweils per 1.1. zu speisen. Kein Langzeitkonto führen Personen mit befristeten Anstellungen und Dozierende.</t>
  </si>
  <si>
    <t>NEU</t>
  </si>
  <si>
    <t xml:space="preserve"> - Die Absenzenübersicht fällt weg. Absenzen in Tagen werden neu in den einzelnen Monatsblättern erfasst.</t>
  </si>
  <si>
    <t xml:space="preserve"> - Die Arbeitszeiterfassung wurde komplett überarbeitet.</t>
  </si>
  <si>
    <t>Das Arbeitsmuster wird neu in den Monatsblättern eingegeben. Es kann individuell für jeden Tag festgelegt werden. Das Arbeitsmuster ist in den</t>
  </si>
  <si>
    <t>sind, orientieren Sie sich an den Soll-Zeiten des entsprechenden Tages.</t>
  </si>
  <si>
    <t xml:space="preserve">Absenzen in Stunden erfassen Sie in Stunden und Minuten in den entsprechenden Spalten. Falls Sie einen ganzen oder halben Tag abwesend </t>
  </si>
  <si>
    <t>Die Arbeitszeiterfassung errechnet die dadurch bezogenen Absenzen automatisch in Stunden und Minuten um.</t>
  </si>
  <si>
    <t>Pers. Nr., Eintrittsdatum, Beschäftigungsgrad (BG) und Gehaltsklasse (GK) mit Ihren persönlichen Angaben.</t>
  </si>
  <si>
    <t>bezogenen Ferien, Langzeitkonto und allen Absenzen und der daraus resultierenden gesamten geleisteten Arbeitszeit, sowie dem Saldo bis dato.</t>
  </si>
  <si>
    <t>NEW</t>
  </si>
  <si>
    <t>Commencement/termination of employment during the year</t>
  </si>
  <si>
    <t>Commencement or change in employment conditions mid-month</t>
  </si>
  <si>
    <t>Alteration in</t>
  </si>
  <si>
    <t>Änderung</t>
  </si>
  <si>
    <t>Eintritte / Anstellungsänderung mitten im Monat</t>
  </si>
  <si>
    <t>Ein-/Austritt während des Jahres</t>
  </si>
  <si>
    <t>Wir freuen uns auf Ihre Rückmeldungen!</t>
  </si>
  <si>
    <t>systeme@pers.unibe.ch</t>
  </si>
  <si>
    <t>Senden Sie ihre Fragen, Kommentare und Vorschläge an:</t>
  </si>
  <si>
    <t>Hilfe_Info Sätze</t>
  </si>
  <si>
    <t>Bei Anstellungsänderungen mitten im Monat muss der BG umgerechnet werden. Unter "Umrechnung (calculation)" finden Sie eine Berechnungshilfe.</t>
  </si>
  <si>
    <t>Hier können Sie ein allfälliges Ferienguthaben, welches Sie aus Ihrer Treueprämie erhalten haben, eintragen.</t>
  </si>
  <si>
    <t>hier die Einträge nicht in Stunden und Minuten getätigt, sondern mit entsprechenden Buchstaben. Eine Legende finden Sie in den Monatsblättern.</t>
  </si>
  <si>
    <t>rubric Time Management.</t>
  </si>
  <si>
    <t>Reglement über das Langzeitkonto</t>
  </si>
  <si>
    <t>Vgl. dazu:</t>
  </si>
  <si>
    <t>bezogene</t>
  </si>
  <si>
    <t>taken</t>
  </si>
  <si>
    <t>Hier sehen Sie eine Übersicht über die von Ihnen bezogene Jahresarbeitskompensation über das ganze Jahr.</t>
  </si>
  <si>
    <t>unfallbedingten längeren Abwesenheiten in Stunden und Minuten einzutragen. Die Ferienkürzungen werden in den einzelnen Monatsblättern erfasst.</t>
  </si>
  <si>
    <t>Absenzen in Tagen werden in den endsprechenden Spalten für Vor- und Nachmittag eingetragen. Anders als bei den Absenzen in Stunden werden</t>
  </si>
  <si>
    <t>Bitte verwenden Sie immer das Format hh:mm. Leerschläge, Ausschneiden/Kopieren der Werte führen zu Problemen.</t>
  </si>
  <si>
    <t>Alle Eingaben werden automatisch in die Jahresübersicht und in die folgenden Monatsblätter übertragen.</t>
  </si>
  <si>
    <t>Ja</t>
  </si>
  <si>
    <t>Nein</t>
  </si>
  <si>
    <t>LZK</t>
  </si>
  <si>
    <t>yes</t>
  </si>
  <si>
    <t>no</t>
  </si>
  <si>
    <t>vgl. Reglement zum Langzeitkonto</t>
  </si>
  <si>
    <t xml:space="preserve">Klicken Sie auf der unteren Bildlaufleiste auf "Persönliche Daten (pers. data)" und ergänzen Sie die grau hinterlegten Zellen Vorname, Name, Jahrgang, </t>
  </si>
  <si>
    <t>können Sie die verbleibenden Monate bis Jahresende auf 0 setzen. Damit endet die Erfassung im Austrittsmonat.</t>
  </si>
  <si>
    <t>Ändern sich während des Jahres der BG oder die GK, können Sie dies ebenfalls im betreffenden Monat anpassen.</t>
  </si>
  <si>
    <t>Reglement über die Jahresarbeitszeit</t>
  </si>
  <si>
    <t>können das Instrument "Absenzenerfassung" nutzen. Weitere Angaben finden Sie unter</t>
  </si>
  <si>
    <t xml:space="preserve"> - The Record of Hours Worked has been completely revised.</t>
  </si>
  <si>
    <t xml:space="preserve"> - The working hours template is now incorporated into the monthly tables and as a new feature can be individually adjusted from day to day.</t>
  </si>
  <si>
    <t>Use the tabulator key to move from one field to another. The data will be transferred automatically to the monthly tables, and your holiday entitlement</t>
  </si>
  <si>
    <t>If the BG or GK changes during the year, these can be recorded in the corresponding month in the "Persönliche Daten (pers. Data)".</t>
  </si>
  <si>
    <r>
      <t>information: first name, family name, date of birth, personnel number, entry date, employment level (</t>
    </r>
    <r>
      <rPr>
        <b/>
        <sz val="10"/>
        <rFont val="Arial"/>
        <family val="2"/>
      </rPr>
      <t>BG</t>
    </r>
    <r>
      <rPr>
        <sz val="10"/>
        <rFont val="Arial"/>
        <family val="2"/>
      </rPr>
      <t>) and salary classification (</t>
    </r>
    <r>
      <rPr>
        <b/>
        <sz val="10"/>
        <rFont val="Arial"/>
        <family val="2"/>
      </rPr>
      <t>GK</t>
    </r>
    <r>
      <rPr>
        <sz val="10"/>
        <rFont val="Arial"/>
        <family val="2"/>
      </rPr>
      <t xml:space="preserve">). </t>
    </r>
  </si>
  <si>
    <t>Enter in these fields the three balances from the previous year, as agreed with your line manager.</t>
  </si>
  <si>
    <t>This is an overview of your unused holiday entitlement, holiday taken and reduction of holiday.</t>
  </si>
  <si>
    <t>Enter here holiday entitlement earned as a result of long-service.</t>
  </si>
  <si>
    <t>Note: A negative time balance should be entered in quotation marks. Example - “8:36”</t>
  </si>
  <si>
    <t>This is an overview of your annual work compensation taken during the whole year.</t>
  </si>
  <si>
    <t>Absences in days should be entered in the corresponding fields for morning and afternoon. Unlike the absences in hours,entries are not made in hours</t>
  </si>
  <si>
    <t xml:space="preserve">This gives an overview of hours to be worked in accordance with your employment level (BG), actual hours worked, holiday taken, long-term working </t>
  </si>
  <si>
    <t>account and all absences, resulting in a total of time worked to date, as well as the balance of time still to be worked.</t>
  </si>
  <si>
    <t>Please always use the format hh:mm. Empty fields or copy and pasting the values can lead to problems.</t>
  </si>
  <si>
    <t>Now you are ready to commence entering your start/finish times. The entries should be made in hours and minutes. All entries are automatically</t>
  </si>
  <si>
    <t>transferred to the overview and to the following monthly tables.</t>
  </si>
  <si>
    <t>planned working time for the corresponding day.</t>
  </si>
  <si>
    <t>Absences in hours should be entered in hours and minutes in the appropriate fields. In the case of a full or half-day absence, take into account the</t>
  </si>
  <si>
    <t>and minutes but by using the corresponding letter. A key to these is found on the monthly tables. The record of hours worked automatically calculates</t>
  </si>
  <si>
    <t>absences taken in hours and minutes.</t>
  </si>
  <si>
    <t>Compare:</t>
  </si>
  <si>
    <t>In the case of lengthy absence consult:</t>
  </si>
  <si>
    <t>Bitte konsultieren Sie für die Berechnung:</t>
  </si>
  <si>
    <t xml:space="preserve">A new feature is the working hours template. An individual entry can be made for each day. The working hours template is incorporated in the standard </t>
  </si>
  <si>
    <t>settings and not in the print area. Further information can be found:</t>
  </si>
  <si>
    <t>Speisung</t>
  </si>
  <si>
    <t>feeding</t>
  </si>
  <si>
    <t>hours to transfer to the next year</t>
  </si>
  <si>
    <t>Übertrag in das nächste Jahr</t>
  </si>
  <si>
    <t>Sum of all part-employments are not equal the average level of employment!</t>
  </si>
  <si>
    <t>Summe der Prozentsätze aller Teilanstellungen entspricht nicht dem gesamten durschnittlichen Beschäftigungsgrad!</t>
  </si>
  <si>
    <t>salary classification</t>
  </si>
  <si>
    <t>loyalty premium</t>
  </si>
  <si>
    <t>holiday</t>
  </si>
  <si>
    <t>working time</t>
  </si>
  <si>
    <t>working hours template</t>
  </si>
  <si>
    <t xml:space="preserve">More detailed information can be found on our Homepage under the </t>
  </si>
  <si>
    <t>reduction of holiday</t>
  </si>
  <si>
    <t>holiday taken</t>
  </si>
  <si>
    <t>current holiday balance</t>
  </si>
  <si>
    <t>working hours templ.</t>
  </si>
  <si>
    <t>If employment is commenced during the course of the year, complete the fields level of employment (BG) and Salary classification (GK) from the month</t>
  </si>
  <si>
    <t>of entry. If employment is terminated during the year, enter a "0" for the remaining months. The record then ends with the last month of employment.</t>
  </si>
  <si>
    <t>Questions, comments and suggestions should be sent to</t>
  </si>
  <si>
    <t xml:space="preserve">When there is a change in employment during the month, the level of employment (BG) must be recalculated. Use “Umrechnung (Calculation)”.  </t>
  </si>
  <si>
    <t xml:space="preserve">This is an overview of your reduction of holiday, entered manually. Holiday reduction as a result of unpaid leave, lengthy absences due to illness or </t>
  </si>
  <si>
    <t>accident should be entered in hours and minutes. Holiday reductions are entered on the individual monthly tables.</t>
  </si>
  <si>
    <t>This is an overview of your absences for the whole year.</t>
  </si>
  <si>
    <t xml:space="preserve"> - There is a new file for personal information and transferred data.</t>
  </si>
  <si>
    <t>Please read this information before using the Record of Hours Worked!</t>
  </si>
  <si>
    <t>Angaben zur Anstellung</t>
  </si>
  <si>
    <t>employment details</t>
  </si>
  <si>
    <t>vorhanden</t>
  </si>
  <si>
    <t>availabe</t>
  </si>
  <si>
    <t>ACHTUNG: Langzeitkontobezug ohne entsprechendes Konto</t>
  </si>
  <si>
    <t>For further information please consult the:</t>
  </si>
  <si>
    <t xml:space="preserve"> - The Overview of Absences has been abolished. Days absent are now recorded on the individual monthly tables.</t>
  </si>
  <si>
    <t xml:space="preserve">This is a useful tool for recording time worked and absences. Members of staff not required to record time worked should use the ‘Record of Absences’ tool. </t>
  </si>
  <si>
    <t>und</t>
  </si>
  <si>
    <t>and</t>
  </si>
  <si>
    <t>Click on the tab “Persönliche Daten (pers. data)” on the scroll bar at the bottom of the table and complete the shaded grey fields with the following</t>
  </si>
  <si>
    <t>Bitte beachten Sie, dass Sie gem. Reglement zur Jahresarbeitszeit einen positiven Arbeitssaldo im gelben Bereich haben.</t>
  </si>
  <si>
    <t>Bitte beachten Sie, dass Sie gem. Reglement zur Jahresarbeitszeit einen negativen Arbeitssaldo im gelben Bereich haben.</t>
  </si>
  <si>
    <t>Feriensaldo zu Gunsten des Mitarbeiter auf 0:00 aufgerundet!</t>
  </si>
  <si>
    <t>Unzulässiger Ferienbezug!</t>
  </si>
  <si>
    <t>Die Speisung in das Langzeitkontos ist nicht zwingend, sondern in Absprache mit dem Vorgesetzten festzulegen. Vgl. Reglement über das Langzeitkonto.</t>
  </si>
  <si>
    <t>Holiday taken not in accordance with regulations!</t>
  </si>
  <si>
    <t>Bezogene freie Tage</t>
  </si>
  <si>
    <t>Free days taken</t>
  </si>
  <si>
    <t>ACHTUNG: Langzeitkontobezug ohne entsprechendes Konto!</t>
  </si>
  <si>
    <t>Standarteinstellungen nicht im Druckbereich. Weitere Informationen:</t>
  </si>
  <si>
    <t>Min. prescribed deduction</t>
  </si>
  <si>
    <t>Übertrag Vormnt</t>
  </si>
  <si>
    <t>hrs. f. last mnth</t>
  </si>
  <si>
    <t>Holiday: Min. deduction O.K.</t>
  </si>
  <si>
    <t>Holiday: Min. deduction not (yet) O.K.</t>
  </si>
  <si>
    <t>Bezogene Ferien</t>
  </si>
  <si>
    <t>Required minimum free day deduction</t>
  </si>
  <si>
    <t>Required minimum holiday deduction</t>
  </si>
  <si>
    <t>Holidays taken</t>
  </si>
  <si>
    <t xml:space="preserve"> - Neu gibt es eine Arbeitsmappe für Persönliche Daten und Überträge.</t>
  </si>
  <si>
    <t xml:space="preserve"> - Das Arbeitsmuster wir neu ebenfalls in den Monatsblättern erfasst und kann von Tag zu Tag individuell eingestellt werden.</t>
  </si>
  <si>
    <t>Ferienguthaben</t>
  </si>
  <si>
    <t>hundredth</t>
  </si>
  <si>
    <t>February</t>
  </si>
  <si>
    <t>July</t>
  </si>
  <si>
    <t>June</t>
  </si>
  <si>
    <t>May</t>
  </si>
  <si>
    <t>March</t>
  </si>
  <si>
    <t>October</t>
  </si>
  <si>
    <t>December</t>
  </si>
  <si>
    <t>January</t>
  </si>
  <si>
    <t>morning</t>
  </si>
  <si>
    <t>balance</t>
  </si>
  <si>
    <t>Ab 2013 müssen mindestens 20 freie Tage pro Kalenderjahr bezogen werden, davon mindestens 10 Tage zu Lasten des Ferienkontos. Werden diese Mindestbezüge nicht eingehalten, verfallen die zu wenig bezogenen Tage am Ende des Kalenderjahres entschädigungslos (Art. 149 PV). Sie können nicht mehr wie bisher auf das Ferienguthaben des Folgejahres übertragen werden.</t>
  </si>
  <si>
    <t>As off 2013, at least 20 days off per calendar year must be taken. At least 10 days of which must be taken at the expense of the holiday-balance. If these minimum requirements are not met, the difference expires at the end of the calendar year without compensation (Art. 149 PV). Those days cannot be carried over to the following year.</t>
  </si>
  <si>
    <t>Mindestbezüge Ferien- und freie Tage</t>
  </si>
  <si>
    <t>Minimum requirements for holidays and days off</t>
  </si>
  <si>
    <t>Establishment of long-term account is not compulsory but with agreement of line manager. Vgl. Reglement über das Langzeitkonto.</t>
  </si>
  <si>
    <t>long-term account</t>
  </si>
  <si>
    <t>long-term account balance</t>
  </si>
  <si>
    <t>ATTENTION: Deduction from long-term account where no account exists!</t>
  </si>
  <si>
    <t xml:space="preserve">The long-term account should be updated as of 1.1. Staff on short-term contracts or teaching staff should not keep a long-term working account.  </t>
  </si>
  <si>
    <t>Bitte beachten Sie, dass Sie gem. Reglement zur Jahresarbeitszeit einen negativen Arbeitssaldo im roten Bereich haben.</t>
  </si>
  <si>
    <t>Notice, you have a positive working hours balance in the yellow zone, as specified in the annual record of hours worked regulations.</t>
  </si>
  <si>
    <t>Notice, you have a negative working hours balance in the yellow zone, as specified in the annual record of hours worked regulations.</t>
  </si>
  <si>
    <t>Notice, you have a negative working hours balance in the red zone, as specified in the annual record of hours worked regulations.</t>
  </si>
  <si>
    <t>Bitte beachten Sie, dass Sie gem. Reglement zur Jahresarbeitszeit einen positiven Arbeitssaldo im roten Bereich haben. Für diesen Übertrag ist ab dem 31.12.2013 eine Bewilligung der Erziehungsdirektion des Kantons nötig!</t>
  </si>
  <si>
    <t>Notice, you have a positive working hours balance in the red zone, as specified in the annual record of hours worked regulations. From 31.12.2013 you will need an authorisation from the Erziehungsdirektion of the Canton for this transfer!</t>
  </si>
  <si>
    <t>(h:mm) have been deducted due not meeting the required min. of free days / holidays.</t>
  </si>
  <si>
    <t>(h:mm) wurden Ihnen wegen zu wenig bezogenen Freien Tagen / Ferien abgezogen.</t>
  </si>
  <si>
    <t>Holiday balance rounded up to 0:00 in favour of employee!</t>
  </si>
  <si>
    <t>Kommentare zu var. Feiertagen in Monatsblättern anpassen</t>
  </si>
  <si>
    <t>(Deutsch oder/or English)</t>
  </si>
  <si>
    <t>and planned working time calculated. Trainees should enter the code ‘LE’ in the field ‘salary classification’ (holiday entitlement 32 days).</t>
  </si>
  <si>
    <t xml:space="preserve">Hier sehen Sie eine Übersicht über die zu leistende Arbeitszeit gemäss Ihrem Beschäftigungsgrad, der tatsächlich geleisteten Arbeitszeit, der </t>
  </si>
  <si>
    <t>Hier sehen Sie eine Übersicht über Ihr Ferienguthaben, Ihre bezogenen Ferien und Ferienkürzungen.</t>
  </si>
  <si>
    <t>und Ihr Ferienanspruch und Soll-Arbeitszeiten berechnet. Lernende verwenden im Feld Gehaltsklasse "LE" (Ferienanspruch 32 Tage).</t>
  </si>
  <si>
    <t>Nehmen Sie Ihre Arbeit im Laufe des Jahres auf, so füllen Sie die Felder BG und GK ab Eintrittsmonat aus. Sollten Sie während des Jahres austreten,</t>
  </si>
  <si>
    <t>Geben Sie in diesen Feldern Ihren Übertrag der Saldi, gemäss Besprechung mit Ihrem Vorgesetzten, aus dem Vorjahr an.</t>
  </si>
  <si>
    <t xml:space="preserve">Hier sehen Sie eine Übersicht Ihrer manuell eingetragenen Ferienkürzungen. Ferienkürzungen sind bei unbezahltem Urlaub oder krankheits- resp. </t>
  </si>
  <si>
    <t>Hier sehen Sie eine Übersicht Ihrer Absenzen über das ganze Jahr.</t>
  </si>
  <si>
    <t>Jetzt sind Sie startbereit und können mit dem Ausfüllen Ihrer Kommen/Gehen-Zeiten beginnen. Die Eingabe hat in Stunden und Minuten zu erfolgen.</t>
  </si>
  <si>
    <t>Free Days: Min. deduction not (yet) O.K.</t>
  </si>
  <si>
    <t>Free Days: Min. deduction O.K.</t>
  </si>
  <si>
    <t>Einhaltung des Mindestbezugs an freien Tagen</t>
  </si>
  <si>
    <t>Einhaltung des Mindestbezugs an Ferien</t>
  </si>
  <si>
    <t>Vorgeschr. Mindestbezug</t>
  </si>
  <si>
    <t>Ferien: Mindestbezug eingehalten</t>
  </si>
  <si>
    <t>Ferien: Mindestbezug (noch) nicht eingehalten!</t>
  </si>
  <si>
    <t>Freie Tage: Mindestbezug eingehalten</t>
  </si>
  <si>
    <t>Freie Tage: Mindestbezug (noch) nicht eingehalten!</t>
  </si>
  <si>
    <t>f</t>
  </si>
  <si>
    <t>m</t>
  </si>
  <si>
    <t>z</t>
  </si>
  <si>
    <t>k</t>
  </si>
  <si>
    <t>b</t>
  </si>
  <si>
    <t>u</t>
  </si>
  <si>
    <t>l</t>
  </si>
  <si>
    <t>Mutter- und Vaterschaftsurlaub</t>
  </si>
  <si>
    <t>parental leave</t>
  </si>
  <si>
    <t>Zeitmanagement Tool</t>
  </si>
  <si>
    <t>Kürzung der Ferien (Wissensdatenbank Personalrecht)</t>
  </si>
  <si>
    <t>Erklärung Arbeitsmuster</t>
  </si>
  <si>
    <t>Aufteilung in mehrere Teilanstellungen (hh:mm)</t>
  </si>
  <si>
    <t>Split among several contracts (hh:mm)</t>
  </si>
  <si>
    <t>Vor-mittag</t>
  </si>
  <si>
    <t>Here you can see all your absences as of 31.12. which are relevant for the Time Management Tool.</t>
  </si>
  <si>
    <t>Hier können Sie die "Zeitkennzahlen per 31.12." zum Erfassen im Zeitmanagement-Tool direkt ablesen.</t>
  </si>
  <si>
    <t>Im Tabellenblatt "Zeitkennzahlen (key figures)" finden Sie den Zusammenzug der Zeitkennzahlen.</t>
  </si>
  <si>
    <t>Der Stichtag ist jeweils der 31.12. des Jahres. Die Meldung muss anfangs Januar durch die in Ihrer Organisationseinheit verantwortliche Person erfolgen.</t>
  </si>
  <si>
    <t xml:space="preserve">In the worksheet "Zeitkennzahlen (key figures)" you will find a summary of the key figures. It is a requirement of the University of Bern that all </t>
  </si>
  <si>
    <t xml:space="preserve">by the begin of January by the member of staff responsible in each organisational unit. </t>
  </si>
  <si>
    <t>employees submit an annual report of time worked and/or absences. The relevant date is 31.12. each year and the information must be registered</t>
  </si>
  <si>
    <t>AZE v1_01 02.12.2020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</si>
</sst>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Red]0.00"/>
    <numFmt numFmtId="165" formatCode="0##"/>
    <numFmt numFmtId="166" formatCode="h:mm"/>
    <numFmt numFmtId="167" formatCode="d/\ mmmm\ yyyy"/>
    <numFmt numFmtId="168" formatCode="yyyy"/>
    <numFmt numFmtId="169" formatCode="0.00_ ;[Red]\-0.00\ "/>
    <numFmt numFmtId="170" formatCode="hh/mm"/>
    <numFmt numFmtId="171" formatCode="0.0_ ;[Red]\-0.0\ "/>
    <numFmt numFmtId="172" formatCode="[h]:mm"/>
    <numFmt numFmtId="173" formatCode="d/m/yyyy"/>
    <numFmt numFmtId="174" formatCode="0.0"/>
    <numFmt numFmtId="175" formatCode="mmmm"/>
    <numFmt numFmtId="176" formatCode="dd/mm/yyyy;@"/>
    <numFmt numFmtId="177" formatCode="0.000000000"/>
  </numFmts>
  <fonts count="59">
    <font>
      <sz val="10"/>
      <name val="Arial"/>
    </font>
    <font>
      <sz val="10"/>
      <name val="Arial"/>
      <family val="2"/>
    </font>
    <font>
      <b/>
      <sz val="12"/>
      <name val="Arial"/>
      <family val="2"/>
    </font>
    <font>
      <b/>
      <i/>
      <sz val="12"/>
      <name val="Arial"/>
      <family val="2"/>
    </font>
    <font>
      <sz val="11"/>
      <name val="Arial"/>
      <family val="2"/>
    </font>
    <font>
      <b/>
      <sz val="11"/>
      <name val="Arial"/>
      <family val="2"/>
    </font>
    <font>
      <b/>
      <sz val="10"/>
      <name val="Arial"/>
      <family val="2"/>
    </font>
    <font>
      <sz val="12"/>
      <name val="Arial"/>
      <family val="2"/>
    </font>
    <font>
      <sz val="14"/>
      <name val="Arial"/>
      <family val="2"/>
    </font>
    <font>
      <sz val="11"/>
      <color indexed="55"/>
      <name val="Arial"/>
      <family val="2"/>
    </font>
    <font>
      <sz val="11"/>
      <color indexed="22"/>
      <name val="Arial"/>
      <family val="2"/>
    </font>
    <font>
      <sz val="10"/>
      <name val="Arial"/>
      <family val="2"/>
    </font>
    <font>
      <b/>
      <sz val="10"/>
      <color indexed="81"/>
      <name val="Tahoma"/>
      <family val="2"/>
    </font>
    <font>
      <sz val="11"/>
      <color indexed="9"/>
      <name val="Arial"/>
      <family val="2"/>
    </font>
    <font>
      <b/>
      <sz val="14"/>
      <name val="Arial"/>
      <family val="2"/>
    </font>
    <font>
      <sz val="10"/>
      <color indexed="9"/>
      <name val="Arial"/>
      <family val="2"/>
    </font>
    <font>
      <sz val="13"/>
      <name val="Arial"/>
      <family val="2"/>
    </font>
    <font>
      <sz val="12"/>
      <name val="Arial"/>
      <family val="2"/>
    </font>
    <font>
      <sz val="8"/>
      <name val="Arial"/>
      <family val="2"/>
    </font>
    <font>
      <b/>
      <u/>
      <sz val="10"/>
      <name val="Arial"/>
      <family val="2"/>
    </font>
    <font>
      <b/>
      <sz val="8"/>
      <name val="Arial"/>
      <family val="2"/>
    </font>
    <font>
      <sz val="11"/>
      <color indexed="23"/>
      <name val="Arial"/>
      <family val="2"/>
    </font>
    <font>
      <sz val="11"/>
      <color indexed="55"/>
      <name val="Arial"/>
      <family val="2"/>
    </font>
    <font>
      <b/>
      <sz val="12"/>
      <color indexed="10"/>
      <name val="Arial"/>
      <family val="2"/>
    </font>
    <font>
      <sz val="10"/>
      <name val="Arial"/>
      <family val="2"/>
    </font>
    <font>
      <u/>
      <sz val="10"/>
      <color theme="10"/>
      <name val="Arial"/>
      <family val="2"/>
    </font>
    <font>
      <sz val="10"/>
      <color theme="0"/>
      <name val="Arial"/>
      <family val="2"/>
    </font>
    <font>
      <sz val="11"/>
      <color rgb="FFFF0000"/>
      <name val="Arial"/>
      <family val="2"/>
    </font>
    <font>
      <sz val="11"/>
      <color theme="0" tint="-0.499984740745262"/>
      <name val="Arial"/>
      <family val="2"/>
    </font>
    <font>
      <b/>
      <sz val="11"/>
      <color rgb="FFFF0000"/>
      <name val="Arial"/>
      <family val="2"/>
    </font>
    <font>
      <sz val="10"/>
      <color rgb="FFFF0000"/>
      <name val="Arial"/>
      <family val="2"/>
    </font>
    <font>
      <sz val="11"/>
      <color theme="0"/>
      <name val="Arial"/>
      <family val="2"/>
    </font>
    <font>
      <b/>
      <sz val="10"/>
      <color rgb="FFFF0000"/>
      <name val="Arial"/>
      <family val="2"/>
    </font>
    <font>
      <b/>
      <sz val="10"/>
      <color theme="1" tint="0.34998626667073579"/>
      <name val="Arial"/>
      <family val="2"/>
    </font>
    <font>
      <sz val="11"/>
      <color theme="1" tint="0.34998626667073579"/>
      <name val="Arial"/>
      <family val="2"/>
    </font>
    <font>
      <b/>
      <sz val="11"/>
      <color theme="1" tint="0.34998626667073579"/>
      <name val="Arial"/>
      <family val="2"/>
    </font>
    <font>
      <b/>
      <sz val="12"/>
      <color theme="0"/>
      <name val="Arial"/>
      <family val="2"/>
    </font>
    <font>
      <b/>
      <sz val="12"/>
      <color indexed="81"/>
      <name val="Tahoma"/>
      <family val="2"/>
    </font>
    <font>
      <sz val="11"/>
      <color rgb="FFFFC000"/>
      <name val="Arial"/>
      <family val="2"/>
    </font>
    <font>
      <sz val="12"/>
      <color rgb="FFFFC000"/>
      <name val="Arial"/>
      <family val="2"/>
    </font>
    <font>
      <sz val="10"/>
      <color theme="0" tint="-0.34998626667073579"/>
      <name val="Arial"/>
      <family val="2"/>
    </font>
    <font>
      <b/>
      <sz val="10"/>
      <color theme="0" tint="-0.14999847407452621"/>
      <name val="Arial"/>
      <family val="2"/>
    </font>
    <font>
      <sz val="10"/>
      <color theme="0" tint="-0.14999847407452621"/>
      <name val="Arial"/>
      <family val="2"/>
    </font>
    <font>
      <sz val="10"/>
      <name val="Calibri"/>
      <family val="2"/>
    </font>
    <font>
      <sz val="8"/>
      <color theme="0"/>
      <name val="Arial"/>
      <family val="2"/>
    </font>
    <font>
      <sz val="11"/>
      <color theme="0" tint="-0.14999847407452621"/>
      <name val="Arial"/>
      <family val="2"/>
    </font>
    <font>
      <sz val="10"/>
      <color rgb="FFFF0000"/>
      <name val="Calibri"/>
      <family val="2"/>
    </font>
    <font>
      <u/>
      <sz val="10"/>
      <color rgb="FF0000FF"/>
      <name val="Arial"/>
      <family val="2"/>
    </font>
    <font>
      <b/>
      <u/>
      <sz val="10"/>
      <color theme="10"/>
      <name val="Arial"/>
      <family val="2"/>
    </font>
    <font>
      <sz val="12"/>
      <color theme="0"/>
      <name val="Arial"/>
      <family val="2"/>
    </font>
    <font>
      <sz val="10"/>
      <color rgb="FF92D050"/>
      <name val="Arial"/>
      <family val="2"/>
    </font>
    <font>
      <b/>
      <sz val="12"/>
      <color rgb="FFFF0000"/>
      <name val="Arial"/>
      <family val="2"/>
    </font>
    <font>
      <sz val="9"/>
      <color indexed="81"/>
      <name val="Tahoma"/>
      <family val="2"/>
    </font>
    <font>
      <b/>
      <i/>
      <sz val="12"/>
      <color rgb="FFFF0000"/>
      <name val="Arial"/>
      <family val="2"/>
    </font>
    <font>
      <b/>
      <sz val="10"/>
      <color theme="3" tint="0.79998168889431442"/>
      <name val="Arial"/>
      <family val="2"/>
    </font>
    <font>
      <b/>
      <sz val="10"/>
      <color theme="0"/>
      <name val="Arial"/>
      <family val="2"/>
    </font>
    <font>
      <b/>
      <sz val="10"/>
      <color theme="0" tint="-0.249977111117893"/>
      <name val="Arial"/>
      <family val="2"/>
    </font>
    <font>
      <sz val="9"/>
      <color indexed="81"/>
      <name val="Segoe UI"/>
      <family val="2"/>
    </font>
    <font>
      <b/>
      <sz val="9"/>
      <color indexed="81"/>
      <name val="Segoe UI"/>
      <family val="2"/>
    </font>
  </fonts>
  <fills count="18">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lightHorizontal">
        <fgColor theme="0" tint="-0.14996795556505021"/>
        <bgColor theme="0"/>
      </patternFill>
    </fill>
  </fills>
  <borders count="80">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right style="double">
        <color indexed="64"/>
      </right>
      <top/>
      <bottom/>
      <diagonal/>
    </border>
    <border>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top/>
      <bottom style="double">
        <color indexed="64"/>
      </bottom>
      <diagonal/>
    </border>
    <border>
      <left style="double">
        <color indexed="64"/>
      </left>
      <right/>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double">
        <color indexed="64"/>
      </right>
      <top style="thin">
        <color indexed="64"/>
      </top>
      <bottom/>
      <diagonal/>
    </border>
    <border>
      <left/>
      <right style="double">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right style="dotted">
        <color indexed="64"/>
      </right>
      <top style="double">
        <color indexed="64"/>
      </top>
      <bottom/>
      <diagonal/>
    </border>
    <border>
      <left/>
      <right style="dotted">
        <color indexed="64"/>
      </right>
      <top/>
      <bottom/>
      <diagonal/>
    </border>
    <border>
      <left style="dotted">
        <color indexed="64"/>
      </left>
      <right style="double">
        <color indexed="64"/>
      </right>
      <top style="double">
        <color indexed="64"/>
      </top>
      <bottom/>
      <diagonal/>
    </border>
    <border>
      <left style="dotted">
        <color indexed="64"/>
      </left>
      <right style="double">
        <color indexed="64"/>
      </right>
      <top/>
      <bottom/>
      <diagonal/>
    </border>
    <border>
      <left style="dotted">
        <color indexed="64"/>
      </left>
      <right style="double">
        <color indexed="64"/>
      </right>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style="double">
        <color indexed="64"/>
      </right>
      <top/>
      <bottom style="thin">
        <color indexed="64"/>
      </bottom>
      <diagonal/>
    </border>
    <border>
      <left/>
      <right/>
      <top style="double">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right style="double">
        <color indexed="64"/>
      </right>
      <top/>
      <bottom style="thin">
        <color indexed="64"/>
      </bottom>
      <diagonal/>
    </border>
    <border>
      <left/>
      <right style="double">
        <color indexed="64"/>
      </right>
      <top style="thin">
        <color indexed="64"/>
      </top>
      <bottom style="double">
        <color indexed="64"/>
      </bottom>
      <diagonal/>
    </border>
    <border>
      <left/>
      <right/>
      <top style="double">
        <color indexed="64"/>
      </top>
      <bottom style="double">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6795556505021"/>
      </bottom>
      <diagonal/>
    </border>
    <border>
      <left style="thin">
        <color theme="0" tint="-0.14999847407452621"/>
      </left>
      <right style="thin">
        <color theme="0" tint="-0.14999847407452621"/>
      </right>
      <top/>
      <bottom style="thin">
        <color theme="0" tint="-0.149998474074526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s>
  <cellStyleXfs count="4">
    <xf numFmtId="0" fontId="0" fillId="0" borderId="0"/>
    <xf numFmtId="0" fontId="2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cellStyleXfs>
  <cellXfs count="1010">
    <xf numFmtId="0" fontId="0" fillId="0" borderId="0" xfId="0"/>
    <xf numFmtId="14" fontId="0" fillId="0" borderId="0" xfId="0" applyNumberFormat="1"/>
    <xf numFmtId="0" fontId="0" fillId="0" borderId="0" xfId="0" applyAlignment="1">
      <alignment vertical="center" wrapText="1"/>
    </xf>
    <xf numFmtId="0" fontId="8" fillId="0" borderId="0" xfId="0" applyFont="1" applyAlignment="1">
      <alignment vertical="center"/>
    </xf>
    <xf numFmtId="0" fontId="8" fillId="0" borderId="0" xfId="0" applyFont="1" applyBorder="1" applyAlignment="1">
      <alignment vertical="center"/>
    </xf>
    <xf numFmtId="0" fontId="0" fillId="0" borderId="0" xfId="0" applyBorder="1"/>
    <xf numFmtId="171" fontId="4" fillId="0" borderId="0" xfId="0" applyNumberFormat="1" applyFont="1" applyFill="1" applyAlignment="1" applyProtection="1"/>
    <xf numFmtId="0" fontId="4" fillId="0" borderId="0" xfId="0" applyNumberFormat="1" applyFont="1" applyFill="1" applyAlignment="1" applyProtection="1"/>
    <xf numFmtId="164" fontId="4" fillId="0" borderId="0" xfId="0" applyNumberFormat="1" applyFont="1" applyFill="1" applyAlignment="1" applyProtection="1"/>
    <xf numFmtId="164" fontId="5" fillId="0" borderId="0" xfId="0" applyNumberFormat="1" applyFont="1" applyFill="1" applyAlignment="1" applyProtection="1">
      <alignment horizontal="right"/>
    </xf>
    <xf numFmtId="168" fontId="4" fillId="0" borderId="0" xfId="0" applyNumberFormat="1" applyFont="1" applyFill="1" applyAlignment="1" applyProtection="1"/>
    <xf numFmtId="0" fontId="4" fillId="0" borderId="0" xfId="0" applyFont="1" applyFill="1" applyAlignment="1" applyProtection="1"/>
    <xf numFmtId="49" fontId="4" fillId="0" borderId="1" xfId="0" applyNumberFormat="1" applyFont="1" applyFill="1" applyBorder="1" applyAlignment="1" applyProtection="1"/>
    <xf numFmtId="0" fontId="4" fillId="0" borderId="1" xfId="0" applyFont="1" applyFill="1" applyBorder="1" applyAlignment="1" applyProtection="1"/>
    <xf numFmtId="164" fontId="4" fillId="0" borderId="1" xfId="0" applyNumberFormat="1" applyFont="1" applyFill="1" applyBorder="1" applyAlignment="1" applyProtection="1"/>
    <xf numFmtId="0" fontId="4" fillId="0" borderId="1" xfId="0" applyNumberFormat="1" applyFont="1" applyFill="1" applyBorder="1" applyAlignment="1" applyProtection="1"/>
    <xf numFmtId="0" fontId="4" fillId="0" borderId="0" xfId="0" applyFont="1" applyFill="1" applyBorder="1" applyAlignment="1" applyProtection="1"/>
    <xf numFmtId="49" fontId="4" fillId="0" borderId="0" xfId="0" applyNumberFormat="1" applyFont="1" applyFill="1" applyAlignment="1" applyProtection="1"/>
    <xf numFmtId="1" fontId="5" fillId="0" borderId="0" xfId="0" applyNumberFormat="1" applyFont="1" applyFill="1" applyAlignment="1" applyProtection="1">
      <alignment horizontal="right"/>
    </xf>
    <xf numFmtId="164" fontId="4" fillId="0" borderId="0" xfId="0" applyNumberFormat="1" applyFont="1" applyFill="1" applyBorder="1" applyAlignment="1" applyProtection="1"/>
    <xf numFmtId="164" fontId="4" fillId="0" borderId="0" xfId="0" applyNumberFormat="1" applyFont="1" applyFill="1" applyAlignment="1" applyProtection="1">
      <alignment horizontal="right"/>
    </xf>
    <xf numFmtId="171" fontId="5" fillId="0" borderId="0" xfId="0" applyNumberFormat="1" applyFont="1" applyFill="1" applyAlignment="1" applyProtection="1"/>
    <xf numFmtId="164" fontId="4" fillId="0" borderId="0" xfId="0" applyNumberFormat="1" applyFont="1" applyFill="1" applyBorder="1" applyAlignment="1" applyProtection="1">
      <alignment horizontal="right"/>
    </xf>
    <xf numFmtId="166" fontId="4" fillId="0" borderId="0" xfId="0" applyNumberFormat="1" applyFont="1" applyFill="1" applyBorder="1" applyAlignment="1" applyProtection="1"/>
    <xf numFmtId="0" fontId="4" fillId="0" borderId="0" xfId="0" applyFont="1" applyFill="1" applyAlignment="1" applyProtection="1">
      <alignment horizontal="right"/>
    </xf>
    <xf numFmtId="165" fontId="4" fillId="0" borderId="0" xfId="0" applyNumberFormat="1" applyFont="1" applyFill="1" applyAlignment="1" applyProtection="1">
      <alignment horizontal="right"/>
    </xf>
    <xf numFmtId="0" fontId="2" fillId="0" borderId="0" xfId="0" applyFont="1" applyFill="1" applyAlignment="1" applyProtection="1"/>
    <xf numFmtId="164" fontId="3" fillId="0" borderId="4" xfId="0" applyNumberFormat="1" applyFont="1" applyFill="1" applyBorder="1" applyAlignment="1" applyProtection="1">
      <alignment horizontal="center"/>
    </xf>
    <xf numFmtId="164" fontId="3" fillId="0" borderId="6" xfId="0" applyNumberFormat="1" applyFont="1" applyFill="1" applyBorder="1" applyAlignment="1" applyProtection="1">
      <alignment horizontal="center"/>
    </xf>
    <xf numFmtId="164" fontId="3" fillId="0" borderId="5" xfId="0" applyNumberFormat="1" applyFont="1" applyFill="1" applyBorder="1" applyAlignment="1" applyProtection="1">
      <alignment horizontal="center"/>
    </xf>
    <xf numFmtId="49" fontId="4" fillId="2" borderId="4" xfId="0" applyNumberFormat="1" applyFont="1" applyFill="1" applyBorder="1" applyAlignment="1" applyProtection="1">
      <alignment horizontal="center"/>
    </xf>
    <xf numFmtId="0" fontId="7" fillId="0" borderId="0" xfId="0" applyFont="1" applyProtection="1"/>
    <xf numFmtId="0" fontId="7" fillId="0" borderId="11" xfId="0" applyFont="1" applyBorder="1" applyProtection="1"/>
    <xf numFmtId="0" fontId="7" fillId="0" borderId="0" xfId="0" applyFont="1" applyBorder="1" applyProtection="1"/>
    <xf numFmtId="166" fontId="4" fillId="0" borderId="0" xfId="0" applyNumberFormat="1" applyFont="1" applyFill="1" applyAlignment="1" applyProtection="1"/>
    <xf numFmtId="0" fontId="10" fillId="2" borderId="0" xfId="0" applyFont="1" applyFill="1" applyAlignment="1" applyProtection="1"/>
    <xf numFmtId="172" fontId="4" fillId="0" borderId="17" xfId="0" applyNumberFormat="1" applyFont="1" applyFill="1" applyBorder="1" applyAlignment="1" applyProtection="1"/>
    <xf numFmtId="0" fontId="4" fillId="0" borderId="11" xfId="0" applyFont="1" applyFill="1" applyBorder="1" applyAlignment="1" applyProtection="1"/>
    <xf numFmtId="164" fontId="4" fillId="0" borderId="11" xfId="0" applyNumberFormat="1" applyFont="1" applyFill="1" applyBorder="1" applyAlignment="1" applyProtection="1"/>
    <xf numFmtId="172" fontId="4" fillId="0" borderId="18" xfId="0" applyNumberFormat="1" applyFont="1" applyFill="1" applyBorder="1" applyAlignment="1" applyProtection="1"/>
    <xf numFmtId="0" fontId="4" fillId="0" borderId="0" xfId="0" applyFont="1" applyFill="1" applyBorder="1" applyAlignment="1" applyProtection="1">
      <alignment horizontal="centerContinuous"/>
    </xf>
    <xf numFmtId="164" fontId="4" fillId="0" borderId="0" xfId="0" applyNumberFormat="1" applyFont="1" applyFill="1" applyBorder="1" applyAlignment="1" applyProtection="1">
      <alignment horizontal="centerContinuous"/>
    </xf>
    <xf numFmtId="0" fontId="7" fillId="0" borderId="0" xfId="0" applyFont="1" applyFill="1" applyProtection="1"/>
    <xf numFmtId="0" fontId="13" fillId="0" borderId="0" xfId="0" applyFont="1" applyFill="1" applyAlignment="1" applyProtection="1"/>
    <xf numFmtId="172" fontId="4" fillId="0" borderId="22" xfId="0" applyNumberFormat="1" applyFont="1" applyFill="1" applyBorder="1" applyAlignment="1" applyProtection="1"/>
    <xf numFmtId="172" fontId="4" fillId="0" borderId="25" xfId="0" applyNumberFormat="1" applyFont="1" applyFill="1" applyBorder="1" applyAlignment="1" applyProtection="1"/>
    <xf numFmtId="164" fontId="3" fillId="0" borderId="25" xfId="0" applyNumberFormat="1" applyFont="1" applyFill="1" applyBorder="1" applyAlignment="1" applyProtection="1">
      <alignment horizontal="center"/>
    </xf>
    <xf numFmtId="49" fontId="4" fillId="0" borderId="11" xfId="0" applyNumberFormat="1" applyFont="1" applyFill="1" applyBorder="1" applyAlignment="1" applyProtection="1"/>
    <xf numFmtId="49" fontId="4" fillId="0" borderId="0" xfId="0" applyNumberFormat="1" applyFont="1" applyFill="1" applyBorder="1" applyAlignment="1" applyProtection="1"/>
    <xf numFmtId="0" fontId="4" fillId="0" borderId="19" xfId="0" applyFont="1" applyFill="1" applyBorder="1" applyAlignment="1" applyProtection="1"/>
    <xf numFmtId="0" fontId="9" fillId="0" borderId="0" xfId="0" applyFont="1" applyFill="1" applyAlignment="1" applyProtection="1"/>
    <xf numFmtId="0" fontId="14" fillId="0" borderId="0" xfId="0" applyFont="1" applyAlignment="1">
      <alignment vertical="center"/>
    </xf>
    <xf numFmtId="172" fontId="15" fillId="0" borderId="0" xfId="0" applyNumberFormat="1" applyFont="1"/>
    <xf numFmtId="164" fontId="5" fillId="0" borderId="0" xfId="0" applyNumberFormat="1" applyFont="1" applyFill="1" applyAlignment="1" applyProtection="1"/>
    <xf numFmtId="0" fontId="4" fillId="0" borderId="0" xfId="0" applyFont="1" applyFill="1" applyAlignment="1" applyProtection="1">
      <alignment vertical="center"/>
    </xf>
    <xf numFmtId="164" fontId="4" fillId="0" borderId="0" xfId="0" applyNumberFormat="1" applyFont="1" applyFill="1" applyAlignment="1" applyProtection="1">
      <alignment vertical="center"/>
    </xf>
    <xf numFmtId="164" fontId="16" fillId="0" borderId="0" xfId="0" applyNumberFormat="1" applyFont="1" applyFill="1" applyBorder="1" applyAlignment="1" applyProtection="1">
      <alignment horizontal="left" vertical="center"/>
    </xf>
    <xf numFmtId="164" fontId="16" fillId="0" borderId="0" xfId="0" applyNumberFormat="1" applyFont="1" applyFill="1" applyAlignment="1" applyProtection="1">
      <alignment vertical="center"/>
    </xf>
    <xf numFmtId="0" fontId="4" fillId="0" borderId="0" xfId="0" applyNumberFormat="1" applyFont="1" applyFill="1" applyAlignment="1" applyProtection="1">
      <alignment vertical="center"/>
    </xf>
    <xf numFmtId="0" fontId="4" fillId="0" borderId="0" xfId="0" applyNumberFormat="1" applyFont="1" applyFill="1" applyBorder="1" applyAlignment="1" applyProtection="1"/>
    <xf numFmtId="0" fontId="13" fillId="0" borderId="1" xfId="0" applyFont="1" applyFill="1" applyBorder="1" applyAlignment="1" applyProtection="1"/>
    <xf numFmtId="0" fontId="17" fillId="3" borderId="0" xfId="0" applyFont="1" applyFill="1" applyBorder="1" applyProtection="1">
      <protection locked="0"/>
    </xf>
    <xf numFmtId="9" fontId="17" fillId="3" borderId="0" xfId="2" applyFont="1" applyFill="1" applyBorder="1" applyProtection="1">
      <protection locked="0"/>
    </xf>
    <xf numFmtId="0" fontId="14" fillId="0" borderId="0" xfId="0" applyFont="1"/>
    <xf numFmtId="0" fontId="0" fillId="0" borderId="0" xfId="0" applyBorder="1" applyProtection="1"/>
    <xf numFmtId="0" fontId="0" fillId="0" borderId="0" xfId="0" applyFill="1" applyBorder="1" applyProtection="1">
      <protection hidden="1"/>
    </xf>
    <xf numFmtId="0" fontId="20" fillId="0" borderId="0" xfId="0" applyFont="1" applyAlignment="1" applyProtection="1">
      <alignment vertical="center"/>
    </xf>
    <xf numFmtId="0" fontId="20" fillId="0" borderId="0" xfId="0" applyFont="1" applyBorder="1" applyProtection="1"/>
    <xf numFmtId="166" fontId="13" fillId="2" borderId="1" xfId="0" applyNumberFormat="1" applyFont="1" applyFill="1" applyBorder="1" applyAlignment="1" applyProtection="1"/>
    <xf numFmtId="0" fontId="4" fillId="0" borderId="37" xfId="0" applyFont="1" applyFill="1" applyBorder="1" applyAlignment="1" applyProtection="1">
      <alignment shrinkToFit="1"/>
      <protection locked="0"/>
    </xf>
    <xf numFmtId="0" fontId="0" fillId="0" borderId="0" xfId="0" applyFill="1" applyBorder="1"/>
    <xf numFmtId="0" fontId="7" fillId="0" borderId="0" xfId="0" applyNumberFormat="1" applyFont="1" applyFill="1" applyBorder="1" applyAlignment="1" applyProtection="1">
      <alignment horizontal="right"/>
    </xf>
    <xf numFmtId="0" fontId="0" fillId="0" borderId="0" xfId="0" applyProtection="1"/>
    <xf numFmtId="0" fontId="0" fillId="0" borderId="0" xfId="0" applyFill="1" applyBorder="1" applyProtection="1"/>
    <xf numFmtId="172" fontId="0" fillId="0" borderId="0" xfId="0" applyNumberFormat="1" applyFill="1" applyBorder="1" applyProtection="1"/>
    <xf numFmtId="0" fontId="8" fillId="0" borderId="0" xfId="0" applyFont="1" applyAlignment="1" applyProtection="1">
      <alignment vertical="center"/>
    </xf>
    <xf numFmtId="0" fontId="14" fillId="0" borderId="0" xfId="0" applyFont="1" applyFill="1" applyBorder="1" applyAlignment="1" applyProtection="1">
      <alignment vertical="center"/>
    </xf>
    <xf numFmtId="0" fontId="2" fillId="0" borderId="0" xfId="0" applyFont="1" applyFill="1" applyBorder="1" applyAlignment="1" applyProtection="1">
      <alignment horizontal="right"/>
    </xf>
    <xf numFmtId="0" fontId="0" fillId="0" borderId="0" xfId="0" applyFill="1" applyBorder="1" applyAlignment="1" applyProtection="1">
      <alignment horizontal="right"/>
    </xf>
    <xf numFmtId="172" fontId="15" fillId="0" borderId="0" xfId="0" applyNumberFormat="1" applyFont="1" applyProtection="1"/>
    <xf numFmtId="172" fontId="7" fillId="0" borderId="0" xfId="0" applyNumberFormat="1" applyFont="1" applyFill="1" applyBorder="1" applyAlignment="1" applyProtection="1">
      <alignment horizontal="right"/>
    </xf>
    <xf numFmtId="169" fontId="5" fillId="0" borderId="0" xfId="0" applyNumberFormat="1" applyFont="1" applyFill="1" applyBorder="1" applyAlignment="1" applyProtection="1"/>
    <xf numFmtId="0" fontId="2" fillId="0" borderId="18" xfId="0" applyFont="1" applyBorder="1" applyAlignment="1">
      <alignment horizontal="right"/>
    </xf>
    <xf numFmtId="0" fontId="2" fillId="0" borderId="40" xfId="0" applyFont="1" applyBorder="1" applyAlignment="1">
      <alignment horizontal="right"/>
    </xf>
    <xf numFmtId="0" fontId="0" fillId="0" borderId="41" xfId="0" applyBorder="1" applyAlignment="1">
      <alignment horizontal="right"/>
    </xf>
    <xf numFmtId="0" fontId="0" fillId="0" borderId="8" xfId="0" applyBorder="1" applyAlignment="1">
      <alignment horizontal="right"/>
    </xf>
    <xf numFmtId="0" fontId="7" fillId="3" borderId="42" xfId="0" applyFont="1" applyFill="1" applyBorder="1" applyAlignment="1" applyProtection="1">
      <alignment horizontal="right"/>
      <protection locked="0"/>
    </xf>
    <xf numFmtId="2" fontId="7" fillId="0" borderId="9" xfId="0" applyNumberFormat="1" applyFont="1" applyBorder="1" applyAlignment="1">
      <alignment horizontal="right"/>
    </xf>
    <xf numFmtId="172" fontId="7" fillId="0" borderId="9" xfId="0" applyNumberFormat="1" applyFont="1" applyBorder="1" applyAlignment="1">
      <alignment horizontal="right"/>
    </xf>
    <xf numFmtId="172" fontId="7" fillId="3" borderId="42" xfId="0" applyNumberFormat="1" applyFont="1" applyFill="1" applyBorder="1" applyAlignment="1" applyProtection="1">
      <alignment horizontal="right"/>
      <protection locked="0"/>
    </xf>
    <xf numFmtId="172" fontId="7" fillId="0" borderId="0" xfId="0" applyNumberFormat="1" applyFont="1" applyBorder="1" applyAlignment="1" applyProtection="1">
      <alignment horizontal="right"/>
    </xf>
    <xf numFmtId="0" fontId="14" fillId="0" borderId="0" xfId="0" applyFont="1" applyProtection="1"/>
    <xf numFmtId="0" fontId="7" fillId="0" borderId="10" xfId="0" applyNumberFormat="1" applyFont="1" applyFill="1" applyBorder="1" applyAlignment="1" applyProtection="1">
      <alignment horizontal="left"/>
    </xf>
    <xf numFmtId="0" fontId="0" fillId="0" borderId="11" xfId="0" applyBorder="1" applyProtection="1"/>
    <xf numFmtId="0" fontId="17" fillId="3" borderId="43" xfId="0" applyFont="1" applyFill="1" applyBorder="1" applyProtection="1">
      <protection locked="0"/>
    </xf>
    <xf numFmtId="0" fontId="17" fillId="0" borderId="12" xfId="0" applyFont="1" applyBorder="1" applyProtection="1"/>
    <xf numFmtId="0" fontId="7" fillId="0" borderId="7" xfId="0" applyNumberFormat="1" applyFont="1" applyFill="1" applyBorder="1" applyAlignment="1" applyProtection="1">
      <alignment horizontal="left"/>
    </xf>
    <xf numFmtId="0" fontId="17" fillId="3" borderId="44" xfId="0" applyFont="1" applyFill="1" applyBorder="1" applyProtection="1">
      <protection locked="0"/>
    </xf>
    <xf numFmtId="0" fontId="17" fillId="0" borderId="8" xfId="0" applyFont="1" applyBorder="1" applyProtection="1"/>
    <xf numFmtId="0" fontId="17" fillId="0" borderId="44" xfId="0" applyFont="1" applyFill="1" applyBorder="1" applyProtection="1"/>
    <xf numFmtId="172" fontId="17" fillId="4" borderId="8" xfId="0" applyNumberFormat="1" applyFont="1" applyFill="1" applyBorder="1" applyProtection="1"/>
    <xf numFmtId="0" fontId="0" fillId="0" borderId="11" xfId="0" applyBorder="1"/>
    <xf numFmtId="0" fontId="17" fillId="0" borderId="45" xfId="0" applyFont="1" applyFill="1" applyBorder="1" applyProtection="1"/>
    <xf numFmtId="0" fontId="7" fillId="0" borderId="7" xfId="0" applyFont="1" applyBorder="1"/>
    <xf numFmtId="0" fontId="11" fillId="0" borderId="0" xfId="0" applyFont="1" applyBorder="1"/>
    <xf numFmtId="0" fontId="17" fillId="3" borderId="46" xfId="0" applyFont="1" applyFill="1" applyBorder="1" applyProtection="1">
      <protection locked="0"/>
    </xf>
    <xf numFmtId="9" fontId="17" fillId="3" borderId="46" xfId="2" applyFont="1" applyFill="1" applyBorder="1" applyProtection="1">
      <protection locked="0"/>
    </xf>
    <xf numFmtId="0" fontId="0" fillId="0" borderId="26" xfId="0" applyBorder="1"/>
    <xf numFmtId="9" fontId="17" fillId="0" borderId="26" xfId="2" applyFont="1" applyFill="1" applyBorder="1" applyProtection="1"/>
    <xf numFmtId="9" fontId="17" fillId="4" borderId="47" xfId="2" applyFont="1" applyFill="1" applyBorder="1" applyProtection="1"/>
    <xf numFmtId="172" fontId="4" fillId="0" borderId="48" xfId="0" applyNumberFormat="1" applyFont="1" applyFill="1" applyBorder="1" applyAlignment="1" applyProtection="1"/>
    <xf numFmtId="172" fontId="4" fillId="0" borderId="4" xfId="0" applyNumberFormat="1" applyFont="1" applyFill="1" applyBorder="1" applyAlignment="1" applyProtection="1"/>
    <xf numFmtId="49" fontId="4" fillId="0" borderId="4" xfId="0" applyNumberFormat="1" applyFont="1" applyFill="1" applyBorder="1" applyAlignment="1" applyProtection="1">
      <alignment horizontal="center"/>
    </xf>
    <xf numFmtId="0" fontId="22" fillId="0" borderId="0" xfId="0" applyFont="1" applyFill="1" applyAlignment="1" applyProtection="1"/>
    <xf numFmtId="0" fontId="4" fillId="2" borderId="37" xfId="0" applyFont="1" applyFill="1" applyBorder="1" applyAlignment="1" applyProtection="1">
      <alignment shrinkToFit="1"/>
      <protection locked="0"/>
    </xf>
    <xf numFmtId="49" fontId="4" fillId="0" borderId="19" xfId="0" applyNumberFormat="1" applyFont="1" applyFill="1" applyBorder="1" applyAlignment="1" applyProtection="1">
      <alignment horizontal="center"/>
    </xf>
    <xf numFmtId="172" fontId="4" fillId="0" borderId="19" xfId="0" applyNumberFormat="1" applyFont="1" applyFill="1" applyBorder="1" applyAlignment="1" applyProtection="1"/>
    <xf numFmtId="49" fontId="21" fillId="2" borderId="51" xfId="0" applyNumberFormat="1" applyFont="1" applyFill="1" applyBorder="1" applyAlignment="1" applyProtection="1">
      <alignment horizontal="center"/>
    </xf>
    <xf numFmtId="0" fontId="0" fillId="0" borderId="0" xfId="0" applyAlignment="1"/>
    <xf numFmtId="172" fontId="4" fillId="2" borderId="4" xfId="0" applyNumberFormat="1" applyFont="1" applyFill="1" applyBorder="1" applyAlignment="1" applyProtection="1"/>
    <xf numFmtId="0" fontId="6" fillId="0" borderId="0" xfId="0" applyFont="1"/>
    <xf numFmtId="172" fontId="4" fillId="0" borderId="6" xfId="0" applyNumberFormat="1" applyFont="1" applyFill="1" applyBorder="1" applyAlignment="1" applyProtection="1">
      <protection locked="0"/>
    </xf>
    <xf numFmtId="172" fontId="4" fillId="0" borderId="5" xfId="0" applyNumberFormat="1" applyFont="1" applyFill="1" applyBorder="1" applyAlignment="1" applyProtection="1">
      <protection locked="0"/>
    </xf>
    <xf numFmtId="172" fontId="4" fillId="0" borderId="37" xfId="0" applyNumberFormat="1" applyFont="1" applyFill="1" applyBorder="1" applyAlignment="1" applyProtection="1">
      <protection locked="0"/>
    </xf>
    <xf numFmtId="172" fontId="4" fillId="0" borderId="28" xfId="0" applyNumberFormat="1" applyFont="1" applyFill="1" applyBorder="1" applyAlignment="1" applyProtection="1">
      <protection locked="0"/>
    </xf>
    <xf numFmtId="172" fontId="5" fillId="0" borderId="0" xfId="0" applyNumberFormat="1" applyFont="1" applyFill="1" applyBorder="1" applyAlignment="1" applyProtection="1"/>
    <xf numFmtId="0" fontId="0" fillId="0" borderId="1" xfId="0" applyBorder="1" applyProtection="1"/>
    <xf numFmtId="49" fontId="4" fillId="0" borderId="0" xfId="0" applyNumberFormat="1" applyFont="1" applyFill="1" applyAlignment="1" applyProtection="1">
      <alignment horizontal="left"/>
    </xf>
    <xf numFmtId="172" fontId="13" fillId="0" borderId="0" xfId="0" applyNumberFormat="1" applyFont="1" applyFill="1" applyAlignment="1" applyProtection="1"/>
    <xf numFmtId="0" fontId="17" fillId="3" borderId="45" xfId="0" applyFont="1" applyFill="1" applyBorder="1" applyProtection="1">
      <protection locked="0"/>
    </xf>
    <xf numFmtId="0" fontId="6" fillId="0" borderId="0" xfId="0" applyFont="1" applyFill="1" applyAlignment="1" applyProtection="1">
      <alignment horizontal="right"/>
    </xf>
    <xf numFmtId="172" fontId="4" fillId="0" borderId="4" xfId="0" applyNumberFormat="1" applyFont="1" applyFill="1" applyBorder="1" applyAlignment="1" applyProtection="1">
      <protection locked="0"/>
    </xf>
    <xf numFmtId="0" fontId="0" fillId="0" borderId="0" xfId="0" applyFill="1" applyAlignment="1"/>
    <xf numFmtId="0" fontId="1" fillId="0" borderId="0" xfId="0" applyFont="1" applyAlignment="1"/>
    <xf numFmtId="164" fontId="4" fillId="0" borderId="0" xfId="0" applyNumberFormat="1" applyFont="1" applyFill="1" applyBorder="1" applyAlignment="1" applyProtection="1">
      <alignment horizontal="left"/>
    </xf>
    <xf numFmtId="0" fontId="7" fillId="6" borderId="0" xfId="0" applyFont="1" applyFill="1" applyAlignment="1" applyProtection="1">
      <protection locked="0"/>
    </xf>
    <xf numFmtId="0" fontId="6" fillId="0" borderId="5" xfId="0" applyFont="1" applyBorder="1" applyAlignment="1">
      <alignment wrapText="1"/>
    </xf>
    <xf numFmtId="0" fontId="0" fillId="0" borderId="5" xfId="0" applyBorder="1"/>
    <xf numFmtId="0" fontId="7" fillId="0" borderId="0" xfId="0" applyFont="1" applyFill="1" applyAlignment="1" applyProtection="1">
      <protection locked="0"/>
    </xf>
    <xf numFmtId="171" fontId="5" fillId="9" borderId="0" xfId="0" applyNumberFormat="1" applyFont="1" applyFill="1" applyBorder="1" applyAlignment="1" applyProtection="1"/>
    <xf numFmtId="0" fontId="4" fillId="0" borderId="0" xfId="0" applyNumberFormat="1" applyFont="1" applyFill="1" applyAlignment="1" applyProtection="1">
      <alignment horizontal="right"/>
    </xf>
    <xf numFmtId="172" fontId="4" fillId="0" borderId="5" xfId="0" applyNumberFormat="1" applyFont="1" applyFill="1" applyBorder="1" applyAlignment="1" applyProtection="1"/>
    <xf numFmtId="0" fontId="7" fillId="3" borderId="11" xfId="0" applyFont="1" applyFill="1" applyBorder="1" applyProtection="1">
      <protection locked="0"/>
    </xf>
    <xf numFmtId="0" fontId="18" fillId="0" borderId="0" xfId="0" applyFont="1" applyBorder="1" applyAlignment="1" applyProtection="1">
      <alignment horizontal="left"/>
    </xf>
    <xf numFmtId="0" fontId="18" fillId="0" borderId="0" xfId="0" applyFont="1" applyBorder="1" applyProtection="1"/>
    <xf numFmtId="172" fontId="4" fillId="0" borderId="56" xfId="0" applyNumberFormat="1" applyFont="1" applyFill="1" applyBorder="1" applyAlignment="1" applyProtection="1"/>
    <xf numFmtId="172" fontId="1" fillId="0" borderId="5" xfId="0" applyNumberFormat="1" applyFont="1" applyBorder="1" applyAlignment="1">
      <alignment horizontal="right"/>
    </xf>
    <xf numFmtId="164" fontId="4" fillId="6" borderId="0" xfId="0" applyNumberFormat="1" applyFont="1" applyFill="1" applyAlignment="1" applyProtection="1">
      <alignment vertical="center"/>
      <protection locked="0"/>
    </xf>
    <xf numFmtId="0" fontId="18" fillId="0" borderId="0" xfId="0" applyFont="1" applyBorder="1" applyAlignment="1" applyProtection="1">
      <alignment horizontal="left"/>
    </xf>
    <xf numFmtId="49" fontId="18" fillId="0" borderId="0" xfId="0" applyNumberFormat="1" applyFont="1" applyBorder="1" applyAlignment="1" applyProtection="1">
      <alignment horizontal="left"/>
    </xf>
    <xf numFmtId="0" fontId="26" fillId="0" borderId="0" xfId="0" applyFont="1"/>
    <xf numFmtId="0" fontId="0" fillId="0" borderId="0" xfId="0" applyFill="1"/>
    <xf numFmtId="164" fontId="4" fillId="0" borderId="0" xfId="0" applyNumberFormat="1" applyFont="1" applyFill="1" applyAlignment="1" applyProtection="1">
      <alignment horizontal="right" vertical="center"/>
      <protection locked="0"/>
    </xf>
    <xf numFmtId="164" fontId="4" fillId="0" borderId="0" xfId="0" applyNumberFormat="1" applyFont="1" applyFill="1" applyAlignment="1" applyProtection="1">
      <alignment horizontal="left" vertical="center"/>
    </xf>
    <xf numFmtId="172" fontId="4" fillId="0" borderId="0" xfId="0" applyNumberFormat="1" applyFont="1" applyFill="1" applyAlignment="1" applyProtection="1">
      <alignment horizontal="right"/>
    </xf>
    <xf numFmtId="172" fontId="5" fillId="0" borderId="0" xfId="0" applyNumberFormat="1" applyFont="1" applyFill="1" applyBorder="1" applyAlignment="1" applyProtection="1">
      <alignment horizontal="right"/>
    </xf>
    <xf numFmtId="0" fontId="4" fillId="0" borderId="37" xfId="0" quotePrefix="1" applyFont="1" applyFill="1" applyBorder="1" applyAlignment="1" applyProtection="1">
      <alignment shrinkToFit="1"/>
      <protection locked="0"/>
    </xf>
    <xf numFmtId="0" fontId="29" fillId="0" borderId="0" xfId="0" applyFont="1" applyFill="1" applyAlignment="1" applyProtection="1">
      <alignment horizontal="center"/>
    </xf>
    <xf numFmtId="172" fontId="4" fillId="0" borderId="5" xfId="0" applyNumberFormat="1" applyFont="1" applyBorder="1"/>
    <xf numFmtId="172" fontId="4" fillId="0" borderId="0" xfId="0" applyNumberFormat="1" applyFont="1" applyFill="1" applyBorder="1" applyAlignment="1" applyProtection="1">
      <alignment horizontal="center"/>
    </xf>
    <xf numFmtId="0" fontId="4" fillId="0" borderId="0" xfId="0" applyFont="1" applyFill="1" applyBorder="1" applyAlignment="1" applyProtection="1">
      <alignment horizontal="center"/>
    </xf>
    <xf numFmtId="0" fontId="29" fillId="0" borderId="0" xfId="0" applyFont="1" applyFill="1" applyBorder="1" applyAlignment="1" applyProtection="1">
      <alignment horizontal="center"/>
    </xf>
    <xf numFmtId="0" fontId="4" fillId="0" borderId="0" xfId="0" applyFont="1" applyFill="1" applyBorder="1" applyAlignment="1" applyProtection="1">
      <alignment horizontal="right"/>
    </xf>
    <xf numFmtId="0" fontId="5" fillId="0" borderId="0" xfId="0" applyFont="1" applyFill="1" applyBorder="1" applyAlignment="1" applyProtection="1">
      <alignment horizontal="center"/>
    </xf>
    <xf numFmtId="172" fontId="5" fillId="0" borderId="0" xfId="0" applyNumberFormat="1" applyFont="1" applyFill="1" applyBorder="1" applyAlignment="1" applyProtection="1">
      <alignment horizontal="center"/>
    </xf>
    <xf numFmtId="0" fontId="5" fillId="0" borderId="0" xfId="0" applyFont="1" applyFill="1" applyBorder="1" applyAlignment="1" applyProtection="1">
      <alignment horizontal="right"/>
    </xf>
    <xf numFmtId="172" fontId="5" fillId="0" borderId="3" xfId="0" applyNumberFormat="1" applyFont="1" applyFill="1" applyBorder="1" applyAlignment="1" applyProtection="1">
      <alignment horizontal="center"/>
    </xf>
    <xf numFmtId="0" fontId="34" fillId="0" borderId="0" xfId="0" applyFont="1" applyFill="1" applyBorder="1" applyAlignment="1" applyProtection="1">
      <alignment horizontal="center"/>
    </xf>
    <xf numFmtId="174" fontId="34" fillId="0" borderId="0" xfId="0" applyNumberFormat="1" applyFont="1" applyFill="1" applyBorder="1" applyAlignment="1" applyProtection="1">
      <alignment horizontal="center"/>
    </xf>
    <xf numFmtId="0" fontId="0" fillId="7" borderId="10" xfId="0" applyFill="1" applyBorder="1" applyProtection="1"/>
    <xf numFmtId="0" fontId="0" fillId="7" borderId="11" xfId="0" applyFill="1" applyBorder="1" applyProtection="1"/>
    <xf numFmtId="0" fontId="0" fillId="7" borderId="15" xfId="0" applyFill="1" applyBorder="1" applyProtection="1"/>
    <xf numFmtId="0" fontId="0" fillId="7" borderId="1" xfId="0" applyFill="1" applyBorder="1" applyProtection="1"/>
    <xf numFmtId="1" fontId="18" fillId="0" borderId="0" xfId="0" applyNumberFormat="1" applyFont="1" applyBorder="1" applyAlignment="1" applyProtection="1">
      <alignment horizontal="left"/>
    </xf>
    <xf numFmtId="0" fontId="6" fillId="7" borderId="32" xfId="0" applyFont="1" applyFill="1" applyBorder="1" applyAlignment="1" applyProtection="1">
      <alignment horizontal="center"/>
    </xf>
    <xf numFmtId="0" fontId="6" fillId="7" borderId="1" xfId="0" applyFont="1" applyFill="1" applyBorder="1" applyAlignment="1" applyProtection="1">
      <alignment horizontal="center"/>
    </xf>
    <xf numFmtId="174" fontId="33" fillId="0" borderId="30" xfId="0" applyNumberFormat="1" applyFont="1" applyFill="1" applyBorder="1" applyAlignment="1">
      <alignment horizontal="center"/>
    </xf>
    <xf numFmtId="172" fontId="6" fillId="0" borderId="0" xfId="0" applyNumberFormat="1" applyFont="1" applyFill="1" applyBorder="1" applyAlignment="1">
      <alignment horizontal="center"/>
    </xf>
    <xf numFmtId="174" fontId="33" fillId="10" borderId="30" xfId="0" applyNumberFormat="1" applyFont="1" applyFill="1" applyBorder="1" applyAlignment="1">
      <alignment horizontal="center"/>
    </xf>
    <xf numFmtId="172" fontId="6" fillId="10" borderId="0" xfId="0" applyNumberFormat="1" applyFont="1" applyFill="1" applyBorder="1" applyAlignment="1">
      <alignment horizontal="center"/>
    </xf>
    <xf numFmtId="174" fontId="33" fillId="9" borderId="30" xfId="0" applyNumberFormat="1" applyFont="1" applyFill="1" applyBorder="1" applyAlignment="1">
      <alignment horizontal="center"/>
    </xf>
    <xf numFmtId="172" fontId="6" fillId="9" borderId="0" xfId="0" applyNumberFormat="1" applyFont="1" applyFill="1" applyBorder="1" applyAlignment="1">
      <alignment horizontal="center"/>
    </xf>
    <xf numFmtId="174" fontId="33" fillId="0" borderId="64" xfId="0" applyNumberFormat="1" applyFont="1" applyFill="1" applyBorder="1" applyAlignment="1">
      <alignment horizontal="center"/>
    </xf>
    <xf numFmtId="172" fontId="6" fillId="0" borderId="26" xfId="0" applyNumberFormat="1" applyFont="1" applyFill="1" applyBorder="1" applyAlignment="1">
      <alignment horizontal="center"/>
    </xf>
    <xf numFmtId="10" fontId="0" fillId="8" borderId="5" xfId="0" applyNumberFormat="1" applyFill="1" applyBorder="1" applyAlignment="1" applyProtection="1">
      <alignment horizontal="center"/>
      <protection locked="0"/>
    </xf>
    <xf numFmtId="10" fontId="0" fillId="8" borderId="25" xfId="0" applyNumberFormat="1" applyFill="1" applyBorder="1" applyAlignment="1" applyProtection="1">
      <alignment horizontal="center"/>
      <protection locked="0"/>
    </xf>
    <xf numFmtId="1" fontId="0" fillId="0" borderId="0" xfId="0" applyNumberFormat="1"/>
    <xf numFmtId="172" fontId="31" fillId="0" borderId="0" xfId="0" applyNumberFormat="1" applyFont="1" applyFill="1" applyAlignment="1" applyProtection="1"/>
    <xf numFmtId="0" fontId="31" fillId="0" borderId="0" xfId="0" applyFont="1" applyFill="1" applyAlignment="1" applyProtection="1"/>
    <xf numFmtId="172" fontId="4" fillId="0" borderId="28" xfId="0" applyNumberFormat="1" applyFont="1" applyFill="1" applyBorder="1" applyAlignment="1" applyProtection="1"/>
    <xf numFmtId="164" fontId="2" fillId="0" borderId="14" xfId="0" applyNumberFormat="1" applyFont="1" applyFill="1" applyBorder="1" applyAlignment="1" applyProtection="1">
      <alignment horizontal="center"/>
    </xf>
    <xf numFmtId="0" fontId="2" fillId="0" borderId="14" xfId="0" applyFont="1" applyFill="1" applyBorder="1" applyAlignment="1" applyProtection="1">
      <alignment horizontal="center" wrapText="1"/>
    </xf>
    <xf numFmtId="172" fontId="28" fillId="0" borderId="14" xfId="0" applyNumberFormat="1" applyFont="1" applyFill="1" applyBorder="1" applyAlignment="1" applyProtection="1"/>
    <xf numFmtId="172" fontId="4" fillId="0" borderId="14" xfId="0" applyNumberFormat="1" applyFont="1" applyFill="1" applyBorder="1" applyAlignment="1" applyProtection="1"/>
    <xf numFmtId="0" fontId="4" fillId="0" borderId="14" xfId="0" applyNumberFormat="1" applyFont="1" applyFill="1" applyBorder="1" applyAlignment="1" applyProtection="1"/>
    <xf numFmtId="2" fontId="4" fillId="0" borderId="0" xfId="0" applyNumberFormat="1" applyFont="1" applyFill="1" applyBorder="1" applyAlignment="1" applyProtection="1">
      <alignment horizontal="center"/>
    </xf>
    <xf numFmtId="0" fontId="0" fillId="0" borderId="1" xfId="0" applyFill="1" applyBorder="1" applyProtection="1"/>
    <xf numFmtId="172" fontId="21" fillId="0" borderId="14" xfId="0" applyNumberFormat="1" applyFont="1" applyFill="1" applyBorder="1" applyAlignment="1" applyProtection="1">
      <protection locked="0"/>
    </xf>
    <xf numFmtId="172" fontId="4" fillId="0" borderId="14" xfId="0" applyNumberFormat="1" applyFont="1" applyFill="1" applyBorder="1" applyAlignment="1" applyProtection="1">
      <protection locked="0"/>
    </xf>
    <xf numFmtId="0" fontId="2" fillId="0" borderId="0" xfId="0" applyFont="1" applyFill="1" applyBorder="1" applyAlignment="1" applyProtection="1"/>
    <xf numFmtId="0" fontId="4" fillId="0" borderId="36" xfId="0" applyFont="1" applyFill="1" applyBorder="1" applyAlignment="1" applyProtection="1">
      <alignment shrinkToFit="1"/>
      <protection locked="0"/>
    </xf>
    <xf numFmtId="172" fontId="4" fillId="0" borderId="7" xfId="0" applyNumberFormat="1" applyFont="1" applyFill="1" applyBorder="1" applyAlignment="1" applyProtection="1"/>
    <xf numFmtId="2" fontId="4" fillId="0" borderId="7" xfId="0" applyNumberFormat="1" applyFont="1" applyFill="1" applyBorder="1" applyAlignment="1" applyProtection="1"/>
    <xf numFmtId="172" fontId="4" fillId="0" borderId="11" xfId="0" applyNumberFormat="1" applyFont="1" applyFill="1" applyBorder="1" applyAlignment="1" applyProtection="1">
      <alignment horizontal="center"/>
    </xf>
    <xf numFmtId="174" fontId="35" fillId="0" borderId="0" xfId="0" applyNumberFormat="1" applyFont="1" applyFill="1" applyBorder="1" applyAlignment="1" applyProtection="1">
      <alignment horizontal="center"/>
    </xf>
    <xf numFmtId="172" fontId="4" fillId="0" borderId="3" xfId="0" applyNumberFormat="1" applyFont="1" applyFill="1" applyBorder="1" applyAlignment="1" applyProtection="1">
      <alignment horizontal="center"/>
    </xf>
    <xf numFmtId="0" fontId="1" fillId="6" borderId="5" xfId="0" applyFont="1" applyFill="1" applyBorder="1"/>
    <xf numFmtId="0" fontId="0" fillId="0" borderId="2" xfId="0" applyBorder="1"/>
    <xf numFmtId="0" fontId="1" fillId="0" borderId="2" xfId="0" applyFont="1" applyBorder="1"/>
    <xf numFmtId="0" fontId="0" fillId="0" borderId="35" xfId="0" applyBorder="1"/>
    <xf numFmtId="172" fontId="4" fillId="6" borderId="0" xfId="0" applyNumberFormat="1" applyFont="1" applyFill="1" applyBorder="1" applyAlignment="1" applyProtection="1">
      <alignment horizontal="center"/>
      <protection locked="0"/>
    </xf>
    <xf numFmtId="0" fontId="27" fillId="0" borderId="0" xfId="0" applyFont="1" applyFill="1" applyBorder="1" applyAlignment="1" applyProtection="1">
      <alignment horizontal="center"/>
    </xf>
    <xf numFmtId="174" fontId="27" fillId="0" borderId="0" xfId="0" applyNumberFormat="1" applyFont="1" applyFill="1" applyBorder="1" applyAlignment="1" applyProtection="1">
      <alignment horizontal="center"/>
    </xf>
    <xf numFmtId="0" fontId="4" fillId="0" borderId="26" xfId="0" applyFont="1" applyFill="1" applyBorder="1" applyAlignment="1" applyProtection="1"/>
    <xf numFmtId="0" fontId="1" fillId="0" borderId="0" xfId="0" applyFont="1" applyBorder="1"/>
    <xf numFmtId="49" fontId="4" fillId="0" borderId="36" xfId="0" applyNumberFormat="1" applyFont="1" applyFill="1" applyBorder="1" applyAlignment="1" applyProtection="1">
      <alignment horizontal="center"/>
    </xf>
    <xf numFmtId="0" fontId="6" fillId="14" borderId="0" xfId="0" applyFont="1" applyFill="1"/>
    <xf numFmtId="0" fontId="0" fillId="14" borderId="5" xfId="0" applyFill="1" applyBorder="1"/>
    <xf numFmtId="0" fontId="1" fillId="14" borderId="5" xfId="0" applyFont="1" applyFill="1" applyBorder="1"/>
    <xf numFmtId="0" fontId="30" fillId="0" borderId="30" xfId="0" applyFont="1" applyBorder="1" applyAlignment="1"/>
    <xf numFmtId="0" fontId="30" fillId="0" borderId="0" xfId="0" applyFont="1" applyBorder="1" applyAlignment="1"/>
    <xf numFmtId="174" fontId="29" fillId="0" borderId="0" xfId="0" applyNumberFormat="1" applyFont="1" applyFill="1" applyBorder="1" applyAlignment="1" applyProtection="1">
      <alignment horizontal="center"/>
    </xf>
    <xf numFmtId="0" fontId="38" fillId="9" borderId="0" xfId="0" applyFont="1" applyFill="1" applyBorder="1" applyAlignment="1" applyProtection="1"/>
    <xf numFmtId="0" fontId="39" fillId="9" borderId="0" xfId="0" applyFont="1" applyFill="1" applyBorder="1" applyAlignment="1" applyProtection="1"/>
    <xf numFmtId="0" fontId="6" fillId="0" borderId="34" xfId="0" applyFont="1" applyBorder="1"/>
    <xf numFmtId="0" fontId="0" fillId="0" borderId="0" xfId="0" applyAlignment="1"/>
    <xf numFmtId="164" fontId="5" fillId="0" borderId="0" xfId="0" applyNumberFormat="1" applyFont="1" applyFill="1" applyBorder="1" applyAlignment="1" applyProtection="1">
      <alignment horizontal="right"/>
    </xf>
    <xf numFmtId="167" fontId="4" fillId="0" borderId="0" xfId="0" applyNumberFormat="1" applyFont="1" applyFill="1" applyBorder="1" applyAlignment="1" applyProtection="1">
      <alignment horizontal="left"/>
    </xf>
    <xf numFmtId="0" fontId="0" fillId="0" borderId="0" xfId="0" applyFill="1" applyProtection="1"/>
    <xf numFmtId="2" fontId="4" fillId="0" borderId="0" xfId="0" applyNumberFormat="1" applyFont="1" applyFill="1" applyBorder="1" applyAlignment="1" applyProtection="1"/>
    <xf numFmtId="172" fontId="4" fillId="0" borderId="11" xfId="0" applyNumberFormat="1" applyFont="1" applyFill="1" applyBorder="1" applyAlignment="1" applyProtection="1"/>
    <xf numFmtId="0" fontId="4" fillId="0" borderId="0" xfId="0" applyFont="1" applyFill="1" applyBorder="1" applyAlignment="1" applyProtection="1">
      <alignment shrinkToFit="1"/>
      <protection locked="0"/>
    </xf>
    <xf numFmtId="0" fontId="4" fillId="0" borderId="2" xfId="0" applyFont="1" applyFill="1" applyBorder="1" applyAlignment="1" applyProtection="1">
      <alignment shrinkToFit="1"/>
      <protection locked="0"/>
    </xf>
    <xf numFmtId="0" fontId="4" fillId="2" borderId="36" xfId="0" applyFont="1" applyFill="1" applyBorder="1" applyAlignment="1" applyProtection="1">
      <alignment shrinkToFit="1"/>
      <protection locked="0"/>
    </xf>
    <xf numFmtId="0" fontId="4" fillId="0" borderId="2" xfId="0" applyFont="1" applyFill="1" applyBorder="1" applyAlignment="1" applyProtection="1"/>
    <xf numFmtId="172" fontId="4" fillId="0" borderId="24" xfId="0" applyNumberFormat="1" applyFont="1" applyFill="1" applyBorder="1" applyAlignment="1" applyProtection="1"/>
    <xf numFmtId="0" fontId="4" fillId="0" borderId="36" xfId="0" quotePrefix="1" applyFont="1" applyFill="1" applyBorder="1" applyAlignment="1" applyProtection="1">
      <alignment shrinkToFit="1"/>
      <protection locked="0"/>
    </xf>
    <xf numFmtId="172" fontId="22" fillId="0" borderId="14" xfId="0" applyNumberFormat="1" applyFont="1" applyFill="1" applyBorder="1" applyAlignment="1" applyProtection="1">
      <protection locked="0"/>
    </xf>
    <xf numFmtId="172" fontId="28" fillId="0" borderId="7" xfId="0" applyNumberFormat="1" applyFont="1" applyFill="1" applyBorder="1" applyAlignment="1" applyProtection="1"/>
    <xf numFmtId="0" fontId="4" fillId="0" borderId="7" xfId="0" applyNumberFormat="1" applyFont="1" applyFill="1" applyBorder="1" applyAlignment="1" applyProtection="1"/>
    <xf numFmtId="1" fontId="4" fillId="0" borderId="70" xfId="0" applyNumberFormat="1" applyFont="1" applyFill="1" applyBorder="1" applyAlignment="1" applyProtection="1">
      <alignment horizontal="center"/>
    </xf>
    <xf numFmtId="1" fontId="4" fillId="0" borderId="0" xfId="0" applyNumberFormat="1" applyFont="1" applyFill="1" applyBorder="1" applyAlignment="1" applyProtection="1">
      <alignment horizontal="center"/>
      <protection locked="0"/>
    </xf>
    <xf numFmtId="1" fontId="4" fillId="0" borderId="26" xfId="0" applyNumberFormat="1" applyFont="1" applyFill="1" applyBorder="1" applyAlignment="1" applyProtection="1">
      <alignment horizontal="center"/>
      <protection locked="0"/>
    </xf>
    <xf numFmtId="0" fontId="1" fillId="0" borderId="5" xfId="0" applyFont="1" applyBorder="1"/>
    <xf numFmtId="0" fontId="1" fillId="0" borderId="5" xfId="0" applyFont="1" applyBorder="1" applyAlignment="1">
      <alignment horizontal="center"/>
    </xf>
    <xf numFmtId="0" fontId="0" fillId="0" borderId="37" xfId="0" applyBorder="1"/>
    <xf numFmtId="0" fontId="1" fillId="0" borderId="6" xfId="0" applyFont="1" applyBorder="1" applyAlignment="1">
      <alignment horizontal="center"/>
    </xf>
    <xf numFmtId="0" fontId="0" fillId="9" borderId="0" xfId="0" applyFill="1" applyBorder="1"/>
    <xf numFmtId="0" fontId="6" fillId="9" borderId="0" xfId="0" applyFont="1" applyFill="1" applyBorder="1"/>
    <xf numFmtId="0" fontId="1" fillId="9" borderId="0" xfId="0" applyFont="1" applyFill="1" applyBorder="1"/>
    <xf numFmtId="49" fontId="1" fillId="9" borderId="0" xfId="0" applyNumberFormat="1" applyFont="1" applyFill="1" applyBorder="1" applyAlignment="1">
      <alignment horizontal="center"/>
    </xf>
    <xf numFmtId="49" fontId="0" fillId="9" borderId="0" xfId="0" applyNumberFormat="1" applyFill="1" applyBorder="1"/>
    <xf numFmtId="0" fontId="0" fillId="0" borderId="0" xfId="0" applyNumberFormat="1"/>
    <xf numFmtId="0" fontId="1" fillId="9" borderId="0" xfId="0" applyNumberFormat="1" applyFont="1" applyFill="1" applyBorder="1"/>
    <xf numFmtId="0" fontId="2" fillId="0" borderId="14" xfId="0" applyFont="1" applyFill="1" applyBorder="1" applyAlignment="1" applyProtection="1">
      <alignment horizontal="centerContinuous"/>
    </xf>
    <xf numFmtId="0" fontId="4" fillId="2" borderId="14" xfId="0" applyNumberFormat="1" applyFont="1" applyFill="1" applyBorder="1" applyAlignment="1" applyProtection="1">
      <alignment horizontal="center"/>
    </xf>
    <xf numFmtId="0" fontId="4" fillId="0" borderId="14" xfId="0" applyNumberFormat="1" applyFont="1" applyFill="1" applyBorder="1" applyAlignment="1" applyProtection="1">
      <alignment horizontal="center"/>
    </xf>
    <xf numFmtId="14" fontId="4" fillId="0" borderId="14" xfId="0" applyNumberFormat="1" applyFont="1" applyFill="1" applyBorder="1" applyAlignment="1" applyProtection="1">
      <alignment horizontal="center"/>
    </xf>
    <xf numFmtId="0" fontId="2" fillId="0" borderId="0" xfId="0" applyFont="1" applyFill="1" applyBorder="1" applyAlignment="1" applyProtection="1">
      <alignment vertical="center"/>
    </xf>
    <xf numFmtId="0" fontId="36" fillId="0" borderId="0" xfId="0" applyFont="1" applyFill="1" applyAlignment="1" applyProtection="1">
      <alignment vertical="center"/>
    </xf>
    <xf numFmtId="0" fontId="0" fillId="0" borderId="14" xfId="0" applyFill="1" applyBorder="1" applyAlignment="1" applyProtection="1">
      <alignment horizontal="center" vertical="center" wrapText="1"/>
    </xf>
    <xf numFmtId="0" fontId="2" fillId="0" borderId="14" xfId="0" applyFont="1" applyFill="1" applyBorder="1" applyAlignment="1" applyProtection="1">
      <alignment horizontal="center"/>
    </xf>
    <xf numFmtId="0" fontId="1" fillId="0" borderId="5" xfId="0" applyNumberFormat="1" applyFont="1" applyBorder="1" applyAlignment="1">
      <alignment horizontal="center"/>
    </xf>
    <xf numFmtId="0" fontId="0" fillId="0" borderId="6" xfId="0" applyNumberFormat="1" applyBorder="1" applyAlignment="1">
      <alignment horizontal="center"/>
    </xf>
    <xf numFmtId="49" fontId="40" fillId="0" borderId="5" xfId="0" applyNumberFormat="1" applyFont="1" applyBorder="1" applyAlignment="1">
      <alignment horizontal="center"/>
    </xf>
    <xf numFmtId="49" fontId="40" fillId="0" borderId="6" xfId="0" applyNumberFormat="1" applyFont="1" applyBorder="1" applyAlignment="1">
      <alignment horizontal="center"/>
    </xf>
    <xf numFmtId="0" fontId="42" fillId="0" borderId="0" xfId="0" applyFont="1" applyBorder="1"/>
    <xf numFmtId="49" fontId="42" fillId="0" borderId="0" xfId="0" applyNumberFormat="1" applyFont="1" applyBorder="1"/>
    <xf numFmtId="0" fontId="42" fillId="0" borderId="71" xfId="0" applyFont="1" applyBorder="1"/>
    <xf numFmtId="49" fontId="42" fillId="0" borderId="71" xfId="0" applyNumberFormat="1" applyFont="1" applyBorder="1"/>
    <xf numFmtId="0" fontId="42" fillId="0" borderId="71" xfId="0" applyFont="1" applyFill="1" applyBorder="1"/>
    <xf numFmtId="0" fontId="19" fillId="0" borderId="0" xfId="0" applyFont="1" applyFill="1" applyBorder="1" applyProtection="1">
      <protection hidden="1"/>
    </xf>
    <xf numFmtId="49" fontId="42" fillId="0" borderId="72" xfId="0" applyNumberFormat="1" applyFont="1" applyBorder="1"/>
    <xf numFmtId="0" fontId="5" fillId="0" borderId="0" xfId="0" applyNumberFormat="1" applyFont="1" applyFill="1" applyAlignment="1" applyProtection="1">
      <alignment horizontal="right"/>
    </xf>
    <xf numFmtId="164" fontId="5" fillId="0" borderId="0" xfId="0" applyNumberFormat="1" applyFont="1" applyFill="1" applyBorder="1" applyAlignment="1" applyProtection="1">
      <alignment horizontal="right"/>
    </xf>
    <xf numFmtId="1" fontId="5" fillId="0" borderId="0" xfId="0" applyNumberFormat="1" applyFont="1" applyFill="1" applyBorder="1" applyAlignment="1" applyProtection="1">
      <alignment horizontal="right"/>
    </xf>
    <xf numFmtId="1" fontId="4" fillId="0" borderId="0" xfId="0" applyNumberFormat="1" applyFont="1" applyFill="1" applyBorder="1" applyAlignment="1" applyProtection="1">
      <alignment horizontal="left"/>
    </xf>
    <xf numFmtId="0" fontId="5" fillId="0" borderId="0" xfId="0" applyNumberFormat="1" applyFont="1" applyFill="1" applyAlignment="1" applyProtection="1">
      <alignment horizontal="right"/>
    </xf>
    <xf numFmtId="164" fontId="7" fillId="0" borderId="0" xfId="0" applyNumberFormat="1" applyFont="1" applyFill="1" applyBorder="1" applyAlignment="1" applyProtection="1"/>
    <xf numFmtId="164" fontId="2" fillId="0" borderId="0" xfId="0" applyNumberFormat="1" applyFont="1" applyFill="1" applyBorder="1" applyAlignment="1" applyProtection="1">
      <alignment horizontal="right"/>
    </xf>
    <xf numFmtId="0" fontId="2" fillId="0" borderId="0" xfId="0" applyNumberFormat="1" applyFont="1" applyFill="1" applyBorder="1" applyAlignment="1" applyProtection="1"/>
    <xf numFmtId="0" fontId="7" fillId="0" borderId="0" xfId="0" applyNumberFormat="1" applyFont="1" applyFill="1" applyBorder="1" applyAlignment="1" applyProtection="1"/>
    <xf numFmtId="1" fontId="2" fillId="0" borderId="0" xfId="0" applyNumberFormat="1" applyFont="1" applyFill="1" applyBorder="1" applyAlignment="1" applyProtection="1">
      <alignment horizontal="right"/>
    </xf>
    <xf numFmtId="49" fontId="7" fillId="0" borderId="7" xfId="0" applyNumberFormat="1" applyFont="1" applyFill="1" applyBorder="1" applyAlignment="1" applyProtection="1"/>
    <xf numFmtId="0" fontId="7" fillId="0" borderId="0" xfId="0" applyFont="1" applyFill="1" applyBorder="1" applyAlignment="1" applyProtection="1"/>
    <xf numFmtId="1" fontId="7" fillId="0" borderId="0" xfId="0" applyNumberFormat="1" applyFont="1" applyFill="1" applyBorder="1" applyAlignment="1" applyProtection="1">
      <alignment horizontal="center"/>
    </xf>
    <xf numFmtId="49" fontId="2" fillId="0" borderId="7" xfId="0" applyNumberFormat="1" applyFont="1" applyFill="1" applyBorder="1" applyAlignment="1" applyProtection="1">
      <alignment horizontal="right"/>
    </xf>
    <xf numFmtId="49" fontId="2" fillId="0" borderId="0" xfId="0" applyNumberFormat="1" applyFont="1" applyFill="1" applyBorder="1" applyAlignment="1" applyProtection="1">
      <alignment horizontal="right"/>
    </xf>
    <xf numFmtId="49" fontId="7" fillId="6" borderId="0" xfId="0" applyNumberFormat="1" applyFont="1" applyFill="1" applyBorder="1" applyAlignment="1" applyProtection="1">
      <alignment horizontal="left"/>
      <protection locked="0"/>
    </xf>
    <xf numFmtId="0" fontId="7" fillId="0" borderId="8" xfId="0" applyNumberFormat="1" applyFont="1" applyFill="1" applyBorder="1" applyAlignment="1" applyProtection="1"/>
    <xf numFmtId="0" fontId="7" fillId="0" borderId="8" xfId="0" applyFont="1" applyFill="1" applyBorder="1" applyAlignment="1" applyProtection="1"/>
    <xf numFmtId="49" fontId="2" fillId="0" borderId="10" xfId="0" applyNumberFormat="1" applyFont="1" applyFill="1" applyBorder="1" applyAlignment="1" applyProtection="1">
      <alignment horizontal="right"/>
    </xf>
    <xf numFmtId="49" fontId="2" fillId="0" borderId="11" xfId="0" applyNumberFormat="1" applyFont="1" applyFill="1" applyBorder="1" applyAlignment="1" applyProtection="1">
      <alignment horizontal="right"/>
    </xf>
    <xf numFmtId="164" fontId="7" fillId="0" borderId="11" xfId="0" applyNumberFormat="1" applyFont="1" applyFill="1" applyBorder="1" applyAlignment="1" applyProtection="1"/>
    <xf numFmtId="0" fontId="2" fillId="0" borderId="11" xfId="0" applyFont="1" applyFill="1" applyBorder="1" applyAlignment="1" applyProtection="1">
      <alignment horizontal="right"/>
    </xf>
    <xf numFmtId="1" fontId="7" fillId="0" borderId="11" xfId="0" applyNumberFormat="1" applyFont="1" applyFill="1" applyBorder="1" applyAlignment="1" applyProtection="1">
      <alignment horizontal="center"/>
    </xf>
    <xf numFmtId="0" fontId="7" fillId="0" borderId="13" xfId="0" applyFont="1" applyFill="1" applyBorder="1" applyAlignment="1" applyProtection="1"/>
    <xf numFmtId="0" fontId="7" fillId="0" borderId="20" xfId="0" applyFont="1" applyFill="1" applyBorder="1" applyAlignment="1" applyProtection="1"/>
    <xf numFmtId="1" fontId="7" fillId="6" borderId="0" xfId="0" applyNumberFormat="1" applyFont="1" applyFill="1" applyBorder="1" applyAlignment="1" applyProtection="1">
      <alignment horizontal="left"/>
      <protection locked="0"/>
    </xf>
    <xf numFmtId="172" fontId="4" fillId="0" borderId="0" xfId="0" applyNumberFormat="1" applyFont="1" applyFill="1" applyAlignment="1" applyProtection="1">
      <alignment horizontal="center"/>
    </xf>
    <xf numFmtId="164" fontId="4" fillId="0" borderId="0" xfId="0" applyNumberFormat="1" applyFont="1" applyFill="1" applyBorder="1" applyAlignment="1" applyProtection="1">
      <alignment horizontal="center"/>
    </xf>
    <xf numFmtId="0" fontId="4" fillId="0" borderId="0" xfId="0" applyNumberFormat="1" applyFont="1" applyFill="1" applyBorder="1" applyAlignment="1" applyProtection="1">
      <alignment horizontal="right"/>
    </xf>
    <xf numFmtId="172" fontId="4" fillId="0" borderId="0" xfId="0" applyNumberFormat="1" applyFont="1" applyFill="1" applyBorder="1" applyAlignment="1" applyProtection="1">
      <alignment horizontal="right"/>
    </xf>
    <xf numFmtId="0" fontId="4" fillId="0" borderId="28" xfId="0" applyFont="1" applyFill="1" applyBorder="1" applyAlignment="1" applyProtection="1">
      <alignment horizontal="center"/>
    </xf>
    <xf numFmtId="0" fontId="4" fillId="0" borderId="23" xfId="0" applyFont="1" applyFill="1" applyBorder="1" applyAlignment="1" applyProtection="1">
      <alignment horizontal="center"/>
    </xf>
    <xf numFmtId="0" fontId="4" fillId="0" borderId="14" xfId="0" applyFont="1" applyFill="1" applyBorder="1" applyAlignment="1" applyProtection="1">
      <alignment horizontal="center"/>
    </xf>
    <xf numFmtId="172" fontId="5" fillId="0" borderId="0" xfId="0" applyNumberFormat="1" applyFont="1" applyFill="1" applyAlignment="1" applyProtection="1">
      <alignment horizontal="right"/>
    </xf>
    <xf numFmtId="1" fontId="4" fillId="0" borderId="0" xfId="0" applyNumberFormat="1" applyFont="1" applyFill="1" applyBorder="1" applyAlignment="1" applyProtection="1">
      <alignment horizontal="left"/>
    </xf>
    <xf numFmtId="172" fontId="4" fillId="0" borderId="3" xfId="0" applyNumberFormat="1" applyFont="1" applyFill="1" applyBorder="1" applyAlignment="1" applyProtection="1">
      <alignment horizontal="center"/>
    </xf>
    <xf numFmtId="164" fontId="5" fillId="0" borderId="0" xfId="0" applyNumberFormat="1" applyFont="1" applyFill="1" applyBorder="1" applyAlignment="1" applyProtection="1">
      <alignment horizontal="right"/>
    </xf>
    <xf numFmtId="164" fontId="4" fillId="0" borderId="0" xfId="0" applyNumberFormat="1" applyFont="1" applyFill="1" applyBorder="1" applyAlignment="1" applyProtection="1">
      <alignment horizontal="center"/>
    </xf>
    <xf numFmtId="167" fontId="4" fillId="0" borderId="0" xfId="0" applyNumberFormat="1" applyFont="1" applyFill="1" applyBorder="1" applyAlignment="1" applyProtection="1">
      <alignment horizontal="left"/>
    </xf>
    <xf numFmtId="49" fontId="1" fillId="9" borderId="0" xfId="0" applyNumberFormat="1" applyFont="1" applyFill="1" applyBorder="1" applyAlignment="1">
      <alignment horizontal="left"/>
    </xf>
    <xf numFmtId="49" fontId="1" fillId="0" borderId="5" xfId="0" applyNumberFormat="1" applyFont="1" applyBorder="1" applyAlignment="1">
      <alignment horizontal="center"/>
    </xf>
    <xf numFmtId="49" fontId="1" fillId="6" borderId="28" xfId="0" applyNumberFormat="1" applyFont="1" applyFill="1" applyBorder="1" applyAlignment="1">
      <alignment horizontal="left"/>
    </xf>
    <xf numFmtId="49" fontId="1" fillId="6" borderId="37" xfId="0" applyNumberFormat="1" applyFont="1" applyFill="1" applyBorder="1" applyAlignment="1">
      <alignment horizontal="left"/>
    </xf>
    <xf numFmtId="49" fontId="1" fillId="0" borderId="6" xfId="0" applyNumberFormat="1" applyFont="1" applyBorder="1" applyAlignment="1">
      <alignment horizontal="center"/>
    </xf>
    <xf numFmtId="49" fontId="0" fillId="0" borderId="6" xfId="0" applyNumberFormat="1" applyBorder="1" applyAlignment="1">
      <alignment horizontal="center"/>
    </xf>
    <xf numFmtId="49" fontId="1" fillId="6" borderId="6" xfId="0" applyNumberFormat="1" applyFont="1" applyFill="1" applyBorder="1" applyAlignment="1">
      <alignment horizontal="left"/>
    </xf>
    <xf numFmtId="174" fontId="4" fillId="0" borderId="0" xfId="0" applyNumberFormat="1" applyFont="1" applyFill="1" applyAlignment="1" applyProtection="1"/>
    <xf numFmtId="46" fontId="4" fillId="0" borderId="0" xfId="0" applyNumberFormat="1" applyFont="1" applyFill="1" applyAlignment="1" applyProtection="1"/>
    <xf numFmtId="20" fontId="4" fillId="0" borderId="0" xfId="0" applyNumberFormat="1" applyFont="1" applyFill="1" applyAlignment="1" applyProtection="1"/>
    <xf numFmtId="0" fontId="1" fillId="0" borderId="0" xfId="0" applyFont="1"/>
    <xf numFmtId="0" fontId="6" fillId="0" borderId="0" xfId="0" applyFont="1" applyAlignment="1">
      <alignment horizontal="right"/>
    </xf>
    <xf numFmtId="0" fontId="0" fillId="0" borderId="0" xfId="0" applyFill="1" applyAlignment="1">
      <alignment vertical="center" wrapText="1"/>
    </xf>
    <xf numFmtId="0" fontId="6" fillId="0" borderId="0" xfId="0" applyFont="1" applyAlignment="1">
      <alignment horizontal="left"/>
    </xf>
    <xf numFmtId="0" fontId="43" fillId="0" borderId="0" xfId="0" applyFont="1"/>
    <xf numFmtId="0" fontId="43" fillId="0" borderId="0" xfId="0" applyFont="1" applyAlignment="1">
      <alignment horizontal="right"/>
    </xf>
    <xf numFmtId="0" fontId="5" fillId="0" borderId="0" xfId="0" applyNumberFormat="1" applyFont="1" applyFill="1" applyAlignment="1" applyProtection="1">
      <alignment horizontal="right"/>
    </xf>
    <xf numFmtId="164" fontId="4" fillId="0" borderId="0" xfId="0" applyNumberFormat="1" applyFont="1" applyFill="1" applyBorder="1" applyAlignment="1" applyProtection="1">
      <alignment horizontal="center"/>
    </xf>
    <xf numFmtId="164" fontId="5" fillId="0" borderId="0" xfId="0" applyNumberFormat="1" applyFont="1" applyFill="1" applyBorder="1" applyAlignment="1" applyProtection="1">
      <alignment horizontal="right"/>
    </xf>
    <xf numFmtId="0" fontId="2" fillId="0" borderId="14" xfId="0" applyFont="1" applyFill="1" applyBorder="1" applyAlignment="1" applyProtection="1">
      <alignment horizontal="center" vertical="center" wrapText="1"/>
    </xf>
    <xf numFmtId="49" fontId="42" fillId="0" borderId="71" xfId="0" applyNumberFormat="1" applyFont="1" applyFill="1" applyBorder="1" applyAlignment="1">
      <alignment horizontal="left"/>
    </xf>
    <xf numFmtId="0" fontId="4" fillId="0" borderId="0" xfId="0" applyFont="1" applyFill="1" applyBorder="1" applyAlignment="1" applyProtection="1">
      <alignment horizontal="center"/>
    </xf>
    <xf numFmtId="0" fontId="4" fillId="2" borderId="28" xfId="0" applyFont="1" applyFill="1" applyBorder="1" applyAlignment="1" applyProtection="1">
      <alignment horizontal="center"/>
    </xf>
    <xf numFmtId="0" fontId="4" fillId="0" borderId="23" xfId="0" applyFont="1" applyFill="1" applyBorder="1" applyAlignment="1" applyProtection="1"/>
    <xf numFmtId="0" fontId="4" fillId="2" borderId="14" xfId="0" applyFont="1" applyFill="1" applyBorder="1" applyAlignment="1" applyProtection="1">
      <alignment horizontal="center"/>
    </xf>
    <xf numFmtId="0" fontId="4" fillId="0" borderId="14" xfId="0" applyFont="1" applyFill="1" applyBorder="1" applyAlignment="1" applyProtection="1"/>
    <xf numFmtId="0" fontId="28" fillId="2" borderId="14" xfId="0" applyFont="1" applyFill="1" applyBorder="1" applyAlignment="1" applyProtection="1">
      <alignment horizontal="center"/>
    </xf>
    <xf numFmtId="0" fontId="28" fillId="0" borderId="14" xfId="0" applyFont="1" applyFill="1" applyBorder="1" applyAlignment="1" applyProtection="1">
      <alignment horizontal="center"/>
    </xf>
    <xf numFmtId="0" fontId="28" fillId="0" borderId="14" xfId="0" applyNumberFormat="1" applyFont="1" applyFill="1" applyBorder="1" applyAlignment="1" applyProtection="1"/>
    <xf numFmtId="172" fontId="0" fillId="0" borderId="0" xfId="0" applyNumberFormat="1" applyFill="1" applyProtection="1"/>
    <xf numFmtId="172" fontId="28" fillId="0" borderId="8" xfId="0" applyNumberFormat="1" applyFont="1" applyFill="1" applyBorder="1" applyAlignment="1" applyProtection="1"/>
    <xf numFmtId="172" fontId="4" fillId="0" borderId="8" xfId="0" applyNumberFormat="1" applyFont="1" applyFill="1" applyBorder="1" applyAlignment="1" applyProtection="1"/>
    <xf numFmtId="172" fontId="4" fillId="0" borderId="60" xfId="0" applyNumberFormat="1" applyFont="1" applyFill="1" applyBorder="1" applyAlignment="1" applyProtection="1"/>
    <xf numFmtId="172" fontId="4" fillId="0" borderId="32" xfId="0" applyNumberFormat="1" applyFont="1" applyFill="1" applyBorder="1" applyAlignment="1" applyProtection="1"/>
    <xf numFmtId="0" fontId="18" fillId="0" borderId="0" xfId="0" applyFont="1" applyFill="1" applyAlignment="1" applyProtection="1"/>
    <xf numFmtId="1" fontId="7" fillId="6" borderId="0" xfId="0" applyNumberFormat="1" applyFont="1" applyFill="1" applyBorder="1" applyAlignment="1" applyProtection="1">
      <alignment horizontal="right"/>
      <protection locked="0"/>
    </xf>
    <xf numFmtId="49" fontId="1" fillId="0" borderId="0" xfId="0" applyNumberFormat="1" applyFont="1" applyBorder="1" applyAlignment="1">
      <alignment horizontal="center"/>
    </xf>
    <xf numFmtId="49" fontId="1" fillId="0" borderId="0" xfId="0" applyNumberFormat="1" applyFont="1" applyFill="1" applyBorder="1" applyAlignment="1">
      <alignment horizontal="left"/>
    </xf>
    <xf numFmtId="49" fontId="1" fillId="0" borderId="0" xfId="0" applyNumberFormat="1" applyFont="1" applyFill="1" applyBorder="1" applyAlignment="1">
      <alignment horizontal="center"/>
    </xf>
    <xf numFmtId="49" fontId="0" fillId="0" borderId="0" xfId="0" applyNumberFormat="1" applyFill="1" applyBorder="1" applyAlignment="1">
      <alignment horizontal="center"/>
    </xf>
    <xf numFmtId="0" fontId="1" fillId="0" borderId="0" xfId="0" applyNumberFormat="1" applyFont="1" applyFill="1" applyBorder="1" applyAlignment="1">
      <alignment horizontal="center"/>
    </xf>
    <xf numFmtId="49" fontId="0" fillId="0" borderId="6" xfId="0" applyNumberFormat="1" applyBorder="1" applyAlignment="1"/>
    <xf numFmtId="49" fontId="1" fillId="14" borderId="5" xfId="0" applyNumberFormat="1" applyFont="1" applyFill="1" applyBorder="1" applyAlignment="1" applyProtection="1">
      <alignment horizontal="center"/>
    </xf>
    <xf numFmtId="172" fontId="4" fillId="6" borderId="6" xfId="0" applyNumberFormat="1" applyFont="1" applyFill="1" applyBorder="1" applyAlignment="1" applyProtection="1">
      <protection locked="0"/>
    </xf>
    <xf numFmtId="172" fontId="4" fillId="6" borderId="37" xfId="0" applyNumberFormat="1" applyFont="1" applyFill="1" applyBorder="1" applyAlignment="1" applyProtection="1">
      <protection locked="0"/>
    </xf>
    <xf numFmtId="172" fontId="4" fillId="6" borderId="5" xfId="0" applyNumberFormat="1" applyFont="1" applyFill="1" applyBorder="1" applyAlignment="1" applyProtection="1">
      <protection locked="0"/>
    </xf>
    <xf numFmtId="172" fontId="4" fillId="6" borderId="28" xfId="0" applyNumberFormat="1" applyFont="1" applyFill="1" applyBorder="1" applyAlignment="1" applyProtection="1">
      <protection locked="0"/>
    </xf>
    <xf numFmtId="172" fontId="4" fillId="6" borderId="4" xfId="0" applyNumberFormat="1" applyFont="1" applyFill="1" applyBorder="1" applyAlignment="1" applyProtection="1">
      <protection locked="0"/>
    </xf>
    <xf numFmtId="1" fontId="4" fillId="6" borderId="16" xfId="0" applyNumberFormat="1" applyFont="1" applyFill="1" applyBorder="1" applyAlignment="1" applyProtection="1">
      <alignment horizontal="center"/>
      <protection locked="0"/>
    </xf>
    <xf numFmtId="1" fontId="4" fillId="6" borderId="39" xfId="0" applyNumberFormat="1" applyFont="1" applyFill="1" applyBorder="1" applyAlignment="1" applyProtection="1">
      <alignment horizontal="center"/>
      <protection locked="0"/>
    </xf>
    <xf numFmtId="172" fontId="4" fillId="6" borderId="50" xfId="0" applyNumberFormat="1" applyFont="1" applyFill="1" applyBorder="1" applyAlignment="1" applyProtection="1">
      <protection locked="0"/>
    </xf>
    <xf numFmtId="172" fontId="4" fillId="6" borderId="49" xfId="0" applyNumberFormat="1" applyFont="1" applyFill="1" applyBorder="1" applyAlignment="1" applyProtection="1">
      <protection locked="0"/>
    </xf>
    <xf numFmtId="172" fontId="4" fillId="6" borderId="19" xfId="0" applyNumberFormat="1" applyFont="1" applyFill="1" applyBorder="1" applyAlignment="1" applyProtection="1">
      <protection locked="0"/>
    </xf>
    <xf numFmtId="172" fontId="4" fillId="6" borderId="21" xfId="0" applyNumberFormat="1" applyFont="1" applyFill="1" applyBorder="1" applyAlignment="1" applyProtection="1">
      <protection locked="0"/>
    </xf>
    <xf numFmtId="172" fontId="4" fillId="6" borderId="35" xfId="0" applyNumberFormat="1" applyFont="1" applyFill="1" applyBorder="1" applyAlignment="1" applyProtection="1">
      <protection locked="0"/>
    </xf>
    <xf numFmtId="172" fontId="4" fillId="6" borderId="52" xfId="0" applyNumberFormat="1" applyFont="1" applyFill="1" applyBorder="1" applyAlignment="1" applyProtection="1">
      <protection locked="0"/>
    </xf>
    <xf numFmtId="172" fontId="4" fillId="6" borderId="51" xfId="0" applyNumberFormat="1" applyFont="1" applyFill="1" applyBorder="1" applyAlignment="1" applyProtection="1">
      <protection locked="0"/>
    </xf>
    <xf numFmtId="172" fontId="4" fillId="6" borderId="57" xfId="0" applyNumberFormat="1" applyFont="1" applyFill="1" applyBorder="1" applyAlignment="1" applyProtection="1">
      <protection locked="0"/>
    </xf>
    <xf numFmtId="172" fontId="4" fillId="6" borderId="25" xfId="0" applyNumberFormat="1" applyFont="1" applyFill="1" applyBorder="1" applyAlignment="1" applyProtection="1">
      <protection locked="0"/>
    </xf>
    <xf numFmtId="172" fontId="4" fillId="0" borderId="5" xfId="0" applyNumberFormat="1" applyFont="1" applyFill="1" applyBorder="1"/>
    <xf numFmtId="172" fontId="4" fillId="0" borderId="0" xfId="0" applyNumberFormat="1" applyFont="1" applyFill="1"/>
    <xf numFmtId="172" fontId="4" fillId="6" borderId="62" xfId="0" applyNumberFormat="1" applyFont="1" applyFill="1" applyBorder="1" applyAlignment="1" applyProtection="1">
      <alignment horizontal="center"/>
      <protection locked="0"/>
    </xf>
    <xf numFmtId="172" fontId="4" fillId="6" borderId="37" xfId="0" applyNumberFormat="1" applyFont="1" applyFill="1" applyBorder="1" applyAlignment="1" applyProtection="1">
      <alignment horizontal="center"/>
      <protection locked="0"/>
    </xf>
    <xf numFmtId="1" fontId="4" fillId="6" borderId="55" xfId="0" applyNumberFormat="1" applyFont="1" applyFill="1" applyBorder="1" applyAlignment="1" applyProtection="1">
      <alignment horizontal="center"/>
      <protection locked="0"/>
    </xf>
    <xf numFmtId="1" fontId="4" fillId="6" borderId="58" xfId="0" applyNumberFormat="1" applyFont="1" applyFill="1" applyBorder="1" applyAlignment="1" applyProtection="1">
      <alignment horizontal="center"/>
      <protection locked="0"/>
    </xf>
    <xf numFmtId="1" fontId="4" fillId="6" borderId="36" xfId="0" applyNumberFormat="1" applyFont="1" applyFill="1" applyBorder="1" applyAlignment="1" applyProtection="1">
      <alignment horizontal="center"/>
      <protection locked="0"/>
    </xf>
    <xf numFmtId="1" fontId="4" fillId="6" borderId="25" xfId="0" applyNumberFormat="1" applyFont="1" applyFill="1" applyBorder="1" applyAlignment="1" applyProtection="1">
      <alignment horizontal="center"/>
      <protection locked="0"/>
    </xf>
    <xf numFmtId="1" fontId="4" fillId="6" borderId="38" xfId="0" applyNumberFormat="1" applyFont="1" applyFill="1" applyBorder="1" applyAlignment="1" applyProtection="1">
      <alignment horizontal="center"/>
      <protection locked="0"/>
    </xf>
    <xf numFmtId="1" fontId="4" fillId="6" borderId="21" xfId="0" applyNumberFormat="1" applyFont="1" applyFill="1" applyBorder="1" applyAlignment="1" applyProtection="1">
      <alignment horizontal="center"/>
      <protection locked="0"/>
    </xf>
    <xf numFmtId="0" fontId="1" fillId="0" borderId="0" xfId="0" applyNumberFormat="1" applyFont="1" applyBorder="1" applyAlignment="1"/>
    <xf numFmtId="49" fontId="0" fillId="0" borderId="0" xfId="0" applyNumberFormat="1" applyBorder="1" applyAlignment="1"/>
    <xf numFmtId="49" fontId="1" fillId="0" borderId="28" xfId="0" applyNumberFormat="1" applyFont="1" applyFill="1" applyBorder="1" applyAlignment="1">
      <alignment horizontal="left"/>
    </xf>
    <xf numFmtId="49" fontId="1" fillId="0" borderId="6" xfId="0" applyNumberFormat="1" applyFont="1" applyFill="1" applyBorder="1" applyAlignment="1">
      <alignment horizontal="left"/>
    </xf>
    <xf numFmtId="0" fontId="1" fillId="0" borderId="0" xfId="0" applyFont="1" applyFill="1" applyBorder="1" applyAlignment="1" applyProtection="1"/>
    <xf numFmtId="49" fontId="6" fillId="0" borderId="0" xfId="0" applyNumberFormat="1" applyFont="1" applyFill="1" applyBorder="1" applyAlignment="1" applyProtection="1">
      <alignment horizontal="right"/>
    </xf>
    <xf numFmtId="0" fontId="1" fillId="0" borderId="0" xfId="0" applyFont="1" applyFill="1" applyBorder="1"/>
    <xf numFmtId="0" fontId="0" fillId="0" borderId="0" xfId="0" applyNumberFormat="1" applyBorder="1"/>
    <xf numFmtId="0" fontId="0" fillId="0" borderId="0" xfId="0" applyNumberFormat="1" applyFill="1" applyBorder="1"/>
    <xf numFmtId="0" fontId="6" fillId="0" borderId="0" xfId="0" applyFont="1" applyFill="1" applyBorder="1"/>
    <xf numFmtId="0" fontId="1" fillId="0" borderId="6" xfId="0" applyFont="1" applyFill="1" applyBorder="1"/>
    <xf numFmtId="0" fontId="1" fillId="0" borderId="0" xfId="0" applyNumberFormat="1" applyFont="1" applyFill="1" applyBorder="1"/>
    <xf numFmtId="175" fontId="1" fillId="0" borderId="0" xfId="0" applyNumberFormat="1" applyFont="1" applyFill="1" applyBorder="1"/>
    <xf numFmtId="49" fontId="1" fillId="0" borderId="0" xfId="0" applyNumberFormat="1" applyFont="1" applyFill="1" applyBorder="1"/>
    <xf numFmtId="49" fontId="1" fillId="0" borderId="0" xfId="0" applyNumberFormat="1" applyFont="1" applyFill="1" applyBorder="1" applyAlignment="1" applyProtection="1">
      <alignment horizontal="left"/>
    </xf>
    <xf numFmtId="49" fontId="1" fillId="0" borderId="0" xfId="0" applyNumberFormat="1" applyFont="1" applyFill="1" applyBorder="1" applyAlignment="1" applyProtection="1"/>
    <xf numFmtId="49" fontId="42" fillId="0" borderId="73" xfId="0" applyNumberFormat="1" applyFont="1" applyFill="1" applyBorder="1" applyAlignment="1">
      <alignment horizontal="left"/>
    </xf>
    <xf numFmtId="0" fontId="42" fillId="0" borderId="73" xfId="0" applyFont="1" applyBorder="1"/>
    <xf numFmtId="0" fontId="41" fillId="0" borderId="74" xfId="0" applyFont="1" applyBorder="1" applyAlignment="1">
      <alignment horizontal="left"/>
    </xf>
    <xf numFmtId="0" fontId="42" fillId="0" borderId="75" xfId="0" applyFont="1" applyBorder="1"/>
    <xf numFmtId="0" fontId="1" fillId="0" borderId="32" xfId="0" applyFont="1" applyFill="1" applyBorder="1" applyAlignment="1">
      <alignment horizontal="left"/>
    </xf>
    <xf numFmtId="49" fontId="1" fillId="0" borderId="33" xfId="0" applyNumberFormat="1" applyFont="1" applyFill="1" applyBorder="1" applyAlignment="1">
      <alignment horizontal="left"/>
    </xf>
    <xf numFmtId="0" fontId="1" fillId="0" borderId="28" xfId="0" applyFont="1" applyFill="1" applyBorder="1" applyAlignment="1">
      <alignment horizontal="left"/>
    </xf>
    <xf numFmtId="49" fontId="1" fillId="0" borderId="28" xfId="0" applyNumberFormat="1" applyFont="1" applyFill="1" applyBorder="1" applyAlignment="1" applyProtection="1"/>
    <xf numFmtId="49" fontId="1" fillId="0" borderId="6" xfId="0" applyNumberFormat="1" applyFont="1" applyFill="1" applyBorder="1" applyAlignment="1" applyProtection="1"/>
    <xf numFmtId="49" fontId="6" fillId="0" borderId="28" xfId="0" applyNumberFormat="1" applyFont="1" applyFill="1" applyBorder="1" applyAlignment="1">
      <alignment horizontal="left"/>
    </xf>
    <xf numFmtId="49" fontId="6" fillId="0" borderId="6" xfId="0" applyNumberFormat="1" applyFont="1" applyFill="1" applyBorder="1" applyAlignment="1">
      <alignment horizontal="left"/>
    </xf>
    <xf numFmtId="0" fontId="1" fillId="0" borderId="6" xfId="0" applyFont="1" applyFill="1" applyBorder="1" applyAlignment="1">
      <alignment horizontal="left"/>
    </xf>
    <xf numFmtId="0" fontId="1" fillId="0" borderId="28" xfId="0" applyFont="1" applyFill="1" applyBorder="1" applyAlignment="1"/>
    <xf numFmtId="0" fontId="1" fillId="0" borderId="6" xfId="0" applyFont="1" applyFill="1" applyBorder="1" applyAlignment="1"/>
    <xf numFmtId="49" fontId="1" fillId="0" borderId="28" xfId="0" applyNumberFormat="1" applyFont="1" applyFill="1" applyBorder="1" applyAlignment="1" applyProtection="1">
      <alignment horizontal="left"/>
    </xf>
    <xf numFmtId="0" fontId="0" fillId="0" borderId="28" xfId="0" applyBorder="1"/>
    <xf numFmtId="0" fontId="0" fillId="0" borderId="6" xfId="0" applyBorder="1"/>
    <xf numFmtId="49" fontId="6" fillId="0" borderId="34" xfId="0" applyNumberFormat="1" applyFont="1" applyBorder="1" applyAlignment="1">
      <alignment horizontal="center"/>
    </xf>
    <xf numFmtId="49" fontId="6" fillId="0" borderId="35" xfId="0" applyNumberFormat="1" applyFont="1" applyBorder="1" applyAlignment="1">
      <alignment horizontal="center"/>
    </xf>
    <xf numFmtId="0" fontId="1" fillId="0" borderId="28" xfId="0" applyNumberFormat="1" applyFont="1" applyFill="1" applyBorder="1" applyAlignment="1"/>
    <xf numFmtId="49" fontId="1" fillId="0" borderId="6" xfId="0" applyNumberFormat="1" applyFont="1" applyFill="1" applyBorder="1" applyAlignment="1"/>
    <xf numFmtId="0" fontId="6" fillId="0" borderId="28" xfId="0" applyNumberFormat="1" applyFont="1" applyBorder="1" applyAlignment="1"/>
    <xf numFmtId="0" fontId="16" fillId="0" borderId="0" xfId="0" applyNumberFormat="1" applyFont="1" applyFill="1" applyBorder="1" applyAlignment="1" applyProtection="1">
      <alignment vertical="center"/>
    </xf>
    <xf numFmtId="0" fontId="1" fillId="0" borderId="30" xfId="0" applyFont="1" applyFill="1" applyBorder="1"/>
    <xf numFmtId="0" fontId="1" fillId="0" borderId="28" xfId="0" applyFont="1" applyBorder="1"/>
    <xf numFmtId="0" fontId="1" fillId="0" borderId="30" xfId="0" applyNumberFormat="1" applyFont="1" applyFill="1" applyBorder="1" applyAlignment="1">
      <alignment horizontal="left"/>
    </xf>
    <xf numFmtId="0" fontId="1" fillId="0" borderId="28" xfId="0" applyFont="1" applyFill="1" applyBorder="1"/>
    <xf numFmtId="14" fontId="4" fillId="0" borderId="0" xfId="0" applyNumberFormat="1" applyFont="1" applyFill="1" applyAlignment="1" applyProtection="1">
      <alignment vertical="center"/>
    </xf>
    <xf numFmtId="0" fontId="4" fillId="0" borderId="36" xfId="0" applyNumberFormat="1" applyFont="1" applyFill="1" applyBorder="1" applyAlignment="1" applyProtection="1">
      <alignment horizontal="center"/>
    </xf>
    <xf numFmtId="0" fontId="1" fillId="0" borderId="5" xfId="0" applyFont="1" applyBorder="1" applyAlignment="1"/>
    <xf numFmtId="49" fontId="1" fillId="8" borderId="0" xfId="0" applyNumberFormat="1" applyFont="1" applyFill="1" applyBorder="1" applyAlignment="1">
      <alignment horizontal="center"/>
    </xf>
    <xf numFmtId="49" fontId="1" fillId="0" borderId="1" xfId="0" applyNumberFormat="1" applyFont="1" applyFill="1" applyBorder="1" applyAlignment="1">
      <alignment horizontal="left"/>
    </xf>
    <xf numFmtId="49" fontId="0" fillId="0" borderId="33" xfId="0" applyNumberFormat="1" applyBorder="1" applyAlignment="1"/>
    <xf numFmtId="1" fontId="4" fillId="6" borderId="60" xfId="0" applyNumberFormat="1" applyFont="1" applyFill="1" applyBorder="1" applyAlignment="1" applyProtection="1">
      <alignment horizontal="center"/>
      <protection locked="0"/>
    </xf>
    <xf numFmtId="166" fontId="13" fillId="0" borderId="1" xfId="0" applyNumberFormat="1" applyFont="1" applyFill="1" applyBorder="1" applyAlignment="1" applyProtection="1">
      <alignment vertical="center"/>
    </xf>
    <xf numFmtId="164" fontId="4" fillId="6" borderId="0" xfId="0" applyNumberFormat="1" applyFont="1" applyFill="1" applyAlignment="1" applyProtection="1">
      <alignment vertical="center"/>
    </xf>
    <xf numFmtId="0" fontId="0" fillId="6" borderId="0" xfId="0" applyFill="1" applyAlignment="1"/>
    <xf numFmtId="172" fontId="4" fillId="0" borderId="50" xfId="0" applyNumberFormat="1" applyFont="1" applyFill="1" applyBorder="1" applyAlignment="1" applyProtection="1">
      <protection locked="0"/>
    </xf>
    <xf numFmtId="172" fontId="4" fillId="0" borderId="49" xfId="0" applyNumberFormat="1" applyFont="1" applyFill="1" applyBorder="1" applyAlignment="1" applyProtection="1">
      <protection locked="0"/>
    </xf>
    <xf numFmtId="172" fontId="4" fillId="0" borderId="19" xfId="0" applyNumberFormat="1" applyFont="1" applyFill="1" applyBorder="1" applyAlignment="1" applyProtection="1">
      <protection locked="0"/>
    </xf>
    <xf numFmtId="172" fontId="4" fillId="0" borderId="21" xfId="0" applyNumberFormat="1" applyFont="1" applyFill="1" applyBorder="1" applyAlignment="1" applyProtection="1">
      <protection locked="0"/>
    </xf>
    <xf numFmtId="172" fontId="1" fillId="0" borderId="0" xfId="0" applyNumberFormat="1" applyFont="1" applyFill="1"/>
    <xf numFmtId="172" fontId="4" fillId="6" borderId="2" xfId="0" applyNumberFormat="1" applyFont="1" applyFill="1" applyBorder="1" applyAlignment="1" applyProtection="1">
      <protection locked="0"/>
    </xf>
    <xf numFmtId="176" fontId="18" fillId="0" borderId="0" xfId="0" applyNumberFormat="1" applyFont="1" applyBorder="1" applyAlignment="1" applyProtection="1">
      <alignment horizontal="left"/>
    </xf>
    <xf numFmtId="1" fontId="18" fillId="0" borderId="0" xfId="0" applyNumberFormat="1" applyFont="1" applyBorder="1" applyProtection="1"/>
    <xf numFmtId="1" fontId="0" fillId="0" borderId="0" xfId="0" applyNumberFormat="1" applyBorder="1" applyProtection="1"/>
    <xf numFmtId="0" fontId="1" fillId="0" borderId="0" xfId="0" applyNumberFormat="1" applyFont="1" applyFill="1" applyBorder="1" applyAlignment="1">
      <alignment horizontal="left"/>
    </xf>
    <xf numFmtId="171" fontId="4" fillId="0" borderId="0" xfId="0" applyNumberFormat="1" applyFont="1" applyFill="1" applyBorder="1" applyAlignment="1" applyProtection="1">
      <alignment horizontal="right"/>
    </xf>
    <xf numFmtId="0" fontId="5" fillId="9" borderId="34" xfId="0" applyFont="1" applyFill="1" applyBorder="1" applyAlignment="1" applyProtection="1"/>
    <xf numFmtId="0" fontId="5" fillId="0" borderId="2" xfId="0" applyFont="1" applyFill="1" applyBorder="1" applyAlignment="1" applyProtection="1"/>
    <xf numFmtId="0" fontId="5" fillId="0" borderId="35" xfId="0" applyFont="1" applyFill="1" applyBorder="1" applyAlignment="1" applyProtection="1"/>
    <xf numFmtId="0" fontId="5" fillId="9" borderId="28" xfId="0" applyFont="1" applyFill="1" applyBorder="1" applyAlignment="1" applyProtection="1">
      <alignment horizontal="center"/>
    </xf>
    <xf numFmtId="0" fontId="4" fillId="0" borderId="37" xfId="0" applyFont="1" applyFill="1" applyBorder="1" applyAlignment="1" applyProtection="1"/>
    <xf numFmtId="0" fontId="5" fillId="0" borderId="6" xfId="0" applyFont="1" applyFill="1" applyBorder="1" applyAlignment="1" applyProtection="1">
      <alignment horizontal="center"/>
    </xf>
    <xf numFmtId="0" fontId="4" fillId="0" borderId="6" xfId="0" applyFont="1" applyFill="1" applyBorder="1" applyAlignment="1" applyProtection="1"/>
    <xf numFmtId="0" fontId="2" fillId="9" borderId="28" xfId="0" applyFont="1" applyFill="1" applyBorder="1" applyAlignment="1" applyProtection="1">
      <alignment horizontal="center"/>
    </xf>
    <xf numFmtId="172" fontId="5" fillId="0" borderId="37" xfId="0" applyNumberFormat="1" applyFont="1" applyFill="1" applyBorder="1" applyAlignment="1" applyProtection="1">
      <alignment horizontal="center"/>
    </xf>
    <xf numFmtId="0" fontId="4" fillId="0" borderId="37" xfId="0" applyFont="1" applyFill="1" applyBorder="1" applyAlignment="1" applyProtection="1">
      <alignment horizontal="center"/>
    </xf>
    <xf numFmtId="174" fontId="5" fillId="0" borderId="37" xfId="0" applyNumberFormat="1" applyFont="1" applyFill="1" applyBorder="1" applyAlignment="1" applyProtection="1">
      <alignment horizontal="center"/>
    </xf>
    <xf numFmtId="0" fontId="4" fillId="0" borderId="37" xfId="0" applyFont="1" applyFill="1" applyBorder="1" applyAlignment="1" applyProtection="1">
      <alignment horizontal="left"/>
    </xf>
    <xf numFmtId="0" fontId="1" fillId="0" borderId="0" xfId="0" applyFont="1" applyAlignment="1">
      <alignment vertical="center"/>
    </xf>
    <xf numFmtId="49" fontId="1" fillId="0" borderId="37" xfId="0" applyNumberFormat="1" applyFont="1" applyFill="1" applyBorder="1" applyAlignment="1">
      <alignment horizontal="left"/>
    </xf>
    <xf numFmtId="49" fontId="0" fillId="0" borderId="6" xfId="0" applyNumberFormat="1" applyFill="1" applyBorder="1" applyAlignment="1">
      <alignment horizontal="center"/>
    </xf>
    <xf numFmtId="0" fontId="7" fillId="0" borderId="14" xfId="0" applyFont="1" applyFill="1" applyBorder="1" applyAlignment="1" applyProtection="1">
      <alignment horizontal="center"/>
    </xf>
    <xf numFmtId="0" fontId="44" fillId="0" borderId="0" xfId="0" applyFont="1" applyFill="1" applyBorder="1" applyProtection="1"/>
    <xf numFmtId="0" fontId="1" fillId="0" borderId="0" xfId="0" applyFont="1" applyFill="1" applyAlignment="1">
      <alignment vertical="center"/>
    </xf>
    <xf numFmtId="1" fontId="6" fillId="0" borderId="0" xfId="0" applyNumberFormat="1" applyFont="1"/>
    <xf numFmtId="170" fontId="5" fillId="0" borderId="12" xfId="0" applyNumberFormat="1" applyFont="1" applyFill="1" applyBorder="1" applyAlignment="1" applyProtection="1">
      <alignment horizontal="right"/>
    </xf>
    <xf numFmtId="2" fontId="45" fillId="0" borderId="7" xfId="0" applyNumberFormat="1" applyFont="1" applyFill="1" applyBorder="1" applyAlignment="1" applyProtection="1"/>
    <xf numFmtId="49" fontId="7" fillId="6" borderId="26" xfId="0" applyNumberFormat="1" applyFont="1" applyFill="1" applyBorder="1" applyAlignment="1" applyProtection="1">
      <alignment horizontal="right"/>
      <protection locked="0"/>
    </xf>
    <xf numFmtId="164" fontId="7" fillId="6" borderId="26" xfId="0" applyNumberFormat="1" applyFont="1" applyFill="1" applyBorder="1" applyAlignment="1" applyProtection="1">
      <alignment horizontal="right"/>
      <protection locked="0"/>
    </xf>
    <xf numFmtId="0" fontId="7" fillId="9" borderId="11" xfId="0" applyFont="1" applyFill="1" applyBorder="1" applyProtection="1"/>
    <xf numFmtId="0" fontId="7" fillId="9" borderId="12" xfId="0" applyFont="1" applyFill="1" applyBorder="1" applyProtection="1"/>
    <xf numFmtId="0" fontId="7" fillId="9" borderId="7" xfId="0" applyFont="1" applyFill="1" applyBorder="1" applyProtection="1"/>
    <xf numFmtId="0" fontId="7" fillId="9" borderId="0" xfId="0" applyFont="1" applyFill="1" applyProtection="1"/>
    <xf numFmtId="49" fontId="7" fillId="0" borderId="0" xfId="0" applyNumberFormat="1" applyFont="1" applyFill="1" applyBorder="1" applyAlignment="1" applyProtection="1">
      <alignment horizontal="left"/>
    </xf>
    <xf numFmtId="14" fontId="7" fillId="0" borderId="0" xfId="0" applyNumberFormat="1" applyFont="1" applyFill="1" applyBorder="1" applyAlignment="1" applyProtection="1">
      <alignment horizontal="left"/>
    </xf>
    <xf numFmtId="49" fontId="7" fillId="0" borderId="11" xfId="0" applyNumberFormat="1" applyFont="1" applyFill="1" applyBorder="1" applyAlignment="1" applyProtection="1">
      <alignment horizontal="left"/>
    </xf>
    <xf numFmtId="14" fontId="7" fillId="0" borderId="11" xfId="0" applyNumberFormat="1" applyFont="1" applyFill="1" applyBorder="1" applyAlignment="1" applyProtection="1">
      <alignment horizontal="left"/>
    </xf>
    <xf numFmtId="0" fontId="7" fillId="0" borderId="11" xfId="0" applyFont="1" applyFill="1" applyBorder="1" applyAlignment="1" applyProtection="1">
      <alignment vertical="top" wrapText="1"/>
    </xf>
    <xf numFmtId="0" fontId="7" fillId="0" borderId="11" xfId="0" applyFont="1" applyBorder="1" applyAlignment="1" applyProtection="1">
      <alignment vertical="top" wrapText="1"/>
    </xf>
    <xf numFmtId="0" fontId="7" fillId="9" borderId="0" xfId="0" applyFont="1" applyFill="1" applyBorder="1" applyProtection="1"/>
    <xf numFmtId="0" fontId="7" fillId="9" borderId="0" xfId="0" applyFont="1" applyFill="1" applyAlignment="1" applyProtection="1">
      <alignment horizontal="right"/>
    </xf>
    <xf numFmtId="0" fontId="7" fillId="9" borderId="0" xfId="0" applyNumberFormat="1" applyFont="1" applyFill="1" applyAlignment="1" applyProtection="1">
      <alignment horizontal="right"/>
    </xf>
    <xf numFmtId="0" fontId="2" fillId="9" borderId="14" xfId="0" applyFont="1" applyFill="1" applyBorder="1" applyAlignment="1" applyProtection="1">
      <alignment horizontal="center"/>
    </xf>
    <xf numFmtId="0" fontId="7" fillId="9" borderId="7" xfId="0" applyNumberFormat="1" applyFont="1" applyFill="1" applyBorder="1" applyProtection="1"/>
    <xf numFmtId="0" fontId="2" fillId="9" borderId="10" xfId="0" applyFont="1" applyFill="1" applyBorder="1" applyProtection="1"/>
    <xf numFmtId="0" fontId="2" fillId="9" borderId="11" xfId="0" applyFont="1" applyFill="1" applyBorder="1" applyAlignment="1" applyProtection="1">
      <alignment horizontal="right"/>
    </xf>
    <xf numFmtId="0" fontId="7" fillId="9" borderId="13" xfId="0" applyFont="1" applyFill="1" applyBorder="1" applyProtection="1"/>
    <xf numFmtId="0" fontId="7" fillId="9" borderId="14" xfId="0" applyFont="1" applyFill="1" applyBorder="1" applyProtection="1"/>
    <xf numFmtId="0" fontId="7" fillId="9" borderId="0" xfId="0" applyFont="1" applyFill="1" applyBorder="1" applyAlignment="1" applyProtection="1">
      <alignment horizontal="right"/>
    </xf>
    <xf numFmtId="0" fontId="2" fillId="9" borderId="7" xfId="0" applyFont="1" applyFill="1" applyBorder="1" applyProtection="1"/>
    <xf numFmtId="172" fontId="2" fillId="9" borderId="0" xfId="0" applyNumberFormat="1" applyFont="1" applyFill="1" applyBorder="1" applyProtection="1"/>
    <xf numFmtId="172" fontId="2" fillId="9" borderId="14" xfId="0" applyNumberFormat="1" applyFont="1" applyFill="1" applyBorder="1" applyProtection="1"/>
    <xf numFmtId="0" fontId="7" fillId="9" borderId="53" xfId="0" applyFont="1" applyFill="1" applyBorder="1" applyProtection="1"/>
    <xf numFmtId="0" fontId="7" fillId="9" borderId="2" xfId="0" applyFont="1" applyFill="1" applyBorder="1" applyProtection="1"/>
    <xf numFmtId="172" fontId="7" fillId="9" borderId="2" xfId="0" applyNumberFormat="1" applyFont="1" applyFill="1" applyBorder="1" applyProtection="1"/>
    <xf numFmtId="172" fontId="7" fillId="9" borderId="39" xfId="0" applyNumberFormat="1" applyFont="1" applyFill="1" applyBorder="1" applyProtection="1"/>
    <xf numFmtId="172" fontId="7" fillId="9" borderId="0" xfId="0" applyNumberFormat="1" applyFont="1" applyFill="1" applyProtection="1"/>
    <xf numFmtId="172" fontId="7" fillId="9" borderId="0" xfId="0" applyNumberFormat="1" applyFont="1" applyFill="1" applyBorder="1" applyProtection="1"/>
    <xf numFmtId="172" fontId="7" fillId="9" borderId="14" xfId="0" applyNumberFormat="1" applyFont="1" applyFill="1" applyBorder="1" applyProtection="1"/>
    <xf numFmtId="0" fontId="7" fillId="9" borderId="15" xfId="0" applyNumberFormat="1" applyFont="1" applyFill="1" applyBorder="1" applyProtection="1"/>
    <xf numFmtId="0" fontId="7" fillId="9" borderId="1" xfId="0" applyFont="1" applyFill="1" applyBorder="1" applyProtection="1"/>
    <xf numFmtId="172" fontId="7" fillId="9" borderId="1" xfId="0" applyNumberFormat="1" applyFont="1" applyFill="1" applyBorder="1" applyProtection="1"/>
    <xf numFmtId="172" fontId="7" fillId="9" borderId="55" xfId="0" applyNumberFormat="1" applyFont="1" applyFill="1" applyBorder="1" applyProtection="1"/>
    <xf numFmtId="0" fontId="2" fillId="9" borderId="7" xfId="0" applyNumberFormat="1" applyFont="1" applyFill="1" applyBorder="1" applyProtection="1"/>
    <xf numFmtId="0" fontId="2" fillId="9" borderId="38" xfId="0" applyFont="1" applyFill="1" applyBorder="1" applyProtection="1"/>
    <xf numFmtId="0" fontId="7" fillId="9" borderId="3" xfId="0" applyFont="1" applyFill="1" applyBorder="1" applyProtection="1"/>
    <xf numFmtId="172" fontId="2" fillId="9" borderId="3" xfId="0" applyNumberFormat="1" applyFont="1" applyFill="1" applyBorder="1" applyProtection="1"/>
    <xf numFmtId="172" fontId="2" fillId="9" borderId="63" xfId="0" applyNumberFormat="1" applyFont="1" applyFill="1" applyBorder="1" applyProtection="1"/>
    <xf numFmtId="172" fontId="2" fillId="9" borderId="14" xfId="0" applyNumberFormat="1" applyFont="1" applyFill="1" applyBorder="1" applyAlignment="1" applyProtection="1">
      <alignment horizontal="right"/>
    </xf>
    <xf numFmtId="172" fontId="7" fillId="9" borderId="39" xfId="0" applyNumberFormat="1" applyFont="1" applyFill="1" applyBorder="1" applyAlignment="1" applyProtection="1">
      <alignment horizontal="right"/>
    </xf>
    <xf numFmtId="0" fontId="7" fillId="9" borderId="15" xfId="0" applyFont="1" applyFill="1" applyBorder="1" applyProtection="1"/>
    <xf numFmtId="172" fontId="7" fillId="9" borderId="55" xfId="0" applyNumberFormat="1" applyFont="1" applyFill="1" applyBorder="1" applyAlignment="1" applyProtection="1">
      <alignment horizontal="right"/>
    </xf>
    <xf numFmtId="0" fontId="2" fillId="9" borderId="27" xfId="0" applyFont="1" applyFill="1" applyBorder="1" applyProtection="1"/>
    <xf numFmtId="0" fontId="7" fillId="9" borderId="26" xfId="0" applyFont="1" applyFill="1" applyBorder="1" applyProtection="1"/>
    <xf numFmtId="172" fontId="2" fillId="9" borderId="26" xfId="0" applyNumberFormat="1" applyFont="1" applyFill="1" applyBorder="1" applyProtection="1"/>
    <xf numFmtId="0" fontId="7" fillId="9" borderId="36" xfId="0" applyFont="1" applyFill="1" applyBorder="1" applyProtection="1"/>
    <xf numFmtId="0" fontId="7" fillId="9" borderId="37" xfId="0" applyFont="1" applyFill="1" applyBorder="1" applyProtection="1"/>
    <xf numFmtId="172" fontId="7" fillId="9" borderId="37" xfId="0" applyNumberFormat="1" applyFont="1" applyFill="1" applyBorder="1" applyProtection="1"/>
    <xf numFmtId="172" fontId="7" fillId="9" borderId="16" xfId="0" applyNumberFormat="1" applyFont="1" applyFill="1" applyBorder="1" applyAlignment="1" applyProtection="1">
      <alignment horizontal="right"/>
    </xf>
    <xf numFmtId="172" fontId="2" fillId="9" borderId="20" xfId="0" applyNumberFormat="1" applyFont="1" applyFill="1" applyBorder="1" applyAlignment="1" applyProtection="1">
      <alignment horizontal="right"/>
    </xf>
    <xf numFmtId="0" fontId="7" fillId="10" borderId="7" xfId="0" applyFont="1" applyFill="1" applyBorder="1" applyProtection="1"/>
    <xf numFmtId="0" fontId="7" fillId="10" borderId="0" xfId="0" applyFont="1" applyFill="1" applyBorder="1" applyProtection="1"/>
    <xf numFmtId="172" fontId="7" fillId="10" borderId="0" xfId="0" applyNumberFormat="1" applyFont="1" applyFill="1" applyBorder="1" applyProtection="1"/>
    <xf numFmtId="172" fontId="2" fillId="10" borderId="14" xfId="0" applyNumberFormat="1" applyFont="1" applyFill="1" applyBorder="1" applyProtection="1"/>
    <xf numFmtId="0" fontId="7" fillId="0" borderId="7" xfId="0" applyFont="1" applyFill="1" applyBorder="1" applyProtection="1"/>
    <xf numFmtId="0" fontId="7" fillId="0" borderId="0" xfId="0" applyFont="1" applyFill="1" applyBorder="1" applyProtection="1"/>
    <xf numFmtId="172" fontId="7" fillId="0" borderId="0" xfId="0" applyNumberFormat="1" applyFont="1" applyFill="1" applyBorder="1" applyProtection="1"/>
    <xf numFmtId="0" fontId="7" fillId="15" borderId="7" xfId="0" applyFont="1" applyFill="1" applyBorder="1" applyProtection="1"/>
    <xf numFmtId="173" fontId="4" fillId="3" borderId="0" xfId="0" applyNumberFormat="1" applyFont="1" applyFill="1" applyBorder="1" applyAlignment="1" applyProtection="1">
      <alignment horizontal="left" vertical="center"/>
    </xf>
    <xf numFmtId="49" fontId="42" fillId="0" borderId="77" xfId="0" applyNumberFormat="1" applyFont="1" applyFill="1" applyBorder="1" applyAlignment="1">
      <alignment horizontal="left"/>
    </xf>
    <xf numFmtId="0" fontId="42" fillId="0" borderId="76" xfId="0" applyFont="1" applyBorder="1"/>
    <xf numFmtId="172" fontId="4" fillId="6" borderId="2" xfId="0" applyNumberFormat="1" applyFont="1" applyFill="1" applyBorder="1" applyAlignment="1" applyProtection="1">
      <alignment horizontal="center"/>
      <protection locked="0"/>
    </xf>
    <xf numFmtId="172" fontId="4" fillId="0" borderId="2" xfId="0" applyNumberFormat="1" applyFont="1" applyFill="1" applyBorder="1" applyAlignment="1" applyProtection="1">
      <alignment horizontal="center"/>
      <protection locked="0"/>
    </xf>
    <xf numFmtId="172" fontId="4" fillId="6" borderId="34" xfId="0" applyNumberFormat="1" applyFont="1" applyFill="1" applyBorder="1" applyAlignment="1" applyProtection="1">
      <protection locked="0"/>
    </xf>
    <xf numFmtId="172" fontId="4" fillId="6" borderId="3" xfId="0" applyNumberFormat="1" applyFont="1" applyFill="1" applyBorder="1" applyAlignment="1" applyProtection="1">
      <protection locked="0"/>
    </xf>
    <xf numFmtId="172" fontId="4" fillId="6" borderId="23" xfId="0" applyNumberFormat="1" applyFont="1" applyFill="1" applyBorder="1" applyAlignment="1" applyProtection="1">
      <protection locked="0"/>
    </xf>
    <xf numFmtId="172" fontId="31" fillId="0" borderId="0" xfId="0" applyNumberFormat="1" applyFont="1" applyFill="1" applyBorder="1" applyAlignment="1" applyProtection="1">
      <alignment horizontal="right"/>
    </xf>
    <xf numFmtId="0" fontId="31" fillId="0" borderId="0" xfId="0" applyFont="1" applyFill="1" applyAlignment="1" applyProtection="1">
      <alignment horizontal="right"/>
    </xf>
    <xf numFmtId="174" fontId="31" fillId="0" borderId="0" xfId="0" applyNumberFormat="1" applyFont="1" applyFill="1" applyBorder="1" applyAlignment="1" applyProtection="1">
      <alignment horizontal="center"/>
    </xf>
    <xf numFmtId="164" fontId="31" fillId="0" borderId="0" xfId="0" applyNumberFormat="1" applyFont="1" applyFill="1" applyAlignment="1" applyProtection="1"/>
    <xf numFmtId="1" fontId="31" fillId="9" borderId="0" xfId="0" applyNumberFormat="1" applyFont="1" applyFill="1" applyBorder="1" applyAlignment="1" applyProtection="1"/>
    <xf numFmtId="174" fontId="31" fillId="0" borderId="0" xfId="0" applyNumberFormat="1" applyFont="1" applyFill="1" applyAlignment="1" applyProtection="1"/>
    <xf numFmtId="0" fontId="31" fillId="0" borderId="0" xfId="0" applyFont="1" applyFill="1" applyBorder="1" applyAlignment="1" applyProtection="1"/>
    <xf numFmtId="0" fontId="7" fillId="0" borderId="11" xfId="0" applyNumberFormat="1" applyFont="1" applyFill="1" applyBorder="1" applyAlignment="1" applyProtection="1">
      <alignment horizontal="left"/>
    </xf>
    <xf numFmtId="172" fontId="7" fillId="0" borderId="11" xfId="0" applyNumberFormat="1" applyFont="1" applyFill="1" applyBorder="1" applyAlignment="1" applyProtection="1">
      <alignment horizontal="right"/>
    </xf>
    <xf numFmtId="0" fontId="0" fillId="0" borderId="11" xfId="0" applyFill="1" applyBorder="1" applyProtection="1"/>
    <xf numFmtId="0" fontId="17" fillId="0" borderId="11" xfId="0" applyFont="1" applyFill="1" applyBorder="1" applyProtection="1"/>
    <xf numFmtId="172" fontId="17" fillId="0" borderId="11" xfId="0" applyNumberFormat="1" applyFont="1" applyFill="1" applyBorder="1" applyProtection="1"/>
    <xf numFmtId="49" fontId="6" fillId="0" borderId="28" xfId="0" applyNumberFormat="1" applyFont="1" applyBorder="1" applyAlignment="1">
      <alignment horizontal="center"/>
    </xf>
    <xf numFmtId="49" fontId="1" fillId="0" borderId="37" xfId="0" applyNumberFormat="1" applyFont="1" applyBorder="1" applyAlignment="1">
      <alignment horizontal="center"/>
    </xf>
    <xf numFmtId="0" fontId="1" fillId="0" borderId="37" xfId="0" applyNumberFormat="1" applyFont="1" applyBorder="1" applyAlignment="1"/>
    <xf numFmtId="49" fontId="1" fillId="0" borderId="37" xfId="0" applyNumberFormat="1" applyFont="1" applyFill="1" applyBorder="1" applyAlignment="1">
      <alignment horizontal="center"/>
    </xf>
    <xf numFmtId="0" fontId="1" fillId="0" borderId="0" xfId="0" applyNumberFormat="1" applyFont="1" applyFill="1" applyBorder="1" applyAlignment="1"/>
    <xf numFmtId="0" fontId="1" fillId="0" borderId="34" xfId="0" applyFont="1" applyFill="1" applyBorder="1" applyAlignment="1">
      <alignment horizontal="left"/>
    </xf>
    <xf numFmtId="49" fontId="1" fillId="0" borderId="2" xfId="0" applyNumberFormat="1" applyFont="1" applyFill="1" applyBorder="1" applyAlignment="1">
      <alignment horizontal="left"/>
    </xf>
    <xf numFmtId="49" fontId="0" fillId="0" borderId="2" xfId="0" applyNumberFormat="1" applyFill="1" applyBorder="1" applyAlignment="1">
      <alignment horizontal="center"/>
    </xf>
    <xf numFmtId="49" fontId="1" fillId="0" borderId="2" xfId="0" applyNumberFormat="1" applyFont="1" applyFill="1" applyBorder="1" applyAlignment="1">
      <alignment horizontal="center"/>
    </xf>
    <xf numFmtId="49" fontId="1" fillId="0" borderId="35" xfId="0" applyNumberFormat="1" applyFont="1" applyFill="1" applyBorder="1" applyAlignment="1">
      <alignment horizontal="center"/>
    </xf>
    <xf numFmtId="0" fontId="1" fillId="0" borderId="34" xfId="0" applyNumberFormat="1" applyFont="1" applyFill="1" applyBorder="1" applyAlignment="1"/>
    <xf numFmtId="49" fontId="0" fillId="0" borderId="37" xfId="0" applyNumberFormat="1" applyFill="1" applyBorder="1" applyAlignment="1">
      <alignment horizontal="center"/>
    </xf>
    <xf numFmtId="0" fontId="1" fillId="0" borderId="28" xfId="0" applyFont="1" applyFill="1" applyBorder="1" applyAlignment="1">
      <alignment horizontal="left"/>
    </xf>
    <xf numFmtId="0" fontId="1" fillId="0" borderId="28" xfId="0" applyFont="1" applyBorder="1" applyAlignment="1">
      <alignment horizontal="left"/>
    </xf>
    <xf numFmtId="0" fontId="1" fillId="0" borderId="37" xfId="0" applyFont="1" applyBorder="1" applyAlignment="1">
      <alignment horizontal="left"/>
    </xf>
    <xf numFmtId="0" fontId="1" fillId="0" borderId="6" xfId="0" applyFont="1" applyBorder="1" applyAlignment="1">
      <alignment horizontal="left"/>
    </xf>
    <xf numFmtId="0" fontId="1" fillId="0" borderId="37" xfId="0" applyFont="1" applyFill="1" applyBorder="1" applyAlignment="1">
      <alignment horizontal="left"/>
    </xf>
    <xf numFmtId="0" fontId="0" fillId="0" borderId="37" xfId="0" applyBorder="1" applyAlignment="1">
      <alignment horizontal="left"/>
    </xf>
    <xf numFmtId="0" fontId="0" fillId="0" borderId="6" xfId="0" applyBorder="1" applyAlignment="1">
      <alignment horizontal="left"/>
    </xf>
    <xf numFmtId="0" fontId="7" fillId="0" borderId="27" xfId="0" applyFont="1" applyFill="1" applyBorder="1"/>
    <xf numFmtId="0" fontId="11" fillId="0" borderId="0" xfId="0" applyFont="1" applyFill="1" applyBorder="1"/>
    <xf numFmtId="0" fontId="7" fillId="0" borderId="10" xfId="0" applyFont="1" applyFill="1" applyBorder="1"/>
    <xf numFmtId="0" fontId="7" fillId="0" borderId="7" xfId="0" applyFont="1" applyFill="1" applyBorder="1"/>
    <xf numFmtId="0" fontId="11" fillId="0" borderId="11" xfId="0" applyFont="1" applyFill="1" applyBorder="1"/>
    <xf numFmtId="0" fontId="0" fillId="6" borderId="0" xfId="0" applyFill="1" applyProtection="1">
      <protection locked="0"/>
    </xf>
    <xf numFmtId="0" fontId="11" fillId="0" borderId="26" xfId="0" applyFont="1" applyFill="1" applyBorder="1"/>
    <xf numFmtId="0" fontId="1" fillId="0" borderId="0" xfId="0" applyFont="1" applyAlignment="1">
      <alignment horizontal="left"/>
    </xf>
    <xf numFmtId="0" fontId="0" fillId="0" borderId="0" xfId="0" applyAlignment="1">
      <alignment horizontal="left"/>
    </xf>
    <xf numFmtId="0" fontId="32" fillId="0" borderId="0" xfId="0" applyFont="1" applyAlignment="1">
      <alignment horizontal="left"/>
    </xf>
    <xf numFmtId="0" fontId="1" fillId="0" borderId="28" xfId="0" applyFont="1" applyFill="1" applyBorder="1" applyAlignment="1">
      <alignment horizontal="left"/>
    </xf>
    <xf numFmtId="0" fontId="2" fillId="0" borderId="59" xfId="0" applyFont="1" applyBorder="1" applyAlignment="1">
      <alignment horizontal="right"/>
    </xf>
    <xf numFmtId="0" fontId="0" fillId="0" borderId="7" xfId="0" applyBorder="1" applyAlignment="1">
      <alignment horizontal="right"/>
    </xf>
    <xf numFmtId="0" fontId="7" fillId="3" borderId="27" xfId="0" applyNumberFormat="1" applyFont="1" applyFill="1" applyBorder="1" applyAlignment="1" applyProtection="1">
      <alignment horizontal="right"/>
      <protection locked="0"/>
    </xf>
    <xf numFmtId="0" fontId="0" fillId="0" borderId="53" xfId="0" applyBorder="1" applyAlignment="1">
      <alignment horizontal="right"/>
    </xf>
    <xf numFmtId="0" fontId="0" fillId="0" borderId="54" xfId="0" applyBorder="1"/>
    <xf numFmtId="0" fontId="42" fillId="0" borderId="78" xfId="0" applyFont="1" applyBorder="1" applyAlignment="1"/>
    <xf numFmtId="49" fontId="42" fillId="0" borderId="79" xfId="0" applyNumberFormat="1" applyFont="1" applyBorder="1"/>
    <xf numFmtId="49" fontId="1" fillId="0" borderId="5" xfId="0" applyNumberFormat="1" applyFont="1" applyFill="1" applyBorder="1" applyAlignment="1">
      <alignment horizontal="center"/>
    </xf>
    <xf numFmtId="0" fontId="46" fillId="0" borderId="0" xfId="0" applyFont="1" applyAlignment="1">
      <alignment horizontal="right"/>
    </xf>
    <xf numFmtId="0" fontId="1" fillId="0" borderId="2" xfId="0" applyNumberFormat="1" applyFont="1" applyFill="1" applyBorder="1" applyAlignment="1">
      <alignment horizontal="left"/>
    </xf>
    <xf numFmtId="0" fontId="1" fillId="0" borderId="0" xfId="0" applyFont="1" applyBorder="1" applyAlignment="1" applyProtection="1">
      <alignment horizontal="left"/>
    </xf>
    <xf numFmtId="0" fontId="1" fillId="0" borderId="34" xfId="0" applyFont="1" applyBorder="1" applyProtection="1"/>
    <xf numFmtId="0" fontId="1" fillId="0" borderId="37" xfId="0" applyNumberFormat="1" applyFont="1" applyFill="1" applyBorder="1" applyAlignment="1"/>
    <xf numFmtId="0" fontId="1" fillId="0" borderId="37" xfId="0" applyNumberFormat="1" applyFont="1" applyFill="1" applyBorder="1" applyAlignment="1">
      <alignment horizontal="left"/>
    </xf>
    <xf numFmtId="0" fontId="6" fillId="0" borderId="28" xfId="0" applyFont="1" applyBorder="1" applyProtection="1"/>
    <xf numFmtId="0" fontId="1" fillId="0" borderId="6" xfId="0" applyNumberFormat="1" applyFont="1" applyFill="1" applyBorder="1" applyAlignment="1">
      <alignment horizontal="left"/>
    </xf>
    <xf numFmtId="0" fontId="0" fillId="0" borderId="5" xfId="0" applyFill="1" applyBorder="1"/>
    <xf numFmtId="0" fontId="1" fillId="0" borderId="0" xfId="0" applyFont="1" applyFill="1" applyAlignment="1"/>
    <xf numFmtId="20" fontId="4" fillId="0" borderId="4" xfId="3" applyNumberFormat="1" applyFont="1" applyFill="1" applyBorder="1" applyAlignment="1" applyProtection="1">
      <alignment horizontal="center"/>
      <protection locked="0"/>
    </xf>
    <xf numFmtId="20" fontId="4" fillId="0" borderId="62" xfId="3" applyNumberFormat="1" applyFont="1" applyFill="1" applyBorder="1" applyAlignment="1" applyProtection="1">
      <alignment horizontal="center"/>
      <protection locked="0"/>
    </xf>
    <xf numFmtId="20" fontId="4" fillId="6" borderId="4" xfId="3" applyNumberFormat="1" applyFont="1" applyFill="1" applyBorder="1" applyAlignment="1" applyProtection="1">
      <alignment horizontal="center"/>
      <protection locked="0"/>
    </xf>
    <xf numFmtId="20" fontId="4" fillId="6" borderId="62" xfId="3" applyNumberFormat="1" applyFont="1" applyFill="1" applyBorder="1" applyAlignment="1" applyProtection="1">
      <alignment horizontal="center"/>
      <protection locked="0"/>
    </xf>
    <xf numFmtId="20" fontId="4" fillId="6" borderId="16" xfId="3" applyNumberFormat="1" applyFont="1" applyFill="1" applyBorder="1" applyAlignment="1" applyProtection="1">
      <alignment horizontal="center"/>
      <protection locked="0"/>
    </xf>
    <xf numFmtId="0" fontId="1" fillId="0" borderId="28" xfId="0" applyFont="1" applyFill="1" applyBorder="1" applyAlignment="1">
      <alignment horizontal="left"/>
    </xf>
    <xf numFmtId="0" fontId="1" fillId="0" borderId="6" xfId="0" applyFont="1" applyFill="1" applyBorder="1" applyAlignment="1">
      <alignment horizontal="left"/>
    </xf>
    <xf numFmtId="0" fontId="27" fillId="0" borderId="0" xfId="0" applyFont="1" applyFill="1" applyAlignment="1" applyProtection="1"/>
    <xf numFmtId="0" fontId="2" fillId="0" borderId="0" xfId="0" applyNumberFormat="1" applyFont="1" applyFill="1" applyBorder="1" applyAlignment="1" applyProtection="1">
      <alignment horizontal="right"/>
    </xf>
    <xf numFmtId="1" fontId="7" fillId="9" borderId="7" xfId="0" applyNumberFormat="1" applyFont="1" applyFill="1" applyBorder="1" applyProtection="1"/>
    <xf numFmtId="172" fontId="4" fillId="0" borderId="0" xfId="0" applyNumberFormat="1" applyFont="1" applyFill="1" applyBorder="1" applyAlignment="1" applyProtection="1"/>
    <xf numFmtId="172" fontId="7" fillId="13" borderId="0" xfId="0" applyNumberFormat="1" applyFont="1" applyFill="1" applyBorder="1" applyProtection="1">
      <protection locked="0"/>
    </xf>
    <xf numFmtId="172" fontId="7" fillId="11" borderId="0" xfId="0" applyNumberFormat="1" applyFont="1" applyFill="1" applyBorder="1" applyProtection="1">
      <protection locked="0"/>
    </xf>
    <xf numFmtId="0" fontId="49" fillId="9" borderId="7" xfId="0" applyFont="1" applyFill="1" applyBorder="1" applyProtection="1"/>
    <xf numFmtId="0" fontId="42" fillId="0" borderId="74" xfId="0" applyFont="1" applyBorder="1"/>
    <xf numFmtId="0" fontId="42" fillId="0" borderId="74" xfId="0" applyFont="1" applyBorder="1" applyAlignment="1"/>
    <xf numFmtId="0" fontId="0" fillId="0" borderId="76" xfId="0" applyBorder="1"/>
    <xf numFmtId="0" fontId="42" fillId="0" borderId="76" xfId="0" applyFont="1" applyFill="1" applyBorder="1" applyAlignment="1"/>
    <xf numFmtId="0" fontId="42" fillId="0" borderId="76" xfId="0" applyFont="1" applyFill="1" applyBorder="1"/>
    <xf numFmtId="0" fontId="50" fillId="0" borderId="0" xfId="0" applyFont="1" applyAlignment="1"/>
    <xf numFmtId="0" fontId="32" fillId="0" borderId="0" xfId="0" applyFont="1" applyProtection="1"/>
    <xf numFmtId="164" fontId="29" fillId="0" borderId="0" xfId="0" applyNumberFormat="1" applyFont="1" applyFill="1" applyAlignment="1" applyProtection="1"/>
    <xf numFmtId="0" fontId="51" fillId="9" borderId="0" xfId="0" applyFont="1" applyFill="1" applyProtection="1"/>
    <xf numFmtId="0" fontId="1" fillId="0" borderId="28" xfId="0" applyFont="1" applyFill="1" applyBorder="1" applyAlignment="1">
      <alignment horizontal="left"/>
    </xf>
    <xf numFmtId="0" fontId="7" fillId="0" borderId="0" xfId="0" applyFont="1" applyFill="1" applyBorder="1" applyAlignment="1" applyProtection="1">
      <alignment vertical="top" wrapText="1"/>
    </xf>
    <xf numFmtId="0" fontId="7" fillId="0" borderId="0" xfId="0" applyFont="1" applyBorder="1" applyAlignment="1" applyProtection="1">
      <alignment vertical="top" wrapText="1"/>
    </xf>
    <xf numFmtId="0" fontId="7" fillId="0" borderId="14" xfId="0" applyFont="1" applyFill="1" applyBorder="1" applyAlignment="1" applyProtection="1"/>
    <xf numFmtId="49" fontId="2" fillId="0" borderId="7" xfId="0" applyNumberFormat="1" applyFont="1" applyFill="1" applyBorder="1" applyAlignment="1" applyProtection="1">
      <alignment horizontal="left"/>
    </xf>
    <xf numFmtId="172" fontId="7" fillId="12" borderId="0" xfId="0" applyNumberFormat="1" applyFont="1" applyFill="1" applyBorder="1" applyProtection="1">
      <protection locked="0"/>
    </xf>
    <xf numFmtId="172" fontId="7" fillId="16" borderId="0" xfId="0" applyNumberFormat="1" applyFont="1" applyFill="1" applyBorder="1" applyProtection="1">
      <protection locked="0"/>
    </xf>
    <xf numFmtId="172" fontId="7" fillId="0" borderId="11" xfId="0" applyNumberFormat="1" applyFont="1" applyFill="1" applyBorder="1" applyProtection="1">
      <protection locked="0"/>
    </xf>
    <xf numFmtId="172" fontId="7" fillId="0" borderId="0" xfId="0" applyNumberFormat="1" applyFont="1" applyFill="1" applyBorder="1" applyProtection="1">
      <protection locked="0"/>
    </xf>
    <xf numFmtId="0" fontId="0" fillId="0" borderId="12" xfId="0" applyBorder="1" applyProtection="1"/>
    <xf numFmtId="0" fontId="0" fillId="0" borderId="7" xfId="0" applyBorder="1" applyProtection="1"/>
    <xf numFmtId="0" fontId="0" fillId="0" borderId="8" xfId="0" applyBorder="1" applyProtection="1"/>
    <xf numFmtId="0" fontId="0" fillId="0" borderId="27" xfId="0" applyBorder="1" applyProtection="1"/>
    <xf numFmtId="0" fontId="0" fillId="0" borderId="26" xfId="0" applyBorder="1" applyProtection="1"/>
    <xf numFmtId="0" fontId="0" fillId="0" borderId="9" xfId="0" applyBorder="1" applyProtection="1"/>
    <xf numFmtId="0" fontId="1" fillId="0" borderId="11" xfId="0" applyFont="1" applyBorder="1" applyProtection="1"/>
    <xf numFmtId="0" fontId="7" fillId="0" borderId="7" xfId="0" applyFont="1" applyBorder="1" applyProtection="1"/>
    <xf numFmtId="0" fontId="7" fillId="0" borderId="8" xfId="0" applyFont="1" applyBorder="1" applyProtection="1"/>
    <xf numFmtId="172" fontId="7" fillId="16" borderId="0" xfId="0" applyNumberFormat="1" applyFont="1" applyFill="1" applyBorder="1" applyProtection="1"/>
    <xf numFmtId="172" fontId="7" fillId="0" borderId="0" xfId="0" applyNumberFormat="1" applyFont="1" applyBorder="1" applyProtection="1"/>
    <xf numFmtId="172" fontId="7" fillId="11" borderId="0" xfId="0" applyNumberFormat="1" applyFont="1" applyFill="1" applyBorder="1" applyProtection="1"/>
    <xf numFmtId="172" fontId="7" fillId="13" borderId="0" xfId="0" applyNumberFormat="1" applyFont="1" applyFill="1" applyBorder="1" applyProtection="1"/>
    <xf numFmtId="172" fontId="7" fillId="6" borderId="0" xfId="0" applyNumberFormat="1" applyFont="1" applyFill="1" applyBorder="1" applyProtection="1">
      <protection locked="0"/>
    </xf>
    <xf numFmtId="1" fontId="7" fillId="0" borderId="0" xfId="0" applyNumberFormat="1" applyFont="1" applyFill="1" applyBorder="1" applyAlignment="1" applyProtection="1">
      <alignment horizontal="left"/>
    </xf>
    <xf numFmtId="1" fontId="7" fillId="0" borderId="0" xfId="0" applyNumberFormat="1" applyFont="1" applyFill="1" applyBorder="1" applyAlignment="1" applyProtection="1">
      <alignment horizontal="right"/>
    </xf>
    <xf numFmtId="172" fontId="7" fillId="0" borderId="11" xfId="0" applyNumberFormat="1" applyFont="1" applyFill="1" applyBorder="1" applyProtection="1"/>
    <xf numFmtId="172" fontId="2" fillId="0" borderId="20" xfId="0" applyNumberFormat="1" applyFont="1" applyFill="1" applyBorder="1" applyAlignment="1" applyProtection="1">
      <alignment horizontal="right"/>
    </xf>
    <xf numFmtId="172" fontId="7" fillId="0" borderId="0" xfId="0" applyNumberFormat="1" applyFont="1" applyFill="1" applyBorder="1" applyAlignment="1" applyProtection="1"/>
    <xf numFmtId="0" fontId="2" fillId="0" borderId="7" xfId="0" applyFont="1" applyBorder="1" applyProtection="1"/>
    <xf numFmtId="0" fontId="2" fillId="0" borderId="0" xfId="0" applyFont="1" applyBorder="1" applyProtection="1"/>
    <xf numFmtId="0" fontId="0" fillId="0" borderId="8" xfId="0" applyBorder="1" applyAlignment="1" applyProtection="1">
      <alignment wrapText="1"/>
    </xf>
    <xf numFmtId="0" fontId="1" fillId="0" borderId="0" xfId="0" applyFont="1" applyProtection="1"/>
    <xf numFmtId="0" fontId="50" fillId="0" borderId="0" xfId="0" applyFont="1" applyFill="1" applyAlignment="1"/>
    <xf numFmtId="172" fontId="6" fillId="0" borderId="30" xfId="0" applyNumberFormat="1" applyFont="1" applyFill="1" applyBorder="1" applyAlignment="1">
      <alignment horizontal="center"/>
    </xf>
    <xf numFmtId="172" fontId="6" fillId="0" borderId="66" xfId="0" applyNumberFormat="1" applyFont="1" applyFill="1" applyBorder="1" applyAlignment="1">
      <alignment horizontal="center"/>
    </xf>
    <xf numFmtId="172" fontId="6" fillId="10" borderId="30" xfId="0" applyNumberFormat="1" applyFont="1" applyFill="1" applyBorder="1" applyAlignment="1">
      <alignment horizontal="center"/>
    </xf>
    <xf numFmtId="172" fontId="6" fillId="10" borderId="66" xfId="0" applyNumberFormat="1" applyFont="1" applyFill="1" applyBorder="1" applyAlignment="1">
      <alignment horizontal="center"/>
    </xf>
    <xf numFmtId="172" fontId="6" fillId="9" borderId="30" xfId="0" applyNumberFormat="1" applyFont="1" applyFill="1" applyBorder="1" applyAlignment="1">
      <alignment horizontal="center"/>
    </xf>
    <xf numFmtId="172" fontId="6" fillId="9" borderId="66" xfId="0" applyNumberFormat="1" applyFont="1" applyFill="1" applyBorder="1" applyAlignment="1">
      <alignment horizontal="center"/>
    </xf>
    <xf numFmtId="172" fontId="6" fillId="0" borderId="64" xfId="0" applyNumberFormat="1" applyFont="1" applyFill="1" applyBorder="1" applyAlignment="1">
      <alignment horizontal="center"/>
    </xf>
    <xf numFmtId="172" fontId="6" fillId="0" borderId="67" xfId="0" applyNumberFormat="1" applyFont="1" applyFill="1" applyBorder="1" applyAlignment="1">
      <alignment horizontal="center"/>
    </xf>
    <xf numFmtId="172" fontId="7" fillId="0" borderId="39" xfId="0" applyNumberFormat="1" applyFont="1" applyFill="1" applyBorder="1" applyProtection="1"/>
    <xf numFmtId="172" fontId="7" fillId="0" borderId="37" xfId="0" applyNumberFormat="1" applyFont="1" applyFill="1" applyBorder="1" applyAlignment="1" applyProtection="1"/>
    <xf numFmtId="172" fontId="0" fillId="0" borderId="8" xfId="0" applyNumberFormat="1" applyBorder="1" applyAlignment="1" applyProtection="1">
      <alignment wrapText="1"/>
    </xf>
    <xf numFmtId="172" fontId="26" fillId="0" borderId="0" xfId="0" applyNumberFormat="1" applyFont="1" applyFill="1" applyProtection="1"/>
    <xf numFmtId="0" fontId="1" fillId="0" borderId="0" xfId="0" applyFont="1" applyFill="1" applyProtection="1"/>
    <xf numFmtId="172" fontId="1" fillId="0" borderId="0" xfId="0" applyNumberFormat="1" applyFont="1" applyFill="1" applyProtection="1"/>
    <xf numFmtId="166" fontId="31" fillId="0" borderId="0" xfId="0" applyNumberFormat="1" applyFont="1" applyFill="1" applyBorder="1" applyAlignment="1" applyProtection="1">
      <alignment vertical="center"/>
    </xf>
    <xf numFmtId="172" fontId="31" fillId="0" borderId="0" xfId="0" applyNumberFormat="1" applyFont="1" applyFill="1" applyBorder="1" applyAlignment="1" applyProtection="1"/>
    <xf numFmtId="166" fontId="13" fillId="2" borderId="0" xfId="0" applyNumberFormat="1" applyFont="1" applyFill="1" applyBorder="1" applyAlignment="1" applyProtection="1"/>
    <xf numFmtId="172" fontId="13" fillId="0" borderId="8" xfId="0" applyNumberFormat="1" applyFont="1" applyFill="1" applyBorder="1" applyAlignment="1" applyProtection="1"/>
    <xf numFmtId="172" fontId="31" fillId="0" borderId="8" xfId="0" applyNumberFormat="1" applyFont="1" applyFill="1" applyBorder="1" applyAlignment="1" applyProtection="1"/>
    <xf numFmtId="0" fontId="2" fillId="0" borderId="7" xfId="0" applyFont="1" applyBorder="1" applyAlignment="1" applyProtection="1">
      <alignment horizontal="left" vertical="top" wrapText="1"/>
    </xf>
    <xf numFmtId="0" fontId="2" fillId="0" borderId="0" xfId="0" applyFont="1" applyBorder="1" applyAlignment="1" applyProtection="1">
      <alignment horizontal="left" vertical="top" wrapText="1"/>
    </xf>
    <xf numFmtId="0" fontId="32" fillId="0" borderId="0" xfId="0" applyFont="1" applyBorder="1" applyAlignment="1" applyProtection="1">
      <alignment vertical="top" wrapText="1"/>
    </xf>
    <xf numFmtId="0" fontId="32" fillId="0" borderId="8" xfId="0" applyFont="1" applyBorder="1" applyAlignment="1" applyProtection="1">
      <alignment vertical="top" wrapText="1"/>
    </xf>
    <xf numFmtId="0" fontId="1" fillId="0" borderId="0" xfId="0" applyFont="1" applyAlignment="1">
      <alignment horizontal="left"/>
    </xf>
    <xf numFmtId="0" fontId="30" fillId="0" borderId="0" xfId="0" applyFont="1" applyAlignment="1">
      <alignment horizontal="left"/>
    </xf>
    <xf numFmtId="0" fontId="1" fillId="0" borderId="5" xfId="0" applyNumberFormat="1" applyFont="1" applyFill="1" applyBorder="1" applyAlignment="1">
      <alignment horizontal="left"/>
    </xf>
    <xf numFmtId="0" fontId="1" fillId="0" borderId="28" xfId="0" applyFont="1" applyFill="1" applyBorder="1" applyAlignment="1">
      <alignment horizontal="left"/>
    </xf>
    <xf numFmtId="0" fontId="1" fillId="0" borderId="28" xfId="0" applyNumberFormat="1" applyFont="1" applyFill="1" applyBorder="1" applyAlignment="1">
      <alignment horizontal="left"/>
    </xf>
    <xf numFmtId="0" fontId="1" fillId="0" borderId="37" xfId="0" applyNumberFormat="1" applyFont="1" applyFill="1" applyBorder="1" applyAlignment="1">
      <alignment horizontal="left"/>
    </xf>
    <xf numFmtId="0" fontId="1" fillId="0" borderId="6" xfId="0" applyNumberFormat="1" applyFont="1" applyFill="1" applyBorder="1" applyAlignment="1">
      <alignment horizontal="left"/>
    </xf>
    <xf numFmtId="0" fontId="1" fillId="0" borderId="29" xfId="0" applyNumberFormat="1" applyFont="1" applyFill="1" applyBorder="1" applyAlignment="1">
      <alignment horizontal="left"/>
    </xf>
    <xf numFmtId="0" fontId="30" fillId="0" borderId="0" xfId="0" applyFont="1" applyFill="1"/>
    <xf numFmtId="0" fontId="0" fillId="0" borderId="37" xfId="0" applyFill="1" applyBorder="1" applyAlignment="1">
      <alignment horizontal="left"/>
    </xf>
    <xf numFmtId="0" fontId="0" fillId="0" borderId="6" xfId="0" applyFill="1" applyBorder="1" applyAlignment="1">
      <alignment horizontal="left"/>
    </xf>
    <xf numFmtId="0" fontId="0" fillId="0" borderId="0" xfId="0" applyAlignment="1">
      <alignment horizontal="left"/>
    </xf>
    <xf numFmtId="0" fontId="1" fillId="0" borderId="28" xfId="0" applyNumberFormat="1" applyFont="1" applyFill="1" applyBorder="1" applyAlignment="1">
      <alignment horizontal="left"/>
    </xf>
    <xf numFmtId="0" fontId="1" fillId="0" borderId="28" xfId="0" applyFont="1" applyFill="1" applyBorder="1" applyAlignment="1">
      <alignment horizontal="left"/>
    </xf>
    <xf numFmtId="0" fontId="47" fillId="0" borderId="0" xfId="0" applyFont="1" applyFill="1" applyAlignment="1"/>
    <xf numFmtId="0" fontId="47" fillId="0" borderId="0" xfId="0" applyFont="1" applyAlignment="1"/>
    <xf numFmtId="0" fontId="47" fillId="0" borderId="0" xfId="0" applyFont="1" applyAlignment="1">
      <alignment horizontal="left"/>
    </xf>
    <xf numFmtId="0" fontId="2" fillId="0" borderId="7" xfId="0" applyFont="1" applyBorder="1" applyAlignment="1" applyProtection="1">
      <alignment vertical="top" wrapText="1"/>
    </xf>
    <xf numFmtId="0" fontId="2" fillId="0" borderId="0" xfId="0" applyFont="1" applyBorder="1" applyAlignment="1" applyProtection="1">
      <alignment vertical="top" wrapText="1"/>
    </xf>
    <xf numFmtId="0" fontId="1" fillId="0" borderId="28" xfId="0" applyFont="1" applyFill="1" applyBorder="1" applyAlignment="1">
      <alignment horizontal="left"/>
    </xf>
    <xf numFmtId="0" fontId="1" fillId="0" borderId="28" xfId="0" applyFont="1" applyBorder="1" applyAlignment="1">
      <alignment horizontal="left"/>
    </xf>
    <xf numFmtId="0" fontId="1" fillId="0" borderId="37" xfId="0" applyFont="1" applyFill="1" applyBorder="1" applyAlignment="1">
      <alignment horizontal="left"/>
    </xf>
    <xf numFmtId="0" fontId="1" fillId="0" borderId="6" xfId="0" applyFont="1" applyFill="1" applyBorder="1" applyAlignment="1">
      <alignment horizontal="left"/>
    </xf>
    <xf numFmtId="0" fontId="1" fillId="0" borderId="28" xfId="0" applyFont="1" applyFill="1" applyBorder="1" applyAlignment="1">
      <alignment horizontal="left"/>
    </xf>
    <xf numFmtId="0" fontId="2" fillId="0" borderId="10" xfId="0" applyNumberFormat="1" applyFont="1" applyFill="1" applyBorder="1" applyAlignment="1" applyProtection="1">
      <alignment horizontal="left"/>
    </xf>
    <xf numFmtId="49" fontId="1" fillId="0" borderId="6" xfId="0" applyNumberFormat="1" applyFont="1" applyFill="1" applyBorder="1" applyAlignment="1">
      <alignment horizontal="left"/>
    </xf>
    <xf numFmtId="0" fontId="51" fillId="0" borderId="0" xfId="0" applyFont="1" applyFill="1" applyAlignment="1" applyProtection="1"/>
    <xf numFmtId="164" fontId="27" fillId="0" borderId="0" xfId="0" applyNumberFormat="1" applyFont="1" applyFill="1" applyAlignment="1" applyProtection="1"/>
    <xf numFmtId="172" fontId="4" fillId="0" borderId="49" xfId="0" applyNumberFormat="1" applyFont="1" applyBorder="1"/>
    <xf numFmtId="0" fontId="36" fillId="0" borderId="0" xfId="0" applyFont="1" applyFill="1" applyAlignment="1" applyProtection="1"/>
    <xf numFmtId="0" fontId="1" fillId="0" borderId="28" xfId="0" applyNumberFormat="1" applyFont="1" applyFill="1" applyBorder="1" applyAlignment="1">
      <alignment horizontal="left"/>
    </xf>
    <xf numFmtId="0" fontId="1" fillId="0" borderId="37" xfId="0" applyNumberFormat="1" applyFont="1" applyFill="1" applyBorder="1" applyAlignment="1">
      <alignment horizontal="left"/>
    </xf>
    <xf numFmtId="0" fontId="1" fillId="0" borderId="6" xfId="0" applyNumberFormat="1" applyFont="1" applyFill="1" applyBorder="1" applyAlignment="1">
      <alignment horizontal="left"/>
    </xf>
    <xf numFmtId="0" fontId="1" fillId="0" borderId="28" xfId="0" applyFont="1" applyBorder="1" applyAlignment="1" applyProtection="1">
      <alignment horizontal="left"/>
    </xf>
    <xf numFmtId="0" fontId="1" fillId="0" borderId="37" xfId="0" applyFont="1" applyBorder="1" applyAlignment="1" applyProtection="1">
      <alignment horizontal="left"/>
    </xf>
    <xf numFmtId="0" fontId="1" fillId="0" borderId="6" xfId="0" applyFont="1" applyBorder="1" applyAlignment="1" applyProtection="1">
      <alignment horizontal="left"/>
    </xf>
    <xf numFmtId="0" fontId="1" fillId="0" borderId="28" xfId="0" applyFont="1" applyFill="1" applyBorder="1" applyAlignment="1">
      <alignment horizontal="left"/>
    </xf>
    <xf numFmtId="49" fontId="1" fillId="0" borderId="6" xfId="0" applyNumberFormat="1" applyFont="1" applyFill="1" applyBorder="1" applyAlignment="1">
      <alignment horizontal="left"/>
    </xf>
    <xf numFmtId="172" fontId="4" fillId="0" borderId="25" xfId="0" applyNumberFormat="1" applyFont="1" applyFill="1" applyBorder="1" applyAlignment="1" applyProtection="1">
      <protection locked="0"/>
    </xf>
    <xf numFmtId="1" fontId="4" fillId="0" borderId="16" xfId="0" applyNumberFormat="1" applyFont="1" applyFill="1" applyBorder="1" applyAlignment="1" applyProtection="1">
      <alignment horizontal="center"/>
      <protection locked="0"/>
    </xf>
    <xf numFmtId="2" fontId="5" fillId="0" borderId="0" xfId="0" applyNumberFormat="1" applyFont="1" applyFill="1" applyBorder="1" applyAlignment="1" applyProtection="1">
      <alignment horizontal="center"/>
    </xf>
    <xf numFmtId="0" fontId="1" fillId="0" borderId="2" xfId="0" applyFont="1" applyBorder="1" applyAlignment="1" applyProtection="1">
      <alignment horizontal="left"/>
    </xf>
    <xf numFmtId="0" fontId="1" fillId="0" borderId="34" xfId="0" applyFont="1" applyBorder="1" applyAlignment="1" applyProtection="1">
      <alignment horizontal="left"/>
    </xf>
    <xf numFmtId="0" fontId="1" fillId="0" borderId="35" xfId="0" applyFont="1" applyBorder="1" applyAlignment="1" applyProtection="1">
      <alignment horizontal="left"/>
    </xf>
    <xf numFmtId="0" fontId="1" fillId="0" borderId="34" xfId="0" applyNumberFormat="1" applyFont="1" applyFill="1" applyBorder="1" applyAlignment="1">
      <alignment horizontal="left"/>
    </xf>
    <xf numFmtId="0" fontId="1" fillId="0" borderId="35" xfId="0" applyNumberFormat="1" applyFont="1" applyFill="1" applyBorder="1" applyAlignment="1">
      <alignment horizontal="left"/>
    </xf>
    <xf numFmtId="0" fontId="1" fillId="0" borderId="0" xfId="0" applyFont="1" applyBorder="1" applyProtection="1"/>
    <xf numFmtId="2" fontId="26" fillId="0" borderId="0" xfId="0" applyNumberFormat="1" applyFont="1" applyFill="1" applyProtection="1"/>
    <xf numFmtId="177" fontId="7" fillId="0" borderId="0" xfId="0" applyNumberFormat="1" applyFont="1" applyFill="1" applyProtection="1"/>
    <xf numFmtId="172" fontId="7" fillId="0" borderId="0" xfId="0" applyNumberFormat="1" applyFont="1" applyFill="1" applyProtection="1"/>
    <xf numFmtId="172" fontId="4" fillId="17" borderId="6" xfId="0" applyNumberFormat="1" applyFont="1" applyFill="1" applyBorder="1" applyAlignment="1" applyProtection="1">
      <protection locked="0"/>
    </xf>
    <xf numFmtId="172" fontId="4" fillId="17" borderId="37" xfId="0" applyNumberFormat="1" applyFont="1" applyFill="1" applyBorder="1" applyAlignment="1" applyProtection="1">
      <protection locked="0"/>
    </xf>
    <xf numFmtId="172" fontId="4" fillId="17" borderId="5" xfId="0" applyNumberFormat="1" applyFont="1" applyFill="1" applyBorder="1" applyAlignment="1" applyProtection="1">
      <protection locked="0"/>
    </xf>
    <xf numFmtId="172" fontId="4" fillId="17" borderId="28" xfId="0" applyNumberFormat="1" applyFont="1" applyFill="1" applyBorder="1" applyAlignment="1" applyProtection="1">
      <protection locked="0"/>
    </xf>
    <xf numFmtId="0" fontId="0" fillId="0" borderId="2" xfId="0" applyFill="1" applyBorder="1"/>
    <xf numFmtId="172" fontId="0" fillId="0" borderId="0" xfId="0" applyNumberFormat="1" applyProtection="1"/>
    <xf numFmtId="172" fontId="1" fillId="0" borderId="0" xfId="0" applyNumberFormat="1" applyFont="1" applyProtection="1"/>
    <xf numFmtId="172" fontId="7" fillId="0" borderId="1" xfId="0" applyNumberFormat="1" applyFont="1" applyBorder="1" applyProtection="1"/>
    <xf numFmtId="172" fontId="4" fillId="0" borderId="3" xfId="0" applyNumberFormat="1" applyFont="1" applyFill="1" applyBorder="1" applyAlignment="1" applyProtection="1">
      <alignment horizontal="center"/>
    </xf>
    <xf numFmtId="172" fontId="5" fillId="0" borderId="3" xfId="0" applyNumberFormat="1" applyFont="1" applyFill="1" applyBorder="1" applyAlignment="1" applyProtection="1">
      <alignment horizontal="right"/>
    </xf>
    <xf numFmtId="172" fontId="4" fillId="0" borderId="0" xfId="0" applyNumberFormat="1" applyFont="1" applyFill="1" applyAlignment="1" applyProtection="1">
      <alignment horizontal="right"/>
    </xf>
    <xf numFmtId="0" fontId="26" fillId="0" borderId="0" xfId="0" applyFont="1" applyFill="1" applyProtection="1"/>
    <xf numFmtId="0" fontId="25" fillId="0" borderId="0" xfId="1" applyAlignment="1" applyProtection="1"/>
    <xf numFmtId="1" fontId="25" fillId="0" borderId="0" xfId="1" applyNumberFormat="1" applyFill="1" applyBorder="1" applyAlignment="1" applyProtection="1">
      <alignment horizontal="center"/>
    </xf>
    <xf numFmtId="172" fontId="4" fillId="0" borderId="0" xfId="0" applyNumberFormat="1" applyFont="1" applyFill="1" applyAlignment="1" applyProtection="1"/>
    <xf numFmtId="20" fontId="4" fillId="0" borderId="16" xfId="3" applyNumberFormat="1" applyFont="1" applyFill="1" applyBorder="1" applyAlignment="1" applyProtection="1">
      <alignment horizontal="center"/>
      <protection locked="0"/>
    </xf>
    <xf numFmtId="1" fontId="4" fillId="6" borderId="63" xfId="0" applyNumberFormat="1" applyFont="1" applyFill="1" applyBorder="1" applyAlignment="1" applyProtection="1">
      <alignment horizontal="center"/>
      <protection locked="0"/>
    </xf>
    <xf numFmtId="1" fontId="4" fillId="0" borderId="63" xfId="0" applyNumberFormat="1" applyFont="1" applyFill="1" applyBorder="1" applyAlignment="1" applyProtection="1">
      <alignment horizontal="center"/>
      <protection locked="0"/>
    </xf>
    <xf numFmtId="172" fontId="7" fillId="9" borderId="63" xfId="0" applyNumberFormat="1" applyFont="1" applyFill="1" applyBorder="1" applyProtection="1"/>
    <xf numFmtId="0" fontId="1" fillId="0" borderId="28" xfId="0" applyFont="1" applyFill="1" applyBorder="1" applyAlignment="1">
      <alignment horizontal="left"/>
    </xf>
    <xf numFmtId="49" fontId="1" fillId="0" borderId="28" xfId="0" applyNumberFormat="1" applyFont="1" applyFill="1" applyBorder="1" applyAlignment="1">
      <alignment horizontal="left"/>
    </xf>
    <xf numFmtId="49" fontId="1" fillId="0" borderId="6" xfId="0" applyNumberFormat="1" applyFont="1" applyFill="1" applyBorder="1" applyAlignment="1">
      <alignment horizontal="left"/>
    </xf>
    <xf numFmtId="1" fontId="4" fillId="6" borderId="15" xfId="0" applyNumberFormat="1" applyFont="1" applyFill="1" applyBorder="1" applyAlignment="1" applyProtection="1">
      <alignment horizontal="center"/>
      <protection locked="0"/>
    </xf>
    <xf numFmtId="1" fontId="4" fillId="6" borderId="24" xfId="0" applyNumberFormat="1" applyFont="1" applyFill="1" applyBorder="1" applyAlignment="1" applyProtection="1">
      <alignment horizontal="center"/>
      <protection locked="0"/>
    </xf>
    <xf numFmtId="172" fontId="4" fillId="0" borderId="0" xfId="0" applyNumberFormat="1" applyFont="1" applyFill="1" applyAlignment="1" applyProtection="1">
      <alignment horizontal="right"/>
    </xf>
    <xf numFmtId="0" fontId="1" fillId="0" borderId="37" xfId="0" applyFont="1" applyFill="1" applyBorder="1"/>
    <xf numFmtId="0" fontId="1" fillId="0" borderId="0" xfId="0" applyFont="1" applyFill="1"/>
    <xf numFmtId="0" fontId="7" fillId="0" borderId="0" xfId="0" applyFont="1" applyBorder="1" applyAlignment="1" applyProtection="1"/>
    <xf numFmtId="0" fontId="1" fillId="0" borderId="28" xfId="0" applyNumberFormat="1" applyFont="1" applyFill="1" applyBorder="1" applyAlignment="1">
      <alignment horizontal="left"/>
    </xf>
    <xf numFmtId="0" fontId="1" fillId="0" borderId="37" xfId="0" applyNumberFormat="1" applyFont="1" applyFill="1" applyBorder="1" applyAlignment="1">
      <alignment horizontal="left"/>
    </xf>
    <xf numFmtId="0" fontId="1" fillId="0" borderId="28" xfId="0" applyFont="1" applyBorder="1" applyAlignment="1" applyProtection="1">
      <alignment horizontal="left"/>
    </xf>
    <xf numFmtId="0" fontId="1" fillId="0" borderId="37" xfId="0" applyFont="1" applyBorder="1" applyAlignment="1" applyProtection="1">
      <alignment horizontal="left"/>
    </xf>
    <xf numFmtId="0" fontId="32" fillId="0" borderId="0" xfId="0" applyFont="1" applyAlignment="1" applyProtection="1">
      <alignment vertical="center" wrapText="1"/>
    </xf>
    <xf numFmtId="0" fontId="32" fillId="0" borderId="8" xfId="0" applyFont="1" applyBorder="1" applyAlignment="1" applyProtection="1">
      <alignment vertical="center" wrapText="1"/>
    </xf>
    <xf numFmtId="0" fontId="1" fillId="0" borderId="7" xfId="0" applyNumberFormat="1" applyFont="1" applyBorder="1" applyProtection="1"/>
    <xf numFmtId="0" fontId="26" fillId="0" borderId="0" xfId="0" applyNumberFormat="1" applyFont="1" applyFill="1" applyProtection="1"/>
    <xf numFmtId="46" fontId="0" fillId="0" borderId="0" xfId="0" applyNumberFormat="1" applyProtection="1"/>
    <xf numFmtId="172" fontId="4" fillId="0" borderId="57" xfId="0" applyNumberFormat="1" applyFont="1" applyFill="1" applyBorder="1" applyAlignment="1" applyProtection="1"/>
    <xf numFmtId="172" fontId="28" fillId="0" borderId="24" xfId="0" applyNumberFormat="1" applyFont="1" applyFill="1" applyBorder="1" applyAlignment="1" applyProtection="1"/>
    <xf numFmtId="0" fontId="7" fillId="0" borderId="26" xfId="0" applyNumberFormat="1" applyFont="1" applyFill="1" applyBorder="1" applyAlignment="1" applyProtection="1">
      <alignment horizontal="right"/>
    </xf>
    <xf numFmtId="49" fontId="26" fillId="0" borderId="0" xfId="0" applyNumberFormat="1" applyFont="1" applyFill="1"/>
    <xf numFmtId="49" fontId="26" fillId="0" borderId="0" xfId="0" applyNumberFormat="1" applyFont="1" applyProtection="1"/>
    <xf numFmtId="164" fontId="31" fillId="0" borderId="8" xfId="0" applyNumberFormat="1" applyFont="1" applyFill="1" applyBorder="1" applyAlignment="1" applyProtection="1">
      <alignment horizontal="right"/>
    </xf>
    <xf numFmtId="2" fontId="31" fillId="0" borderId="19" xfId="0" applyNumberFormat="1" applyFont="1" applyFill="1" applyBorder="1" applyAlignment="1" applyProtection="1"/>
    <xf numFmtId="2" fontId="31" fillId="0" borderId="23" xfId="0" applyNumberFormat="1" applyFont="1" applyFill="1" applyBorder="1" applyAlignment="1" applyProtection="1"/>
    <xf numFmtId="2" fontId="31" fillId="0" borderId="14" xfId="0" applyNumberFormat="1" applyFont="1" applyFill="1" applyBorder="1" applyAlignment="1" applyProtection="1"/>
    <xf numFmtId="2" fontId="31" fillId="0" borderId="3" xfId="0" applyNumberFormat="1" applyFont="1" applyFill="1" applyBorder="1" applyAlignment="1" applyProtection="1"/>
    <xf numFmtId="2" fontId="31" fillId="0" borderId="50" xfId="0" applyNumberFormat="1" applyFont="1" applyFill="1" applyBorder="1" applyAlignment="1" applyProtection="1"/>
    <xf numFmtId="0" fontId="31" fillId="0" borderId="21" xfId="0" applyNumberFormat="1" applyFont="1" applyFill="1" applyBorder="1" applyAlignment="1" applyProtection="1"/>
    <xf numFmtId="0" fontId="31" fillId="0" borderId="14" xfId="0" applyNumberFormat="1" applyFont="1" applyFill="1" applyBorder="1" applyAlignment="1" applyProtection="1"/>
    <xf numFmtId="2" fontId="31" fillId="0" borderId="38" xfId="0" applyNumberFormat="1" applyFont="1" applyFill="1" applyBorder="1" applyAlignment="1" applyProtection="1"/>
    <xf numFmtId="2" fontId="31" fillId="0" borderId="49" xfId="0" applyNumberFormat="1" applyFont="1" applyFill="1" applyBorder="1" applyAlignment="1" applyProtection="1"/>
    <xf numFmtId="2" fontId="31" fillId="0" borderId="21" xfId="0" applyNumberFormat="1" applyFont="1" applyFill="1" applyBorder="1" applyAlignment="1" applyProtection="1"/>
    <xf numFmtId="0" fontId="31" fillId="0" borderId="7" xfId="0" applyNumberFormat="1" applyFont="1" applyFill="1" applyBorder="1" applyAlignment="1" applyProtection="1"/>
    <xf numFmtId="0" fontId="31" fillId="0" borderId="23" xfId="0" applyNumberFormat="1" applyFont="1" applyFill="1" applyBorder="1" applyAlignment="1" applyProtection="1"/>
    <xf numFmtId="172" fontId="31" fillId="0" borderId="19" xfId="0" applyNumberFormat="1" applyFont="1" applyFill="1" applyBorder="1" applyAlignment="1" applyProtection="1"/>
    <xf numFmtId="172" fontId="31" fillId="0" borderId="23" xfId="0" applyNumberFormat="1" applyFont="1" applyFill="1" applyBorder="1" applyAlignment="1" applyProtection="1"/>
    <xf numFmtId="2" fontId="55" fillId="0" borderId="31" xfId="0" applyNumberFormat="1" applyFont="1" applyFill="1" applyBorder="1" applyAlignment="1">
      <alignment horizontal="center"/>
    </xf>
    <xf numFmtId="2" fontId="54" fillId="10" borderId="31" xfId="0" applyNumberFormat="1" applyFont="1" applyFill="1" applyBorder="1" applyAlignment="1">
      <alignment horizontal="center"/>
    </xf>
    <xf numFmtId="2" fontId="55" fillId="0" borderId="65" xfId="0" applyNumberFormat="1" applyFont="1" applyFill="1" applyBorder="1" applyAlignment="1">
      <alignment horizontal="center"/>
    </xf>
    <xf numFmtId="2" fontId="55" fillId="9" borderId="31" xfId="0" applyNumberFormat="1" applyFont="1" applyFill="1" applyBorder="1" applyAlignment="1">
      <alignment horizontal="center"/>
    </xf>
    <xf numFmtId="0" fontId="1" fillId="0" borderId="37" xfId="0" applyNumberFormat="1" applyFont="1" applyFill="1" applyBorder="1" applyAlignment="1">
      <alignment horizontal="left"/>
    </xf>
    <xf numFmtId="0" fontId="1" fillId="0" borderId="6" xfId="0" applyNumberFormat="1" applyFont="1" applyFill="1" applyBorder="1" applyAlignment="1">
      <alignment horizontal="left"/>
    </xf>
    <xf numFmtId="0" fontId="1" fillId="0" borderId="28" xfId="0" applyFont="1" applyBorder="1" applyAlignment="1" applyProtection="1">
      <alignment horizontal="left"/>
    </xf>
    <xf numFmtId="0" fontId="1" fillId="0" borderId="37" xfId="0" applyFont="1" applyBorder="1" applyAlignment="1" applyProtection="1">
      <alignment horizontal="left"/>
    </xf>
    <xf numFmtId="0" fontId="1" fillId="0" borderId="6" xfId="0" applyFont="1" applyBorder="1" applyAlignment="1" applyProtection="1">
      <alignment horizontal="left"/>
    </xf>
    <xf numFmtId="0" fontId="56" fillId="7" borderId="1" xfId="0" applyFont="1" applyFill="1" applyBorder="1" applyAlignment="1" applyProtection="1">
      <alignment horizontal="center"/>
    </xf>
    <xf numFmtId="172" fontId="4" fillId="0" borderId="62" xfId="0" applyNumberFormat="1" applyFont="1" applyFill="1" applyBorder="1" applyAlignment="1" applyProtection="1">
      <alignment horizontal="center"/>
      <protection locked="0"/>
    </xf>
    <xf numFmtId="1" fontId="4" fillId="6" borderId="11" xfId="0" applyNumberFormat="1" applyFont="1" applyFill="1" applyBorder="1" applyAlignment="1" applyProtection="1">
      <alignment horizontal="center"/>
      <protection locked="0"/>
    </xf>
    <xf numFmtId="0" fontId="3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30" fillId="0" borderId="0" xfId="0" applyFont="1" applyAlignment="1">
      <alignment horizontal="left"/>
    </xf>
    <xf numFmtId="0" fontId="1" fillId="0" borderId="0" xfId="0" applyFont="1" applyFill="1" applyAlignment="1">
      <alignment horizontal="right"/>
    </xf>
    <xf numFmtId="0" fontId="48" fillId="0" borderId="0" xfId="1" applyFont="1" applyAlignment="1" applyProtection="1">
      <alignment horizontal="left"/>
    </xf>
    <xf numFmtId="0" fontId="6" fillId="0" borderId="0" xfId="0" applyFont="1" applyAlignment="1">
      <alignment horizontal="right"/>
    </xf>
    <xf numFmtId="0" fontId="1"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18" fillId="0" borderId="0" xfId="0" applyFont="1" applyAlignment="1">
      <alignment horizontal="center" vertical="top"/>
    </xf>
    <xf numFmtId="0" fontId="23" fillId="0" borderId="0" xfId="0" applyFont="1" applyAlignment="1">
      <alignment horizontal="left" vertical="center" wrapText="1"/>
    </xf>
    <xf numFmtId="0" fontId="23" fillId="0" borderId="0" xfId="0" applyFont="1" applyAlignment="1">
      <alignment horizontal="center" vertical="center" wrapText="1"/>
    </xf>
    <xf numFmtId="0" fontId="47" fillId="0" borderId="0" xfId="0" applyFont="1" applyFill="1" applyAlignment="1">
      <alignment horizontal="left"/>
    </xf>
    <xf numFmtId="0" fontId="2" fillId="0" borderId="0" xfId="0" applyNumberFormat="1" applyFont="1" applyFill="1" applyBorder="1" applyAlignment="1" applyProtection="1">
      <alignment horizontal="right"/>
    </xf>
    <xf numFmtId="14" fontId="7" fillId="6" borderId="0" xfId="0" applyNumberFormat="1" applyFont="1" applyFill="1" applyBorder="1" applyAlignment="1" applyProtection="1">
      <alignment horizontal="left"/>
      <protection locked="0"/>
    </xf>
    <xf numFmtId="0" fontId="2" fillId="0" borderId="0" xfId="0" applyFont="1" applyAlignment="1" applyProtection="1">
      <alignment horizontal="right"/>
    </xf>
    <xf numFmtId="0" fontId="2" fillId="0" borderId="10" xfId="0" applyFont="1" applyBorder="1" applyAlignment="1" applyProtection="1">
      <alignment horizontal="left"/>
    </xf>
    <xf numFmtId="0" fontId="2" fillId="0" borderId="11" xfId="0" applyFont="1" applyBorder="1" applyAlignment="1" applyProtection="1">
      <alignment horizontal="left"/>
    </xf>
    <xf numFmtId="0" fontId="2" fillId="9" borderId="10" xfId="0" applyFont="1" applyFill="1" applyBorder="1" applyAlignment="1" applyProtection="1">
      <alignment horizontal="left"/>
    </xf>
    <xf numFmtId="0" fontId="2" fillId="9" borderId="11" xfId="0" applyFont="1" applyFill="1" applyBorder="1" applyAlignment="1" applyProtection="1">
      <alignment horizontal="left"/>
    </xf>
    <xf numFmtId="0" fontId="2" fillId="0" borderId="7" xfId="0" applyNumberFormat="1" applyFont="1" applyFill="1" applyBorder="1" applyAlignment="1" applyProtection="1">
      <alignment horizontal="right"/>
    </xf>
    <xf numFmtId="0" fontId="7" fillId="6" borderId="0" xfId="0" applyNumberFormat="1" applyFont="1" applyFill="1" applyBorder="1" applyAlignment="1" applyProtection="1">
      <alignment horizontal="left"/>
      <protection locked="0"/>
    </xf>
    <xf numFmtId="0" fontId="2" fillId="0" borderId="10" xfId="0" applyFont="1" applyFill="1" applyBorder="1" applyAlignment="1" applyProtection="1">
      <alignment horizontal="left"/>
    </xf>
    <xf numFmtId="0" fontId="2" fillId="0" borderId="11" xfId="0" applyFont="1" applyFill="1" applyBorder="1" applyAlignment="1" applyProtection="1">
      <alignment horizontal="left"/>
    </xf>
    <xf numFmtId="0" fontId="7" fillId="6" borderId="11" xfId="0" applyFont="1" applyFill="1" applyBorder="1" applyAlignment="1" applyProtection="1">
      <alignment horizontal="left" vertical="top" wrapText="1"/>
      <protection locked="0"/>
    </xf>
    <xf numFmtId="0" fontId="7" fillId="6" borderId="0" xfId="0" applyFont="1" applyFill="1" applyBorder="1" applyAlignment="1" applyProtection="1">
      <alignment horizontal="left" vertical="top" wrapText="1"/>
      <protection locked="0"/>
    </xf>
    <xf numFmtId="0" fontId="7" fillId="0" borderId="7" xfId="0" applyNumberFormat="1" applyFont="1" applyFill="1" applyBorder="1" applyAlignment="1" applyProtection="1">
      <alignment horizontal="left"/>
    </xf>
    <xf numFmtId="0" fontId="7" fillId="0" borderId="0" xfId="0" applyNumberFormat="1" applyFont="1" applyFill="1" applyBorder="1" applyAlignment="1" applyProtection="1">
      <alignment horizontal="left"/>
    </xf>
    <xf numFmtId="0" fontId="7" fillId="0" borderId="27" xfId="0" applyNumberFormat="1" applyFont="1" applyFill="1" applyBorder="1" applyAlignment="1" applyProtection="1">
      <alignment horizontal="left"/>
    </xf>
    <xf numFmtId="0" fontId="7" fillId="0" borderId="26" xfId="0" applyNumberFormat="1" applyFont="1" applyFill="1" applyBorder="1" applyAlignment="1" applyProtection="1">
      <alignment horizontal="left"/>
    </xf>
    <xf numFmtId="172" fontId="32" fillId="0" borderId="7" xfId="0" applyNumberFormat="1" applyFont="1" applyBorder="1" applyAlignment="1" applyProtection="1">
      <alignment horizontal="left" vertical="top" wrapText="1"/>
    </xf>
    <xf numFmtId="172" fontId="32" fillId="0" borderId="0" xfId="0" applyNumberFormat="1" applyFont="1" applyAlignment="1" applyProtection="1">
      <alignment horizontal="left" vertical="top" wrapText="1"/>
    </xf>
    <xf numFmtId="0" fontId="53" fillId="0" borderId="0" xfId="0" applyFont="1" applyBorder="1" applyAlignment="1" applyProtection="1">
      <alignment horizontal="left" vertical="top" wrapText="1"/>
    </xf>
    <xf numFmtId="0" fontId="2" fillId="0" borderId="7" xfId="0" applyFont="1" applyBorder="1" applyAlignment="1" applyProtection="1">
      <alignment horizontal="left" vertical="top" wrapText="1"/>
    </xf>
    <xf numFmtId="0" fontId="2" fillId="0" borderId="0" xfId="0" applyFont="1" applyBorder="1" applyAlignment="1" applyProtection="1">
      <alignment horizontal="left" vertical="top" wrapText="1"/>
    </xf>
    <xf numFmtId="0" fontId="29" fillId="0" borderId="27" xfId="0" applyNumberFormat="1" applyFont="1" applyFill="1" applyBorder="1" applyAlignment="1" applyProtection="1"/>
    <xf numFmtId="0" fontId="29" fillId="0" borderId="26" xfId="0" applyNumberFormat="1" applyFont="1" applyFill="1" applyBorder="1" applyAlignment="1" applyProtection="1"/>
    <xf numFmtId="49" fontId="5" fillId="0" borderId="11" xfId="0" applyNumberFormat="1" applyFont="1" applyFill="1" applyBorder="1" applyAlignment="1" applyProtection="1">
      <alignment horizontal="right"/>
    </xf>
    <xf numFmtId="0" fontId="32" fillId="0" borderId="0" xfId="0" applyFont="1" applyAlignment="1" applyProtection="1">
      <alignment horizontal="left" vertical="top" wrapText="1"/>
    </xf>
    <xf numFmtId="0" fontId="32" fillId="0" borderId="0" xfId="0" applyFont="1" applyBorder="1" applyAlignment="1" applyProtection="1">
      <alignment horizontal="left" vertical="top" wrapText="1"/>
    </xf>
    <xf numFmtId="0" fontId="32" fillId="0" borderId="8" xfId="0" applyFont="1" applyBorder="1" applyAlignment="1" applyProtection="1">
      <alignment horizontal="left" vertical="top" wrapText="1"/>
    </xf>
    <xf numFmtId="0" fontId="7" fillId="0" borderId="7" xfId="0" applyFont="1" applyBorder="1" applyAlignment="1" applyProtection="1">
      <alignment horizontal="left"/>
    </xf>
    <xf numFmtId="0" fontId="7" fillId="0" borderId="0" xfId="0" applyFont="1" applyBorder="1" applyAlignment="1" applyProtection="1">
      <alignment horizontal="left"/>
    </xf>
    <xf numFmtId="0" fontId="32" fillId="0" borderId="0" xfId="0" applyFont="1" applyBorder="1" applyAlignment="1" applyProtection="1">
      <alignment horizontal="left" vertical="center" wrapText="1"/>
    </xf>
    <xf numFmtId="0" fontId="32" fillId="0" borderId="8" xfId="0" applyFont="1" applyBorder="1" applyAlignment="1" applyProtection="1">
      <alignment horizontal="left" vertical="center" wrapText="1"/>
    </xf>
    <xf numFmtId="0" fontId="32" fillId="0" borderId="0" xfId="0" applyFont="1" applyAlignment="1" applyProtection="1">
      <alignment horizontal="left" vertical="center" wrapText="1"/>
    </xf>
    <xf numFmtId="172" fontId="29" fillId="0" borderId="26" xfId="0" applyNumberFormat="1" applyFont="1" applyFill="1" applyBorder="1" applyAlignment="1" applyProtection="1">
      <protection locked="0"/>
    </xf>
    <xf numFmtId="172" fontId="29" fillId="0" borderId="9" xfId="0" applyNumberFormat="1" applyFont="1" applyFill="1" applyBorder="1" applyAlignment="1" applyProtection="1">
      <protection locked="0"/>
    </xf>
    <xf numFmtId="0" fontId="1" fillId="0" borderId="0" xfId="0" applyFont="1" applyFill="1" applyBorder="1" applyAlignment="1" applyProtection="1">
      <alignment horizontal="left" vertical="top" wrapText="1"/>
    </xf>
    <xf numFmtId="164" fontId="4" fillId="3" borderId="0" xfId="0" applyNumberFormat="1" applyFont="1" applyFill="1" applyBorder="1" applyAlignment="1" applyProtection="1">
      <alignment horizontal="center" vertical="center"/>
    </xf>
    <xf numFmtId="164" fontId="4" fillId="3" borderId="0" xfId="0" applyNumberFormat="1" applyFont="1" applyFill="1" applyAlignment="1" applyProtection="1">
      <alignment horizontal="center" vertical="center"/>
    </xf>
    <xf numFmtId="14" fontId="7" fillId="0" borderId="0" xfId="0" applyNumberFormat="1" applyFont="1" applyFill="1" applyBorder="1" applyAlignment="1" applyProtection="1">
      <alignment horizontal="left"/>
    </xf>
    <xf numFmtId="172" fontId="4" fillId="0" borderId="1" xfId="0" applyNumberFormat="1" applyFont="1" applyFill="1" applyBorder="1" applyAlignment="1" applyProtection="1">
      <alignment horizontal="right"/>
    </xf>
    <xf numFmtId="172" fontId="4" fillId="0" borderId="0" xfId="0" applyNumberFormat="1" applyFont="1" applyFill="1" applyAlignment="1" applyProtection="1">
      <alignment horizontal="right"/>
    </xf>
    <xf numFmtId="0" fontId="16" fillId="0" borderId="0" xfId="0" applyNumberFormat="1" applyFont="1" applyFill="1" applyBorder="1" applyAlignment="1" applyProtection="1">
      <alignment horizontal="left" vertical="center"/>
    </xf>
    <xf numFmtId="173" fontId="4" fillId="3" borderId="0" xfId="0" applyNumberFormat="1" applyFont="1" applyFill="1" applyBorder="1" applyAlignment="1" applyProtection="1">
      <alignment horizontal="center" vertical="center"/>
      <protection locked="0"/>
    </xf>
    <xf numFmtId="0" fontId="4" fillId="6" borderId="0" xfId="0" applyNumberFormat="1" applyFont="1" applyFill="1" applyAlignment="1" applyProtection="1">
      <alignment horizontal="center" vertical="center"/>
    </xf>
    <xf numFmtId="164" fontId="4" fillId="3" borderId="0" xfId="0" applyNumberFormat="1" applyFont="1" applyFill="1" applyBorder="1" applyAlignment="1" applyProtection="1">
      <alignment horizontal="center" vertical="center"/>
      <protection locked="0"/>
    </xf>
    <xf numFmtId="0" fontId="4" fillId="0" borderId="0" xfId="0" applyFont="1" applyFill="1" applyAlignment="1" applyProtection="1">
      <alignment horizontal="left"/>
    </xf>
    <xf numFmtId="0" fontId="2" fillId="0" borderId="57" xfId="0" applyFont="1" applyFill="1" applyBorder="1" applyAlignment="1" applyProtection="1">
      <alignment horizontal="center" vertical="center" wrapText="1"/>
    </xf>
    <xf numFmtId="0" fontId="2" fillId="0" borderId="58" xfId="0" applyFont="1" applyFill="1" applyBorder="1" applyAlignment="1" applyProtection="1">
      <alignment horizontal="center" vertical="center" wrapText="1"/>
    </xf>
    <xf numFmtId="0" fontId="2" fillId="0" borderId="61" xfId="0"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51" xfId="0" applyFont="1" applyFill="1" applyBorder="1" applyAlignment="1" applyProtection="1">
      <alignment horizontal="center" vertical="center" wrapText="1"/>
    </xf>
    <xf numFmtId="0" fontId="2" fillId="0" borderId="60"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0" fillId="0" borderId="32" xfId="0" applyFill="1" applyBorder="1" applyAlignment="1" applyProtection="1">
      <alignment horizontal="center" vertical="center" wrapText="1"/>
    </xf>
    <xf numFmtId="0" fontId="0" fillId="0" borderId="29" xfId="0" applyFill="1" applyBorder="1" applyAlignment="1" applyProtection="1">
      <alignment horizontal="center" vertical="center" wrapText="1"/>
    </xf>
    <xf numFmtId="0" fontId="2" fillId="0" borderId="52" xfId="0" applyFont="1" applyFill="1" applyBorder="1" applyAlignment="1" applyProtection="1">
      <alignment horizontal="center" vertical="center" wrapText="1"/>
    </xf>
    <xf numFmtId="14" fontId="4" fillId="3" borderId="59" xfId="0" applyNumberFormat="1" applyFont="1" applyFill="1" applyBorder="1" applyAlignment="1" applyProtection="1">
      <alignment horizontal="center"/>
    </xf>
    <xf numFmtId="14" fontId="4" fillId="3" borderId="56" xfId="0" applyNumberFormat="1" applyFont="1" applyFill="1" applyBorder="1" applyAlignment="1" applyProtection="1">
      <alignment horizontal="center"/>
    </xf>
    <xf numFmtId="164" fontId="2" fillId="0" borderId="51" xfId="0" applyNumberFormat="1" applyFont="1" applyFill="1" applyBorder="1" applyAlignment="1" applyProtection="1">
      <alignment horizontal="center" vertical="center"/>
    </xf>
    <xf numFmtId="164" fontId="2" fillId="0" borderId="60" xfId="0" applyNumberFormat="1" applyFont="1" applyFill="1" applyBorder="1" applyAlignment="1" applyProtection="1">
      <alignment horizontal="center" vertical="center"/>
    </xf>
    <xf numFmtId="164" fontId="2" fillId="0" borderId="52" xfId="0" applyNumberFormat="1" applyFont="1" applyFill="1" applyBorder="1" applyAlignment="1" applyProtection="1">
      <alignment horizontal="center" vertical="center" wrapText="1"/>
    </xf>
    <xf numFmtId="164" fontId="2" fillId="0" borderId="29" xfId="0" applyNumberFormat="1" applyFont="1" applyFill="1" applyBorder="1" applyAlignment="1" applyProtection="1">
      <alignment horizontal="center" vertical="center" wrapText="1"/>
    </xf>
    <xf numFmtId="0" fontId="2" fillId="0" borderId="36" xfId="0" applyNumberFormat="1" applyFont="1" applyFill="1" applyBorder="1" applyAlignment="1" applyProtection="1">
      <alignment horizontal="center"/>
    </xf>
    <xf numFmtId="0" fontId="2" fillId="0" borderId="62" xfId="0" applyNumberFormat="1" applyFont="1" applyFill="1" applyBorder="1" applyAlignment="1" applyProtection="1">
      <alignment horizontal="center"/>
    </xf>
    <xf numFmtId="164" fontId="2" fillId="3" borderId="59" xfId="0" applyNumberFormat="1" applyFont="1" applyFill="1" applyBorder="1" applyAlignment="1" applyProtection="1">
      <alignment horizontal="center"/>
    </xf>
    <xf numFmtId="164" fontId="2" fillId="3" borderId="56" xfId="0" applyNumberFormat="1" applyFont="1" applyFill="1" applyBorder="1" applyAlignment="1" applyProtection="1">
      <alignment horizontal="center"/>
    </xf>
    <xf numFmtId="164" fontId="2" fillId="3" borderId="40" xfId="0" applyNumberFormat="1" applyFont="1" applyFill="1" applyBorder="1" applyAlignment="1" applyProtection="1">
      <alignment horizontal="center"/>
    </xf>
    <xf numFmtId="0" fontId="2" fillId="6" borderId="59" xfId="0" applyFont="1" applyFill="1" applyBorder="1" applyAlignment="1" applyProtection="1">
      <alignment horizontal="center"/>
    </xf>
    <xf numFmtId="0" fontId="2" fillId="6" borderId="40" xfId="0" applyFont="1" applyFill="1" applyBorder="1" applyAlignment="1" applyProtection="1">
      <alignment horizontal="center"/>
    </xf>
    <xf numFmtId="0" fontId="2" fillId="3" borderId="59" xfId="0" applyFont="1" applyFill="1" applyBorder="1" applyAlignment="1" applyProtection="1">
      <alignment horizontal="center"/>
    </xf>
    <xf numFmtId="0" fontId="2" fillId="3" borderId="40" xfId="0" applyFont="1" applyFill="1" applyBorder="1" applyAlignment="1" applyProtection="1">
      <alignment horizontal="center"/>
    </xf>
    <xf numFmtId="0" fontId="2" fillId="0" borderId="36" xfId="0" applyFont="1" applyFill="1" applyBorder="1" applyAlignment="1" applyProtection="1">
      <alignment horizontal="center"/>
    </xf>
    <xf numFmtId="0" fontId="2" fillId="0" borderId="37" xfId="0" applyFont="1" applyFill="1" applyBorder="1" applyAlignment="1" applyProtection="1">
      <alignment horizontal="center"/>
    </xf>
    <xf numFmtId="0" fontId="2" fillId="0" borderId="67" xfId="0" applyFont="1" applyFill="1" applyBorder="1" applyAlignment="1" applyProtection="1">
      <alignment horizontal="center" vertical="center" wrapText="1"/>
    </xf>
    <xf numFmtId="46" fontId="4" fillId="0" borderId="38" xfId="0" applyNumberFormat="1" applyFont="1" applyFill="1" applyBorder="1" applyAlignment="1" applyProtection="1">
      <alignment horizontal="center"/>
    </xf>
    <xf numFmtId="46" fontId="4" fillId="0" borderId="69" xfId="0" applyNumberFormat="1" applyFont="1" applyFill="1" applyBorder="1" applyAlignment="1" applyProtection="1">
      <alignment horizontal="center"/>
    </xf>
    <xf numFmtId="0" fontId="4" fillId="0" borderId="59" xfId="0" applyFont="1" applyFill="1" applyBorder="1" applyAlignment="1" applyProtection="1">
      <alignment horizontal="center"/>
    </xf>
    <xf numFmtId="0" fontId="4" fillId="0" borderId="40" xfId="0" applyFont="1" applyFill="1" applyBorder="1" applyAlignment="1" applyProtection="1">
      <alignment horizontal="center"/>
    </xf>
    <xf numFmtId="0" fontId="0" fillId="0" borderId="60" xfId="0" applyFill="1" applyBorder="1" applyAlignment="1" applyProtection="1">
      <alignment horizontal="center" vertical="center" wrapText="1"/>
    </xf>
    <xf numFmtId="0" fontId="4" fillId="0" borderId="36" xfId="0" applyFont="1" applyFill="1" applyBorder="1" applyAlignment="1" applyProtection="1">
      <alignment horizontal="center" shrinkToFit="1"/>
      <protection locked="0"/>
    </xf>
    <xf numFmtId="0" fontId="4" fillId="0" borderId="37" xfId="0" applyFont="1" applyFill="1" applyBorder="1" applyAlignment="1" applyProtection="1">
      <alignment horizontal="center" shrinkToFit="1"/>
      <protection locked="0"/>
    </xf>
    <xf numFmtId="0" fontId="4" fillId="0" borderId="36" xfId="0" applyFont="1" applyFill="1" applyBorder="1" applyAlignment="1" applyProtection="1">
      <alignment horizontal="center"/>
      <protection locked="0"/>
    </xf>
    <xf numFmtId="0" fontId="4" fillId="0" borderId="37" xfId="0" applyFont="1" applyFill="1" applyBorder="1" applyAlignment="1" applyProtection="1">
      <alignment horizontal="center"/>
      <protection locked="0"/>
    </xf>
    <xf numFmtId="0" fontId="2" fillId="0" borderId="54" xfId="0" applyFont="1" applyFill="1" applyBorder="1" applyAlignment="1" applyProtection="1">
      <alignment horizontal="center" vertical="center" wrapText="1"/>
    </xf>
    <xf numFmtId="0" fontId="0" fillId="0" borderId="68" xfId="0" applyFill="1" applyBorder="1" applyAlignment="1" applyProtection="1">
      <alignment horizontal="center" vertical="center" wrapText="1"/>
    </xf>
    <xf numFmtId="0" fontId="2" fillId="0" borderId="42" xfId="0" applyFont="1" applyFill="1" applyBorder="1" applyAlignment="1" applyProtection="1">
      <alignment horizontal="center" vertical="center" wrapText="1"/>
    </xf>
    <xf numFmtId="0" fontId="5" fillId="0" borderId="0" xfId="0" applyNumberFormat="1" applyFont="1" applyFill="1" applyAlignment="1" applyProtection="1">
      <alignment horizontal="right"/>
    </xf>
    <xf numFmtId="14" fontId="4" fillId="0" borderId="0" xfId="0" applyNumberFormat="1" applyFont="1" applyFill="1" applyBorder="1" applyAlignment="1" applyProtection="1">
      <alignment horizontal="left"/>
    </xf>
    <xf numFmtId="0" fontId="2" fillId="6" borderId="56" xfId="0" applyFont="1" applyFill="1" applyBorder="1" applyAlignment="1" applyProtection="1">
      <alignment horizontal="center"/>
    </xf>
    <xf numFmtId="0" fontId="4" fillId="0" borderId="0" xfId="0" applyNumberFormat="1" applyFont="1" applyFill="1" applyBorder="1" applyAlignment="1" applyProtection="1">
      <alignment horizontal="left"/>
    </xf>
    <xf numFmtId="164" fontId="4" fillId="0" borderId="0" xfId="0" applyNumberFormat="1" applyFont="1" applyFill="1" applyAlignment="1" applyProtection="1">
      <alignment horizontal="left"/>
    </xf>
    <xf numFmtId="172" fontId="4" fillId="0" borderId="3" xfId="0" applyNumberFormat="1" applyFont="1" applyFill="1" applyBorder="1" applyAlignment="1" applyProtection="1">
      <alignment horizontal="center"/>
    </xf>
    <xf numFmtId="0" fontId="4" fillId="0" borderId="1" xfId="0" applyFont="1" applyFill="1" applyBorder="1" applyAlignment="1" applyProtection="1">
      <alignment horizontal="center"/>
    </xf>
    <xf numFmtId="172" fontId="5" fillId="0" borderId="3" xfId="0" applyNumberFormat="1" applyFont="1" applyFill="1" applyBorder="1" applyAlignment="1" applyProtection="1">
      <alignment horizontal="right"/>
    </xf>
    <xf numFmtId="49" fontId="4" fillId="0" borderId="0" xfId="0" applyNumberFormat="1" applyFont="1" applyFill="1" applyBorder="1" applyAlignment="1" applyProtection="1">
      <alignment horizontal="left"/>
    </xf>
    <xf numFmtId="164" fontId="5" fillId="0" borderId="0" xfId="0" applyNumberFormat="1" applyFont="1" applyFill="1" applyAlignment="1" applyProtection="1">
      <alignment horizontal="right"/>
    </xf>
    <xf numFmtId="172" fontId="4" fillId="0" borderId="2" xfId="0" applyNumberFormat="1" applyFont="1" applyFill="1" applyBorder="1" applyAlignment="1" applyProtection="1">
      <alignment horizontal="right"/>
    </xf>
    <xf numFmtId="172" fontId="4" fillId="0" borderId="0" xfId="0" applyNumberFormat="1" applyFont="1" applyFill="1" applyBorder="1" applyAlignment="1" applyProtection="1">
      <alignment horizontal="right"/>
    </xf>
    <xf numFmtId="0" fontId="4" fillId="0" borderId="0" xfId="0" applyFont="1" applyFill="1" applyBorder="1" applyAlignment="1" applyProtection="1">
      <alignment horizontal="center"/>
    </xf>
    <xf numFmtId="0" fontId="1" fillId="0" borderId="60" xfId="0" applyFont="1" applyFill="1" applyBorder="1" applyAlignment="1" applyProtection="1">
      <alignment horizontal="center" vertical="center" wrapText="1"/>
    </xf>
    <xf numFmtId="0" fontId="1" fillId="0" borderId="68" xfId="0" applyFont="1" applyFill="1" applyBorder="1" applyAlignment="1" applyProtection="1">
      <alignment horizontal="center" vertical="center" wrapText="1"/>
    </xf>
    <xf numFmtId="49" fontId="4" fillId="0" borderId="0" xfId="0" applyNumberFormat="1" applyFont="1" applyFill="1" applyBorder="1" applyAlignment="1" applyProtection="1">
      <alignment horizontal="right"/>
    </xf>
    <xf numFmtId="49" fontId="5" fillId="0" borderId="0" xfId="0" applyNumberFormat="1" applyFont="1" applyFill="1" applyBorder="1" applyAlignment="1" applyProtection="1">
      <alignment horizontal="right"/>
    </xf>
    <xf numFmtId="0" fontId="24" fillId="10" borderId="7" xfId="0" applyFont="1" applyFill="1" applyBorder="1" applyAlignment="1"/>
    <xf numFmtId="0" fontId="24" fillId="10" borderId="0" xfId="0" applyFont="1" applyFill="1" applyBorder="1" applyAlignment="1"/>
    <xf numFmtId="0" fontId="24" fillId="0" borderId="7" xfId="0" applyFont="1" applyFill="1" applyBorder="1" applyAlignment="1"/>
    <xf numFmtId="0" fontId="24" fillId="0" borderId="0" xfId="0" applyFont="1" applyFill="1" applyBorder="1" applyAlignment="1"/>
    <xf numFmtId="0" fontId="1" fillId="0" borderId="27" xfId="0" applyFont="1" applyFill="1" applyBorder="1" applyAlignment="1"/>
    <xf numFmtId="0" fontId="24" fillId="0" borderId="26" xfId="0" applyFont="1" applyFill="1" applyBorder="1" applyAlignment="1"/>
    <xf numFmtId="1" fontId="32" fillId="0" borderId="7" xfId="0" applyNumberFormat="1" applyFont="1" applyBorder="1" applyAlignment="1" applyProtection="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7" xfId="0" applyBorder="1" applyAlignment="1">
      <alignment wrapText="1"/>
    </xf>
    <xf numFmtId="0" fontId="0" fillId="0" borderId="0" xfId="0" applyAlignment="1">
      <alignment wrapText="1"/>
    </xf>
    <xf numFmtId="0" fontId="20" fillId="0" borderId="0" xfId="0" applyFont="1" applyBorder="1" applyAlignment="1" applyProtection="1">
      <alignment horizontal="right"/>
    </xf>
    <xf numFmtId="0" fontId="2" fillId="0" borderId="0" xfId="0" applyFont="1" applyBorder="1" applyAlignment="1" applyProtection="1">
      <alignment horizontal="left"/>
    </xf>
    <xf numFmtId="0" fontId="1" fillId="0" borderId="0" xfId="0" applyFont="1" applyBorder="1" applyAlignment="1" applyProtection="1">
      <alignment wrapText="1"/>
    </xf>
    <xf numFmtId="0" fontId="0" fillId="0" borderId="0" xfId="0" applyBorder="1" applyAlignment="1" applyProtection="1">
      <alignment wrapText="1"/>
    </xf>
    <xf numFmtId="0" fontId="24" fillId="9" borderId="7" xfId="0" applyFont="1" applyFill="1" applyBorder="1" applyAlignment="1"/>
    <xf numFmtId="0" fontId="24" fillId="9" borderId="0" xfId="0" applyFont="1" applyFill="1" applyBorder="1" applyAlignment="1"/>
    <xf numFmtId="0" fontId="1" fillId="10" borderId="7" xfId="0" applyFont="1" applyFill="1" applyBorder="1" applyAlignment="1"/>
    <xf numFmtId="0" fontId="6" fillId="7" borderId="22" xfId="0" applyFont="1" applyFill="1" applyBorder="1" applyAlignment="1" applyProtection="1">
      <alignment horizontal="center"/>
    </xf>
    <xf numFmtId="0" fontId="6" fillId="7" borderId="56" xfId="0" applyFont="1" applyFill="1" applyBorder="1" applyAlignment="1" applyProtection="1">
      <alignment horizontal="center"/>
    </xf>
    <xf numFmtId="0" fontId="6" fillId="7" borderId="48" xfId="0" applyFont="1" applyFill="1" applyBorder="1" applyAlignment="1" applyProtection="1">
      <alignment horizontal="center"/>
    </xf>
    <xf numFmtId="0" fontId="6" fillId="7" borderId="40" xfId="0" applyFont="1" applyFill="1" applyBorder="1" applyAlignment="1" applyProtection="1">
      <alignment horizontal="center"/>
    </xf>
    <xf numFmtId="0" fontId="2" fillId="0" borderId="59" xfId="0" applyFont="1" applyBorder="1" applyAlignment="1">
      <alignment horizontal="center"/>
    </xf>
    <xf numFmtId="0" fontId="2" fillId="0" borderId="40" xfId="0" applyFont="1" applyBorder="1" applyAlignment="1">
      <alignment horizontal="center"/>
    </xf>
    <xf numFmtId="172" fontId="7" fillId="0" borderId="27" xfId="0" applyNumberFormat="1" applyFont="1" applyBorder="1" applyAlignment="1">
      <alignment horizontal="center"/>
    </xf>
    <xf numFmtId="172" fontId="7" fillId="0" borderId="9" xfId="0" applyNumberFormat="1" applyFont="1" applyBorder="1" applyAlignment="1">
      <alignment horizontal="center"/>
    </xf>
    <xf numFmtId="0" fontId="1" fillId="0" borderId="5" xfId="0" applyNumberFormat="1" applyFont="1" applyFill="1" applyBorder="1" applyAlignment="1">
      <alignment horizontal="left"/>
    </xf>
    <xf numFmtId="0" fontId="1" fillId="0" borderId="28" xfId="0" applyNumberFormat="1" applyFont="1" applyFill="1" applyBorder="1" applyAlignment="1">
      <alignment horizontal="left"/>
    </xf>
    <xf numFmtId="0" fontId="1" fillId="0" borderId="37" xfId="0" applyNumberFormat="1" applyFont="1" applyFill="1" applyBorder="1" applyAlignment="1">
      <alignment horizontal="left"/>
    </xf>
    <xf numFmtId="0" fontId="1" fillId="0" borderId="6" xfId="0" applyNumberFormat="1" applyFont="1" applyFill="1" applyBorder="1" applyAlignment="1">
      <alignment horizontal="left"/>
    </xf>
    <xf numFmtId="0" fontId="1" fillId="0" borderId="28" xfId="0" applyFont="1" applyBorder="1" applyAlignment="1" applyProtection="1">
      <alignment horizontal="left"/>
    </xf>
    <xf numFmtId="0" fontId="1" fillId="0" borderId="37" xfId="0" applyFont="1" applyBorder="1" applyAlignment="1" applyProtection="1">
      <alignment horizontal="left"/>
    </xf>
    <xf numFmtId="0" fontId="1" fillId="0" borderId="6" xfId="0" applyFont="1" applyBorder="1" applyAlignment="1" applyProtection="1">
      <alignment horizontal="left"/>
    </xf>
    <xf numFmtId="0" fontId="1" fillId="0" borderId="28" xfId="0" applyFont="1" applyBorder="1" applyAlignment="1" applyProtection="1">
      <alignment horizontal="center"/>
    </xf>
    <xf numFmtId="0" fontId="1" fillId="0" borderId="37" xfId="0" applyFont="1" applyBorder="1" applyAlignment="1" applyProtection="1">
      <alignment horizontal="center"/>
    </xf>
    <xf numFmtId="0" fontId="1" fillId="0" borderId="6" xfId="0" applyFont="1" applyBorder="1" applyAlignment="1" applyProtection="1">
      <alignment horizontal="center"/>
    </xf>
    <xf numFmtId="0" fontId="1" fillId="0" borderId="28" xfId="0" applyNumberFormat="1" applyFont="1" applyFill="1" applyBorder="1" applyAlignment="1">
      <alignment horizontal="center"/>
    </xf>
    <xf numFmtId="0" fontId="1" fillId="0" borderId="37" xfId="0" applyNumberFormat="1" applyFont="1" applyFill="1" applyBorder="1" applyAlignment="1">
      <alignment horizontal="center"/>
    </xf>
    <xf numFmtId="0" fontId="1" fillId="0" borderId="6" xfId="0" applyNumberFormat="1" applyFont="1" applyFill="1" applyBorder="1" applyAlignment="1">
      <alignment horizontal="center"/>
    </xf>
    <xf numFmtId="0" fontId="1" fillId="0" borderId="28" xfId="0" applyFont="1" applyBorder="1" applyAlignment="1" applyProtection="1"/>
    <xf numFmtId="0" fontId="1" fillId="0" borderId="37" xfId="0" applyFont="1" applyBorder="1" applyAlignment="1" applyProtection="1"/>
    <xf numFmtId="0" fontId="1" fillId="0" borderId="6" xfId="0" applyFont="1" applyBorder="1" applyAlignment="1" applyProtection="1"/>
    <xf numFmtId="0" fontId="1" fillId="0" borderId="28" xfId="0" applyFont="1" applyFill="1" applyBorder="1" applyAlignment="1">
      <alignment horizontal="left"/>
    </xf>
    <xf numFmtId="0" fontId="1" fillId="0" borderId="37" xfId="0" applyFont="1" applyFill="1" applyBorder="1" applyAlignment="1">
      <alignment horizontal="left"/>
    </xf>
    <xf numFmtId="0" fontId="1" fillId="0" borderId="6" xfId="0" applyFont="1" applyFill="1" applyBorder="1" applyAlignment="1">
      <alignment horizontal="left"/>
    </xf>
    <xf numFmtId="0" fontId="0" fillId="0" borderId="28" xfId="0" applyFill="1" applyBorder="1" applyAlignment="1">
      <alignment horizontal="left"/>
    </xf>
    <xf numFmtId="0" fontId="0" fillId="0" borderId="37" xfId="0" applyFill="1" applyBorder="1" applyAlignment="1">
      <alignment horizontal="left"/>
    </xf>
    <xf numFmtId="0" fontId="0" fillId="0" borderId="6" xfId="0" applyFill="1" applyBorder="1" applyAlignment="1">
      <alignment horizontal="left"/>
    </xf>
    <xf numFmtId="0" fontId="42" fillId="0" borderId="73" xfId="0" applyFont="1" applyBorder="1" applyAlignment="1">
      <alignment horizontal="left"/>
    </xf>
    <xf numFmtId="0" fontId="6" fillId="0" borderId="5" xfId="0" applyFont="1" applyBorder="1" applyAlignment="1">
      <alignment horizontal="center"/>
    </xf>
    <xf numFmtId="0" fontId="1" fillId="14" borderId="28" xfId="0" applyFont="1" applyFill="1" applyBorder="1" applyAlignment="1">
      <alignment horizontal="center"/>
    </xf>
    <xf numFmtId="0" fontId="0" fillId="14" borderId="6" xfId="0" applyFill="1" applyBorder="1" applyAlignment="1">
      <alignment horizontal="center"/>
    </xf>
    <xf numFmtId="0" fontId="6" fillId="5" borderId="37" xfId="0" applyFont="1" applyFill="1" applyBorder="1" applyAlignment="1">
      <alignment horizontal="center"/>
    </xf>
    <xf numFmtId="0" fontId="6" fillId="5" borderId="6" xfId="0" applyFont="1" applyFill="1" applyBorder="1" applyAlignment="1">
      <alignment horizontal="center"/>
    </xf>
    <xf numFmtId="0" fontId="6" fillId="5" borderId="28" xfId="0" applyFont="1" applyFill="1" applyBorder="1" applyAlignment="1">
      <alignment horizontal="center"/>
    </xf>
    <xf numFmtId="0" fontId="6" fillId="6" borderId="5" xfId="0" applyFont="1" applyFill="1" applyBorder="1" applyAlignment="1">
      <alignment horizontal="left"/>
    </xf>
    <xf numFmtId="0" fontId="6" fillId="0" borderId="5" xfId="0" applyFont="1" applyBorder="1" applyAlignment="1">
      <alignment horizontal="left"/>
    </xf>
    <xf numFmtId="0" fontId="6" fillId="0" borderId="32" xfId="0" applyFont="1" applyBorder="1" applyAlignment="1">
      <alignment horizontal="left"/>
    </xf>
    <xf numFmtId="0" fontId="6" fillId="0" borderId="1" xfId="0" applyFont="1" applyBorder="1" applyAlignment="1">
      <alignment horizontal="left"/>
    </xf>
    <xf numFmtId="0" fontId="6" fillId="0" borderId="33" xfId="0" applyFont="1" applyBorder="1" applyAlignment="1">
      <alignment horizontal="left"/>
    </xf>
    <xf numFmtId="49" fontId="1" fillId="6" borderId="28" xfId="0" applyNumberFormat="1" applyFont="1" applyFill="1" applyBorder="1" applyAlignment="1">
      <alignment horizontal="left"/>
    </xf>
    <xf numFmtId="49" fontId="1" fillId="6" borderId="6" xfId="0" applyNumberFormat="1" applyFont="1" applyFill="1" applyBorder="1" applyAlignment="1">
      <alignment horizontal="left"/>
    </xf>
    <xf numFmtId="49" fontId="1" fillId="6" borderId="5" xfId="0" applyNumberFormat="1" applyFont="1" applyFill="1" applyBorder="1" applyAlignment="1">
      <alignment horizontal="left"/>
    </xf>
    <xf numFmtId="0" fontId="6" fillId="0" borderId="5" xfId="0" applyFont="1" applyFill="1" applyBorder="1" applyAlignment="1">
      <alignment horizontal="left"/>
    </xf>
    <xf numFmtId="0" fontId="1" fillId="0" borderId="5" xfId="0" applyFont="1" applyBorder="1" applyAlignment="1" applyProtection="1"/>
    <xf numFmtId="0" fontId="1" fillId="0" borderId="32" xfId="0" applyNumberFormat="1" applyFont="1" applyFill="1" applyBorder="1" applyAlignment="1">
      <alignment horizontal="left"/>
    </xf>
    <xf numFmtId="0" fontId="1" fillId="0" borderId="1" xfId="0" applyNumberFormat="1" applyFont="1" applyFill="1" applyBorder="1" applyAlignment="1">
      <alignment horizontal="left"/>
    </xf>
    <xf numFmtId="0" fontId="1" fillId="0" borderId="33" xfId="0" applyNumberFormat="1" applyFont="1" applyFill="1" applyBorder="1" applyAlignment="1">
      <alignment horizontal="left"/>
    </xf>
    <xf numFmtId="0" fontId="1" fillId="0" borderId="29" xfId="0" applyNumberFormat="1" applyFont="1" applyFill="1" applyBorder="1" applyAlignment="1">
      <alignment horizontal="left"/>
    </xf>
    <xf numFmtId="0" fontId="1" fillId="0" borderId="32" xfId="0" applyFont="1" applyBorder="1" applyAlignment="1" applyProtection="1"/>
    <xf numFmtId="0" fontId="1" fillId="0" borderId="1" xfId="0" applyFont="1" applyBorder="1" applyAlignment="1" applyProtection="1"/>
    <xf numFmtId="0" fontId="1" fillId="0" borderId="33" xfId="0" applyFont="1" applyBorder="1" applyAlignment="1" applyProtection="1"/>
    <xf numFmtId="0" fontId="1" fillId="0" borderId="5" xfId="0" applyFont="1" applyFill="1" applyBorder="1" applyAlignment="1"/>
    <xf numFmtId="0" fontId="0" fillId="0" borderId="5" xfId="0" applyFill="1" applyBorder="1" applyAlignment="1"/>
    <xf numFmtId="0" fontId="1" fillId="0" borderId="52" xfId="0" applyNumberFormat="1" applyFont="1" applyFill="1" applyBorder="1" applyAlignment="1">
      <alignment horizontal="left"/>
    </xf>
    <xf numFmtId="0" fontId="1" fillId="0" borderId="5" xfId="0" applyFont="1" applyBorder="1" applyAlignment="1" applyProtection="1">
      <alignment horizontal="left"/>
    </xf>
    <xf numFmtId="49" fontId="1" fillId="9" borderId="0" xfId="0" applyNumberFormat="1" applyFont="1" applyFill="1" applyBorder="1" applyAlignment="1">
      <alignment horizontal="center"/>
    </xf>
    <xf numFmtId="49" fontId="0" fillId="9" borderId="0" xfId="0" applyNumberFormat="1" applyFill="1" applyBorder="1" applyAlignment="1">
      <alignment horizontal="center"/>
    </xf>
    <xf numFmtId="49" fontId="1" fillId="0" borderId="28" xfId="0" applyNumberFormat="1" applyFont="1" applyFill="1" applyBorder="1" applyAlignment="1">
      <alignment horizontal="right"/>
    </xf>
    <xf numFmtId="49" fontId="1" fillId="0" borderId="37" xfId="0" applyNumberFormat="1" applyFont="1" applyFill="1" applyBorder="1" applyAlignment="1">
      <alignment horizontal="right"/>
    </xf>
    <xf numFmtId="0" fontId="1" fillId="0" borderId="5" xfId="0" applyFont="1" applyFill="1" applyBorder="1" applyAlignment="1">
      <alignment horizontal="left"/>
    </xf>
    <xf numFmtId="49" fontId="1" fillId="0" borderId="5" xfId="0" applyNumberFormat="1" applyFont="1" applyFill="1" applyBorder="1" applyAlignment="1">
      <alignment horizontal="left"/>
    </xf>
    <xf numFmtId="0" fontId="6" fillId="0" borderId="5" xfId="0" applyNumberFormat="1" applyFont="1" applyFill="1" applyBorder="1" applyAlignment="1">
      <alignment horizontal="left"/>
    </xf>
    <xf numFmtId="49" fontId="1" fillId="0" borderId="28" xfId="0" applyNumberFormat="1" applyFont="1" applyBorder="1" applyAlignment="1">
      <alignment horizontal="left"/>
    </xf>
    <xf numFmtId="49" fontId="1" fillId="0" borderId="37" xfId="0" applyNumberFormat="1" applyFont="1" applyBorder="1" applyAlignment="1">
      <alignment horizontal="left"/>
    </xf>
    <xf numFmtId="49" fontId="1" fillId="0" borderId="6" xfId="0" applyNumberFormat="1" applyFont="1" applyBorder="1" applyAlignment="1">
      <alignment horizontal="left"/>
    </xf>
    <xf numFmtId="49" fontId="1" fillId="0" borderId="28" xfId="0" applyNumberFormat="1" applyFont="1" applyFill="1" applyBorder="1" applyAlignment="1">
      <alignment horizontal="left"/>
    </xf>
    <xf numFmtId="49" fontId="1" fillId="0" borderId="37" xfId="0" applyNumberFormat="1" applyFont="1" applyFill="1" applyBorder="1" applyAlignment="1">
      <alignment horizontal="left"/>
    </xf>
    <xf numFmtId="49" fontId="1" fillId="0" borderId="6" xfId="0" applyNumberFormat="1" applyFont="1" applyFill="1" applyBorder="1" applyAlignment="1">
      <alignment horizontal="left"/>
    </xf>
    <xf numFmtId="0" fontId="0" fillId="8" borderId="28" xfId="0" applyFill="1" applyBorder="1" applyAlignment="1">
      <alignment horizontal="left"/>
    </xf>
    <xf numFmtId="0" fontId="0" fillId="8" borderId="37" xfId="0" applyFill="1" applyBorder="1" applyAlignment="1">
      <alignment horizontal="left"/>
    </xf>
    <xf numFmtId="0" fontId="0" fillId="8" borderId="6" xfId="0" applyFill="1" applyBorder="1" applyAlignment="1">
      <alignment horizontal="left"/>
    </xf>
    <xf numFmtId="0" fontId="1" fillId="0" borderId="0" xfId="0" applyFont="1" applyBorder="1" applyAlignment="1">
      <alignment horizontal="right"/>
    </xf>
    <xf numFmtId="0" fontId="1" fillId="0" borderId="28" xfId="0" applyFont="1" applyBorder="1" applyAlignment="1">
      <alignment horizontal="left"/>
    </xf>
    <xf numFmtId="0" fontId="1" fillId="0" borderId="37" xfId="0" applyFont="1" applyBorder="1" applyAlignment="1">
      <alignment horizontal="left"/>
    </xf>
    <xf numFmtId="0" fontId="1" fillId="0" borderId="6" xfId="0" applyFont="1" applyBorder="1" applyAlignment="1">
      <alignment horizontal="left"/>
    </xf>
    <xf numFmtId="49" fontId="6" fillId="0" borderId="5" xfId="0" applyNumberFormat="1" applyFont="1" applyBorder="1" applyAlignment="1">
      <alignment horizontal="left"/>
    </xf>
    <xf numFmtId="0" fontId="0" fillId="0" borderId="5" xfId="0" applyBorder="1" applyAlignment="1">
      <alignment horizontal="left"/>
    </xf>
    <xf numFmtId="49" fontId="6" fillId="0" borderId="5" xfId="0" applyNumberFormat="1" applyFont="1" applyFill="1" applyBorder="1" applyAlignment="1">
      <alignment horizontal="left"/>
    </xf>
  </cellXfs>
  <cellStyles count="4">
    <cellStyle name="Link" xfId="1" builtinId="8"/>
    <cellStyle name="Prozent" xfId="2" builtinId="5"/>
    <cellStyle name="Standard" xfId="0" builtinId="0"/>
    <cellStyle name="Standard 2" xfId="3" xr:uid="{00000000-0005-0000-0000-000003000000}"/>
  </cellStyles>
  <dxfs count="138">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4.9989318521683403E-2"/>
      </font>
    </dxf>
    <dxf>
      <font>
        <color theme="0" tint="-4.9989318521683403E-2"/>
      </font>
      <fill>
        <patternFill>
          <bgColor theme="0" tint="-4.9989318521683403E-2"/>
        </patternFill>
      </fill>
    </dxf>
    <dxf>
      <font>
        <condense val="0"/>
        <extend val="0"/>
        <color indexed="10"/>
      </font>
    </dxf>
    <dxf>
      <font>
        <color theme="0"/>
      </font>
      <fill>
        <patternFill patternType="none">
          <bgColor auto="1"/>
        </patternFill>
      </fill>
      <border>
        <left/>
        <right/>
        <top style="thin">
          <color auto="1"/>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ill>
        <patternFill patternType="none">
          <bgColor auto="1"/>
        </patternFill>
      </fill>
    </dxf>
    <dxf>
      <fill>
        <patternFill patternType="none">
          <bgColor auto="1"/>
        </patternFill>
      </fill>
    </dxf>
    <dxf>
      <fill>
        <patternFill patternType="lightHorizontal">
          <fgColor theme="0" tint="-0.14996795556505021"/>
          <bgColor theme="0"/>
        </patternFill>
      </fill>
    </dxf>
    <dxf>
      <fill>
        <patternFill patternType="none">
          <bgColor auto="1"/>
        </patternFill>
      </fill>
    </dxf>
    <dxf>
      <fill>
        <patternFill patternType="none">
          <bgColor auto="1"/>
        </patternFill>
      </fill>
    </dxf>
    <dxf>
      <font>
        <color theme="0" tint="-0.14996795556505021"/>
      </font>
    </dxf>
    <dxf>
      <font>
        <color theme="0"/>
      </font>
    </dxf>
    <dxf>
      <font>
        <color theme="0"/>
      </font>
    </dxf>
    <dxf>
      <font>
        <color theme="0"/>
      </font>
      <border>
        <left/>
        <right/>
        <top style="thin">
          <color auto="1"/>
        </top>
        <bottom/>
        <vertical/>
        <horizontal/>
      </border>
    </dxf>
    <dxf>
      <font>
        <color theme="0"/>
      </font>
      <border>
        <left/>
        <right/>
        <top/>
        <bottom/>
        <vertical/>
        <horizontal/>
      </border>
    </dxf>
    <dxf>
      <fill>
        <patternFill patternType="none">
          <bgColor auto="1"/>
        </patternFill>
      </fill>
    </dxf>
    <dxf>
      <fill>
        <patternFill patternType="none">
          <bgColor auto="1"/>
        </patternFill>
      </fill>
    </dxf>
    <dxf>
      <fill>
        <patternFill patternType="lightHorizontal">
          <fgColor theme="0" tint="-0.14996795556505021"/>
          <bgColor theme="0"/>
        </patternFill>
      </fill>
    </dxf>
    <dxf>
      <fill>
        <patternFill patternType="none">
          <bgColor auto="1"/>
        </patternFill>
      </fill>
    </dxf>
    <dxf>
      <fill>
        <patternFill patternType="none">
          <bgColor auto="1"/>
        </patternFill>
      </fill>
    </dxf>
    <dxf>
      <font>
        <color theme="0" tint="-0.14996795556505021"/>
      </font>
    </dxf>
    <dxf>
      <font>
        <color theme="0"/>
      </font>
    </dxf>
    <dxf>
      <font>
        <color theme="0"/>
      </font>
    </dxf>
    <dxf>
      <font>
        <color theme="0"/>
      </font>
      <border>
        <left/>
        <right/>
        <top style="thin">
          <color auto="1"/>
        </top>
        <bottom/>
        <vertical/>
        <horizontal/>
      </border>
    </dxf>
    <dxf>
      <font>
        <color theme="0"/>
      </font>
      <border>
        <left/>
        <right/>
        <top/>
        <bottom/>
        <vertical/>
        <horizontal/>
      </border>
    </dxf>
    <dxf>
      <fill>
        <patternFill patternType="none">
          <bgColor auto="1"/>
        </patternFill>
      </fill>
    </dxf>
    <dxf>
      <fill>
        <patternFill patternType="none">
          <bgColor auto="1"/>
        </patternFill>
      </fill>
    </dxf>
    <dxf>
      <fill>
        <patternFill patternType="lightHorizontal">
          <fgColor theme="0" tint="-0.14996795556505021"/>
          <bgColor theme="0"/>
        </patternFill>
      </fill>
    </dxf>
    <dxf>
      <fill>
        <patternFill patternType="none">
          <bgColor auto="1"/>
        </patternFill>
      </fill>
    </dxf>
    <dxf>
      <fill>
        <patternFill patternType="none">
          <bgColor auto="1"/>
        </patternFill>
      </fill>
    </dxf>
    <dxf>
      <font>
        <color theme="0" tint="-0.14996795556505021"/>
      </font>
    </dxf>
    <dxf>
      <font>
        <color theme="0"/>
      </font>
    </dxf>
    <dxf>
      <font>
        <color theme="0"/>
      </font>
    </dxf>
    <dxf>
      <font>
        <color theme="0"/>
      </font>
      <border>
        <left/>
        <right/>
        <top style="thin">
          <color auto="1"/>
        </top>
        <bottom/>
        <vertical/>
        <horizontal/>
      </border>
    </dxf>
    <dxf>
      <font>
        <color theme="0"/>
      </font>
      <border>
        <left/>
        <right/>
        <top/>
        <bottom/>
        <vertical/>
        <horizontal/>
      </border>
    </dxf>
    <dxf>
      <fill>
        <patternFill patternType="none">
          <bgColor auto="1"/>
        </patternFill>
      </fill>
    </dxf>
    <dxf>
      <fill>
        <patternFill patternType="lightHorizontal">
          <fgColor theme="0" tint="-0.14996795556505021"/>
          <bgColor theme="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dxf>
    <dxf>
      <font>
        <color theme="0"/>
      </font>
    </dxf>
    <dxf>
      <font>
        <color theme="0"/>
      </font>
    </dxf>
    <dxf>
      <font>
        <color theme="0"/>
      </font>
      <border>
        <left/>
        <right/>
        <top style="thin">
          <color auto="1"/>
        </top>
        <bottom/>
        <vertical/>
        <horizontal/>
      </border>
    </dxf>
    <dxf>
      <font>
        <color theme="0"/>
      </font>
      <border>
        <left/>
        <right/>
        <top/>
        <bottom/>
        <vertical/>
        <horizontal/>
      </border>
    </dxf>
    <dxf>
      <fill>
        <patternFill patternType="none">
          <bgColor auto="1"/>
        </patternFill>
      </fill>
    </dxf>
    <dxf>
      <fill>
        <patternFill patternType="lightHorizontal">
          <fgColor theme="0" tint="-0.14993743705557422"/>
          <bgColor theme="0"/>
        </patternFill>
      </fill>
    </dxf>
    <dxf>
      <fill>
        <patternFill patternType="none">
          <bgColor auto="1"/>
        </patternFill>
      </fill>
    </dxf>
    <dxf>
      <font>
        <color theme="0" tint="-0.14996795556505021"/>
      </font>
    </dxf>
    <dxf>
      <fill>
        <patternFill patternType="none">
          <bgColor auto="1"/>
        </patternFill>
      </fill>
    </dxf>
    <dxf>
      <fill>
        <patternFill patternType="none">
          <bgColor auto="1"/>
        </patternFill>
      </fill>
    </dxf>
    <dxf>
      <font>
        <color theme="0"/>
      </font>
    </dxf>
    <dxf>
      <font>
        <color theme="0"/>
      </font>
    </dxf>
    <dxf>
      <font>
        <color theme="0"/>
      </font>
      <border>
        <left/>
        <right/>
        <top style="thin">
          <color auto="1"/>
        </top>
        <bottom/>
        <vertical/>
        <horizontal/>
      </border>
    </dxf>
    <dxf>
      <font>
        <color theme="0"/>
      </font>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dxf>
    <dxf>
      <fill>
        <patternFill patternType="none">
          <bgColor auto="1"/>
        </patternFill>
      </fill>
    </dxf>
    <dxf>
      <fill>
        <patternFill patternType="lightHorizontal">
          <fgColor theme="0" tint="-0.14996795556505021"/>
          <bgColor theme="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dxf>
    <dxf>
      <font>
        <color theme="0"/>
      </font>
    </dxf>
    <dxf>
      <font>
        <strike val="0"/>
        <color theme="1"/>
      </font>
    </dxf>
    <dxf>
      <font>
        <color theme="0"/>
      </font>
      <border>
        <left/>
        <right/>
        <top style="thin">
          <color auto="1"/>
        </top>
        <bottom/>
        <vertical/>
        <horizontal/>
      </border>
    </dxf>
    <dxf>
      <font>
        <color theme="0"/>
      </font>
      <border>
        <left/>
        <right/>
        <top/>
        <bottom/>
        <vertical/>
        <horizontal/>
      </border>
    </dxf>
    <dxf>
      <fill>
        <patternFill patternType="none">
          <bgColor auto="1"/>
        </patternFill>
      </fill>
    </dxf>
    <dxf>
      <fill>
        <patternFill patternType="lightHorizontal">
          <fgColor theme="0" tint="-0.14996795556505021"/>
          <bgColor theme="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dxf>
    <dxf>
      <font>
        <color theme="0"/>
      </font>
    </dxf>
    <dxf>
      <font>
        <color theme="0"/>
      </font>
    </dxf>
    <dxf>
      <font>
        <color theme="0"/>
      </font>
      <border>
        <left/>
        <right/>
        <top style="thin">
          <color auto="1"/>
        </top>
        <bottom/>
        <vertical/>
        <horizontal/>
      </border>
    </dxf>
    <dxf>
      <font>
        <color theme="0"/>
      </font>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ill>
        <patternFill patternType="none">
          <bgColor auto="1"/>
        </patternFill>
      </fill>
    </dxf>
    <dxf>
      <fill>
        <patternFill patternType="none">
          <bgColor auto="1"/>
        </patternFill>
      </fill>
    </dxf>
    <dxf>
      <fill>
        <patternFill patternType="lightHorizontal">
          <fgColor theme="0" tint="-0.14996795556505021"/>
          <bgColor theme="0"/>
        </patternFill>
      </fill>
    </dxf>
    <dxf>
      <fill>
        <patternFill patternType="none">
          <bgColor auto="1"/>
        </patternFill>
      </fill>
    </dxf>
    <dxf>
      <fill>
        <patternFill patternType="none">
          <bgColor auto="1"/>
        </patternFill>
      </fill>
    </dxf>
    <dxf>
      <font>
        <color theme="0" tint="-0.14996795556505021"/>
      </font>
    </dxf>
    <dxf>
      <font>
        <color theme="0"/>
      </font>
    </dxf>
    <dxf>
      <font>
        <color theme="0"/>
      </font>
    </dxf>
    <dxf>
      <font>
        <strike val="0"/>
        <color theme="1"/>
      </font>
    </dxf>
    <dxf>
      <font>
        <color theme="0"/>
      </font>
      <border>
        <left/>
        <right/>
        <top style="thin">
          <color auto="1"/>
        </top>
        <bottom/>
        <vertical/>
        <horizontal/>
      </border>
    </dxf>
    <dxf>
      <font>
        <color theme="0"/>
      </font>
      <border>
        <left/>
        <right/>
        <top/>
        <bottom/>
        <vertical/>
        <horizontal/>
      </border>
    </dxf>
    <dxf>
      <fill>
        <patternFill patternType="none">
          <bgColor auto="1"/>
        </patternFill>
      </fill>
    </dxf>
    <dxf>
      <fill>
        <patternFill patternType="lightHorizontal">
          <fgColor theme="0" tint="-0.14996795556505021"/>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tint="-0.14996795556505021"/>
      </font>
    </dxf>
    <dxf>
      <font>
        <color theme="0"/>
      </font>
    </dxf>
    <dxf>
      <font>
        <color theme="0"/>
      </font>
      <border>
        <left/>
        <right/>
        <top style="thin">
          <color auto="1"/>
        </top>
        <bottom/>
        <vertical/>
        <horizontal/>
      </border>
    </dxf>
    <dxf>
      <font>
        <color theme="0"/>
      </font>
      <border>
        <left/>
        <right/>
        <top/>
        <bottom/>
        <vertical/>
        <horizontal/>
      </border>
    </dxf>
    <dxf>
      <font>
        <color theme="0"/>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lightHorizontal">
          <fgColor theme="0" tint="-0.14993743705557422"/>
          <bgColor theme="0"/>
        </patternFill>
      </fill>
    </dxf>
    <dxf>
      <fill>
        <patternFill patternType="none">
          <bgColor auto="1"/>
        </patternFill>
      </fill>
    </dxf>
    <dxf>
      <font>
        <color theme="0" tint="-0.14996795556505021"/>
      </font>
    </dxf>
    <dxf>
      <font>
        <color theme="0"/>
      </font>
      <border>
        <left/>
        <right/>
        <top style="thin">
          <color auto="1"/>
        </top>
        <bottom/>
        <vertical/>
        <horizontal/>
      </border>
    </dxf>
    <dxf>
      <font>
        <color theme="0"/>
      </font>
      <fill>
        <patternFill patternType="none">
          <bgColor auto="1"/>
        </patternFill>
      </fill>
      <border>
        <left/>
        <right/>
        <top/>
        <bottom/>
        <vertical/>
        <horizontal/>
      </border>
    </dxf>
    <dxf>
      <fill>
        <patternFill patternType="none">
          <bgColor auto="1"/>
        </patternFill>
      </fill>
    </dxf>
    <dxf>
      <font>
        <color theme="0"/>
      </font>
    </dxf>
    <dxf>
      <font>
        <color theme="0"/>
      </font>
    </dxf>
    <dxf>
      <font>
        <color theme="0" tint="-0.14996795556505021"/>
      </font>
    </dxf>
    <dxf>
      <fill>
        <patternFill patternType="none">
          <fgColor indexed="64"/>
          <bgColor auto="1"/>
        </patternFill>
      </fill>
    </dxf>
    <dxf>
      <fill>
        <patternFill patternType="lightHorizontal">
          <fgColor theme="0" tint="-0.14993743705557422"/>
          <bgColor theme="0"/>
        </patternFill>
      </fill>
    </dxf>
    <dxf>
      <fill>
        <patternFill patternType="none">
          <bgColor auto="1"/>
        </patternFill>
      </fill>
    </dxf>
    <dxf>
      <fill>
        <patternFill patternType="none">
          <bgColor auto="1"/>
        </patternFill>
      </fill>
    </dxf>
    <dxf>
      <font>
        <color theme="0"/>
      </font>
      <border>
        <left/>
        <right/>
        <top/>
        <bottom/>
        <vertical/>
        <horizontal/>
      </border>
    </dxf>
    <dxf>
      <font>
        <color theme="0"/>
      </font>
      <fill>
        <patternFill patternType="none">
          <bgColor auto="1"/>
        </patternFill>
      </fill>
      <border>
        <left/>
        <right/>
        <top style="thin">
          <color auto="1"/>
        </top>
        <bottom/>
        <vertical/>
        <horizontal/>
      </border>
    </dxf>
    <dxf>
      <fill>
        <patternFill patternType="none">
          <bgColor auto="1"/>
        </patternFill>
      </fill>
    </dxf>
    <dxf>
      <fill>
        <patternFill patternType="lightHorizontal">
          <fgColor theme="0" tint="-0.14993743705557422"/>
          <bgColor theme="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dxf>
    <dxf>
      <font>
        <color theme="0"/>
      </font>
    </dxf>
    <dxf>
      <font>
        <color theme="0"/>
      </font>
    </dxf>
    <dxf>
      <font>
        <color auto="1"/>
      </font>
      <border>
        <left/>
        <right/>
        <top/>
        <bottom/>
        <vertical/>
        <horizontal/>
      </border>
    </dxf>
    <dxf>
      <font>
        <color theme="0"/>
      </font>
      <fill>
        <patternFill patternType="none">
          <bgColor auto="1"/>
        </patternFill>
      </fill>
      <border>
        <left/>
        <right/>
        <top/>
        <bottom/>
        <vertical/>
        <horizontal/>
      </border>
    </dxf>
    <dxf>
      <font>
        <color theme="0" tint="-0.14996795556505021"/>
      </font>
    </dxf>
    <dxf>
      <font>
        <color theme="0"/>
      </font>
      <fill>
        <patternFill patternType="none">
          <bgColor auto="1"/>
        </patternFill>
      </fill>
      <border>
        <right/>
        <top/>
        <bottom/>
        <vertical/>
        <horizontal/>
      </border>
    </dxf>
    <dxf>
      <font>
        <color theme="0"/>
      </font>
      <fill>
        <patternFill patternType="none">
          <bgColor auto="1"/>
        </patternFill>
      </fill>
      <border>
        <right/>
        <top/>
        <bottom/>
        <vertical/>
        <horizontal/>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color rgb="FF005392"/>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3.jpg"/><Relationship Id="rId3" Type="http://schemas.openxmlformats.org/officeDocument/2006/relationships/hyperlink" Target="http://www.pers.unibe.ch/unibe/verwaltungsdirektion/pers/content/e5035/e5134/e6168/Jahresarbeitszeit.pdf" TargetMode="External"/><Relationship Id="rId7" Type="http://schemas.openxmlformats.org/officeDocument/2006/relationships/image" Target="../media/image2.jpg"/><Relationship Id="rId2" Type="http://schemas.openxmlformats.org/officeDocument/2006/relationships/hyperlink" Target="http://www.unibe.ch/e152701/e322683/e325053/e326830/ul_rgl_jaz_ger.pdf" TargetMode="External"/><Relationship Id="rId1" Type="http://schemas.openxmlformats.org/officeDocument/2006/relationships/image" Target="../media/image1.png"/><Relationship Id="rId6" Type="http://schemas.openxmlformats.org/officeDocument/2006/relationships/hyperlink" Target="http://intern.unibe.ch/unibe/uniintern/content/e1883/e1884/e309986/e310219/e532862/ErklaerungArbeitsmuster_ger.pdf" TargetMode="External"/><Relationship Id="rId5" Type="http://schemas.openxmlformats.org/officeDocument/2006/relationships/hyperlink" Target="http://www.fin.be.ch/fin/de/index/personal/personalrecht/wdb.artikel.PV.146.html" TargetMode="External"/><Relationship Id="rId4" Type="http://schemas.openxmlformats.org/officeDocument/2006/relationships/hyperlink" Target="http://www.fin.be.ch/fin/de/index/personal/anstellungsbedingungen/arbeitszeit/langzeitkonto.assetref/dam/documents/FIN/PA/de/Reglement%20LZK%20und%20JAZ.pdf" TargetMode="External"/><Relationship Id="rId9"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9</xdr:col>
      <xdr:colOff>438150</xdr:colOff>
      <xdr:row>0</xdr:row>
      <xdr:rowOff>76200</xdr:rowOff>
    </xdr:from>
    <xdr:to>
      <xdr:col>11</xdr:col>
      <xdr:colOff>533400</xdr:colOff>
      <xdr:row>8</xdr:row>
      <xdr:rowOff>28575</xdr:rowOff>
    </xdr:to>
    <xdr:pic>
      <xdr:nvPicPr>
        <xdr:cNvPr id="2" name="Picture 73" descr="ub_16pt_cmyk">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81800" y="76200"/>
          <a:ext cx="1619250" cy="1285875"/>
        </a:xfrm>
        <a:prstGeom prst="rect">
          <a:avLst/>
        </a:prstGeom>
        <a:noFill/>
        <a:ln w="9525">
          <a:noFill/>
          <a:miter lim="800000"/>
          <a:headEnd/>
          <a:tailEnd/>
        </a:ln>
      </xdr:spPr>
    </xdr:pic>
    <xdr:clientData/>
  </xdr:twoCellAnchor>
  <xdr:twoCellAnchor>
    <xdr:from>
      <xdr:col>6</xdr:col>
      <xdr:colOff>676275</xdr:colOff>
      <xdr:row>12</xdr:row>
      <xdr:rowOff>47625</xdr:rowOff>
    </xdr:from>
    <xdr:to>
      <xdr:col>9</xdr:col>
      <xdr:colOff>523875</xdr:colOff>
      <xdr:row>12</xdr:row>
      <xdr:rowOff>152400</xdr:rowOff>
    </xdr:to>
    <xdr:sp macro="" textlink="">
      <xdr:nvSpPr>
        <xdr:cNvPr id="4" name="Rectangle 72">
          <a:hlinkClick xmlns:r="http://schemas.openxmlformats.org/officeDocument/2006/relationships" r:id="rId2"/>
          <a:extLst>
            <a:ext uri="{FF2B5EF4-FFF2-40B4-BE49-F238E27FC236}">
              <a16:creationId xmlns:a16="http://schemas.microsoft.com/office/drawing/2014/main" id="{00000000-0008-0000-0000-000004000000}"/>
            </a:ext>
          </a:extLst>
        </xdr:cNvPr>
        <xdr:cNvSpPr>
          <a:spLocks noChangeArrowheads="1"/>
        </xdr:cNvSpPr>
      </xdr:nvSpPr>
      <xdr:spPr bwMode="auto">
        <a:xfrm>
          <a:off x="4752975" y="1990725"/>
          <a:ext cx="2133600" cy="104775"/>
        </a:xfrm>
        <a:prstGeom prst="rect">
          <a:avLst/>
        </a:prstGeom>
        <a:noFill/>
        <a:ln w="9525">
          <a:noFill/>
          <a:miter lim="800000"/>
          <a:headEnd/>
          <a:tailEnd/>
        </a:ln>
      </xdr:spPr>
    </xdr:sp>
    <xdr:clientData/>
  </xdr:twoCellAnchor>
  <xdr:twoCellAnchor>
    <xdr:from>
      <xdr:col>6</xdr:col>
      <xdr:colOff>276225</xdr:colOff>
      <xdr:row>11</xdr:row>
      <xdr:rowOff>28575</xdr:rowOff>
    </xdr:from>
    <xdr:to>
      <xdr:col>9</xdr:col>
      <xdr:colOff>9525</xdr:colOff>
      <xdr:row>11</xdr:row>
      <xdr:rowOff>142875</xdr:rowOff>
    </xdr:to>
    <xdr:sp macro="" textlink="">
      <xdr:nvSpPr>
        <xdr:cNvPr id="5" name="Rectangle 72">
          <a:hlinkClick xmlns:r="http://schemas.openxmlformats.org/officeDocument/2006/relationships" r:id="rId3"/>
          <a:extLst>
            <a:ext uri="{FF2B5EF4-FFF2-40B4-BE49-F238E27FC236}">
              <a16:creationId xmlns:a16="http://schemas.microsoft.com/office/drawing/2014/main" id="{00000000-0008-0000-0000-000005000000}"/>
            </a:ext>
          </a:extLst>
        </xdr:cNvPr>
        <xdr:cNvSpPr>
          <a:spLocks noChangeArrowheads="1"/>
        </xdr:cNvSpPr>
      </xdr:nvSpPr>
      <xdr:spPr bwMode="auto">
        <a:xfrm>
          <a:off x="4333875" y="1971675"/>
          <a:ext cx="2019300" cy="114300"/>
        </a:xfrm>
        <a:prstGeom prst="rect">
          <a:avLst/>
        </a:prstGeom>
        <a:noFill/>
        <a:ln w="9525">
          <a:noFill/>
          <a:miter lim="800000"/>
          <a:headEnd/>
          <a:tailEnd/>
        </a:ln>
      </xdr:spPr>
    </xdr:sp>
    <xdr:clientData/>
  </xdr:twoCellAnchor>
  <xdr:twoCellAnchor>
    <xdr:from>
      <xdr:col>2</xdr:col>
      <xdr:colOff>38099</xdr:colOff>
      <xdr:row>53</xdr:row>
      <xdr:rowOff>28575</xdr:rowOff>
    </xdr:from>
    <xdr:to>
      <xdr:col>4</xdr:col>
      <xdr:colOff>447674</xdr:colOff>
      <xdr:row>53</xdr:row>
      <xdr:rowOff>152401</xdr:rowOff>
    </xdr:to>
    <xdr:sp macro="" textlink="">
      <xdr:nvSpPr>
        <xdr:cNvPr id="7" name="Rectangle 72">
          <a:hlinkClick xmlns:r="http://schemas.openxmlformats.org/officeDocument/2006/relationships" r:id="rId4"/>
          <a:extLst>
            <a:ext uri="{FF2B5EF4-FFF2-40B4-BE49-F238E27FC236}">
              <a16:creationId xmlns:a16="http://schemas.microsoft.com/office/drawing/2014/main" id="{00000000-0008-0000-0000-000007000000}"/>
            </a:ext>
          </a:extLst>
        </xdr:cNvPr>
        <xdr:cNvSpPr>
          <a:spLocks noChangeArrowheads="1"/>
        </xdr:cNvSpPr>
      </xdr:nvSpPr>
      <xdr:spPr bwMode="auto">
        <a:xfrm>
          <a:off x="1047749" y="7677150"/>
          <a:ext cx="1933575" cy="123826"/>
        </a:xfrm>
        <a:prstGeom prst="rect">
          <a:avLst/>
        </a:prstGeom>
        <a:noFill/>
        <a:ln w="9525">
          <a:noFill/>
          <a:miter lim="800000"/>
          <a:headEnd/>
          <a:tailEnd/>
        </a:ln>
      </xdr:spPr>
      <xdr:txBody>
        <a:bodyPr/>
        <a:lstStyle/>
        <a:p>
          <a:endParaRPr lang="de-CH"/>
        </a:p>
      </xdr:txBody>
    </xdr:sp>
    <xdr:clientData/>
  </xdr:twoCellAnchor>
  <xdr:twoCellAnchor>
    <xdr:from>
      <xdr:col>4</xdr:col>
      <xdr:colOff>38100</xdr:colOff>
      <xdr:row>50</xdr:row>
      <xdr:rowOff>28576</xdr:rowOff>
    </xdr:from>
    <xdr:to>
      <xdr:col>11</xdr:col>
      <xdr:colOff>323850</xdr:colOff>
      <xdr:row>50</xdr:row>
      <xdr:rowOff>142876</xdr:rowOff>
    </xdr:to>
    <xdr:sp macro="" textlink="">
      <xdr:nvSpPr>
        <xdr:cNvPr id="8" name="Rectangle 72">
          <a:hlinkClick xmlns:r="http://schemas.openxmlformats.org/officeDocument/2006/relationships" r:id="rId5"/>
          <a:extLst>
            <a:ext uri="{FF2B5EF4-FFF2-40B4-BE49-F238E27FC236}">
              <a16:creationId xmlns:a16="http://schemas.microsoft.com/office/drawing/2014/main" id="{00000000-0008-0000-0000-000008000000}"/>
            </a:ext>
          </a:extLst>
        </xdr:cNvPr>
        <xdr:cNvSpPr>
          <a:spLocks noChangeArrowheads="1"/>
        </xdr:cNvSpPr>
      </xdr:nvSpPr>
      <xdr:spPr bwMode="auto">
        <a:xfrm>
          <a:off x="2571750" y="7972426"/>
          <a:ext cx="5638800" cy="114300"/>
        </a:xfrm>
        <a:prstGeom prst="rect">
          <a:avLst/>
        </a:prstGeom>
        <a:noFill/>
        <a:ln w="9525">
          <a:noFill/>
          <a:miter lim="800000"/>
          <a:headEnd/>
          <a:tailEnd/>
        </a:ln>
      </xdr:spPr>
    </xdr:sp>
    <xdr:clientData/>
  </xdr:twoCellAnchor>
  <xdr:twoCellAnchor>
    <xdr:from>
      <xdr:col>6</xdr:col>
      <xdr:colOff>0</xdr:colOff>
      <xdr:row>73</xdr:row>
      <xdr:rowOff>38099</xdr:rowOff>
    </xdr:from>
    <xdr:to>
      <xdr:col>11</xdr:col>
      <xdr:colOff>266700</xdr:colOff>
      <xdr:row>73</xdr:row>
      <xdr:rowOff>142874</xdr:rowOff>
    </xdr:to>
    <xdr:sp macro="" textlink="">
      <xdr:nvSpPr>
        <xdr:cNvPr id="9" name="Rectangle 72">
          <a:hlinkClick xmlns:r="http://schemas.openxmlformats.org/officeDocument/2006/relationships" r:id="rId6"/>
          <a:extLst>
            <a:ext uri="{FF2B5EF4-FFF2-40B4-BE49-F238E27FC236}">
              <a16:creationId xmlns:a16="http://schemas.microsoft.com/office/drawing/2014/main" id="{00000000-0008-0000-0000-000009000000}"/>
            </a:ext>
          </a:extLst>
        </xdr:cNvPr>
        <xdr:cNvSpPr>
          <a:spLocks noChangeArrowheads="1"/>
        </xdr:cNvSpPr>
      </xdr:nvSpPr>
      <xdr:spPr bwMode="auto">
        <a:xfrm>
          <a:off x="4076700" y="11896724"/>
          <a:ext cx="4076700" cy="104775"/>
        </a:xfrm>
        <a:prstGeom prst="rect">
          <a:avLst/>
        </a:prstGeom>
        <a:noFill/>
        <a:ln w="9525">
          <a:noFill/>
          <a:miter lim="800000"/>
          <a:headEnd/>
          <a:tailEnd/>
        </a:ln>
      </xdr:spPr>
    </xdr:sp>
    <xdr:clientData/>
  </xdr:twoCellAnchor>
  <xdr:twoCellAnchor editAs="oneCell">
    <xdr:from>
      <xdr:col>1</xdr:col>
      <xdr:colOff>0</xdr:colOff>
      <xdr:row>97</xdr:row>
      <xdr:rowOff>104775</xdr:rowOff>
    </xdr:from>
    <xdr:to>
      <xdr:col>6</xdr:col>
      <xdr:colOff>209550</xdr:colOff>
      <xdr:row>114</xdr:row>
      <xdr:rowOff>38100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47650" y="15744825"/>
          <a:ext cx="4038600" cy="2686050"/>
        </a:xfrm>
        <a:prstGeom prst="rect">
          <a:avLst/>
        </a:prstGeom>
      </xdr:spPr>
    </xdr:pic>
    <xdr:clientData/>
  </xdr:twoCellAnchor>
  <xdr:twoCellAnchor editAs="oneCell">
    <xdr:from>
      <xdr:col>6</xdr:col>
      <xdr:colOff>266700</xdr:colOff>
      <xdr:row>81</xdr:row>
      <xdr:rowOff>28574</xdr:rowOff>
    </xdr:from>
    <xdr:to>
      <xdr:col>11</xdr:col>
      <xdr:colOff>485775</xdr:colOff>
      <xdr:row>97</xdr:row>
      <xdr:rowOff>38099</xdr:rowOff>
    </xdr:to>
    <xdr:pic>
      <xdr:nvPicPr>
        <xdr:cNvPr id="10" name="Grafik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343400" y="13077824"/>
          <a:ext cx="4029075" cy="2600325"/>
        </a:xfrm>
        <a:prstGeom prst="rect">
          <a:avLst/>
        </a:prstGeom>
      </xdr:spPr>
    </xdr:pic>
    <xdr:clientData/>
  </xdr:twoCellAnchor>
  <xdr:twoCellAnchor editAs="oneCell">
    <xdr:from>
      <xdr:col>1</xdr:col>
      <xdr:colOff>0</xdr:colOff>
      <xdr:row>81</xdr:row>
      <xdr:rowOff>28575</xdr:rowOff>
    </xdr:from>
    <xdr:to>
      <xdr:col>6</xdr:col>
      <xdr:colOff>200025</xdr:colOff>
      <xdr:row>97</xdr:row>
      <xdr:rowOff>38100</xdr:rowOff>
    </xdr:to>
    <xdr:pic>
      <xdr:nvPicPr>
        <xdr:cNvPr id="11" name="Grafik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47650" y="13077825"/>
          <a:ext cx="4029075" cy="2600325"/>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ysteme@pers.unibe.ch"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in.be.ch/fin/de/index/personal/anstellungsbedingungen/arbeitszeit/langzeitkonto.assetref/dam/documents/FIN/PA/de/Reglement%20LZK%20und%20JAZ.pdf" TargetMode="External"/><Relationship Id="rId1" Type="http://schemas.openxmlformats.org/officeDocument/2006/relationships/hyperlink" Target="http://www.pers.unibe.ch/unibe/verwaltungsdirektion/personal/pers/content/e10091/e10092/e10536/ReglementberdasLangzeitkonto_ger.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81"/>
  <sheetViews>
    <sheetView showGridLines="0" tabSelected="1" zoomScaleNormal="100" workbookViewId="0">
      <selection activeCell="B44" sqref="B44:L44"/>
    </sheetView>
  </sheetViews>
  <sheetFormatPr baseColWidth="10" defaultRowHeight="13"/>
  <cols>
    <col min="1" max="1" width="3.6640625" customWidth="1"/>
    <col min="5" max="5" width="11.6640625" customWidth="1"/>
    <col min="13" max="13" width="11.5" style="151"/>
  </cols>
  <sheetData>
    <row r="1" spans="1:13">
      <c r="A1" s="795"/>
      <c r="B1" s="795"/>
      <c r="C1" s="795"/>
      <c r="D1" s="795"/>
      <c r="E1" s="795"/>
      <c r="F1" s="795"/>
      <c r="G1" s="795"/>
      <c r="H1" s="795"/>
      <c r="I1" s="795"/>
    </row>
    <row r="2" spans="1:13">
      <c r="A2" s="795"/>
      <c r="B2" s="795"/>
      <c r="C2" s="795"/>
      <c r="D2" s="795"/>
      <c r="E2" s="795"/>
      <c r="F2" s="795"/>
      <c r="G2" s="795"/>
      <c r="H2" s="795"/>
      <c r="I2" s="795"/>
    </row>
    <row r="3" spans="1:13">
      <c r="A3" s="795"/>
      <c r="B3" s="795"/>
      <c r="C3" s="795"/>
      <c r="D3" s="795"/>
      <c r="E3" s="795"/>
      <c r="F3" s="795"/>
      <c r="G3" s="795"/>
      <c r="H3" s="795"/>
      <c r="I3" s="795"/>
    </row>
    <row r="4" spans="1:13" s="2" customFormat="1" ht="15.75" customHeight="1">
      <c r="A4" s="806" t="str">
        <f>Para1!J247</f>
        <v>Bitte lesen Sie diese Informationen, bevor Sie die Arbeitszeiterfassung nutzen!</v>
      </c>
      <c r="B4" s="806"/>
      <c r="C4" s="806"/>
      <c r="D4" s="806"/>
      <c r="E4" s="806"/>
      <c r="F4" s="806"/>
      <c r="G4" s="806"/>
      <c r="H4" s="806"/>
      <c r="I4" s="806"/>
      <c r="M4" s="324"/>
    </row>
    <row r="5" spans="1:13" s="2" customFormat="1" ht="12.75" customHeight="1">
      <c r="A5" s="805"/>
      <c r="B5" s="805"/>
      <c r="C5" s="805"/>
      <c r="D5" s="805"/>
      <c r="E5" s="805"/>
      <c r="F5" s="805"/>
      <c r="G5" s="805"/>
      <c r="H5" s="805"/>
      <c r="I5" s="805"/>
      <c r="M5" s="324"/>
    </row>
    <row r="6" spans="1:13">
      <c r="A6" s="133"/>
      <c r="B6" s="801" t="s">
        <v>314</v>
      </c>
      <c r="C6" s="802"/>
      <c r="D6" s="802"/>
      <c r="E6" s="795"/>
      <c r="F6" s="795"/>
      <c r="G6" s="795"/>
      <c r="H6" s="795"/>
      <c r="I6" s="795"/>
    </row>
    <row r="7" spans="1:13">
      <c r="A7" s="803"/>
      <c r="B7" s="803"/>
      <c r="C7" s="803"/>
      <c r="D7" s="803"/>
      <c r="E7" s="803"/>
      <c r="F7" s="803"/>
      <c r="G7" s="803"/>
      <c r="H7" s="803"/>
      <c r="I7" s="803"/>
    </row>
    <row r="8" spans="1:13">
      <c r="B8" s="800" t="s">
        <v>144</v>
      </c>
      <c r="C8" s="800"/>
      <c r="D8" s="571" t="s">
        <v>129</v>
      </c>
      <c r="E8" s="804" t="s">
        <v>473</v>
      </c>
      <c r="F8" s="804"/>
      <c r="G8" s="764" t="str">
        <f>Para1!B299</f>
        <v>Deutsch</v>
      </c>
      <c r="H8" s="650"/>
      <c r="I8" s="225"/>
    </row>
    <row r="9" spans="1:13">
      <c r="A9" s="225"/>
      <c r="B9" s="225"/>
      <c r="C9" s="225"/>
      <c r="D9" s="225"/>
      <c r="E9" s="225"/>
      <c r="F9" s="614"/>
      <c r="G9" s="764" t="str">
        <f>Para1!B300</f>
        <v>English</v>
      </c>
      <c r="H9" s="614"/>
      <c r="I9" s="225"/>
      <c r="L9" s="574"/>
    </row>
    <row r="10" spans="1:13">
      <c r="C10" s="323" t="s">
        <v>143</v>
      </c>
      <c r="D10" s="795" t="str">
        <f>Para1!G2</f>
        <v>AZE v1_01 02.12.2020</v>
      </c>
      <c r="E10" s="795"/>
      <c r="F10" s="803"/>
      <c r="G10" s="803"/>
      <c r="H10" s="803"/>
      <c r="I10" s="803"/>
      <c r="J10" s="225"/>
      <c r="K10" s="225" t="str">
        <f>Para1!F129</f>
        <v xml:space="preserve">Jahr: </v>
      </c>
      <c r="L10" s="574">
        <f>Para1!C2</f>
        <v>2021</v>
      </c>
    </row>
    <row r="11" spans="1:13" ht="10" customHeight="1">
      <c r="A11" s="795"/>
      <c r="B11" s="795"/>
      <c r="C11" s="795"/>
      <c r="D11" s="795"/>
      <c r="E11" s="795"/>
      <c r="F11" s="795"/>
      <c r="G11" s="795"/>
      <c r="H11" s="795"/>
      <c r="I11" s="795"/>
      <c r="J11" s="795"/>
      <c r="K11" s="795"/>
      <c r="L11" s="795"/>
    </row>
    <row r="12" spans="1:13">
      <c r="A12" s="794" t="str">
        <f>Para1!J248</f>
        <v>Dieses Instrument ist ein Hilfsmittel zur Erfassung der Arbeitszeit und der Absenzen. Personen, die von der Arbeitszeiterfassung ausgenommen sind</v>
      </c>
      <c r="B12" s="795"/>
      <c r="C12" s="795"/>
      <c r="D12" s="795"/>
      <c r="E12" s="795"/>
      <c r="F12" s="795"/>
      <c r="G12" s="795"/>
      <c r="H12" s="795"/>
      <c r="I12" s="795"/>
      <c r="J12" s="795"/>
      <c r="K12" s="795"/>
      <c r="L12" s="795"/>
    </row>
    <row r="13" spans="1:13">
      <c r="A13" s="798" t="str">
        <f>Para1!J249</f>
        <v>können das Instrument "Absenzenerfassung" nutzen. Weitere Angaben finden Sie unter</v>
      </c>
      <c r="B13" s="798"/>
      <c r="C13" s="798"/>
      <c r="D13" s="798"/>
      <c r="E13" s="798"/>
      <c r="F13" s="798"/>
      <c r="G13" s="798"/>
      <c r="H13" s="688" t="s">
        <v>358</v>
      </c>
      <c r="I13" s="594"/>
      <c r="J13" s="594"/>
      <c r="K13" s="594"/>
      <c r="L13" s="594"/>
    </row>
    <row r="14" spans="1:13" ht="10" customHeight="1">
      <c r="A14" s="795"/>
      <c r="B14" s="795"/>
      <c r="C14" s="795"/>
      <c r="D14" s="795"/>
      <c r="E14" s="795"/>
      <c r="F14" s="795"/>
      <c r="G14" s="795"/>
      <c r="H14" s="795"/>
      <c r="I14" s="795"/>
      <c r="J14" s="795"/>
      <c r="K14" s="795"/>
      <c r="L14" s="795"/>
    </row>
    <row r="15" spans="1:13">
      <c r="A15" s="794" t="str">
        <f>Para1!J250</f>
        <v>Senden Sie ihre Fragen, Kommentare und Vorschläge an:</v>
      </c>
      <c r="B15" s="794"/>
      <c r="C15" s="794"/>
      <c r="D15" s="794"/>
      <c r="E15" s="794"/>
      <c r="F15" s="799" t="s">
        <v>333</v>
      </c>
      <c r="G15" s="796"/>
      <c r="H15" s="794" t="str">
        <f>Para1!J251</f>
        <v>Wir freuen uns auf Ihre Rückmeldungen!</v>
      </c>
      <c r="I15" s="794"/>
      <c r="J15" s="794"/>
      <c r="K15" s="794"/>
      <c r="L15" s="794"/>
    </row>
    <row r="16" spans="1:13" ht="10" hidden="1" customHeight="1">
      <c r="A16" s="794"/>
      <c r="B16" s="794"/>
      <c r="C16" s="794"/>
      <c r="D16" s="794"/>
      <c r="E16" s="794"/>
      <c r="F16" s="794"/>
      <c r="G16" s="794"/>
      <c r="H16" s="794"/>
      <c r="I16" s="794"/>
      <c r="J16" s="794"/>
      <c r="K16" s="794"/>
      <c r="L16" s="794"/>
    </row>
    <row r="17" spans="1:15" ht="14" hidden="1">
      <c r="A17" s="585" t="s">
        <v>147</v>
      </c>
      <c r="B17" s="575" t="str">
        <f>Para1!F162</f>
        <v>NEU</v>
      </c>
      <c r="C17" s="795"/>
      <c r="D17" s="795"/>
      <c r="E17" s="795"/>
      <c r="F17" s="795"/>
      <c r="G17" s="795"/>
      <c r="H17" s="795"/>
      <c r="I17" s="795"/>
      <c r="J17" s="795"/>
      <c r="K17" s="795"/>
      <c r="L17" s="795"/>
    </row>
    <row r="18" spans="1:15" ht="14" hidden="1">
      <c r="A18" s="585"/>
      <c r="B18" s="797" t="str">
        <f>Para1!J252</f>
        <v xml:space="preserve"> - Die Arbeitszeiterfassung wurde komplett überarbeitet.</v>
      </c>
      <c r="C18" s="797"/>
      <c r="D18" s="797"/>
      <c r="E18" s="797"/>
      <c r="F18" s="797"/>
      <c r="G18" s="797"/>
      <c r="H18" s="797"/>
      <c r="I18" s="797"/>
      <c r="J18" s="797"/>
      <c r="K18" s="797"/>
      <c r="L18" s="797"/>
    </row>
    <row r="19" spans="1:15" ht="14" hidden="1">
      <c r="A19" s="585"/>
      <c r="B19" s="797" t="str">
        <f>Para1!J253</f>
        <v xml:space="preserve"> - Neu gibt es eine Arbeitsmappe für Persönliche Daten und Überträge.</v>
      </c>
      <c r="C19" s="797"/>
      <c r="D19" s="797"/>
      <c r="E19" s="797"/>
      <c r="F19" s="797"/>
      <c r="G19" s="797"/>
      <c r="H19" s="797"/>
      <c r="I19" s="797"/>
      <c r="J19" s="797"/>
      <c r="K19" s="797"/>
      <c r="L19" s="797"/>
      <c r="O19" s="682"/>
    </row>
    <row r="20" spans="1:15" hidden="1">
      <c r="A20" s="573"/>
      <c r="B20" s="797" t="str">
        <f>Para1!J254</f>
        <v xml:space="preserve"> - Die Absenzenübersicht fällt weg. Absenzen in Tagen werden neu in den einzelnen Monatsblättern erfasst.</v>
      </c>
      <c r="C20" s="797"/>
      <c r="D20" s="797"/>
      <c r="E20" s="797"/>
      <c r="F20" s="797"/>
      <c r="G20" s="797"/>
      <c r="H20" s="797"/>
      <c r="I20" s="797"/>
      <c r="J20" s="797"/>
      <c r="K20" s="797"/>
      <c r="L20" s="797"/>
    </row>
    <row r="21" spans="1:15" hidden="1">
      <c r="A21" s="573"/>
      <c r="B21" s="797" t="str">
        <f>Para1!J255</f>
        <v xml:space="preserve"> - Das Arbeitsmuster wir neu ebenfalls in den Monatsblättern erfasst und kann von Tag zu Tag individuell eingestellt werden.</v>
      </c>
      <c r="C21" s="797"/>
      <c r="D21" s="797"/>
      <c r="E21" s="797"/>
      <c r="F21" s="797"/>
      <c r="G21" s="797"/>
      <c r="H21" s="797"/>
      <c r="I21" s="797"/>
      <c r="J21" s="797"/>
      <c r="K21" s="797"/>
      <c r="L21" s="797"/>
    </row>
    <row r="22" spans="1:15" ht="10" customHeight="1">
      <c r="A22" s="674"/>
      <c r="B22" s="675"/>
      <c r="C22" s="675"/>
      <c r="D22" s="675"/>
      <c r="E22" s="675"/>
      <c r="F22" s="675"/>
      <c r="G22" s="675"/>
      <c r="H22" s="675"/>
      <c r="I22" s="675"/>
      <c r="J22" s="675"/>
      <c r="K22" s="675"/>
      <c r="L22" s="675"/>
    </row>
    <row r="23" spans="1:15">
      <c r="A23" s="796" t="str">
        <f>Para1!F169</f>
        <v>Persönliche Daten</v>
      </c>
      <c r="B23" s="796"/>
      <c r="C23" s="796"/>
      <c r="D23" s="796"/>
      <c r="E23" s="796"/>
      <c r="F23" s="796"/>
      <c r="G23" s="796"/>
      <c r="H23" s="796"/>
      <c r="I23" s="796"/>
      <c r="J23" s="796"/>
      <c r="K23" s="796"/>
      <c r="L23" s="796"/>
    </row>
    <row r="24" spans="1:15" ht="14">
      <c r="A24" s="327" t="s">
        <v>147</v>
      </c>
      <c r="B24" s="796" t="str">
        <f>Para1!F169&amp;" "&amp;Para1!F195&amp;" "&amp;Para1!J217</f>
        <v>Persönliche Daten und Angaben zur Anstellung</v>
      </c>
      <c r="C24" s="796"/>
      <c r="D24" s="796"/>
      <c r="E24" s="796"/>
      <c r="F24" s="796"/>
      <c r="G24" s="796"/>
      <c r="H24" s="796"/>
      <c r="I24" s="796"/>
      <c r="J24" s="796"/>
      <c r="K24" s="796"/>
      <c r="L24" s="796"/>
    </row>
    <row r="25" spans="1:15" ht="14">
      <c r="A25" s="327"/>
      <c r="B25" s="794" t="str">
        <f>Para1!J256</f>
        <v xml:space="preserve">Klicken Sie auf der unteren Bildlaufleiste auf "Persönliche Daten (pers. data)" und ergänzen Sie die grau hinterlegten Zellen Vorname, Name, Jahrgang, </v>
      </c>
      <c r="C25" s="794"/>
      <c r="D25" s="794"/>
      <c r="E25" s="794"/>
      <c r="F25" s="794"/>
      <c r="G25" s="794"/>
      <c r="H25" s="794"/>
      <c r="I25" s="794"/>
      <c r="J25" s="794"/>
      <c r="K25" s="794"/>
      <c r="L25" s="794"/>
    </row>
    <row r="26" spans="1:15">
      <c r="B26" s="794" t="str">
        <f>Para1!J257</f>
        <v>Pers. Nr., Eintrittsdatum, Beschäftigungsgrad (BG) und Gehaltsklasse (GK) mit Ihren persönlichen Angaben.</v>
      </c>
      <c r="C26" s="795"/>
      <c r="D26" s="795"/>
      <c r="E26" s="795"/>
      <c r="F26" s="795"/>
      <c r="G26" s="795"/>
      <c r="H26" s="795"/>
      <c r="I26" s="795"/>
      <c r="J26" s="795"/>
      <c r="K26" s="795"/>
      <c r="L26" s="795"/>
    </row>
    <row r="27" spans="1:15">
      <c r="B27" s="794" t="str">
        <f>Para1!J258</f>
        <v>Mit der Tabulatortaste können Sie einfach von Feld zu Feld springen. Die Daten werden automatisch in die nachfolgenden "Monatsblätter" übertragen</v>
      </c>
      <c r="C27" s="794"/>
      <c r="D27" s="794"/>
      <c r="E27" s="794"/>
      <c r="F27" s="794"/>
      <c r="G27" s="794"/>
      <c r="H27" s="794"/>
      <c r="I27" s="794"/>
      <c r="J27" s="794"/>
      <c r="K27" s="794"/>
      <c r="L27" s="794"/>
    </row>
    <row r="28" spans="1:15">
      <c r="B28" s="794" t="str">
        <f>Para1!J259</f>
        <v>und Ihr Ferienanspruch und Soll-Arbeitszeiten berechnet. Lernende verwenden im Feld Gehaltsklasse "LE" (Ferienanspruch 32 Tage).</v>
      </c>
      <c r="C28" s="794"/>
      <c r="D28" s="794"/>
      <c r="E28" s="794"/>
      <c r="F28" s="794"/>
      <c r="G28" s="794"/>
      <c r="H28" s="794"/>
      <c r="I28" s="794"/>
      <c r="J28" s="794"/>
      <c r="K28" s="794"/>
      <c r="L28" s="794"/>
    </row>
    <row r="29" spans="1:15">
      <c r="B29" s="796" t="str">
        <f>Para1!J260</f>
        <v>Ein-/Austritt während des Jahres</v>
      </c>
      <c r="C29" s="796"/>
      <c r="D29" s="796"/>
      <c r="E29" s="796"/>
      <c r="F29" s="796"/>
      <c r="G29" s="796"/>
      <c r="H29" s="796"/>
      <c r="I29" s="796"/>
      <c r="J29" s="796"/>
      <c r="K29" s="796"/>
      <c r="L29" s="796"/>
    </row>
    <row r="30" spans="1:15">
      <c r="B30" s="794" t="str">
        <f>Para1!J261</f>
        <v>Nehmen Sie Ihre Arbeit im Laufe des Jahres auf, so füllen Sie die Felder BG und GK ab Eintrittsmonat aus. Sollten Sie während des Jahres austreten,</v>
      </c>
      <c r="C30" s="794"/>
      <c r="D30" s="794"/>
      <c r="E30" s="794"/>
      <c r="F30" s="794"/>
      <c r="G30" s="794"/>
      <c r="H30" s="794"/>
      <c r="I30" s="794"/>
      <c r="J30" s="794"/>
      <c r="K30" s="794"/>
      <c r="L30" s="794"/>
    </row>
    <row r="31" spans="1:15">
      <c r="B31" s="794" t="str">
        <f>Para1!J262</f>
        <v>können Sie die verbleibenden Monate bis Jahresende auf 0 setzen. Damit endet die Erfassung im Austrittsmonat.</v>
      </c>
      <c r="C31" s="794"/>
      <c r="D31" s="794"/>
      <c r="E31" s="794"/>
      <c r="F31" s="794"/>
      <c r="G31" s="794"/>
      <c r="H31" s="794"/>
      <c r="I31" s="794"/>
      <c r="J31" s="794"/>
      <c r="K31" s="794"/>
      <c r="L31" s="794"/>
    </row>
    <row r="32" spans="1:15">
      <c r="B32" s="796" t="str">
        <f>Para1!J263</f>
        <v>Eintritte / Anstellungsänderung mitten im Monat</v>
      </c>
      <c r="C32" s="796"/>
      <c r="D32" s="796"/>
      <c r="E32" s="796"/>
      <c r="F32" s="796"/>
      <c r="G32" s="796"/>
      <c r="H32" s="796"/>
      <c r="I32" s="796"/>
      <c r="J32" s="796"/>
      <c r="K32" s="796"/>
      <c r="L32" s="796"/>
    </row>
    <row r="33" spans="1:24">
      <c r="B33" s="794" t="str">
        <f>Para1!J264</f>
        <v>Bei Anstellungsänderungen mitten im Monat muss der BG umgerechnet werden. Unter "Umrechnung (calculation)" finden Sie eine Berechnungshilfe.</v>
      </c>
      <c r="C33" s="794"/>
      <c r="D33" s="794"/>
      <c r="E33" s="794"/>
      <c r="F33" s="794"/>
      <c r="G33" s="794"/>
      <c r="H33" s="794"/>
      <c r="I33" s="794"/>
      <c r="J33" s="794"/>
      <c r="K33" s="794"/>
      <c r="L33" s="794"/>
    </row>
    <row r="34" spans="1:24">
      <c r="B34" s="796" t="str">
        <f>Para1!F87&amp;" "&amp;Para1!F96&amp;" / "&amp;Para1!F121</f>
        <v>Änderung Beschäftigungsgrad / Gehaltsklasse</v>
      </c>
      <c r="C34" s="796"/>
      <c r="D34" s="796"/>
      <c r="E34" s="796"/>
      <c r="F34" s="796"/>
      <c r="G34" s="796"/>
      <c r="H34" s="796"/>
      <c r="I34" s="796"/>
      <c r="J34" s="796"/>
      <c r="K34" s="796"/>
      <c r="L34" s="796"/>
    </row>
    <row r="35" spans="1:24">
      <c r="B35" s="794" t="str">
        <f>Para1!J265</f>
        <v>Ändern sich während des Jahres der BG oder die GK, können Sie dies ebenfalls im betreffenden Monat anpassen.</v>
      </c>
      <c r="C35" s="794"/>
      <c r="D35" s="794"/>
      <c r="E35" s="794"/>
      <c r="F35" s="794"/>
      <c r="G35" s="794"/>
      <c r="H35" s="794"/>
      <c r="I35" s="794"/>
      <c r="J35" s="794"/>
      <c r="K35" s="794"/>
      <c r="L35" s="794"/>
      <c r="N35" s="133"/>
      <c r="O35" s="133"/>
      <c r="P35" s="133"/>
      <c r="Q35" s="133"/>
      <c r="R35" s="133"/>
      <c r="S35" s="133"/>
      <c r="T35" s="133"/>
      <c r="U35" s="133"/>
      <c r="V35" s="133"/>
      <c r="W35" s="133"/>
      <c r="X35" s="133"/>
    </row>
    <row r="36" spans="1:24" ht="14">
      <c r="A36" s="326" t="s">
        <v>147</v>
      </c>
      <c r="B36" s="796" t="str">
        <f>Para1!F188&amp;": "&amp;Para1!F93&amp;", "&amp;Para1!F115&amp;", "&amp;Para1!F142</f>
        <v>Übertrag Vorjahr: Arbeitszeit, Ferien, Langzeitkonto</v>
      </c>
      <c r="C36" s="796"/>
      <c r="D36" s="796"/>
      <c r="E36" s="796"/>
      <c r="F36" s="796"/>
      <c r="G36" s="796"/>
      <c r="H36" s="796"/>
      <c r="I36" s="796"/>
      <c r="J36" s="796"/>
      <c r="K36" s="796"/>
      <c r="L36" s="796"/>
    </row>
    <row r="37" spans="1:24" ht="14">
      <c r="A37" s="326"/>
      <c r="B37" s="794" t="str">
        <f>Para1!J266</f>
        <v>Geben Sie in diesen Feldern Ihren Übertrag der Saldi, gemäss Besprechung mit Ihrem Vorgesetzten, aus dem Vorjahr an.</v>
      </c>
      <c r="C37" s="794"/>
      <c r="D37" s="794"/>
      <c r="E37" s="794"/>
      <c r="F37" s="794"/>
      <c r="G37" s="794"/>
      <c r="H37" s="794"/>
      <c r="I37" s="794"/>
      <c r="J37" s="794"/>
      <c r="K37" s="794"/>
      <c r="L37" s="794"/>
    </row>
    <row r="38" spans="1:24" ht="14">
      <c r="A38" s="326"/>
      <c r="B38" s="793" t="str">
        <f>Para1!J267</f>
        <v>Hinweis: ein negativer Zeitsaldo muss mit Anführungszeichen eingegeben werden. Beispiel -"8:36"</v>
      </c>
      <c r="C38" s="793"/>
      <c r="D38" s="793"/>
      <c r="E38" s="793"/>
      <c r="F38" s="793"/>
      <c r="G38" s="793"/>
      <c r="H38" s="793"/>
      <c r="I38" s="793"/>
      <c r="J38" s="793"/>
      <c r="K38" s="793"/>
      <c r="L38" s="793"/>
    </row>
    <row r="39" spans="1:24" ht="14">
      <c r="A39" s="326"/>
      <c r="B39" s="796" t="str">
        <f>Para1!F186</f>
        <v>Treueprämie</v>
      </c>
      <c r="C39" s="796"/>
      <c r="D39" s="796"/>
      <c r="E39" s="796"/>
      <c r="F39" s="796"/>
      <c r="G39" s="796"/>
      <c r="H39" s="796"/>
      <c r="I39" s="796"/>
      <c r="J39" s="796"/>
      <c r="K39" s="796"/>
      <c r="L39" s="796"/>
    </row>
    <row r="40" spans="1:24" ht="14">
      <c r="A40" s="326"/>
      <c r="B40" s="794" t="str">
        <f>Para1!J268</f>
        <v>Hier können Sie ein allfälliges Ferienguthaben, welches Sie aus Ihrer Treueprämie erhalten haben, eintragen.</v>
      </c>
      <c r="C40" s="796"/>
      <c r="D40" s="796"/>
      <c r="E40" s="796"/>
      <c r="F40" s="796"/>
      <c r="G40" s="796"/>
      <c r="H40" s="796"/>
      <c r="I40" s="796"/>
      <c r="J40" s="796"/>
      <c r="K40" s="796"/>
      <c r="L40" s="796"/>
    </row>
    <row r="41" spans="1:24" ht="10" customHeight="1">
      <c r="A41" s="674"/>
      <c r="B41" s="674"/>
      <c r="C41" s="674"/>
      <c r="D41" s="674"/>
      <c r="E41" s="674"/>
      <c r="F41" s="674"/>
      <c r="G41" s="674"/>
      <c r="H41" s="674"/>
      <c r="I41" s="674"/>
      <c r="J41" s="674"/>
      <c r="K41" s="674"/>
      <c r="L41" s="674"/>
    </row>
    <row r="42" spans="1:24">
      <c r="A42" s="796" t="str">
        <f>Para1!F130</f>
        <v>Jahresübersicht</v>
      </c>
      <c r="B42" s="796"/>
      <c r="C42" s="796"/>
      <c r="D42" s="796"/>
      <c r="E42" s="796"/>
      <c r="F42" s="796"/>
      <c r="G42" s="796"/>
      <c r="H42" s="796"/>
      <c r="I42" s="796"/>
      <c r="J42" s="796"/>
      <c r="K42" s="796"/>
      <c r="L42" s="796"/>
    </row>
    <row r="43" spans="1:24" ht="14">
      <c r="A43" s="326" t="s">
        <v>147</v>
      </c>
      <c r="B43" s="796" t="str">
        <f>Para1!F93</f>
        <v>Arbeitszeit</v>
      </c>
      <c r="C43" s="796"/>
      <c r="D43" s="795"/>
      <c r="E43" s="795"/>
      <c r="F43" s="795"/>
      <c r="G43" s="795"/>
      <c r="H43" s="795"/>
      <c r="I43" s="795"/>
      <c r="J43" s="795"/>
      <c r="K43" s="795"/>
      <c r="L43" s="795"/>
    </row>
    <row r="44" spans="1:24" ht="14">
      <c r="A44" s="326"/>
      <c r="B44" s="794" t="str">
        <f>Para1!J269</f>
        <v xml:space="preserve">Hier sehen Sie eine Übersicht über die zu leistende Arbeitszeit gemäss Ihrem Beschäftigungsgrad, der tatsächlich geleisteten Arbeitszeit, der </v>
      </c>
      <c r="C44" s="795"/>
      <c r="D44" s="795"/>
      <c r="E44" s="795"/>
      <c r="F44" s="795"/>
      <c r="G44" s="795"/>
      <c r="H44" s="795"/>
      <c r="I44" s="795"/>
      <c r="J44" s="795"/>
      <c r="K44" s="795"/>
      <c r="L44" s="795"/>
    </row>
    <row r="45" spans="1:24" ht="14">
      <c r="A45" s="326"/>
      <c r="B45" s="794" t="str">
        <f>Para1!J270</f>
        <v>bezogenen Ferien, Langzeitkonto und allen Absenzen und der daraus resultierenden gesamten geleisteten Arbeitszeit, sowie dem Saldo bis dato.</v>
      </c>
      <c r="C45" s="794"/>
      <c r="D45" s="794"/>
      <c r="E45" s="794"/>
      <c r="F45" s="794"/>
      <c r="G45" s="794"/>
      <c r="H45" s="794"/>
      <c r="I45" s="794"/>
      <c r="J45" s="794"/>
      <c r="K45" s="794"/>
      <c r="L45" s="794"/>
    </row>
    <row r="46" spans="1:24" ht="14">
      <c r="A46" s="326" t="s">
        <v>147</v>
      </c>
      <c r="B46" s="796" t="str">
        <f>Para1!F115</f>
        <v>Ferien</v>
      </c>
      <c r="C46" s="796"/>
      <c r="D46" s="795"/>
      <c r="E46" s="795"/>
      <c r="F46" s="795"/>
      <c r="G46" s="795"/>
      <c r="H46" s="795"/>
      <c r="I46" s="795"/>
      <c r="J46" s="795"/>
      <c r="K46" s="795"/>
      <c r="L46" s="795"/>
    </row>
    <row r="47" spans="1:24" ht="14">
      <c r="A47" s="326"/>
      <c r="B47" s="794" t="str">
        <f>Para1!J271</f>
        <v>Hier sehen Sie eine Übersicht über Ihr Ferienguthaben, Ihre bezogenen Ferien und Ferienkürzungen.</v>
      </c>
      <c r="C47" s="794"/>
      <c r="D47" s="794"/>
      <c r="E47" s="794"/>
      <c r="F47" s="794"/>
      <c r="G47" s="794"/>
      <c r="H47" s="794"/>
      <c r="I47" s="794"/>
      <c r="J47" s="794"/>
      <c r="K47" s="794"/>
      <c r="L47" s="794"/>
    </row>
    <row r="48" spans="1:24" ht="14">
      <c r="A48" s="326"/>
      <c r="B48" s="325" t="str">
        <f>Para1!F117</f>
        <v>Ferienkürzung</v>
      </c>
      <c r="C48" s="325"/>
      <c r="D48" s="796"/>
      <c r="E48" s="796"/>
      <c r="F48" s="796"/>
      <c r="G48" s="796"/>
      <c r="H48" s="796"/>
      <c r="I48" s="796"/>
      <c r="J48" s="796"/>
      <c r="K48" s="796"/>
      <c r="L48" s="796"/>
    </row>
    <row r="49" spans="1:12">
      <c r="B49" s="794" t="str">
        <f>Para1!J272</f>
        <v xml:space="preserve">Hier sehen Sie eine Übersicht Ihrer manuell eingetragenen Ferienkürzungen. Ferienkürzungen sind bei unbezahltem Urlaub oder krankheits- resp. </v>
      </c>
      <c r="C49" s="795"/>
      <c r="D49" s="795"/>
      <c r="E49" s="795"/>
      <c r="F49" s="795"/>
      <c r="G49" s="795"/>
      <c r="H49" s="795"/>
      <c r="I49" s="795"/>
      <c r="J49" s="795"/>
      <c r="K49" s="795"/>
      <c r="L49" s="795"/>
    </row>
    <row r="50" spans="1:12">
      <c r="B50" s="794" t="str">
        <f>Para1!J273</f>
        <v>unfallbedingten längeren Abwesenheiten in Stunden und Minuten einzutragen. Die Ferienkürzungen werden in den einzelnen Monatsblättern erfasst.</v>
      </c>
      <c r="C50" s="795"/>
      <c r="D50" s="795"/>
      <c r="E50" s="795"/>
      <c r="F50" s="795"/>
      <c r="G50" s="795"/>
      <c r="H50" s="795"/>
      <c r="I50" s="795"/>
      <c r="J50" s="795"/>
      <c r="K50" s="795"/>
      <c r="L50" s="795"/>
    </row>
    <row r="51" spans="1:12">
      <c r="B51" s="794" t="str">
        <f>Para1!J274</f>
        <v>Bitte konsultieren Sie für die Berechnung:</v>
      </c>
      <c r="C51" s="794"/>
      <c r="D51" s="794"/>
      <c r="E51" s="689" t="s">
        <v>502</v>
      </c>
      <c r="F51" s="133"/>
      <c r="G51" s="133"/>
      <c r="H51" s="133"/>
      <c r="I51" s="133"/>
      <c r="J51" s="225"/>
      <c r="K51" s="225"/>
      <c r="L51" s="225"/>
    </row>
    <row r="52" spans="1:12" ht="14">
      <c r="A52" s="326" t="s">
        <v>147</v>
      </c>
      <c r="B52" s="796" t="str">
        <f>Para1!F142</f>
        <v>Langzeitkonto</v>
      </c>
      <c r="C52" s="796"/>
      <c r="D52" s="796"/>
      <c r="E52" s="796"/>
      <c r="F52" s="796"/>
      <c r="G52" s="796"/>
      <c r="H52" s="796"/>
      <c r="I52" s="796"/>
      <c r="J52" s="796"/>
      <c r="K52" s="796"/>
      <c r="L52" s="796"/>
    </row>
    <row r="53" spans="1:12" ht="14">
      <c r="A53" s="326"/>
      <c r="B53" s="794" t="str">
        <f>Para1!J275</f>
        <v>Das Langzeitkonto ist jeweils per 1.1. zu speisen. Kein Langzeitkonto führen Personen mit befristeten Anstellungen und Dozierende.</v>
      </c>
      <c r="C53" s="794"/>
      <c r="D53" s="794"/>
      <c r="E53" s="794"/>
      <c r="F53" s="794"/>
      <c r="G53" s="794"/>
      <c r="H53" s="794"/>
      <c r="I53" s="794"/>
      <c r="J53" s="794"/>
      <c r="K53" s="794"/>
      <c r="L53" s="794"/>
    </row>
    <row r="54" spans="1:12" ht="14">
      <c r="A54" s="326"/>
      <c r="B54" s="594" t="str">
        <f>Para1!J276</f>
        <v>Vgl. dazu:</v>
      </c>
      <c r="C54" s="807" t="str">
        <f>Para1!J277</f>
        <v>Reglement über das Langzeitkonto.</v>
      </c>
      <c r="D54" s="807"/>
      <c r="E54" s="807"/>
      <c r="F54" s="807"/>
      <c r="G54" s="807"/>
      <c r="H54" s="807"/>
      <c r="I54" s="807"/>
      <c r="J54" s="807"/>
      <c r="K54" s="807"/>
      <c r="L54" s="807"/>
    </row>
    <row r="55" spans="1:12" ht="14">
      <c r="A55" s="326" t="s">
        <v>147</v>
      </c>
      <c r="B55" s="796" t="str">
        <f>Para1!F136</f>
        <v>Kompensation</v>
      </c>
      <c r="C55" s="796"/>
      <c r="D55" s="795"/>
      <c r="E55" s="795"/>
      <c r="F55" s="795"/>
      <c r="G55" s="795"/>
      <c r="H55" s="795"/>
      <c r="I55" s="795"/>
      <c r="J55" s="795"/>
      <c r="K55" s="795"/>
      <c r="L55" s="795"/>
    </row>
    <row r="56" spans="1:12">
      <c r="B56" s="794" t="str">
        <f>Para1!J278</f>
        <v>Hier sehen Sie eine Übersicht über die von Ihnen bezogene Jahresarbeitskompensation über das ganze Jahr.</v>
      </c>
      <c r="C56" s="794"/>
      <c r="D56" s="794"/>
      <c r="E56" s="794"/>
      <c r="F56" s="794"/>
      <c r="G56" s="794"/>
      <c r="H56" s="794"/>
      <c r="I56" s="794"/>
      <c r="J56" s="794"/>
      <c r="K56" s="794"/>
      <c r="L56" s="794"/>
    </row>
    <row r="57" spans="1:12" ht="14">
      <c r="A57" s="326" t="s">
        <v>147</v>
      </c>
      <c r="B57" s="796" t="str">
        <f>Para1!F83</f>
        <v>Absenzen</v>
      </c>
      <c r="C57" s="796"/>
      <c r="D57" s="795"/>
      <c r="E57" s="795"/>
      <c r="F57" s="795"/>
      <c r="G57" s="795"/>
      <c r="H57" s="795"/>
      <c r="I57" s="795"/>
      <c r="J57" s="795"/>
      <c r="K57" s="795"/>
      <c r="L57" s="795"/>
    </row>
    <row r="58" spans="1:12">
      <c r="B58" s="794" t="str">
        <f>Para1!J279</f>
        <v>Hier sehen Sie eine Übersicht Ihrer Absenzen über das ganze Jahr.</v>
      </c>
      <c r="C58" s="794"/>
      <c r="D58" s="794"/>
      <c r="E58" s="794"/>
      <c r="F58" s="794"/>
      <c r="G58" s="794"/>
      <c r="H58" s="794"/>
      <c r="I58" s="794"/>
      <c r="J58" s="794"/>
      <c r="K58" s="794"/>
      <c r="L58" s="794"/>
    </row>
    <row r="59" spans="1:12" ht="10" customHeight="1">
      <c r="B59" s="795"/>
      <c r="C59" s="795"/>
      <c r="D59" s="795"/>
      <c r="E59" s="795"/>
      <c r="F59" s="795"/>
      <c r="G59" s="795"/>
      <c r="H59" s="795"/>
      <c r="I59" s="795"/>
      <c r="J59" s="795"/>
      <c r="K59" s="795"/>
      <c r="L59" s="795"/>
    </row>
    <row r="60" spans="1:12">
      <c r="A60" s="796" t="str">
        <f>Para1!F155</f>
        <v>Monatsblätter</v>
      </c>
      <c r="B60" s="796"/>
      <c r="C60" s="796"/>
      <c r="D60" s="796"/>
      <c r="E60" s="796"/>
      <c r="F60" s="796"/>
      <c r="G60" s="796"/>
      <c r="H60" s="796"/>
      <c r="I60" s="796"/>
      <c r="J60" s="796"/>
      <c r="K60" s="796"/>
      <c r="L60" s="796"/>
    </row>
    <row r="61" spans="1:12" ht="14">
      <c r="A61" s="326" t="s">
        <v>147</v>
      </c>
      <c r="B61" s="796" t="str">
        <f>Para1!F93</f>
        <v>Arbeitszeit</v>
      </c>
      <c r="C61" s="796"/>
      <c r="D61" s="794"/>
      <c r="E61" s="795"/>
      <c r="F61" s="795"/>
      <c r="G61" s="795"/>
      <c r="H61" s="795"/>
      <c r="I61" s="795"/>
      <c r="J61" s="795"/>
      <c r="K61" s="795"/>
      <c r="L61" s="795"/>
    </row>
    <row r="62" spans="1:12" ht="14">
      <c r="A62" s="326"/>
      <c r="B62" s="794" t="str">
        <f>Para1!J280</f>
        <v>Jetzt sind Sie startbereit und können mit dem Ausfüllen Ihrer Kommen/Gehen-Zeiten beginnen. Die Eingabe hat in Stunden und Minuten zu erfolgen.</v>
      </c>
      <c r="C62" s="796"/>
      <c r="D62" s="796"/>
      <c r="E62" s="796"/>
      <c r="F62" s="796"/>
      <c r="G62" s="796"/>
      <c r="H62" s="796"/>
      <c r="I62" s="796"/>
      <c r="J62" s="796"/>
      <c r="K62" s="796"/>
      <c r="L62" s="796"/>
    </row>
    <row r="63" spans="1:12">
      <c r="B63" s="794" t="str">
        <f>Para1!J281</f>
        <v>Alle Eingaben werden automatisch in die Jahresübersicht und in die folgenden Monatsblätter übertragen.</v>
      </c>
      <c r="C63" s="795"/>
      <c r="D63" s="795"/>
      <c r="E63" s="795"/>
      <c r="F63" s="795"/>
      <c r="G63" s="795"/>
      <c r="H63" s="795"/>
      <c r="I63" s="795"/>
      <c r="J63" s="795"/>
      <c r="K63" s="795"/>
      <c r="L63" s="795"/>
    </row>
    <row r="64" spans="1:12">
      <c r="B64" s="793" t="str">
        <f>Para1!J282</f>
        <v>Bitte verwenden Sie immer das Format hh:mm. Leerschläge, Ausschneiden/Kopieren der Werte führen zu Problemen.</v>
      </c>
      <c r="C64" s="794"/>
      <c r="D64" s="794"/>
      <c r="E64" s="794"/>
      <c r="F64" s="794"/>
      <c r="G64" s="794"/>
      <c r="H64" s="794"/>
      <c r="I64" s="794"/>
      <c r="J64" s="794"/>
      <c r="K64" s="794"/>
      <c r="L64" s="794"/>
    </row>
    <row r="65" spans="1:12" ht="14">
      <c r="A65" s="326" t="s">
        <v>147</v>
      </c>
      <c r="B65" s="796" t="str">
        <f>Para1!F83&amp;" in "&amp;Para1!F180</f>
        <v>Absenzen in Stunden</v>
      </c>
      <c r="C65" s="796"/>
      <c r="D65" s="795"/>
      <c r="E65" s="795"/>
      <c r="F65" s="795"/>
      <c r="G65" s="795"/>
      <c r="H65" s="795"/>
      <c r="I65" s="795"/>
      <c r="J65" s="795"/>
      <c r="K65" s="795"/>
      <c r="L65" s="795"/>
    </row>
    <row r="66" spans="1:12" ht="14">
      <c r="A66" s="326"/>
      <c r="B66" s="794" t="str">
        <f>Para1!J283</f>
        <v xml:space="preserve">Absenzen in Stunden erfassen Sie in Stunden und Minuten in den entsprechenden Spalten. Falls Sie einen ganzen oder halben Tag abwesend </v>
      </c>
      <c r="C66" s="794"/>
      <c r="D66" s="794"/>
      <c r="E66" s="794"/>
      <c r="F66" s="794"/>
      <c r="G66" s="794"/>
      <c r="H66" s="794"/>
      <c r="I66" s="794"/>
      <c r="J66" s="794"/>
      <c r="K66" s="794"/>
      <c r="L66" s="794"/>
    </row>
    <row r="67" spans="1:12">
      <c r="B67" s="794" t="str">
        <f>Para1!J284</f>
        <v>sind, orientieren Sie sich an den Soll-Zeiten des entsprechenden Tages.</v>
      </c>
      <c r="C67" s="795"/>
      <c r="D67" s="795"/>
      <c r="E67" s="795"/>
      <c r="F67" s="795"/>
      <c r="G67" s="795"/>
      <c r="H67" s="795"/>
      <c r="I67" s="795"/>
      <c r="J67" s="795"/>
      <c r="K67" s="795"/>
      <c r="L67" s="795"/>
    </row>
    <row r="68" spans="1:12" ht="14">
      <c r="A68" s="326" t="s">
        <v>147</v>
      </c>
      <c r="B68" s="796" t="str">
        <f>Para1!F83&amp;" in "&amp;Para1!F182</f>
        <v>Absenzen in Tage</v>
      </c>
      <c r="C68" s="796"/>
      <c r="D68" s="795"/>
      <c r="E68" s="795"/>
      <c r="F68" s="795"/>
      <c r="G68" s="795"/>
      <c r="H68" s="795"/>
      <c r="I68" s="795"/>
      <c r="J68" s="795"/>
      <c r="K68" s="795"/>
      <c r="L68" s="795"/>
    </row>
    <row r="69" spans="1:12" ht="14">
      <c r="A69" s="326"/>
      <c r="B69" s="794" t="str">
        <f>Para1!J285</f>
        <v>Absenzen in Tagen werden in den endsprechenden Spalten für Vor- und Nachmittag eingetragen. Anders als bei den Absenzen in Stunden werden</v>
      </c>
      <c r="C69" s="794"/>
      <c r="D69" s="794"/>
      <c r="E69" s="794"/>
      <c r="F69" s="794"/>
      <c r="G69" s="794"/>
      <c r="H69" s="794"/>
      <c r="I69" s="794"/>
      <c r="J69" s="794"/>
      <c r="K69" s="794"/>
      <c r="L69" s="794"/>
    </row>
    <row r="70" spans="1:12" ht="14">
      <c r="A70" s="326"/>
      <c r="B70" s="794" t="str">
        <f>Para1!J286</f>
        <v>hier die Einträge nicht in Stunden und Minuten getätigt, sondern mit entsprechenden Buchstaben. Eine Legende finden Sie in den Monatsblättern.</v>
      </c>
      <c r="C70" s="794"/>
      <c r="D70" s="794"/>
      <c r="E70" s="794"/>
      <c r="F70" s="794"/>
      <c r="G70" s="794"/>
      <c r="H70" s="794"/>
      <c r="I70" s="794"/>
      <c r="J70" s="794"/>
      <c r="K70" s="794"/>
      <c r="L70" s="794"/>
    </row>
    <row r="71" spans="1:12" ht="14">
      <c r="A71" s="326"/>
      <c r="B71" s="794" t="str">
        <f>Para1!J287</f>
        <v>Die Arbeitszeiterfassung errechnet die dadurch bezogenen Absenzen automatisch in Stunden und Minuten um.</v>
      </c>
      <c r="C71" s="794"/>
      <c r="D71" s="794"/>
      <c r="E71" s="794"/>
      <c r="F71" s="794"/>
      <c r="G71" s="794"/>
      <c r="H71" s="794"/>
      <c r="I71" s="794"/>
      <c r="J71" s="794"/>
      <c r="K71" s="794"/>
      <c r="L71" s="794"/>
    </row>
    <row r="72" spans="1:12" ht="14">
      <c r="A72" s="326" t="s">
        <v>147</v>
      </c>
      <c r="B72" s="796" t="str">
        <f>Para1!F90</f>
        <v>Arbeitsmuster</v>
      </c>
      <c r="C72" s="796"/>
      <c r="D72" s="795"/>
      <c r="E72" s="795"/>
      <c r="F72" s="795"/>
      <c r="G72" s="795"/>
      <c r="H72" s="795"/>
      <c r="I72" s="795"/>
      <c r="J72" s="795"/>
      <c r="K72" s="795"/>
      <c r="L72" s="795"/>
    </row>
    <row r="73" spans="1:12">
      <c r="B73" s="794" t="str">
        <f>Para1!J288</f>
        <v>Das Arbeitsmuster wird neu in den Monatsblättern eingegeben. Es kann individuell für jeden Tag festgelegt werden. Das Arbeitsmuster ist in den</v>
      </c>
      <c r="C73" s="795"/>
      <c r="D73" s="795"/>
      <c r="E73" s="795"/>
      <c r="F73" s="795"/>
      <c r="G73" s="795"/>
      <c r="H73" s="795"/>
      <c r="I73" s="795"/>
      <c r="J73" s="795"/>
      <c r="K73" s="795"/>
      <c r="L73" s="795"/>
    </row>
    <row r="74" spans="1:12">
      <c r="B74" s="794" t="str">
        <f>Para1!J289</f>
        <v>Standarteinstellungen nicht im Druckbereich. Weitere Informationen:</v>
      </c>
      <c r="C74" s="794"/>
      <c r="D74" s="794"/>
      <c r="E74" s="794"/>
      <c r="F74" s="794"/>
      <c r="G74" s="690" t="s">
        <v>503</v>
      </c>
      <c r="H74" s="685"/>
      <c r="I74" s="685"/>
      <c r="J74" s="685"/>
      <c r="K74" s="685"/>
      <c r="L74" s="685"/>
    </row>
    <row r="75" spans="1:12" ht="10" customHeight="1">
      <c r="B75" s="795"/>
      <c r="C75" s="795"/>
      <c r="D75" s="795"/>
      <c r="E75" s="795"/>
      <c r="F75" s="795"/>
      <c r="G75" s="795"/>
      <c r="H75" s="795"/>
      <c r="I75" s="795"/>
      <c r="J75" s="795"/>
      <c r="K75" s="795"/>
      <c r="L75" s="795"/>
    </row>
    <row r="76" spans="1:12">
      <c r="A76" s="796" t="str">
        <f>Para1!F210</f>
        <v>Zeitkennzahlen</v>
      </c>
      <c r="B76" s="796"/>
      <c r="C76" s="796"/>
      <c r="D76" s="796"/>
      <c r="E76" s="796"/>
      <c r="F76" s="796"/>
      <c r="G76" s="796"/>
      <c r="H76" s="796"/>
      <c r="I76" s="796"/>
      <c r="J76" s="796"/>
      <c r="K76" s="796"/>
      <c r="L76" s="796"/>
    </row>
    <row r="77" spans="1:12">
      <c r="B77" s="794" t="str">
        <f>Para1!J290</f>
        <v>Im Tabellenblatt "Zeitkennzahlen (key figures)" finden Sie den Zusammenzug der Zeitkennzahlen.</v>
      </c>
      <c r="C77" s="794"/>
      <c r="D77" s="794"/>
      <c r="E77" s="794"/>
      <c r="F77" s="794"/>
      <c r="G77" s="794"/>
      <c r="H77" s="794"/>
      <c r="I77" s="794"/>
      <c r="J77" s="794"/>
      <c r="K77" s="794"/>
      <c r="L77" s="794"/>
    </row>
    <row r="78" spans="1:12">
      <c r="B78" s="794" t="str">
        <f>Para1!J291</f>
        <v>An der Universität Bern besteht einmal jährlich die Pflicht zur Meldung der Zeitsaldi und Abwesenheitssaldi für alle Mitarbeiterinnen und Mitarbeiter.</v>
      </c>
      <c r="C78" s="794"/>
      <c r="D78" s="794"/>
      <c r="E78" s="794"/>
      <c r="F78" s="794"/>
      <c r="G78" s="794"/>
      <c r="H78" s="794"/>
      <c r="I78" s="794"/>
      <c r="J78" s="794"/>
      <c r="K78" s="794"/>
      <c r="L78" s="794"/>
    </row>
    <row r="79" spans="1:12">
      <c r="B79" s="794" t="str">
        <f>Para1!J292</f>
        <v>Der Stichtag ist jeweils der 31.12. des Jahres. Die Meldung muss anfangs Januar durch die in Ihrer Organisationseinheit verantwortliche Person erfolgen.</v>
      </c>
      <c r="C79" s="794"/>
      <c r="D79" s="794"/>
      <c r="E79" s="794"/>
      <c r="F79" s="794"/>
      <c r="G79" s="794"/>
      <c r="H79" s="794"/>
      <c r="I79" s="794"/>
      <c r="J79" s="794"/>
      <c r="K79" s="794"/>
      <c r="L79" s="794"/>
    </row>
    <row r="80" spans="1:12" ht="10" customHeight="1"/>
    <row r="81" spans="1:12">
      <c r="A81" s="796" t="str">
        <f>Para1!J295</f>
        <v>Mindestbezüge Ferien- und freie Tage</v>
      </c>
      <c r="B81" s="796"/>
      <c r="C81" s="796"/>
      <c r="D81" s="796"/>
      <c r="E81" s="796"/>
      <c r="F81" s="796"/>
      <c r="G81" s="796"/>
      <c r="H81" s="796"/>
      <c r="I81" s="796"/>
      <c r="J81" s="796"/>
      <c r="K81" s="796"/>
      <c r="L81" s="796"/>
    </row>
  </sheetData>
  <sheetProtection password="CC4A" sheet="1" objects="1" scenarios="1"/>
  <mergeCells count="90">
    <mergeCell ref="B74:F74"/>
    <mergeCell ref="B29:L29"/>
    <mergeCell ref="B79:L79"/>
    <mergeCell ref="D48:L48"/>
    <mergeCell ref="B53:L53"/>
    <mergeCell ref="B65:C65"/>
    <mergeCell ref="B61:C61"/>
    <mergeCell ref="B68:C68"/>
    <mergeCell ref="B73:L73"/>
    <mergeCell ref="D68:L68"/>
    <mergeCell ref="D65:L65"/>
    <mergeCell ref="B72:C72"/>
    <mergeCell ref="B75:L75"/>
    <mergeCell ref="B77:L77"/>
    <mergeCell ref="B52:L52"/>
    <mergeCell ref="B56:L56"/>
    <mergeCell ref="C54:L54"/>
    <mergeCell ref="B50:L50"/>
    <mergeCell ref="A81:L81"/>
    <mergeCell ref="A60:L60"/>
    <mergeCell ref="A76:L76"/>
    <mergeCell ref="B70:L70"/>
    <mergeCell ref="B58:L58"/>
    <mergeCell ref="B51:D51"/>
    <mergeCell ref="B55:C55"/>
    <mergeCell ref="B69:L69"/>
    <mergeCell ref="B66:L66"/>
    <mergeCell ref="B62:L62"/>
    <mergeCell ref="B78:L78"/>
    <mergeCell ref="D72:L72"/>
    <mergeCell ref="B71:L71"/>
    <mergeCell ref="B67:L67"/>
    <mergeCell ref="A42:L42"/>
    <mergeCell ref="B33:L33"/>
    <mergeCell ref="B40:L40"/>
    <mergeCell ref="B37:L37"/>
    <mergeCell ref="B35:L35"/>
    <mergeCell ref="B39:L39"/>
    <mergeCell ref="B34:L34"/>
    <mergeCell ref="B38:L38"/>
    <mergeCell ref="A1:I1"/>
    <mergeCell ref="A2:I2"/>
    <mergeCell ref="A5:I5"/>
    <mergeCell ref="A4:I4"/>
    <mergeCell ref="A7:I7"/>
    <mergeCell ref="B8:C8"/>
    <mergeCell ref="B6:D6"/>
    <mergeCell ref="E6:I6"/>
    <mergeCell ref="A3:I3"/>
    <mergeCell ref="D10:E10"/>
    <mergeCell ref="F10:I10"/>
    <mergeCell ref="E8:F8"/>
    <mergeCell ref="A11:L11"/>
    <mergeCell ref="A14:L14"/>
    <mergeCell ref="B18:L18"/>
    <mergeCell ref="B19:L19"/>
    <mergeCell ref="B30:L30"/>
    <mergeCell ref="B21:L21"/>
    <mergeCell ref="A16:L16"/>
    <mergeCell ref="A12:L12"/>
    <mergeCell ref="A13:G13"/>
    <mergeCell ref="A15:E15"/>
    <mergeCell ref="F15:G15"/>
    <mergeCell ref="H15:L15"/>
    <mergeCell ref="C17:L17"/>
    <mergeCell ref="B20:L20"/>
    <mergeCell ref="A23:L23"/>
    <mergeCell ref="B25:L25"/>
    <mergeCell ref="B24:L24"/>
    <mergeCell ref="B47:L47"/>
    <mergeCell ref="D55:L55"/>
    <mergeCell ref="B32:L32"/>
    <mergeCell ref="B43:C43"/>
    <mergeCell ref="B49:L49"/>
    <mergeCell ref="B45:L45"/>
    <mergeCell ref="D43:L43"/>
    <mergeCell ref="D46:L46"/>
    <mergeCell ref="B27:L27"/>
    <mergeCell ref="B28:L28"/>
    <mergeCell ref="B46:C46"/>
    <mergeCell ref="B44:L44"/>
    <mergeCell ref="B36:L36"/>
    <mergeCell ref="B31:L31"/>
    <mergeCell ref="B26:L26"/>
    <mergeCell ref="B64:L64"/>
    <mergeCell ref="B63:L63"/>
    <mergeCell ref="D61:L61"/>
    <mergeCell ref="D57:L57"/>
    <mergeCell ref="B59:L59"/>
    <mergeCell ref="B57:C57"/>
  </mergeCells>
  <dataValidations count="1">
    <dataValidation type="list" allowBlank="1" showInputMessage="1" showErrorMessage="1" sqref="D8" xr:uid="{00000000-0002-0000-0000-000000000000}">
      <formula1>$G$8:$G$9</formula1>
    </dataValidation>
  </dataValidations>
  <hyperlinks>
    <hyperlink ref="F15" r:id="rId1" xr:uid="{00000000-0004-0000-0000-000000000000}"/>
  </hyperlinks>
  <pageMargins left="0.7" right="0.7" top="0.75" bottom="0.75" header="0.3" footer="0.3"/>
  <pageSetup paperSize="9" fitToHeight="0" orientation="landscape" r:id="rId2"/>
  <headerFooter>
    <oddFooter>&amp;L&amp;Z&amp;F&amp;RSeite &amp;P/&amp;N</oddFooter>
  </headerFooter>
  <rowBreaks count="1" manualBreakCount="1">
    <brk id="45"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pageSetUpPr fitToPage="1"/>
  </sheetPr>
  <dimension ref="A1:AH60"/>
  <sheetViews>
    <sheetView showGridLines="0" zoomScale="75" zoomScaleNormal="75" workbookViewId="0">
      <selection activeCell="M42" sqref="M42"/>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72" customWidth="1"/>
    <col min="23" max="23" width="11.83203125" style="228" customWidth="1"/>
    <col min="24" max="27" width="11.83203125" style="11" customWidth="1"/>
    <col min="28" max="28" width="11.83203125" style="228" customWidth="1"/>
    <col min="29" max="29" width="11.83203125" style="11" customWidth="1"/>
    <col min="30" max="33" width="11.5" style="11" hidden="1" customWidth="1"/>
    <col min="34"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(Overview)'!I$8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29" ht="6" customHeight="1">
      <c r="O5" s="59"/>
      <c r="T5" s="11"/>
      <c r="V5" s="73"/>
      <c r="W5" s="11"/>
      <c r="AB5" s="73"/>
      <c r="AC5" s="16"/>
    </row>
    <row r="6" spans="1:29" ht="15" customHeight="1">
      <c r="F6" s="53"/>
      <c r="G6" s="20"/>
      <c r="O6" s="59"/>
      <c r="T6" s="11"/>
      <c r="U6" s="11"/>
      <c r="V6" s="16"/>
      <c r="W6" s="11"/>
      <c r="AB6" s="73"/>
      <c r="AC6" s="16"/>
    </row>
    <row r="7" spans="1:29"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29" ht="15" customHeight="1" thickBot="1">
      <c r="B8" s="9" t="str">
        <f>Para1!F177</f>
        <v>Soll</v>
      </c>
      <c r="C8" s="848">
        <f>Para1!C61/100*H3/24</f>
        <v>7.7</v>
      </c>
      <c r="D8" s="848"/>
      <c r="F8" s="19"/>
      <c r="H8" s="162" t="str">
        <f>Para1!F174&amp;" "&amp;Para1!F88&amp;" "&amp;Para1!F154</f>
        <v>Saldo Anfang Monat</v>
      </c>
      <c r="I8" s="159" t="e">
        <f>Juni!I11</f>
        <v>#N/A</v>
      </c>
      <c r="J8" s="212"/>
      <c r="M8" s="162" t="str">
        <f>Para1!F133</f>
        <v>JAZ-Kompensation</v>
      </c>
      <c r="N8" s="899">
        <f>SUMIF($W$24:$W$54,"k",$AH$24:$AH$54)+SUMIF($X$24:$X$54,"k",$AH$24:$AH$54)</f>
        <v>0</v>
      </c>
      <c r="O8" s="899"/>
      <c r="P8" s="732">
        <f>Juni!Q8</f>
        <v>0</v>
      </c>
      <c r="Q8" s="166">
        <f>N8+P8</f>
        <v>0</v>
      </c>
      <c r="S8" s="7"/>
      <c r="T8" s="20" t="str">
        <f>Para1!F139</f>
        <v>Krankheit</v>
      </c>
      <c r="U8" s="7"/>
      <c r="V8" s="7"/>
      <c r="W8" s="734">
        <f>P55</f>
        <v>0</v>
      </c>
      <c r="X8" s="734">
        <f>Juni!Y8</f>
        <v>0</v>
      </c>
      <c r="Y8" s="306">
        <f t="shared" ref="Y8:Y17" si="0">SUM(W8:X8)</f>
        <v>0</v>
      </c>
      <c r="Z8" s="155"/>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O9" s="59"/>
      <c r="S9" s="7"/>
      <c r="T9" s="20" t="str">
        <f>Para1!F196</f>
        <v>Unfall</v>
      </c>
      <c r="U9" s="7" t="str">
        <f>Para1!F98</f>
        <v>betriebsbedingt</v>
      </c>
      <c r="V9" s="7"/>
      <c r="W9" s="734">
        <f>Q55</f>
        <v>0</v>
      </c>
      <c r="X9" s="734">
        <f>Juni!Y9</f>
        <v>0</v>
      </c>
      <c r="Y9" s="306">
        <f t="shared" si="0"/>
        <v>0</v>
      </c>
      <c r="Z9" s="155"/>
    </row>
    <row r="10" spans="1:29" ht="15" customHeight="1">
      <c r="B10" s="22" t="str">
        <f>Para1!F108</f>
        <v>Differenz</v>
      </c>
      <c r="C10" s="904">
        <f>$C$9-$C$8</f>
        <v>-7.7</v>
      </c>
      <c r="D10" s="904"/>
      <c r="F10" s="19"/>
      <c r="H10" s="162" t="str">
        <f>"./. "&amp;Para1!F117</f>
        <v>./. Ferienkürzung</v>
      </c>
      <c r="I10" s="210">
        <v>0</v>
      </c>
      <c r="J10" s="212"/>
      <c r="O10" s="59"/>
      <c r="S10" s="7"/>
      <c r="T10" s="8"/>
      <c r="U10" s="7" t="str">
        <f>Para1!F163&amp;" "&amp;Para1!F99</f>
        <v>nicht betr.</v>
      </c>
      <c r="V10" s="7"/>
      <c r="W10" s="734">
        <f>R55</f>
        <v>0</v>
      </c>
      <c r="X10" s="734">
        <f>Juni!Y10</f>
        <v>0</v>
      </c>
      <c r="Y10" s="306">
        <f t="shared" si="0"/>
        <v>0</v>
      </c>
      <c r="Z10" s="155"/>
      <c r="AB10" s="11"/>
    </row>
    <row r="11" spans="1:29" ht="15" customHeight="1" thickBot="1">
      <c r="B11" s="20" t="str">
        <f>Para1!F190</f>
        <v>Übertrag Vormnt</v>
      </c>
      <c r="C11" s="847">
        <f>Juni!C12</f>
        <v>-43.316666666666663</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R11" s="8"/>
      <c r="S11" s="7"/>
      <c r="T11" s="20" t="str">
        <f>Para1!F140</f>
        <v>Kurzurlaub</v>
      </c>
      <c r="U11" s="8"/>
      <c r="V11" s="8"/>
      <c r="W11" s="734">
        <f>S55</f>
        <v>0</v>
      </c>
      <c r="X11" s="734">
        <f>Juni!Y11</f>
        <v>0</v>
      </c>
      <c r="Y11" s="306">
        <f t="shared" si="0"/>
        <v>0</v>
      </c>
      <c r="Z11" s="155"/>
      <c r="AB11" s="11"/>
    </row>
    <row r="12" spans="1:29" ht="15" customHeight="1" thickTop="1" thickBot="1">
      <c r="A12" s="127"/>
      <c r="B12" s="330" t="str">
        <f>Para1!F174</f>
        <v>Saldo</v>
      </c>
      <c r="C12" s="901">
        <f>C10+C11</f>
        <v>-51.016666666666666</v>
      </c>
      <c r="D12" s="901"/>
      <c r="F12" s="19"/>
      <c r="G12" s="7"/>
      <c r="L12" s="448" t="s">
        <v>492</v>
      </c>
      <c r="M12" s="449" t="str">
        <f>Para1!F115</f>
        <v>Ferien</v>
      </c>
      <c r="N12" s="449"/>
      <c r="O12" s="449"/>
      <c r="P12" s="449"/>
      <c r="Q12" s="450"/>
      <c r="R12" s="8"/>
      <c r="S12" s="7"/>
      <c r="T12" s="25" t="str">
        <f>Para1!F206</f>
        <v>Weiterbildung auf Arbeitszeit</v>
      </c>
      <c r="U12" s="7"/>
      <c r="V12" s="7"/>
      <c r="W12" s="734">
        <f>T55</f>
        <v>0</v>
      </c>
      <c r="X12" s="734">
        <f>Juni!Y12</f>
        <v>0</v>
      </c>
      <c r="Y12" s="306">
        <f t="shared" si="0"/>
        <v>0</v>
      </c>
      <c r="Z12" s="155"/>
      <c r="AB12" s="11"/>
    </row>
    <row r="13" spans="1:29" ht="15" customHeight="1" thickTop="1">
      <c r="B13" s="330"/>
      <c r="C13" s="309"/>
      <c r="D13" s="81"/>
      <c r="F13" s="19"/>
      <c r="J13" s="160"/>
      <c r="L13" s="448" t="s">
        <v>493</v>
      </c>
      <c r="M13" s="449" t="str">
        <f>Para1!F157</f>
        <v>Mutter- und Vaterschaftsurlaub</v>
      </c>
      <c r="N13" s="449"/>
      <c r="O13" s="449"/>
      <c r="P13" s="449"/>
      <c r="Q13" s="451"/>
      <c r="R13" s="8"/>
      <c r="S13" s="7"/>
      <c r="T13" s="20" t="str">
        <f>Para1!F165</f>
        <v>Öffentliches Amt</v>
      </c>
      <c r="U13" s="7"/>
      <c r="V13" s="7"/>
      <c r="W13" s="734">
        <f>U55</f>
        <v>0</v>
      </c>
      <c r="X13" s="734">
        <f>Juni!Y13</f>
        <v>0</v>
      </c>
      <c r="Y13" s="306">
        <f t="shared" si="0"/>
        <v>0</v>
      </c>
      <c r="Z13" s="16"/>
      <c r="AB13" s="11"/>
    </row>
    <row r="14" spans="1:29" ht="15" customHeight="1">
      <c r="F14" s="19"/>
      <c r="H14" s="9" t="str">
        <f>Para1!F142</f>
        <v>Langzeitkonto</v>
      </c>
      <c r="I14" s="160" t="s">
        <v>103</v>
      </c>
      <c r="J14" s="59"/>
      <c r="L14" s="448" t="s">
        <v>494</v>
      </c>
      <c r="M14" s="449" t="str">
        <f>Para1!F149</f>
        <v>Militär/Zivilsch./Zivildienst</v>
      </c>
      <c r="N14" s="449"/>
      <c r="O14" s="449"/>
      <c r="P14" s="449"/>
      <c r="Q14" s="451"/>
      <c r="R14" s="8"/>
      <c r="S14" s="8"/>
      <c r="T14" s="24" t="str">
        <f>Para1!F198</f>
        <v>Urlaub</v>
      </c>
      <c r="U14" s="853" t="str">
        <f>Para1!F100</f>
        <v>bezahlt</v>
      </c>
      <c r="V14" s="853"/>
      <c r="W14" s="738">
        <f>SUMIF($W$24:$W$54,"b",$AH$24:$AH$54)+SUMIF($X$24:$X$54,"b",$AH$24:$AH$54)</f>
        <v>0</v>
      </c>
      <c r="X14" s="734">
        <f>Juni!Y14</f>
        <v>0</v>
      </c>
      <c r="Y14" s="155">
        <f t="shared" si="0"/>
        <v>0</v>
      </c>
      <c r="Z14" s="535"/>
      <c r="AA14" s="536"/>
      <c r="AB14" s="11"/>
    </row>
    <row r="15" spans="1:29" ht="15" customHeight="1">
      <c r="H15" s="140" t="str">
        <f>Para1!F174&amp;" "&amp;Para1!F88&amp;" "&amp;Para1!F154</f>
        <v>Saldo Anfang Monat</v>
      </c>
      <c r="I15" s="299">
        <f>Juni!I17</f>
        <v>0</v>
      </c>
      <c r="J15" s="59"/>
      <c r="L15" s="448" t="s">
        <v>495</v>
      </c>
      <c r="M15" s="449" t="str">
        <f>Para1!F133</f>
        <v>JAZ-Kompensation</v>
      </c>
      <c r="N15" s="449"/>
      <c r="O15" s="449"/>
      <c r="P15" s="449"/>
      <c r="Q15" s="451"/>
      <c r="R15" s="8"/>
      <c r="S15" s="8"/>
      <c r="T15" s="24"/>
      <c r="U15" s="853" t="str">
        <f>Para1!F194</f>
        <v>unbezahlt</v>
      </c>
      <c r="V15" s="853"/>
      <c r="W15" s="738">
        <f>SUMIF($W$24:$W$54,"u",$AH$24:$AH$54)+SUMIF($X$24:$X$54,"u",$AH$24:$AH$54)</f>
        <v>0</v>
      </c>
      <c r="X15" s="734">
        <f>Juni!Y15</f>
        <v>0</v>
      </c>
      <c r="Y15" s="155">
        <f t="shared" si="0"/>
        <v>0</v>
      </c>
      <c r="Z15" s="536"/>
      <c r="AA15" s="536"/>
      <c r="AB15" s="11"/>
    </row>
    <row r="16" spans="1:29" ht="15" customHeight="1">
      <c r="F16" s="11"/>
      <c r="G16" s="11"/>
      <c r="H16" s="140" t="str">
        <f>"./. "&amp;Para1!F145</f>
        <v>./. LZK-Bezug</v>
      </c>
      <c r="I16" s="299">
        <f>SUMIF($W$24:$W$54,"l",$AH$24:$AH$54)+SUMIF($X$24:$X$54,"l",$AH$24:$AH$54)</f>
        <v>0</v>
      </c>
      <c r="J16" s="59"/>
      <c r="L16" s="452" t="s">
        <v>496</v>
      </c>
      <c r="M16" s="456" t="str">
        <f>Para1!F198&amp;" "&amp;Para1!F100</f>
        <v>Urlaub bezahlt</v>
      </c>
      <c r="N16" s="453"/>
      <c r="O16" s="454"/>
      <c r="P16" s="455"/>
      <c r="Q16" s="451"/>
      <c r="R16" s="8"/>
      <c r="S16" s="8"/>
      <c r="T16" s="24" t="str">
        <f>Para1!F157</f>
        <v>Mutter- und Vaterschaftsurlaub</v>
      </c>
      <c r="U16" s="73"/>
      <c r="V16" s="11"/>
      <c r="W16" s="738">
        <f>SUMIF($W$24:$W$54,"m",$AH$24:$AH$54)+SUMIF($X$24:$X$54,"m",$AH$24:$AH$54)</f>
        <v>0</v>
      </c>
      <c r="X16" s="734">
        <f>Juni!Y16</f>
        <v>0</v>
      </c>
      <c r="Y16" s="155">
        <f t="shared" si="0"/>
        <v>0</v>
      </c>
      <c r="Z16" s="536"/>
      <c r="AA16" s="536"/>
      <c r="AB16" s="11"/>
    </row>
    <row r="17" spans="1:34" ht="15" customHeight="1" thickBot="1">
      <c r="G17" s="162"/>
      <c r="H17" s="328" t="str">
        <f>Para1!F174&amp;" "&amp;Para1!F113&amp;" "&amp;Para1!F154</f>
        <v>Saldo Ende Monat</v>
      </c>
      <c r="I17" s="732">
        <f>I15-I16</f>
        <v>0</v>
      </c>
      <c r="J17" s="164"/>
      <c r="L17" s="452" t="s">
        <v>497</v>
      </c>
      <c r="M17" s="456" t="str">
        <f>Para1!F198&amp;" "&amp;Para1!F194</f>
        <v>Urlaub unbezahlt</v>
      </c>
      <c r="N17" s="453"/>
      <c r="O17" s="454"/>
      <c r="P17" s="455"/>
      <c r="Q17" s="451"/>
      <c r="R17" s="8"/>
      <c r="S17" s="8"/>
      <c r="T17" s="24" t="str">
        <f>Para1!F149</f>
        <v>Militär/Zivilsch./Zivildienst</v>
      </c>
      <c r="U17" s="73"/>
      <c r="V17" s="11"/>
      <c r="W17" s="738">
        <f>SUMIF($W$24:$W$54,"z",$AH$24:$AH$54)+SUMIF($X$24:$X$54,"z",$AH$24:$AH$54)</f>
        <v>0</v>
      </c>
      <c r="X17" s="734">
        <f>Juni!Y17</f>
        <v>0</v>
      </c>
      <c r="Y17" s="155">
        <f t="shared" si="0"/>
        <v>0</v>
      </c>
      <c r="Z17" s="536"/>
      <c r="AA17" s="536"/>
      <c r="AB17" s="11"/>
    </row>
    <row r="18" spans="1:34" ht="15" customHeight="1" thickTop="1" thickBot="1">
      <c r="F18" s="616" t="str">
        <f>IF(AND(Information!H8="Nein",I16&gt;0),"ACHTUNG: Langzeitkontobezug ohne entsprechendes Konto!!","")</f>
        <v/>
      </c>
      <c r="G18" s="162"/>
      <c r="H18" s="11"/>
      <c r="I18" s="11"/>
      <c r="J18" s="164"/>
      <c r="L18" s="448" t="s">
        <v>498</v>
      </c>
      <c r="M18" s="456" t="str">
        <f>Para1!F142</f>
        <v>Langzeitkonto</v>
      </c>
      <c r="N18" s="453"/>
      <c r="O18" s="454"/>
      <c r="P18" s="455"/>
      <c r="Q18" s="451"/>
      <c r="R18" s="8"/>
      <c r="S18" s="8"/>
      <c r="T18" s="9" t="str">
        <f>Para1!F184</f>
        <v>Total</v>
      </c>
      <c r="U18" s="11"/>
      <c r="V18" s="11"/>
      <c r="W18" s="733">
        <f>SUM(W8:W17)</f>
        <v>0</v>
      </c>
      <c r="X18" s="733">
        <f>SUM(X8:X17)</f>
        <v>0</v>
      </c>
      <c r="Y18" s="733">
        <f>SUM(Y8:Y17)</f>
        <v>0</v>
      </c>
      <c r="AB18" s="11"/>
    </row>
    <row r="19" spans="1:34" ht="15" customHeight="1" thickTop="1">
      <c r="E19" s="19"/>
      <c r="G19" s="72"/>
      <c r="M19" s="8"/>
      <c r="N19" s="8"/>
      <c r="O19" s="8"/>
      <c r="P19" s="8"/>
      <c r="Q19" s="8"/>
      <c r="R19" s="8"/>
      <c r="S19" s="21"/>
      <c r="T19" s="11"/>
      <c r="U19" s="11"/>
      <c r="V19" s="11"/>
      <c r="W19" s="59"/>
      <c r="X19" s="16"/>
      <c r="AB19" s="11"/>
    </row>
    <row r="20" spans="1:34" ht="15" customHeight="1" thickBot="1">
      <c r="A20" s="424" t="str">
        <f>Para1!J222</f>
        <v>(Bitte das Guthaben in Stunden und Minuten eingeben.)</v>
      </c>
      <c r="B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row>
    <row r="24" spans="1:34" ht="16.5" customHeight="1" thickTop="1">
      <c r="A24" s="112" t="s">
        <v>5</v>
      </c>
      <c r="B24" s="303" t="str">
        <f>IF(Juni!B53=Para1!$F$153,Para1!$F$107,IF(Juni!B53=Para1!$F$107,Para1!$F$148,IF(Juni!B53=Para1!$F$148,Para1!$F$109,IF(Juni!B53=Para1!$F$109,Para1!$F$118,IF(Juni!B53=Para1!$F$118,Para1!$F$173,IF(Juni!B53=Para1!$F$173,Para1!$F$176,Para1!$F$153))))))</f>
        <v>Do</v>
      </c>
      <c r="C24" s="339"/>
      <c r="D24" s="359"/>
      <c r="E24" s="355"/>
      <c r="F24" s="355"/>
      <c r="G24" s="357"/>
      <c r="H24" s="359"/>
      <c r="I24" s="355"/>
      <c r="J24" s="355"/>
      <c r="K24" s="357"/>
      <c r="L24" s="111">
        <f t="shared" ref="L24:L30" si="1">SUM((G24-D24),(K24-H24))-SUM((F24-E24),(J24-I24))</f>
        <v>0</v>
      </c>
      <c r="M24" s="141">
        <f>IF(AE24=0,0,IF(AB24,$AB$56,0)+IF(AC24,$AB$56,0)-IF(AE24="",0,(AE24/4800*$H$3)+(AE24/4800*$H$3)))-IF(AF24="",0,(AF24/4800*$H$3)+(AF24/4800*$H$3))</f>
        <v>0.35000000000000003</v>
      </c>
      <c r="N24" s="45">
        <f>$C$11+$L24-M24+SUM($P24:$U24)+IF(OR($W24="f",$W24="m",$W24="z",$W24="u",$W24="b",$W24="l"),$AH24,0)+IF(OR($X24="f",$X24="m",$X24="z",$X24="u",$X24="b",$X24="l"),$AH24,0)</f>
        <v>-43.666666666666664</v>
      </c>
      <c r="O24" s="192"/>
      <c r="P24" s="355"/>
      <c r="Q24" s="355"/>
      <c r="R24" s="356"/>
      <c r="S24" s="357"/>
      <c r="T24" s="357"/>
      <c r="U24" s="358"/>
      <c r="V24" s="198"/>
      <c r="W24" s="373"/>
      <c r="X24" s="599"/>
      <c r="Y24" s="232"/>
      <c r="Z24" s="231"/>
      <c r="AA24" s="668"/>
      <c r="AB24" s="360">
        <f>Juni!AB47</f>
        <v>1</v>
      </c>
      <c r="AC24" s="360">
        <f>Juni!AC47</f>
        <v>1</v>
      </c>
      <c r="AD24" s="188" t="e">
        <f>IF(VLOOKUP(A24,Para1!$B$67:$E$72,2,FALSE)="7.",VLOOKUP(A24,Para1!$B$67:$E$72,3,FALSE),"")</f>
        <v>#N/A</v>
      </c>
      <c r="AE24" s="540" t="str">
        <f>IF((AB24+AC24)=0,"",IF(ISNA(AD24),"",IF(AD24="","",VLOOKUP(AD24,Para1!$D$67:$G$79,3,FALSE)*(IF(AB24+AC24=1,0.5,1)))))</f>
        <v/>
      </c>
      <c r="AF24" s="540" t="str">
        <f>IF(AB24+AC24=0,"",IF(ISNA(AD25),"",IF(AD25="","",VLOOKUP(AD25,Para1!$D$67:$G$79,4,FALSE)*(IF(AB24+AC24=1,0.5,1)))))</f>
        <v/>
      </c>
      <c r="AG24" s="188">
        <f>IF(AE24=0,AB24+AC24,0)</f>
        <v>0</v>
      </c>
      <c r="AH24" s="187">
        <f>IF((AB24+AC24)=0,0,M24/(AB24+AC24))</f>
        <v>0.17500000000000002</v>
      </c>
    </row>
    <row r="25" spans="1:34" ht="16.5" customHeight="1">
      <c r="A25" s="112" t="s">
        <v>7</v>
      </c>
      <c r="B25" s="303" t="str">
        <f>IF(B24=Para1!$F$153,Para1!$F$107,IF(B24=Para1!$F$107,Para1!$F$148,IF(B24=Para1!$F$148,Para1!$F$109,IF(B24=Para1!$F$109,Para1!$F$118,IF(B24=Para1!$F$118,Para1!$F$173,IF(B24=Para1!$F$173,Para1!$F$176,Para1!$F$153))))))</f>
        <v>Fr</v>
      </c>
      <c r="C25" s="305"/>
      <c r="D25" s="359"/>
      <c r="E25" s="355"/>
      <c r="F25" s="355"/>
      <c r="G25" s="357"/>
      <c r="H25" s="359"/>
      <c r="I25" s="355"/>
      <c r="J25" s="355"/>
      <c r="K25" s="357"/>
      <c r="L25" s="111">
        <f t="shared" si="1"/>
        <v>0</v>
      </c>
      <c r="M25" s="141">
        <f t="shared" ref="M25:M54" si="2">IF(AE25=0,0,IF(AB25,$AB$56,0)+IF(AC25,$AB$56,0)-IF(AE25="",0,(AE25/4800*$H$3)+(AE25/4800*$H$3)))-IF(AF25="",0,(AF25/4800*$H$3)+(AF25/4800*$H$3))</f>
        <v>0.35000000000000003</v>
      </c>
      <c r="N25" s="45">
        <f>$N24+$L25-M25+SUM($P25:$U25)+IF(OR($W25="f",$W25="m",$W25="z",$W25="u",$W25="b",$W25="l"),$AH25,0)+IF(OR($X25="f",$X25="m",$X25="z",$X25="u",$X25="b",$X25="l"),$AH25,0)</f>
        <v>-44.016666666666666</v>
      </c>
      <c r="O25" s="193"/>
      <c r="P25" s="355"/>
      <c r="Q25" s="355"/>
      <c r="R25" s="356"/>
      <c r="S25" s="357"/>
      <c r="T25" s="357"/>
      <c r="U25" s="358"/>
      <c r="V25" s="198"/>
      <c r="W25" s="373"/>
      <c r="X25" s="599"/>
      <c r="Y25" s="200"/>
      <c r="Z25" s="69"/>
      <c r="AA25" s="128"/>
      <c r="AB25" s="360">
        <f>Juni!AB48</f>
        <v>1</v>
      </c>
      <c r="AC25" s="360">
        <f>Juni!AC48</f>
        <v>1</v>
      </c>
      <c r="AD25" s="188" t="str">
        <f>IF(VLOOKUP(A25,Para1!$B$67:$E$72,2,FALSE)="7.",VLOOKUP(A25,Para1!$B$67:$E$72,3,FALSE),"")</f>
        <v/>
      </c>
      <c r="AE25" s="540" t="str">
        <f>IF((AB25+AC25)=0,"",IF(ISNA(AD25),"",IF(AD25="","",VLOOKUP(AD25,Para1!$D$67:$G$79,3,FALSE)*(IF(AB25+AC25=1,0.5,1)))))</f>
        <v/>
      </c>
      <c r="AF25" s="540" t="str">
        <f>IF(AB25+AC25=0,"",IF(ISNA(AD26),"",IF(AD26="","",VLOOKUP(AD26,Para1!$D$67:$G$79,4,FALSE)*(IF(AB25+AC25=1,0.5,1)))))</f>
        <v/>
      </c>
      <c r="AG25" s="188">
        <f t="shared" ref="AG25:AG54" si="3">IF(AE25=0,AB25+AC25,0)</f>
        <v>0</v>
      </c>
      <c r="AH25" s="187">
        <f t="shared" ref="AH25:AH54" si="4">IF((AB25+AC25)=0,0,M25/(AB25+AC25))</f>
        <v>0.17500000000000002</v>
      </c>
    </row>
    <row r="26" spans="1:34" s="50" customFormat="1" ht="16.5" customHeight="1">
      <c r="A26" s="112" t="s">
        <v>9</v>
      </c>
      <c r="B26" s="303" t="str">
        <f>IF(B25=Para1!$F$153,Para1!$F$107,IF(B25=Para1!$F$107,Para1!$F$148,IF(B25=Para1!$F$148,Para1!$F$109,IF(B25=Para1!$F$109,Para1!$F$118,IF(B25=Para1!$F$118,Para1!$F$173,IF(B25=Para1!$F$173,Para1!$F$176,Para1!$F$153))))))</f>
        <v>Sa</v>
      </c>
      <c r="C26" s="336"/>
      <c r="D26" s="359"/>
      <c r="E26" s="355"/>
      <c r="F26" s="355"/>
      <c r="G26" s="357"/>
      <c r="H26" s="359"/>
      <c r="I26" s="355"/>
      <c r="J26" s="355"/>
      <c r="K26" s="357"/>
      <c r="L26" s="111">
        <f t="shared" si="1"/>
        <v>0</v>
      </c>
      <c r="M26" s="141">
        <f t="shared" si="2"/>
        <v>0</v>
      </c>
      <c r="N26" s="45">
        <f t="shared" ref="N26:N54" si="5">$N25+$L26-M26+SUM($P26:$U26)+IF(OR($W26="f",$W26="m",$W26="z",$W26="u",$W26="b",$W26="l"),$AH26,0)+IF(OR($X26="f",$X26="m",$X26="z",$X26="u",$X26="b",$X26="l"),$AH26,0)</f>
        <v>-44.016666666666666</v>
      </c>
      <c r="O26" s="193"/>
      <c r="P26" s="355"/>
      <c r="Q26" s="355"/>
      <c r="R26" s="356"/>
      <c r="S26" s="357"/>
      <c r="T26" s="357"/>
      <c r="U26" s="358"/>
      <c r="V26" s="198"/>
      <c r="W26" s="373"/>
      <c r="X26" s="599"/>
      <c r="Y26" s="200"/>
      <c r="Z26" s="69"/>
      <c r="AA26" s="128"/>
      <c r="AB26" s="360">
        <f>Juni!AB49</f>
        <v>0</v>
      </c>
      <c r="AC26" s="360">
        <f>Juni!AC49</f>
        <v>0</v>
      </c>
      <c r="AD26" s="188" t="e">
        <f>IF(VLOOKUP(A26,Para1!$B$67:$E$72,2,FALSE)="7.",VLOOKUP(A26,Para1!$B$67:$E$72,3,FALSE),"")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v>
      </c>
    </row>
    <row r="27" spans="1:34" s="50" customFormat="1" ht="16.5" customHeight="1">
      <c r="A27" s="112" t="s">
        <v>11</v>
      </c>
      <c r="B27" s="303" t="str">
        <f>IF(B26=Para1!$F$153,Para1!$F$107,IF(B26=Para1!$F$107,Para1!$F$148,IF(B26=Para1!$F$148,Para1!$F$109,IF(B26=Para1!$F$109,Para1!$F$118,IF(B26=Para1!$F$118,Para1!$F$173,IF(B26=Para1!$F$173,Para1!$F$176,Para1!$F$153))))))</f>
        <v>So</v>
      </c>
      <c r="C27" s="336"/>
      <c r="D27" s="359"/>
      <c r="E27" s="355"/>
      <c r="F27" s="355"/>
      <c r="G27" s="357"/>
      <c r="H27" s="359"/>
      <c r="I27" s="355"/>
      <c r="J27" s="355"/>
      <c r="K27" s="357"/>
      <c r="L27" s="111">
        <f t="shared" si="1"/>
        <v>0</v>
      </c>
      <c r="M27" s="141">
        <f t="shared" si="2"/>
        <v>0</v>
      </c>
      <c r="N27" s="45">
        <f t="shared" si="5"/>
        <v>-44.016666666666666</v>
      </c>
      <c r="O27" s="193"/>
      <c r="P27" s="355"/>
      <c r="Q27" s="355"/>
      <c r="R27" s="356"/>
      <c r="S27" s="357"/>
      <c r="T27" s="357"/>
      <c r="U27" s="358"/>
      <c r="V27" s="198"/>
      <c r="W27" s="374"/>
      <c r="X27" s="599"/>
      <c r="Y27" s="200"/>
      <c r="Z27" s="69"/>
      <c r="AA27" s="128"/>
      <c r="AB27" s="360">
        <f>Juni!AB50</f>
        <v>0</v>
      </c>
      <c r="AC27" s="360">
        <f>Juni!AC50</f>
        <v>0</v>
      </c>
      <c r="AD27" s="188" t="str">
        <f>IF(VLOOKUP(A27,Para1!$B$67:$E$72,2,FALSE)="7.",VLOOKUP(A27,Para1!$B$67:$E$72,3,FALSE),"")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v>
      </c>
    </row>
    <row r="28" spans="1:34" ht="16.5" customHeight="1">
      <c r="A28" s="112" t="s">
        <v>13</v>
      </c>
      <c r="B28" s="303" t="str">
        <f>IF(B27=Para1!$F$153,Para1!$F$107,IF(B27=Para1!$F$107,Para1!$F$148,IF(B27=Para1!$F$148,Para1!$F$109,IF(B27=Para1!$F$109,Para1!$F$118,IF(B27=Para1!$F$118,Para1!$F$173,IF(B27=Para1!$F$173,Para1!$F$176,Para1!$F$153))))))</f>
        <v>Mo</v>
      </c>
      <c r="C28" s="336"/>
      <c r="D28" s="359"/>
      <c r="E28" s="355"/>
      <c r="F28" s="355"/>
      <c r="G28" s="357"/>
      <c r="H28" s="359"/>
      <c r="I28" s="355"/>
      <c r="J28" s="355"/>
      <c r="K28" s="357"/>
      <c r="L28" s="111">
        <f t="shared" si="1"/>
        <v>0</v>
      </c>
      <c r="M28" s="141">
        <f t="shared" si="2"/>
        <v>0.35000000000000003</v>
      </c>
      <c r="N28" s="45">
        <f t="shared" si="5"/>
        <v>-44.366666666666667</v>
      </c>
      <c r="O28" s="193"/>
      <c r="P28" s="355"/>
      <c r="Q28" s="355"/>
      <c r="R28" s="356"/>
      <c r="S28" s="357"/>
      <c r="T28" s="357"/>
      <c r="U28" s="358"/>
      <c r="V28" s="198"/>
      <c r="W28" s="374"/>
      <c r="X28" s="599"/>
      <c r="Y28" s="200"/>
      <c r="Z28" s="69"/>
      <c r="AA28" s="128"/>
      <c r="AB28" s="360">
        <f>Juni!AB51</f>
        <v>1</v>
      </c>
      <c r="AC28" s="360">
        <f>Juni!AC51</f>
        <v>1</v>
      </c>
      <c r="AD28" s="188" t="str">
        <f>IF(VLOOKUP(A28,Para1!$B$67:$E$72,2,FALSE)="7.",VLOOKUP(A28,Para1!$B$67:$E$72,3,FALSE),"")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0.17500000000000002</v>
      </c>
    </row>
    <row r="29" spans="1:34" ht="16.5" customHeight="1">
      <c r="A29" s="112" t="s">
        <v>15</v>
      </c>
      <c r="B29" s="303" t="str">
        <f>IF(B28=Para1!$F$153,Para1!$F$107,IF(B28=Para1!$F$107,Para1!$F$148,IF(B28=Para1!$F$148,Para1!$F$109,IF(B28=Para1!$F$109,Para1!$F$118,IF(B28=Para1!$F$118,Para1!$F$173,IF(B28=Para1!$F$173,Para1!$F$176,Para1!$F$153))))))</f>
        <v>Di</v>
      </c>
      <c r="C29" s="336"/>
      <c r="D29" s="359"/>
      <c r="E29" s="355"/>
      <c r="F29" s="355"/>
      <c r="G29" s="357"/>
      <c r="H29" s="359"/>
      <c r="I29" s="355"/>
      <c r="J29" s="355"/>
      <c r="K29" s="357"/>
      <c r="L29" s="111">
        <f t="shared" si="1"/>
        <v>0</v>
      </c>
      <c r="M29" s="141">
        <f t="shared" si="2"/>
        <v>0.35000000000000003</v>
      </c>
      <c r="N29" s="45">
        <f t="shared" si="5"/>
        <v>-44.716666666666669</v>
      </c>
      <c r="O29" s="193"/>
      <c r="P29" s="355"/>
      <c r="Q29" s="355"/>
      <c r="R29" s="356"/>
      <c r="S29" s="357"/>
      <c r="T29" s="357"/>
      <c r="U29" s="358"/>
      <c r="V29" s="198"/>
      <c r="W29" s="373"/>
      <c r="X29" s="599"/>
      <c r="Y29" s="200"/>
      <c r="Z29" s="69"/>
      <c r="AA29" s="128"/>
      <c r="AB29" s="360">
        <f>Juni!AB52</f>
        <v>1</v>
      </c>
      <c r="AC29" s="360">
        <f>Juni!AC52</f>
        <v>1</v>
      </c>
      <c r="AD29" s="188" t="e">
        <f>IF(VLOOKUP(A29,Para1!$B$67:$E$72,2,FALSE)="7.",VLOOKUP(A29,Para1!$B$67:$E$72,3,FALSE),"")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0.17500000000000002</v>
      </c>
    </row>
    <row r="30" spans="1:34" ht="16.5" customHeight="1">
      <c r="A30" s="112" t="s">
        <v>17</v>
      </c>
      <c r="B30" s="303" t="str">
        <f>IF(B29=Para1!$F$153,Para1!$F$107,IF(B29=Para1!$F$107,Para1!$F$148,IF(B29=Para1!$F$148,Para1!$F$109,IF(B29=Para1!$F$109,Para1!$F$118,IF(B29=Para1!$F$118,Para1!$F$173,IF(B29=Para1!$F$173,Para1!$F$176,Para1!$F$153))))))</f>
        <v>Mi</v>
      </c>
      <c r="C30" s="338"/>
      <c r="D30" s="359"/>
      <c r="E30" s="355"/>
      <c r="F30" s="355"/>
      <c r="G30" s="357"/>
      <c r="H30" s="359"/>
      <c r="I30" s="355"/>
      <c r="J30" s="355"/>
      <c r="K30" s="357"/>
      <c r="L30" s="111">
        <f t="shared" si="1"/>
        <v>0</v>
      </c>
      <c r="M30" s="141">
        <f t="shared" si="2"/>
        <v>0.35000000000000003</v>
      </c>
      <c r="N30" s="45">
        <f t="shared" si="5"/>
        <v>-45.06666666666667</v>
      </c>
      <c r="O30" s="192"/>
      <c r="P30" s="355"/>
      <c r="Q30" s="355"/>
      <c r="R30" s="356"/>
      <c r="S30" s="357"/>
      <c r="T30" s="357"/>
      <c r="U30" s="358"/>
      <c r="V30" s="198"/>
      <c r="W30" s="373"/>
      <c r="X30" s="599"/>
      <c r="Y30" s="200"/>
      <c r="Z30" s="69"/>
      <c r="AA30" s="128"/>
      <c r="AB30" s="360">
        <f>Juni!AB53</f>
        <v>1</v>
      </c>
      <c r="AC30" s="360">
        <f>Juni!AC53</f>
        <v>1</v>
      </c>
      <c r="AD30" s="188" t="e">
        <f>IF(VLOOKUP(A30,Para1!$B$67:$E$72,2,FALSE)="7.",VLOOKUP(A30,Para1!$B$67:$E$72,3,FALSE),"")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0.17500000000000002</v>
      </c>
    </row>
    <row r="31" spans="1:34" ht="16.5" customHeight="1">
      <c r="A31" s="112" t="s">
        <v>19</v>
      </c>
      <c r="B31" s="303" t="str">
        <f>IF(B30=Para1!$F$153,Para1!$F$107,IF(B30=Para1!$F$107,Para1!$F$148,IF(B30=Para1!$F$148,Para1!$F$109,IF(B30=Para1!$F$109,Para1!$F$118,IF(B30=Para1!$F$118,Para1!$F$173,IF(B30=Para1!$F$173,Para1!$F$176,Para1!$F$153))))))</f>
        <v>Do</v>
      </c>
      <c r="C31" s="339"/>
      <c r="D31" s="359"/>
      <c r="E31" s="355"/>
      <c r="F31" s="355"/>
      <c r="G31" s="357"/>
      <c r="H31" s="359"/>
      <c r="I31" s="355"/>
      <c r="J31" s="355"/>
      <c r="K31" s="357"/>
      <c r="L31" s="111">
        <f t="shared" ref="L31:L53" si="6">SUM((G31-D31),(K31-H31))-SUM((F31-E31),(J31-I31))</f>
        <v>0</v>
      </c>
      <c r="M31" s="141">
        <f t="shared" si="2"/>
        <v>0.35000000000000003</v>
      </c>
      <c r="N31" s="45">
        <f t="shared" si="5"/>
        <v>-45.416666666666671</v>
      </c>
      <c r="O31" s="192"/>
      <c r="P31" s="355"/>
      <c r="Q31" s="355"/>
      <c r="R31" s="356"/>
      <c r="S31" s="357"/>
      <c r="T31" s="357"/>
      <c r="U31" s="358"/>
      <c r="V31" s="198"/>
      <c r="W31" s="373"/>
      <c r="X31" s="599"/>
      <c r="Y31" s="200"/>
      <c r="Z31" s="69"/>
      <c r="AA31" s="128"/>
      <c r="AB31" s="360">
        <f>AB24</f>
        <v>1</v>
      </c>
      <c r="AC31" s="360">
        <f>AC24</f>
        <v>1</v>
      </c>
      <c r="AD31" s="188" t="e">
        <f>IF(VLOOKUP(A31,Para1!$B$67:$E$72,2,FALSE)="7.",VLOOKUP(A31,Para1!$B$67:$E$72,3,FALSE),"")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0.17500000000000002</v>
      </c>
    </row>
    <row r="32" spans="1:34" ht="16.5" customHeight="1">
      <c r="A32" s="112" t="s">
        <v>20</v>
      </c>
      <c r="B32" s="303" t="str">
        <f>IF(B31=Para1!$F$153,Para1!$F$107,IF(B31=Para1!$F$107,Para1!$F$148,IF(B31=Para1!$F$148,Para1!$F$109,IF(B31=Para1!$F$109,Para1!$F$118,IF(B31=Para1!$F$118,Para1!$F$173,IF(B31=Para1!$F$173,Para1!$F$176,Para1!$F$153))))))</f>
        <v>Fr</v>
      </c>
      <c r="C32" s="305"/>
      <c r="D32" s="359"/>
      <c r="E32" s="355"/>
      <c r="F32" s="355"/>
      <c r="G32" s="357"/>
      <c r="H32" s="359"/>
      <c r="I32" s="355"/>
      <c r="J32" s="355"/>
      <c r="K32" s="357"/>
      <c r="L32" s="111">
        <f t="shared" si="6"/>
        <v>0</v>
      </c>
      <c r="M32" s="141">
        <f t="shared" si="2"/>
        <v>0.35000000000000003</v>
      </c>
      <c r="N32" s="45">
        <f t="shared" si="5"/>
        <v>-45.766666666666673</v>
      </c>
      <c r="O32" s="193"/>
      <c r="P32" s="355"/>
      <c r="Q32" s="355"/>
      <c r="R32" s="356"/>
      <c r="S32" s="357"/>
      <c r="T32" s="357"/>
      <c r="U32" s="358"/>
      <c r="V32" s="198"/>
      <c r="W32" s="373"/>
      <c r="X32" s="599"/>
      <c r="Y32" s="200"/>
      <c r="Z32" s="69"/>
      <c r="AA32" s="128"/>
      <c r="AB32" s="360">
        <f>AB25</f>
        <v>1</v>
      </c>
      <c r="AC32" s="360">
        <f t="shared" ref="AB32:AC37" si="7">AC25</f>
        <v>1</v>
      </c>
      <c r="AD32" s="188" t="e">
        <f>IF(VLOOKUP(A32,Para1!$B$67:$E$72,2,FALSE)="7.",VLOOKUP(A32,Para1!$B$67:$E$72,3,FALSE),"")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0.17500000000000002</v>
      </c>
    </row>
    <row r="33" spans="1:34" s="50" customFormat="1" ht="16.5" customHeight="1">
      <c r="A33" s="112" t="s">
        <v>21</v>
      </c>
      <c r="B33" s="303" t="str">
        <f>IF(B32=Para1!$F$153,Para1!$F$107,IF(B32=Para1!$F$107,Para1!$F$148,IF(B32=Para1!$F$148,Para1!$F$109,IF(B32=Para1!$F$109,Para1!$F$118,IF(B32=Para1!$F$118,Para1!$F$173,IF(B32=Para1!$F$173,Para1!$F$176,Para1!$F$153))))))</f>
        <v>Sa</v>
      </c>
      <c r="C33" s="336"/>
      <c r="D33" s="359"/>
      <c r="E33" s="355"/>
      <c r="F33" s="355"/>
      <c r="G33" s="357"/>
      <c r="H33" s="359"/>
      <c r="I33" s="355"/>
      <c r="J33" s="355"/>
      <c r="K33" s="357"/>
      <c r="L33" s="111">
        <f t="shared" si="6"/>
        <v>0</v>
      </c>
      <c r="M33" s="141">
        <f t="shared" si="2"/>
        <v>0</v>
      </c>
      <c r="N33" s="45">
        <f t="shared" si="5"/>
        <v>-45.766666666666673</v>
      </c>
      <c r="O33" s="193"/>
      <c r="P33" s="355"/>
      <c r="Q33" s="355"/>
      <c r="R33" s="356"/>
      <c r="S33" s="357"/>
      <c r="T33" s="357"/>
      <c r="U33" s="358"/>
      <c r="V33" s="237"/>
      <c r="W33" s="373"/>
      <c r="X33" s="599"/>
      <c r="Y33" s="200"/>
      <c r="Z33" s="69"/>
      <c r="AA33" s="128"/>
      <c r="AB33" s="360">
        <f t="shared" si="7"/>
        <v>0</v>
      </c>
      <c r="AC33" s="360">
        <f t="shared" si="7"/>
        <v>0</v>
      </c>
      <c r="AD33" s="188" t="e">
        <f>IF(VLOOKUP(A33,Para1!$B$67:$E$72,2,FALSE)="7.",VLOOKUP(A33,Para1!$B$67:$E$72,3,FALSE),"")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v>
      </c>
    </row>
    <row r="34" spans="1:34" s="50" customFormat="1" ht="16.5" customHeight="1">
      <c r="A34" s="112" t="s">
        <v>22</v>
      </c>
      <c r="B34" s="303" t="str">
        <f>IF(B33=Para1!$F$153,Para1!$F$107,IF(B33=Para1!$F$107,Para1!$F$148,IF(B33=Para1!$F$148,Para1!$F$109,IF(B33=Para1!$F$109,Para1!$F$118,IF(B33=Para1!$F$118,Para1!$F$173,IF(B33=Para1!$F$173,Para1!$F$176,Para1!$F$153))))))</f>
        <v>So</v>
      </c>
      <c r="C34" s="336"/>
      <c r="D34" s="359"/>
      <c r="E34" s="355"/>
      <c r="F34" s="355"/>
      <c r="G34" s="357"/>
      <c r="H34" s="359"/>
      <c r="I34" s="355"/>
      <c r="J34" s="355"/>
      <c r="K34" s="357"/>
      <c r="L34" s="111">
        <f t="shared" si="6"/>
        <v>0</v>
      </c>
      <c r="M34" s="141">
        <f t="shared" si="2"/>
        <v>0</v>
      </c>
      <c r="N34" s="45">
        <f t="shared" si="5"/>
        <v>-45.766666666666673</v>
      </c>
      <c r="O34" s="193"/>
      <c r="P34" s="355"/>
      <c r="Q34" s="355"/>
      <c r="R34" s="356"/>
      <c r="S34" s="357"/>
      <c r="T34" s="357"/>
      <c r="U34" s="358"/>
      <c r="V34" s="198"/>
      <c r="W34" s="374"/>
      <c r="X34" s="599"/>
      <c r="Y34" s="200"/>
      <c r="Z34" s="69"/>
      <c r="AA34" s="128"/>
      <c r="AB34" s="360">
        <f t="shared" si="7"/>
        <v>0</v>
      </c>
      <c r="AC34" s="360">
        <f t="shared" si="7"/>
        <v>0</v>
      </c>
      <c r="AD34" s="188" t="e">
        <f>IF(VLOOKUP(A34,Para1!$B$67:$E$72,2,FALSE)="7.",VLOOKUP(A34,Para1!$B$67:$E$72,3,FALSE),"")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v>
      </c>
    </row>
    <row r="35" spans="1:34" ht="16.5" customHeight="1">
      <c r="A35" s="112" t="s">
        <v>23</v>
      </c>
      <c r="B35" s="303" t="str">
        <f>IF(B34=Para1!$F$153,Para1!$F$107,IF(B34=Para1!$F$107,Para1!$F$148,IF(B34=Para1!$F$148,Para1!$F$109,IF(B34=Para1!$F$109,Para1!$F$118,IF(B34=Para1!$F$118,Para1!$F$173,IF(B34=Para1!$F$173,Para1!$F$176,Para1!$F$153))))))</f>
        <v>Mo</v>
      </c>
      <c r="C35" s="336"/>
      <c r="D35" s="359"/>
      <c r="E35" s="355"/>
      <c r="F35" s="355"/>
      <c r="G35" s="357"/>
      <c r="H35" s="359"/>
      <c r="I35" s="355"/>
      <c r="J35" s="355"/>
      <c r="K35" s="357"/>
      <c r="L35" s="111">
        <f t="shared" si="6"/>
        <v>0</v>
      </c>
      <c r="M35" s="141">
        <f t="shared" si="2"/>
        <v>0.35000000000000003</v>
      </c>
      <c r="N35" s="45">
        <f t="shared" si="5"/>
        <v>-46.116666666666674</v>
      </c>
      <c r="O35" s="193"/>
      <c r="P35" s="355"/>
      <c r="Q35" s="355"/>
      <c r="R35" s="356"/>
      <c r="S35" s="357"/>
      <c r="T35" s="357"/>
      <c r="U35" s="358"/>
      <c r="V35" s="198"/>
      <c r="W35" s="374"/>
      <c r="X35" s="599"/>
      <c r="Y35" s="200"/>
      <c r="Z35" s="69"/>
      <c r="AA35" s="128"/>
      <c r="AB35" s="360">
        <f t="shared" si="7"/>
        <v>1</v>
      </c>
      <c r="AC35" s="360">
        <f t="shared" si="7"/>
        <v>1</v>
      </c>
      <c r="AD35" s="188" t="e">
        <f>IF(VLOOKUP(A35,Para1!$B$67:$E$72,2,FALSE)="7.",VLOOKUP(A35,Para1!$B$67:$E$72,3,FALSE),"")</f>
        <v>#N/A</v>
      </c>
      <c r="AE35" s="540" t="str">
        <f>IF((AB35+AC35)=0,"",IF(ISNA(AD35),"",IF(AD35="","",VLOOKUP(AD35,Para1!$D$67:$G$79,3,FALSE)*(IF(AB35+AC35=1,0.5,1)))))</f>
        <v/>
      </c>
      <c r="AF35" s="540" t="str">
        <f>IF(AB35+AC35=0,"",IF(ISNA(AD36),"",IF(AD36="","",VLOOKUP(AD36,Para1!$D$67:$G$79,4,FALSE)*(IF(AB35+AC35=1,0.5,1)))))</f>
        <v/>
      </c>
      <c r="AG35" s="188">
        <f t="shared" si="3"/>
        <v>0</v>
      </c>
      <c r="AH35" s="187">
        <f t="shared" si="4"/>
        <v>0.17500000000000002</v>
      </c>
    </row>
    <row r="36" spans="1:34" ht="16.5" customHeight="1">
      <c r="A36" s="112" t="s">
        <v>24</v>
      </c>
      <c r="B36" s="303" t="str">
        <f>IF(B35=Para1!$F$153,Para1!$F$107,IF(B35=Para1!$F$107,Para1!$F$148,IF(B35=Para1!$F$148,Para1!$F$109,IF(B35=Para1!$F$109,Para1!$F$118,IF(B35=Para1!$F$118,Para1!$F$173,IF(B35=Para1!$F$173,Para1!$F$176,Para1!$F$153))))))</f>
        <v>Di</v>
      </c>
      <c r="C36" s="336"/>
      <c r="D36" s="359"/>
      <c r="E36" s="355"/>
      <c r="F36" s="355"/>
      <c r="G36" s="357"/>
      <c r="H36" s="359"/>
      <c r="I36" s="355"/>
      <c r="J36" s="355"/>
      <c r="K36" s="357"/>
      <c r="L36" s="111">
        <f t="shared" si="6"/>
        <v>0</v>
      </c>
      <c r="M36" s="141">
        <f t="shared" si="2"/>
        <v>0.35000000000000003</v>
      </c>
      <c r="N36" s="45">
        <f t="shared" si="5"/>
        <v>-46.466666666666676</v>
      </c>
      <c r="O36" s="193"/>
      <c r="P36" s="355"/>
      <c r="Q36" s="355"/>
      <c r="R36" s="356"/>
      <c r="S36" s="357"/>
      <c r="T36" s="357"/>
      <c r="U36" s="358"/>
      <c r="V36" s="198"/>
      <c r="W36" s="373"/>
      <c r="X36" s="599"/>
      <c r="Y36" s="200"/>
      <c r="Z36" s="69"/>
      <c r="AA36" s="128"/>
      <c r="AB36" s="360">
        <f t="shared" si="7"/>
        <v>1</v>
      </c>
      <c r="AC36" s="360">
        <f t="shared" si="7"/>
        <v>1</v>
      </c>
      <c r="AD36" s="188" t="str">
        <f>IF(VLOOKUP(A36,Para1!$B$67:$E$72,2,FALSE)="7.",VLOOKUP(A36,Para1!$B$67:$E$72,3,FALSE),"")</f>
        <v/>
      </c>
      <c r="AE36" s="540" t="str">
        <f>IF((AB36+AC36)=0,"",IF(ISNA(AD36),"",IF(AD36="","",VLOOKUP(AD36,Para1!$D$67:$G$79,3,FALSE)*(IF(AB36+AC36=1,0.5,1)))))</f>
        <v/>
      </c>
      <c r="AF36" s="540" t="str">
        <f>IF(AB36+AC36=0,"",IF(ISNA(AD37),"",IF(AD37="","",VLOOKUP(AD37,Para1!$D$67:$G$79,4,FALSE)*(IF(AB36+AC36=1,0.5,1)))))</f>
        <v/>
      </c>
      <c r="AG36" s="188">
        <f t="shared" si="3"/>
        <v>0</v>
      </c>
      <c r="AH36" s="187">
        <f t="shared" si="4"/>
        <v>0.17500000000000002</v>
      </c>
    </row>
    <row r="37" spans="1:34" ht="16.5" customHeight="1">
      <c r="A37" s="112" t="s">
        <v>25</v>
      </c>
      <c r="B37" s="303" t="str">
        <f>IF(B36=Para1!$F$153,Para1!$F$107,IF(B36=Para1!$F$107,Para1!$F$148,IF(B36=Para1!$F$148,Para1!$F$109,IF(B36=Para1!$F$109,Para1!$F$118,IF(B36=Para1!$F$118,Para1!$F$173,IF(B36=Para1!$F$173,Para1!$F$176,Para1!$F$153))))))</f>
        <v>Mi</v>
      </c>
      <c r="C37" s="338"/>
      <c r="D37" s="359"/>
      <c r="E37" s="355"/>
      <c r="F37" s="355"/>
      <c r="G37" s="357"/>
      <c r="H37" s="359"/>
      <c r="I37" s="355"/>
      <c r="J37" s="355"/>
      <c r="K37" s="357"/>
      <c r="L37" s="111">
        <f t="shared" si="6"/>
        <v>0</v>
      </c>
      <c r="M37" s="141">
        <f t="shared" si="2"/>
        <v>0.35000000000000003</v>
      </c>
      <c r="N37" s="45">
        <f t="shared" si="5"/>
        <v>-46.816666666666677</v>
      </c>
      <c r="O37" s="192"/>
      <c r="P37" s="355"/>
      <c r="Q37" s="355"/>
      <c r="R37" s="356"/>
      <c r="S37" s="357"/>
      <c r="T37" s="357"/>
      <c r="U37" s="358"/>
      <c r="V37" s="198"/>
      <c r="W37" s="373"/>
      <c r="X37" s="599"/>
      <c r="Y37" s="200"/>
      <c r="Z37" s="69"/>
      <c r="AA37" s="128"/>
      <c r="AB37" s="360">
        <f t="shared" si="7"/>
        <v>1</v>
      </c>
      <c r="AC37" s="360">
        <f t="shared" si="7"/>
        <v>1</v>
      </c>
      <c r="AD37" s="188" t="e">
        <f>IF(VLOOKUP(A37,Para1!$B$67:$E$72,2,FALSE)="7.",VLOOKUP(A37,Para1!$B$67:$E$72,3,FALSE),"")</f>
        <v>#N/A</v>
      </c>
      <c r="AE37" s="540" t="str">
        <f>IF((AB37+AC37)=0,"",IF(ISNA(AD37),"",IF(AD37="","",VLOOKUP(AD37,Para1!$D$67:$G$79,3,FALSE)*(IF(AB37+AC37=1,0.5,1)))))</f>
        <v/>
      </c>
      <c r="AF37" s="540" t="str">
        <f>IF(AB37+AC37=0,"",IF(ISNA(AD38),"",IF(AD38="","",VLOOKUP(AD38,Para1!$D$67:$G$79,4,FALSE)*(IF(AB37+AC37=1,0.5,1)))))</f>
        <v/>
      </c>
      <c r="AG37" s="188">
        <f t="shared" si="3"/>
        <v>0</v>
      </c>
      <c r="AH37" s="187">
        <f t="shared" si="4"/>
        <v>0.17500000000000002</v>
      </c>
    </row>
    <row r="38" spans="1:34" ht="16.5" customHeight="1">
      <c r="A38" s="112" t="s">
        <v>26</v>
      </c>
      <c r="B38" s="303" t="str">
        <f>IF(B37=Para1!$F$153,Para1!$F$107,IF(B37=Para1!$F$107,Para1!$F$148,IF(B37=Para1!$F$148,Para1!$F$109,IF(B37=Para1!$F$109,Para1!$F$118,IF(B37=Para1!$F$118,Para1!$F$173,IF(B37=Para1!$F$173,Para1!$F$176,Para1!$F$153))))))</f>
        <v>Do</v>
      </c>
      <c r="C38" s="339"/>
      <c r="D38" s="359"/>
      <c r="E38" s="355"/>
      <c r="F38" s="355"/>
      <c r="G38" s="357"/>
      <c r="H38" s="359"/>
      <c r="I38" s="355"/>
      <c r="J38" s="355"/>
      <c r="K38" s="357"/>
      <c r="L38" s="111">
        <f t="shared" si="6"/>
        <v>0</v>
      </c>
      <c r="M38" s="141">
        <f t="shared" si="2"/>
        <v>0.35000000000000003</v>
      </c>
      <c r="N38" s="45">
        <f t="shared" si="5"/>
        <v>-47.166666666666679</v>
      </c>
      <c r="O38" s="192"/>
      <c r="P38" s="355"/>
      <c r="Q38" s="355"/>
      <c r="R38" s="356"/>
      <c r="S38" s="357"/>
      <c r="T38" s="357"/>
      <c r="U38" s="358"/>
      <c r="V38" s="198"/>
      <c r="W38" s="373"/>
      <c r="X38" s="599"/>
      <c r="Y38" s="200"/>
      <c r="Z38" s="69"/>
      <c r="AA38" s="128"/>
      <c r="AB38" s="360">
        <f>AB31</f>
        <v>1</v>
      </c>
      <c r="AC38" s="360">
        <f>AC31</f>
        <v>1</v>
      </c>
      <c r="AD38" s="188" t="e">
        <f>IF(VLOOKUP(A38,Para1!$B$67:$E$72,2,FALSE)="7.",VLOOKUP(A38,Para1!$B$67:$E$72,3,FALSE),"")</f>
        <v>#N/A</v>
      </c>
      <c r="AE38" s="540" t="str">
        <f>IF((AB38+AC38)=0,"",IF(ISNA(AD38),"",IF(AD38="","",VLOOKUP(AD38,Para1!$D$67:$G$79,3,FALSE)*(IF(AB38+AC38=1,0.5,1)))))</f>
        <v/>
      </c>
      <c r="AF38" s="540" t="str">
        <f>IF(AB38+AC38=0,"",IF(ISNA(AD39),"",IF(AD39="","",VLOOKUP(AD39,Para1!$D$67:$G$79,4,FALSE)*(IF(AB38+AC38=1,0.5,1)))))</f>
        <v/>
      </c>
      <c r="AG38" s="188">
        <f t="shared" si="3"/>
        <v>0</v>
      </c>
      <c r="AH38" s="187">
        <f t="shared" si="4"/>
        <v>0.17500000000000002</v>
      </c>
    </row>
    <row r="39" spans="1:34" ht="16.5" customHeight="1">
      <c r="A39" s="112" t="s">
        <v>27</v>
      </c>
      <c r="B39" s="303" t="str">
        <f>IF(B38=Para1!$F$153,Para1!$F$107,IF(B38=Para1!$F$107,Para1!$F$148,IF(B38=Para1!$F$148,Para1!$F$109,IF(B38=Para1!$F$109,Para1!$F$118,IF(B38=Para1!$F$118,Para1!$F$173,IF(B38=Para1!$F$173,Para1!$F$176,Para1!$F$153))))))</f>
        <v>Fr</v>
      </c>
      <c r="C39" s="305"/>
      <c r="D39" s="359"/>
      <c r="E39" s="355"/>
      <c r="F39" s="355"/>
      <c r="G39" s="357"/>
      <c r="H39" s="359"/>
      <c r="I39" s="355"/>
      <c r="J39" s="355"/>
      <c r="K39" s="357"/>
      <c r="L39" s="111">
        <f t="shared" si="6"/>
        <v>0</v>
      </c>
      <c r="M39" s="141">
        <f t="shared" si="2"/>
        <v>0.35000000000000003</v>
      </c>
      <c r="N39" s="45">
        <f t="shared" si="5"/>
        <v>-47.51666666666668</v>
      </c>
      <c r="O39" s="193"/>
      <c r="P39" s="355"/>
      <c r="Q39" s="355"/>
      <c r="R39" s="356"/>
      <c r="S39" s="357"/>
      <c r="T39" s="357"/>
      <c r="U39" s="358"/>
      <c r="V39" s="198"/>
      <c r="W39" s="373"/>
      <c r="X39" s="599"/>
      <c r="Y39" s="200"/>
      <c r="Z39" s="69"/>
      <c r="AA39" s="128"/>
      <c r="AB39" s="360">
        <f t="shared" ref="AB39:AC44" si="8">AB32</f>
        <v>1</v>
      </c>
      <c r="AC39" s="360">
        <f t="shared" si="8"/>
        <v>1</v>
      </c>
      <c r="AD39" s="188" t="e">
        <f>IF(VLOOKUP(A39,Para1!$B$67:$E$72,2,FALSE)="7.",VLOOKUP(A39,Para1!$B$67:$E$72,3,FALSE),"")</f>
        <v>#N/A</v>
      </c>
      <c r="AE39" s="540" t="str">
        <f>IF((AB39+AC39)=0,"",IF(ISNA(AD39),"",IF(AD39="","",VLOOKUP(AD39,Para1!$D$67:$G$79,3,FALSE)*(IF(AB39+AC39=1,0.5,1)))))</f>
        <v/>
      </c>
      <c r="AF39" s="540" t="str">
        <f>IF(AB39+AC39=0,"",IF(ISNA(AD40),"",IF(AD40="","",VLOOKUP(AD40,Para1!$D$67:$G$79,4,FALSE)*(IF(AB39+AC39=1,0.5,1)))))</f>
        <v/>
      </c>
      <c r="AG39" s="188">
        <f t="shared" si="3"/>
        <v>0</v>
      </c>
      <c r="AH39" s="187">
        <f t="shared" si="4"/>
        <v>0.17500000000000002</v>
      </c>
    </row>
    <row r="40" spans="1:34" s="50" customFormat="1" ht="16.5" customHeight="1">
      <c r="A40" s="112" t="s">
        <v>28</v>
      </c>
      <c r="B40" s="303" t="str">
        <f>IF(B39=Para1!$F$153,Para1!$F$107,IF(B39=Para1!$F$107,Para1!$F$148,IF(B39=Para1!$F$148,Para1!$F$109,IF(B39=Para1!$F$109,Para1!$F$118,IF(B39=Para1!$F$118,Para1!$F$173,IF(B39=Para1!$F$173,Para1!$F$176,Para1!$F$153))))))</f>
        <v>Sa</v>
      </c>
      <c r="C40" s="336"/>
      <c r="D40" s="359"/>
      <c r="E40" s="355"/>
      <c r="F40" s="355"/>
      <c r="G40" s="357"/>
      <c r="H40" s="359"/>
      <c r="I40" s="355"/>
      <c r="J40" s="355"/>
      <c r="K40" s="357"/>
      <c r="L40" s="111">
        <f t="shared" si="6"/>
        <v>0</v>
      </c>
      <c r="M40" s="141">
        <f t="shared" si="2"/>
        <v>0</v>
      </c>
      <c r="N40" s="45">
        <f t="shared" si="5"/>
        <v>-47.51666666666668</v>
      </c>
      <c r="O40" s="193"/>
      <c r="P40" s="355"/>
      <c r="Q40" s="355"/>
      <c r="R40" s="356"/>
      <c r="S40" s="357"/>
      <c r="T40" s="357"/>
      <c r="U40" s="358"/>
      <c r="V40" s="237"/>
      <c r="W40" s="373"/>
      <c r="X40" s="599"/>
      <c r="Y40" s="200"/>
      <c r="Z40" s="69"/>
      <c r="AA40" s="128"/>
      <c r="AB40" s="360">
        <f t="shared" si="8"/>
        <v>0</v>
      </c>
      <c r="AC40" s="360">
        <f t="shared" si="8"/>
        <v>0</v>
      </c>
      <c r="AD40" s="188" t="e">
        <f>IF(VLOOKUP(A40,Para1!$B$67:$E$72,2,FALSE)="7.",VLOOKUP(A40,Para1!$B$67:$E$72,3,FALSE),"")</f>
        <v>#N/A</v>
      </c>
      <c r="AE40" s="540" t="str">
        <f>IF((AB40+AC40)=0,"",IF(ISNA(AD40),"",IF(AD40="","",VLOOKUP(AD40,Para1!$D$67:$G$79,3,FALSE)*(IF(AB40+AC40=1,0.5,1)))))</f>
        <v/>
      </c>
      <c r="AF40" s="540" t="str">
        <f>IF(AB40+AC40=0,"",IF(ISNA(AD41),"",IF(AD41="","",VLOOKUP(AD41,Para1!$D$67:$G$79,4,FALSE)*(IF(AB40+AC40=1,0.5,1)))))</f>
        <v/>
      </c>
      <c r="AG40" s="188">
        <f t="shared" si="3"/>
        <v>0</v>
      </c>
      <c r="AH40" s="187">
        <f t="shared" si="4"/>
        <v>0</v>
      </c>
    </row>
    <row r="41" spans="1:34" s="50" customFormat="1" ht="16.5" customHeight="1">
      <c r="A41" s="112" t="s">
        <v>29</v>
      </c>
      <c r="B41" s="303" t="str">
        <f>IF(B40=Para1!$F$153,Para1!$F$107,IF(B40=Para1!$F$107,Para1!$F$148,IF(B40=Para1!$F$148,Para1!$F$109,IF(B40=Para1!$F$109,Para1!$F$118,IF(B40=Para1!$F$118,Para1!$F$173,IF(B40=Para1!$F$173,Para1!$F$176,Para1!$F$153))))))</f>
        <v>So</v>
      </c>
      <c r="C41" s="336"/>
      <c r="D41" s="359"/>
      <c r="E41" s="355"/>
      <c r="F41" s="355"/>
      <c r="G41" s="357"/>
      <c r="H41" s="359"/>
      <c r="I41" s="355"/>
      <c r="J41" s="355"/>
      <c r="K41" s="357"/>
      <c r="L41" s="111">
        <f t="shared" si="6"/>
        <v>0</v>
      </c>
      <c r="M41" s="141">
        <f t="shared" si="2"/>
        <v>0</v>
      </c>
      <c r="N41" s="45">
        <f t="shared" si="5"/>
        <v>-47.51666666666668</v>
      </c>
      <c r="O41" s="193"/>
      <c r="P41" s="355"/>
      <c r="Q41" s="355"/>
      <c r="R41" s="356"/>
      <c r="S41" s="357"/>
      <c r="T41" s="357"/>
      <c r="U41" s="358"/>
      <c r="V41" s="198"/>
      <c r="W41" s="374"/>
      <c r="X41" s="599"/>
      <c r="Y41" s="200"/>
      <c r="Z41" s="69"/>
      <c r="AA41" s="128"/>
      <c r="AB41" s="360">
        <f t="shared" si="8"/>
        <v>0</v>
      </c>
      <c r="AC41" s="360">
        <f t="shared" si="8"/>
        <v>0</v>
      </c>
      <c r="AD41" s="188" t="e">
        <f>IF(VLOOKUP(A41,Para1!$B$67:$E$72,2,FALSE)="7.",VLOOKUP(A41,Para1!$B$67:$E$72,3,FALSE),"")</f>
        <v>#N/A</v>
      </c>
      <c r="AE41" s="540" t="str">
        <f>IF((AB41+AC41)=0,"",IF(ISNA(AD41),"",IF(AD41="","",VLOOKUP(AD41,Para1!$D$67:$G$79,3,FALSE)*(IF(AB41+AC41=1,0.5,1)))))</f>
        <v/>
      </c>
      <c r="AF41" s="540" t="str">
        <f>IF(AB41+AC41=0,"",IF(ISNA(AD42),"",IF(AD42="","",VLOOKUP(AD42,Para1!$D$67:$G$79,4,FALSE)*(IF(AB41+AC41=1,0.5,1)))))</f>
        <v/>
      </c>
      <c r="AG41" s="188">
        <f t="shared" si="3"/>
        <v>0</v>
      </c>
      <c r="AH41" s="187">
        <f t="shared" si="4"/>
        <v>0</v>
      </c>
    </row>
    <row r="42" spans="1:34" ht="16.5" customHeight="1">
      <c r="A42" s="112" t="s">
        <v>30</v>
      </c>
      <c r="B42" s="303" t="str">
        <f>IF(B41=Para1!$F$153,Para1!$F$107,IF(B41=Para1!$F$107,Para1!$F$148,IF(B41=Para1!$F$148,Para1!$F$109,IF(B41=Para1!$F$109,Para1!$F$118,IF(B41=Para1!$F$118,Para1!$F$173,IF(B41=Para1!$F$173,Para1!$F$176,Para1!$F$153))))))</f>
        <v>Mo</v>
      </c>
      <c r="C42" s="336"/>
      <c r="D42" s="359"/>
      <c r="E42" s="355"/>
      <c r="F42" s="355"/>
      <c r="G42" s="357"/>
      <c r="H42" s="359"/>
      <c r="I42" s="355"/>
      <c r="J42" s="355"/>
      <c r="K42" s="357"/>
      <c r="L42" s="111">
        <f t="shared" si="6"/>
        <v>0</v>
      </c>
      <c r="M42" s="141">
        <f t="shared" si="2"/>
        <v>0.35000000000000003</v>
      </c>
      <c r="N42" s="45">
        <f t="shared" si="5"/>
        <v>-47.866666666666681</v>
      </c>
      <c r="O42" s="193"/>
      <c r="P42" s="355"/>
      <c r="Q42" s="355"/>
      <c r="R42" s="356"/>
      <c r="S42" s="357"/>
      <c r="T42" s="357"/>
      <c r="U42" s="358"/>
      <c r="V42" s="198"/>
      <c r="W42" s="374"/>
      <c r="X42" s="599"/>
      <c r="Y42" s="200"/>
      <c r="Z42" s="69"/>
      <c r="AA42" s="128"/>
      <c r="AB42" s="360">
        <f t="shared" si="8"/>
        <v>1</v>
      </c>
      <c r="AC42" s="360">
        <f t="shared" si="8"/>
        <v>1</v>
      </c>
      <c r="AD42" s="188" t="e">
        <f>IF(VLOOKUP(A42,Para1!$B$67:$E$72,2,FALSE)="7.",VLOOKUP(A42,Para1!$B$67:$E$72,3,FALSE),"")</f>
        <v>#N/A</v>
      </c>
      <c r="AE42" s="540" t="str">
        <f>IF((AB42+AC42)=0,"",IF(ISNA(AD42),"",IF(AD42="","",VLOOKUP(AD42,Para1!$D$67:$G$79,3,FALSE)*(IF(AB42+AC42=1,0.5,1)))))</f>
        <v/>
      </c>
      <c r="AF42" s="540" t="str">
        <f>IF(AB42+AC42=0,"",IF(ISNA(AD43),"",IF(AD43="","",VLOOKUP(AD43,Para1!$D$67:$G$79,4,FALSE)*(IF(AB42+AC42=1,0.5,1)))))</f>
        <v/>
      </c>
      <c r="AG42" s="188">
        <f t="shared" si="3"/>
        <v>0</v>
      </c>
      <c r="AH42" s="187">
        <f t="shared" si="4"/>
        <v>0.17500000000000002</v>
      </c>
    </row>
    <row r="43" spans="1:34" ht="16.5" customHeight="1">
      <c r="A43" s="112" t="s">
        <v>31</v>
      </c>
      <c r="B43" s="303" t="str">
        <f>IF(B42=Para1!$F$153,Para1!$F$107,IF(B42=Para1!$F$107,Para1!$F$148,IF(B42=Para1!$F$148,Para1!$F$109,IF(B42=Para1!$F$109,Para1!$F$118,IF(B42=Para1!$F$118,Para1!$F$173,IF(B42=Para1!$F$173,Para1!$F$176,Para1!$F$153))))))</f>
        <v>Di</v>
      </c>
      <c r="C43" s="336"/>
      <c r="D43" s="359"/>
      <c r="E43" s="355"/>
      <c r="F43" s="355"/>
      <c r="G43" s="357"/>
      <c r="H43" s="359"/>
      <c r="I43" s="355"/>
      <c r="J43" s="355"/>
      <c r="K43" s="357"/>
      <c r="L43" s="111">
        <f t="shared" si="6"/>
        <v>0</v>
      </c>
      <c r="M43" s="141">
        <f t="shared" si="2"/>
        <v>0.35000000000000003</v>
      </c>
      <c r="N43" s="45">
        <f t="shared" si="5"/>
        <v>-48.216666666666683</v>
      </c>
      <c r="O43" s="193"/>
      <c r="P43" s="355"/>
      <c r="Q43" s="355"/>
      <c r="R43" s="356"/>
      <c r="S43" s="357"/>
      <c r="T43" s="357"/>
      <c r="U43" s="358"/>
      <c r="V43" s="198"/>
      <c r="W43" s="373"/>
      <c r="X43" s="599"/>
      <c r="Y43" s="200"/>
      <c r="Z43" s="69"/>
      <c r="AA43" s="128"/>
      <c r="AB43" s="360">
        <f t="shared" si="8"/>
        <v>1</v>
      </c>
      <c r="AC43" s="360">
        <f t="shared" si="8"/>
        <v>1</v>
      </c>
      <c r="AD43" s="188" t="e">
        <f>IF(VLOOKUP(A43,Para1!$B$67:$E$72,2,FALSE)="7.",VLOOKUP(A43,Para1!$B$67:$E$72,3,FALSE),"")</f>
        <v>#N/A</v>
      </c>
      <c r="AE43" s="540" t="str">
        <f>IF((AB43+AC43)=0,"",IF(ISNA(AD43),"",IF(AD43="","",VLOOKUP(AD43,Para1!$D$67:$G$79,3,FALSE)*(IF(AB43+AC43=1,0.5,1)))))</f>
        <v/>
      </c>
      <c r="AF43" s="540" t="str">
        <f>IF(AB43+AC43=0,"",IF(ISNA(AD44),"",IF(AD44="","",VLOOKUP(AD44,Para1!$D$67:$G$79,4,FALSE)*(IF(AB43+AC43=1,0.5,1)))))</f>
        <v/>
      </c>
      <c r="AG43" s="188">
        <f t="shared" si="3"/>
        <v>0</v>
      </c>
      <c r="AH43" s="187">
        <f t="shared" si="4"/>
        <v>0.17500000000000002</v>
      </c>
    </row>
    <row r="44" spans="1:34" ht="16.5" customHeight="1">
      <c r="A44" s="112" t="s">
        <v>32</v>
      </c>
      <c r="B44" s="303" t="str">
        <f>IF(B43=Para1!$F$153,Para1!$F$107,IF(B43=Para1!$F$107,Para1!$F$148,IF(B43=Para1!$F$148,Para1!$F$109,IF(B43=Para1!$F$109,Para1!$F$118,IF(B43=Para1!$F$118,Para1!$F$173,IF(B43=Para1!$F$173,Para1!$F$176,Para1!$F$153))))))</f>
        <v>Mi</v>
      </c>
      <c r="C44" s="338"/>
      <c r="D44" s="359"/>
      <c r="E44" s="355"/>
      <c r="F44" s="355"/>
      <c r="G44" s="357"/>
      <c r="H44" s="359"/>
      <c r="I44" s="355"/>
      <c r="J44" s="355"/>
      <c r="K44" s="357"/>
      <c r="L44" s="111">
        <f t="shared" si="6"/>
        <v>0</v>
      </c>
      <c r="M44" s="141">
        <f t="shared" si="2"/>
        <v>0.35000000000000003</v>
      </c>
      <c r="N44" s="45">
        <f t="shared" si="5"/>
        <v>-48.566666666666684</v>
      </c>
      <c r="O44" s="192"/>
      <c r="P44" s="355"/>
      <c r="Q44" s="355"/>
      <c r="R44" s="356"/>
      <c r="S44" s="357"/>
      <c r="T44" s="357"/>
      <c r="U44" s="358"/>
      <c r="V44" s="198"/>
      <c r="W44" s="373"/>
      <c r="X44" s="599"/>
      <c r="Y44" s="200"/>
      <c r="Z44" s="69"/>
      <c r="AA44" s="128"/>
      <c r="AB44" s="360">
        <f t="shared" si="8"/>
        <v>1</v>
      </c>
      <c r="AC44" s="360">
        <f t="shared" si="8"/>
        <v>1</v>
      </c>
      <c r="AD44" s="188" t="e">
        <f>IF(VLOOKUP(A44,Para1!$B$67:$E$72,2,FALSE)="7.",VLOOKUP(A44,Para1!$B$67:$E$72,3,FALSE),"")</f>
        <v>#N/A</v>
      </c>
      <c r="AE44" s="540" t="str">
        <f>IF((AB44+AC44)=0,"",IF(ISNA(AD44),"",IF(AD44="","",VLOOKUP(AD44,Para1!$D$67:$G$79,3,FALSE)*(IF(AB44+AC44=1,0.5,1)))))</f>
        <v/>
      </c>
      <c r="AF44" s="540" t="str">
        <f>IF(AB44+AC44=0,"",IF(ISNA(AD45),"",IF(AD45="","",VLOOKUP(AD45,Para1!$D$67:$G$79,4,FALSE)*(IF(AB44+AC44=1,0.5,1)))))</f>
        <v/>
      </c>
      <c r="AG44" s="188">
        <f t="shared" si="3"/>
        <v>0</v>
      </c>
      <c r="AH44" s="187">
        <f t="shared" si="4"/>
        <v>0.17500000000000002</v>
      </c>
    </row>
    <row r="45" spans="1:34" ht="16.5" customHeight="1">
      <c r="A45" s="112" t="s">
        <v>33</v>
      </c>
      <c r="B45" s="303" t="str">
        <f>IF(B44=Para1!$F$153,Para1!$F$107,IF(B44=Para1!$F$107,Para1!$F$148,IF(B44=Para1!$F$148,Para1!$F$109,IF(B44=Para1!$F$109,Para1!$F$118,IF(B44=Para1!$F$118,Para1!$F$173,IF(B44=Para1!$F$173,Para1!$F$176,Para1!$F$153))))))</f>
        <v>Do</v>
      </c>
      <c r="C45" s="339"/>
      <c r="D45" s="359"/>
      <c r="E45" s="355"/>
      <c r="F45" s="355"/>
      <c r="G45" s="357"/>
      <c r="H45" s="359"/>
      <c r="I45" s="355"/>
      <c r="J45" s="355"/>
      <c r="K45" s="357"/>
      <c r="L45" s="111">
        <f t="shared" si="6"/>
        <v>0</v>
      </c>
      <c r="M45" s="141">
        <f t="shared" si="2"/>
        <v>0.35000000000000003</v>
      </c>
      <c r="N45" s="45">
        <f t="shared" si="5"/>
        <v>-48.916666666666686</v>
      </c>
      <c r="O45" s="192"/>
      <c r="P45" s="355"/>
      <c r="Q45" s="355"/>
      <c r="R45" s="356"/>
      <c r="S45" s="357"/>
      <c r="T45" s="357"/>
      <c r="U45" s="358"/>
      <c r="V45" s="198"/>
      <c r="W45" s="373"/>
      <c r="X45" s="599"/>
      <c r="Y45" s="200"/>
      <c r="Z45" s="69"/>
      <c r="AA45" s="128"/>
      <c r="AB45" s="360">
        <f>AB38</f>
        <v>1</v>
      </c>
      <c r="AC45" s="360">
        <f>AC38</f>
        <v>1</v>
      </c>
      <c r="AD45" s="188" t="e">
        <f>IF(VLOOKUP(A45,Para1!$B$67:$E$72,2,FALSE)="7.",VLOOKUP(A45,Para1!$B$67:$E$72,3,FALSE),"")</f>
        <v>#N/A</v>
      </c>
      <c r="AE45" s="540" t="str">
        <f>IF((AB45+AC45)=0,"",IF(ISNA(AD45),"",IF(AD45="","",VLOOKUP(AD45,Para1!$D$67:$G$79,3,FALSE)*(IF(AB45+AC45=1,0.5,1)))))</f>
        <v/>
      </c>
      <c r="AF45" s="540" t="str">
        <f>IF(AB45+AC45=0,"",IF(ISNA(AD46),"",IF(AD46="","",VLOOKUP(AD46,Para1!$D$67:$G$79,4,FALSE)*(IF(AB45+AC45=1,0.5,1)))))</f>
        <v/>
      </c>
      <c r="AG45" s="188">
        <f t="shared" si="3"/>
        <v>0</v>
      </c>
      <c r="AH45" s="187">
        <f t="shared" si="4"/>
        <v>0.17500000000000002</v>
      </c>
    </row>
    <row r="46" spans="1:34" ht="16.5" customHeight="1">
      <c r="A46" s="112" t="s">
        <v>34</v>
      </c>
      <c r="B46" s="303" t="str">
        <f>IF(B45=Para1!$F$153,Para1!$F$107,IF(B45=Para1!$F$107,Para1!$F$148,IF(B45=Para1!$F$148,Para1!$F$109,IF(B45=Para1!$F$109,Para1!$F$118,IF(B45=Para1!$F$118,Para1!$F$173,IF(B45=Para1!$F$173,Para1!$F$176,Para1!$F$153))))))</f>
        <v>Fr</v>
      </c>
      <c r="C46" s="305"/>
      <c r="D46" s="359"/>
      <c r="E46" s="355"/>
      <c r="F46" s="355"/>
      <c r="G46" s="357"/>
      <c r="H46" s="359"/>
      <c r="I46" s="355"/>
      <c r="J46" s="355"/>
      <c r="K46" s="357"/>
      <c r="L46" s="111">
        <f t="shared" si="6"/>
        <v>0</v>
      </c>
      <c r="M46" s="141">
        <f t="shared" si="2"/>
        <v>0.35000000000000003</v>
      </c>
      <c r="N46" s="45">
        <f t="shared" si="5"/>
        <v>-49.266666666666687</v>
      </c>
      <c r="O46" s="193"/>
      <c r="P46" s="355"/>
      <c r="Q46" s="355"/>
      <c r="R46" s="356"/>
      <c r="S46" s="357"/>
      <c r="T46" s="357"/>
      <c r="U46" s="358"/>
      <c r="V46" s="198"/>
      <c r="W46" s="373"/>
      <c r="X46" s="599"/>
      <c r="Y46" s="200"/>
      <c r="Z46" s="69"/>
      <c r="AA46" s="128"/>
      <c r="AB46" s="360">
        <f t="shared" ref="AB46:AC51" si="9">AB39</f>
        <v>1</v>
      </c>
      <c r="AC46" s="360">
        <f t="shared" si="9"/>
        <v>1</v>
      </c>
      <c r="AD46" s="188" t="str">
        <f>IF(VLOOKUP(A46,Para1!$B$67:$E$72,2,FALSE)="7.",VLOOKUP(A46,Para1!$B$67:$E$72,3,FALSE),"")</f>
        <v/>
      </c>
      <c r="AE46" s="540" t="str">
        <f>IF((AB46+AC46)=0,"",IF(ISNA(AD46),"",IF(AD46="","",VLOOKUP(AD46,Para1!$D$67:$G$79,3,FALSE)*(IF(AB46+AC46=1,0.5,1)))))</f>
        <v/>
      </c>
      <c r="AF46" s="540" t="str">
        <f>IF(AB46+AC46=0,"",IF(ISNA(AD47),"",IF(AD47="","",VLOOKUP(AD47,Para1!$D$67:$G$79,4,FALSE)*(IF(AB46+AC46=1,0.5,1)))))</f>
        <v/>
      </c>
      <c r="AG46" s="188">
        <f t="shared" si="3"/>
        <v>0</v>
      </c>
      <c r="AH46" s="187">
        <f t="shared" si="4"/>
        <v>0.17500000000000002</v>
      </c>
    </row>
    <row r="47" spans="1:34" s="50" customFormat="1" ht="16.5" customHeight="1">
      <c r="A47" s="112" t="s">
        <v>35</v>
      </c>
      <c r="B47" s="303" t="str">
        <f>IF(B46=Para1!$F$153,Para1!$F$107,IF(B46=Para1!$F$107,Para1!$F$148,IF(B46=Para1!$F$148,Para1!$F$109,IF(B46=Para1!$F$109,Para1!$F$118,IF(B46=Para1!$F$118,Para1!$F$173,IF(B46=Para1!$F$173,Para1!$F$176,Para1!$F$153))))))</f>
        <v>Sa</v>
      </c>
      <c r="C47" s="336"/>
      <c r="D47" s="359"/>
      <c r="E47" s="355"/>
      <c r="F47" s="355"/>
      <c r="G47" s="357"/>
      <c r="H47" s="359"/>
      <c r="I47" s="355"/>
      <c r="J47" s="355"/>
      <c r="K47" s="357"/>
      <c r="L47" s="111">
        <f t="shared" si="6"/>
        <v>0</v>
      </c>
      <c r="M47" s="141">
        <f t="shared" si="2"/>
        <v>0</v>
      </c>
      <c r="N47" s="45">
        <f t="shared" si="5"/>
        <v>-49.266666666666687</v>
      </c>
      <c r="O47" s="193"/>
      <c r="P47" s="355"/>
      <c r="Q47" s="355"/>
      <c r="R47" s="356"/>
      <c r="S47" s="357"/>
      <c r="T47" s="357"/>
      <c r="U47" s="358"/>
      <c r="V47" s="237"/>
      <c r="W47" s="373"/>
      <c r="X47" s="599"/>
      <c r="Y47" s="200"/>
      <c r="Z47" s="69"/>
      <c r="AA47" s="128"/>
      <c r="AB47" s="360">
        <f t="shared" si="9"/>
        <v>0</v>
      </c>
      <c r="AC47" s="360">
        <f t="shared" si="9"/>
        <v>0</v>
      </c>
      <c r="AD47" s="188" t="str">
        <f>IF(VLOOKUP(A47,Para1!$B$67:$E$72,2,FALSE)="7.",VLOOKUP(A47,Para1!$B$67:$E$72,3,FALSE),"")</f>
        <v/>
      </c>
      <c r="AE47" s="540" t="str">
        <f>IF((AB47+AC47)=0,"",IF(ISNA(AD47),"",IF(AD47="","",VLOOKUP(AD47,Para1!$D$67:$G$79,3,FALSE)*(IF(AB47+AC47=1,0.5,1)))))</f>
        <v/>
      </c>
      <c r="AF47" s="540" t="str">
        <f>IF(AB47+AC47=0,"",IF(ISNA(AD48),"",IF(AD48="","",VLOOKUP(AD48,Para1!$D$67:$G$79,4,FALSE)*(IF(AB47+AC47=1,0.5,1)))))</f>
        <v/>
      </c>
      <c r="AG47" s="188">
        <f t="shared" si="3"/>
        <v>0</v>
      </c>
      <c r="AH47" s="187">
        <f t="shared" si="4"/>
        <v>0</v>
      </c>
    </row>
    <row r="48" spans="1:34" s="50" customFormat="1" ht="16.5" customHeight="1">
      <c r="A48" s="112" t="s">
        <v>36</v>
      </c>
      <c r="B48" s="303" t="str">
        <f>IF(B47=Para1!$F$153,Para1!$F$107,IF(B47=Para1!$F$107,Para1!$F$148,IF(B47=Para1!$F$148,Para1!$F$109,IF(B47=Para1!$F$109,Para1!$F$118,IF(B47=Para1!$F$118,Para1!$F$173,IF(B47=Para1!$F$173,Para1!$F$176,Para1!$F$153))))))</f>
        <v>So</v>
      </c>
      <c r="C48" s="336"/>
      <c r="D48" s="359"/>
      <c r="E48" s="355"/>
      <c r="F48" s="355"/>
      <c r="G48" s="357"/>
      <c r="H48" s="359"/>
      <c r="I48" s="355"/>
      <c r="J48" s="355"/>
      <c r="K48" s="357"/>
      <c r="L48" s="111">
        <f t="shared" si="6"/>
        <v>0</v>
      </c>
      <c r="M48" s="141">
        <f t="shared" si="2"/>
        <v>0</v>
      </c>
      <c r="N48" s="45">
        <f t="shared" si="5"/>
        <v>-49.266666666666687</v>
      </c>
      <c r="O48" s="193"/>
      <c r="P48" s="355"/>
      <c r="Q48" s="355"/>
      <c r="R48" s="356"/>
      <c r="S48" s="357"/>
      <c r="T48" s="357"/>
      <c r="U48" s="358"/>
      <c r="V48" s="198"/>
      <c r="W48" s="374"/>
      <c r="X48" s="599"/>
      <c r="Y48" s="200"/>
      <c r="Z48" s="69"/>
      <c r="AA48" s="128"/>
      <c r="AB48" s="360">
        <f t="shared" si="9"/>
        <v>0</v>
      </c>
      <c r="AC48" s="360">
        <f t="shared" si="9"/>
        <v>0</v>
      </c>
      <c r="AD48" s="188" t="e">
        <f>IF(VLOOKUP(A48,Para1!$B$67:$E$72,2,FALSE)="7.",VLOOKUP(A48,Para1!$B$67:$E$72,3,FALSE),"")</f>
        <v>#N/A</v>
      </c>
      <c r="AE48" s="540" t="str">
        <f>IF((AB48+AC48)=0,"",IF(ISNA(AD48),"",IF(AD48="","",VLOOKUP(AD48,Para1!$D$67:$G$79,3,FALSE)*(IF(AB48+AC48=1,0.5,1)))))</f>
        <v/>
      </c>
      <c r="AF48" s="540" t="str">
        <f>IF(AB48+AC48=0,"",IF(ISNA(AD49),"",IF(AD49="","",VLOOKUP(AD49,Para1!$D$67:$G$79,4,FALSE)*(IF(AB48+AC48=1,0.5,1)))))</f>
        <v/>
      </c>
      <c r="AG48" s="188">
        <f t="shared" si="3"/>
        <v>0</v>
      </c>
      <c r="AH48" s="187">
        <f t="shared" si="4"/>
        <v>0</v>
      </c>
    </row>
    <row r="49" spans="1:34" ht="16.5" customHeight="1">
      <c r="A49" s="112" t="s">
        <v>37</v>
      </c>
      <c r="B49" s="303" t="str">
        <f>IF(B48=Para1!$F$153,Para1!$F$107,IF(B48=Para1!$F$107,Para1!$F$148,IF(B48=Para1!$F$148,Para1!$F$109,IF(B48=Para1!$F$109,Para1!$F$118,IF(B48=Para1!$F$118,Para1!$F$173,IF(B48=Para1!$F$173,Para1!$F$176,Para1!$F$153))))))</f>
        <v>Mo</v>
      </c>
      <c r="C49" s="336"/>
      <c r="D49" s="359"/>
      <c r="E49" s="355"/>
      <c r="F49" s="355"/>
      <c r="G49" s="357"/>
      <c r="H49" s="359"/>
      <c r="I49" s="355"/>
      <c r="J49" s="355"/>
      <c r="K49" s="357"/>
      <c r="L49" s="111">
        <f t="shared" si="6"/>
        <v>0</v>
      </c>
      <c r="M49" s="141">
        <f t="shared" si="2"/>
        <v>0.35000000000000003</v>
      </c>
      <c r="N49" s="45">
        <f t="shared" si="5"/>
        <v>-49.616666666666688</v>
      </c>
      <c r="O49" s="193"/>
      <c r="P49" s="355"/>
      <c r="Q49" s="355"/>
      <c r="R49" s="356"/>
      <c r="S49" s="357"/>
      <c r="T49" s="357"/>
      <c r="U49" s="358"/>
      <c r="V49" s="198"/>
      <c r="W49" s="374"/>
      <c r="X49" s="599"/>
      <c r="Y49" s="200"/>
      <c r="Z49" s="69"/>
      <c r="AA49" s="128"/>
      <c r="AB49" s="360">
        <f t="shared" si="9"/>
        <v>1</v>
      </c>
      <c r="AC49" s="360">
        <f t="shared" si="9"/>
        <v>1</v>
      </c>
      <c r="AD49" s="188" t="e">
        <f>IF(VLOOKUP(A49,Para1!$B$67:$E$72,2,FALSE)="7.",VLOOKUP(A49,Para1!$B$67:$E$72,3,FALSE),"")</f>
        <v>#N/A</v>
      </c>
      <c r="AE49" s="540" t="str">
        <f>IF((AB49+AC49)=0,"",IF(ISNA(AD49),"",IF(AD49="","",VLOOKUP(AD49,Para1!$D$67:$G$79,3,FALSE)*(IF(AB49+AC49=1,0.5,1)))))</f>
        <v/>
      </c>
      <c r="AF49" s="540" t="str">
        <f>IF(AB49+AC49=0,"",IF(ISNA(AD50),"",IF(AD50="","",VLOOKUP(AD50,Para1!$D$67:$G$79,4,FALSE)*(IF(AB49+AC49=1,0.5,1)))))</f>
        <v/>
      </c>
      <c r="AG49" s="188">
        <f t="shared" si="3"/>
        <v>0</v>
      </c>
      <c r="AH49" s="187">
        <f t="shared" si="4"/>
        <v>0.17500000000000002</v>
      </c>
    </row>
    <row r="50" spans="1:34" ht="16.5" customHeight="1">
      <c r="A50" s="112" t="s">
        <v>38</v>
      </c>
      <c r="B50" s="303" t="str">
        <f>IF(B49=Para1!$F$153,Para1!$F$107,IF(B49=Para1!$F$107,Para1!$F$148,IF(B49=Para1!$F$148,Para1!$F$109,IF(B49=Para1!$F$109,Para1!$F$118,IF(B49=Para1!$F$118,Para1!$F$173,IF(B49=Para1!$F$173,Para1!$F$176,Para1!$F$153))))))</f>
        <v>Di</v>
      </c>
      <c r="C50" s="336"/>
      <c r="D50" s="359"/>
      <c r="E50" s="355"/>
      <c r="F50" s="355"/>
      <c r="G50" s="357"/>
      <c r="H50" s="359"/>
      <c r="I50" s="355"/>
      <c r="J50" s="355"/>
      <c r="K50" s="357"/>
      <c r="L50" s="111">
        <f t="shared" si="6"/>
        <v>0</v>
      </c>
      <c r="M50" s="141">
        <f t="shared" si="2"/>
        <v>0.35000000000000003</v>
      </c>
      <c r="N50" s="45">
        <f t="shared" si="5"/>
        <v>-49.96666666666669</v>
      </c>
      <c r="O50" s="193"/>
      <c r="P50" s="355"/>
      <c r="Q50" s="355"/>
      <c r="R50" s="356"/>
      <c r="S50" s="357"/>
      <c r="T50" s="357"/>
      <c r="U50" s="358"/>
      <c r="V50" s="198"/>
      <c r="W50" s="373"/>
      <c r="X50" s="599"/>
      <c r="Y50" s="200"/>
      <c r="Z50" s="69"/>
      <c r="AA50" s="128"/>
      <c r="AB50" s="360">
        <f t="shared" si="9"/>
        <v>1</v>
      </c>
      <c r="AC50" s="360">
        <f t="shared" si="9"/>
        <v>1</v>
      </c>
      <c r="AD50" s="188" t="e">
        <f>IF(VLOOKUP(A50,Para1!$B$67:$E$72,2,FALSE)="7.",VLOOKUP(A50,Para1!$B$67:$E$72,3,FALSE),"")</f>
        <v>#N/A</v>
      </c>
      <c r="AE50" s="540" t="str">
        <f>IF((AB50+AC50)=0,"",IF(ISNA(AD50),"",IF(AD50="","",VLOOKUP(AD50,Para1!$D$67:$G$79,3,FALSE)*(IF(AB50+AC50=1,0.5,1)))))</f>
        <v/>
      </c>
      <c r="AF50" s="540" t="str">
        <f>IF(AB50+AC50=0,"",IF(ISNA(AD51),"",IF(AD51="","",VLOOKUP(AD51,Para1!$D$67:$G$79,4,FALSE)*(IF(AB50+AC50=1,0.5,1)))))</f>
        <v/>
      </c>
      <c r="AG50" s="188">
        <f t="shared" si="3"/>
        <v>0</v>
      </c>
      <c r="AH50" s="187">
        <f t="shared" si="4"/>
        <v>0.17500000000000002</v>
      </c>
    </row>
    <row r="51" spans="1:34" ht="16.5" customHeight="1">
      <c r="A51" s="112" t="s">
        <v>39</v>
      </c>
      <c r="B51" s="303" t="str">
        <f>IF(B50=Para1!$F$153,Para1!$F$107,IF(B50=Para1!$F$107,Para1!$F$148,IF(B50=Para1!$F$148,Para1!$F$109,IF(B50=Para1!$F$109,Para1!$F$118,IF(B50=Para1!$F$118,Para1!$F$173,IF(B50=Para1!$F$173,Para1!$F$176,Para1!$F$153))))))</f>
        <v>Mi</v>
      </c>
      <c r="C51" s="338"/>
      <c r="D51" s="359"/>
      <c r="E51" s="355"/>
      <c r="F51" s="355"/>
      <c r="G51" s="357"/>
      <c r="H51" s="359"/>
      <c r="I51" s="355"/>
      <c r="J51" s="355"/>
      <c r="K51" s="357"/>
      <c r="L51" s="111">
        <f t="shared" si="6"/>
        <v>0</v>
      </c>
      <c r="M51" s="141">
        <f t="shared" si="2"/>
        <v>0.35000000000000003</v>
      </c>
      <c r="N51" s="45">
        <f t="shared" si="5"/>
        <v>-50.316666666666691</v>
      </c>
      <c r="O51" s="192"/>
      <c r="P51" s="355"/>
      <c r="Q51" s="355"/>
      <c r="R51" s="356"/>
      <c r="S51" s="357"/>
      <c r="T51" s="357"/>
      <c r="U51" s="358"/>
      <c r="V51" s="198"/>
      <c r="W51" s="373"/>
      <c r="X51" s="599"/>
      <c r="Y51" s="200"/>
      <c r="Z51" s="69"/>
      <c r="AA51" s="128"/>
      <c r="AB51" s="360">
        <f t="shared" si="9"/>
        <v>1</v>
      </c>
      <c r="AC51" s="360">
        <f t="shared" si="9"/>
        <v>1</v>
      </c>
      <c r="AD51" s="188" t="e">
        <f>IF(VLOOKUP(A51,Para1!$B$67:$E$72,2,FALSE)="7.",VLOOKUP(A51,Para1!$B$67:$E$72,3,FALSE),"")</f>
        <v>#N/A</v>
      </c>
      <c r="AE51" s="540" t="str">
        <f>IF((AB51+AC51)=0,"",IF(ISNA(AD51),"",IF(AD51="","",VLOOKUP(AD51,Para1!$D$67:$G$79,3,FALSE)*(IF(AB51+AC51=1,0.5,1)))))</f>
        <v/>
      </c>
      <c r="AF51" s="540" t="str">
        <f>IF(AB51+AC51=0,"",IF(ISNA(AD52),"",IF(AD52="","",VLOOKUP(AD52,Para1!$D$67:$G$79,4,FALSE)*(IF(AB51+AC51=1,0.5,1)))))</f>
        <v/>
      </c>
      <c r="AG51" s="188">
        <f t="shared" si="3"/>
        <v>0</v>
      </c>
      <c r="AH51" s="187">
        <f t="shared" si="4"/>
        <v>0.17500000000000002</v>
      </c>
    </row>
    <row r="52" spans="1:34" ht="16.5" customHeight="1">
      <c r="A52" s="112" t="s">
        <v>40</v>
      </c>
      <c r="B52" s="303" t="str">
        <f>IF(B51=Para1!$F$153,Para1!$F$107,IF(B51=Para1!$F$107,Para1!$F$148,IF(B51=Para1!$F$148,Para1!$F$109,IF(B51=Para1!$F$109,Para1!$F$118,IF(B51=Para1!$F$118,Para1!$F$173,IF(B51=Para1!$F$173,Para1!$F$176,Para1!$F$153))))))</f>
        <v>Do</v>
      </c>
      <c r="C52" s="339"/>
      <c r="D52" s="359"/>
      <c r="E52" s="355"/>
      <c r="F52" s="355"/>
      <c r="G52" s="357"/>
      <c r="H52" s="359"/>
      <c r="I52" s="355"/>
      <c r="J52" s="355"/>
      <c r="K52" s="357"/>
      <c r="L52" s="111">
        <f t="shared" si="6"/>
        <v>0</v>
      </c>
      <c r="M52" s="141">
        <f t="shared" si="2"/>
        <v>0.35000000000000003</v>
      </c>
      <c r="N52" s="45">
        <f t="shared" si="5"/>
        <v>-50.666666666666693</v>
      </c>
      <c r="O52" s="192"/>
      <c r="P52" s="355"/>
      <c r="Q52" s="355"/>
      <c r="R52" s="356"/>
      <c r="S52" s="357"/>
      <c r="T52" s="357"/>
      <c r="U52" s="358"/>
      <c r="V52" s="198"/>
      <c r="W52" s="373"/>
      <c r="X52" s="599"/>
      <c r="Y52" s="200"/>
      <c r="Z52" s="69"/>
      <c r="AA52" s="128"/>
      <c r="AB52" s="360">
        <f t="shared" ref="AB52:AC54" si="10">AB45</f>
        <v>1</v>
      </c>
      <c r="AC52" s="360">
        <f t="shared" si="10"/>
        <v>1</v>
      </c>
      <c r="AD52" s="188" t="e">
        <f>IF(VLOOKUP(A52,Para1!$B$67:$E$72,2,FALSE)="7.",VLOOKUP(A52,Para1!$B$67:$E$72,3,FALSE),"")</f>
        <v>#N/A</v>
      </c>
      <c r="AE52" s="540" t="str">
        <f>IF((AB52+AC52)=0,"",IF(ISNA(AD52),"",IF(AD52="","",VLOOKUP(AD52,Para1!$D$67:$G$79,3,FALSE)*(IF(AB52+AC52=1,0.5,1)))))</f>
        <v/>
      </c>
      <c r="AF52" s="540" t="str">
        <f>IF(AB52+AC52=0,"",IF(ISNA(AD53),"",IF(AD53="","",VLOOKUP(AD53,Para1!$D$67:$G$79,4,FALSE)*(IF(AB52+AC52=1,0.5,1)))))</f>
        <v/>
      </c>
      <c r="AG52" s="188">
        <f t="shared" si="3"/>
        <v>0</v>
      </c>
      <c r="AH52" s="187">
        <f t="shared" si="4"/>
        <v>0.17500000000000002</v>
      </c>
    </row>
    <row r="53" spans="1:34" ht="16.5" customHeight="1">
      <c r="A53" s="112" t="s">
        <v>41</v>
      </c>
      <c r="B53" s="303" t="str">
        <f>IF(B52=Para1!$F$153,Para1!$F$107,IF(B52=Para1!$F$107,Para1!$F$148,IF(B52=Para1!$F$148,Para1!$F$109,IF(B52=Para1!$F$109,Para1!$F$118,IF(B52=Para1!$F$118,Para1!$F$173,IF(B52=Para1!$F$173,Para1!$F$176,Para1!$F$153))))))</f>
        <v>Fr</v>
      </c>
      <c r="C53" s="336"/>
      <c r="D53" s="359"/>
      <c r="E53" s="355"/>
      <c r="F53" s="355"/>
      <c r="G53" s="357"/>
      <c r="H53" s="359"/>
      <c r="I53" s="355"/>
      <c r="J53" s="355"/>
      <c r="K53" s="357"/>
      <c r="L53" s="111">
        <f t="shared" si="6"/>
        <v>0</v>
      </c>
      <c r="M53" s="141">
        <f t="shared" si="2"/>
        <v>0.35000000000000003</v>
      </c>
      <c r="N53" s="45">
        <f t="shared" si="5"/>
        <v>-51.016666666666694</v>
      </c>
      <c r="O53" s="193"/>
      <c r="P53" s="355"/>
      <c r="Q53" s="355"/>
      <c r="R53" s="356"/>
      <c r="S53" s="357"/>
      <c r="T53" s="357"/>
      <c r="U53" s="358"/>
      <c r="V53" s="198"/>
      <c r="W53" s="530"/>
      <c r="X53" s="599"/>
      <c r="Y53" s="200"/>
      <c r="Z53" s="69"/>
      <c r="AA53" s="128"/>
      <c r="AB53" s="361">
        <f t="shared" si="10"/>
        <v>1</v>
      </c>
      <c r="AC53" s="361">
        <f t="shared" si="10"/>
        <v>1</v>
      </c>
      <c r="AD53" s="188" t="e">
        <f>IF(VLOOKUP(A53,Para1!$B$67:$E$72,2,FALSE)="7.",VLOOKUP(A53,Para1!$B$67:$E$72,3,FALSE),"")</f>
        <v>#N/A</v>
      </c>
      <c r="AE53" s="540" t="str">
        <f>IF((AB53+AC53)=0,"",IF(ISNA(AD53),"",IF(AD53="","",VLOOKUP(AD53,Para1!$D$67:$G$79,3,FALSE)*(IF(AB53+AC53=1,0.5,1)))))</f>
        <v/>
      </c>
      <c r="AF53" s="540" t="str">
        <f>IF(AB53+AC53=0,"",IF(ISNA(AD54),"",IF(AD54="","",VLOOKUP(AD54,Para1!$D$67:$G$79,4,FALSE)*(IF(AB53+AC53=1,0.5,1)))))</f>
        <v/>
      </c>
      <c r="AG53" s="188">
        <f t="shared" si="3"/>
        <v>0</v>
      </c>
      <c r="AH53" s="187">
        <f t="shared" si="4"/>
        <v>0.17500000000000002</v>
      </c>
    </row>
    <row r="54" spans="1:34" s="50" customFormat="1" ht="16.5" customHeight="1" thickBot="1">
      <c r="A54" s="112" t="s">
        <v>47</v>
      </c>
      <c r="B54" s="303" t="str">
        <f>IF(B53=Para1!$F$153,Para1!$F$107,IF(B53=Para1!$F$107,Para1!$F$148,IF(B53=Para1!$F$148,Para1!$F$109,IF(B53=Para1!$F$109,Para1!$F$118,IF(B53=Para1!$F$118,Para1!$F$173,IF(B53=Para1!$F$173,Para1!$F$176,Para1!$F$153))))))</f>
        <v>Sa</v>
      </c>
      <c r="C54" s="305"/>
      <c r="D54" s="359"/>
      <c r="E54" s="355"/>
      <c r="F54" s="355"/>
      <c r="G54" s="357"/>
      <c r="H54" s="359"/>
      <c r="I54" s="355"/>
      <c r="J54" s="355"/>
      <c r="K54" s="357"/>
      <c r="L54" s="111">
        <f>SUM((G54-D54),(K54-H54))-SUM((F54-E54),(J54-I54))</f>
        <v>0</v>
      </c>
      <c r="M54" s="141">
        <f t="shared" si="2"/>
        <v>0</v>
      </c>
      <c r="N54" s="45">
        <f t="shared" si="5"/>
        <v>-51.016666666666694</v>
      </c>
      <c r="O54" s="193"/>
      <c r="P54" s="355"/>
      <c r="Q54" s="355"/>
      <c r="R54" s="356"/>
      <c r="S54" s="357"/>
      <c r="T54" s="357"/>
      <c r="U54" s="358"/>
      <c r="V54" s="237"/>
      <c r="W54" s="530"/>
      <c r="X54" s="599"/>
      <c r="Y54" s="200"/>
      <c r="Z54" s="69"/>
      <c r="AA54" s="128"/>
      <c r="AB54" s="740">
        <f t="shared" si="10"/>
        <v>0</v>
      </c>
      <c r="AC54" s="740">
        <f t="shared" si="10"/>
        <v>0</v>
      </c>
      <c r="AD54" s="188" t="e">
        <f>IF(VLOOKUP(A54,Para1!$B$67:$E$72,2,FALSE)="7.",VLOOKUP(A54,Para1!$B$67:$E$72,3,FALSE),"")</f>
        <v>#N/A</v>
      </c>
      <c r="AE54" s="540" t="str">
        <f>IF((AB54+AC54)=0,"",IF(ISNA(AD54),"",IF(AD54="","",VLOOKUP(AD54,Para1!$D$67:$G$79,3,FALSE)*(IF(AB54+AC54=1,0.5,1)))))</f>
        <v/>
      </c>
      <c r="AF54" s="540" t="str">
        <f>IF(AB54+AC54=0,"",IF(ISNA(August!AD24),"",IF(August!AD24="","",VLOOKUP(August!AD24,Para1!$D$67:$G$79,4,FALSE)*(IF(AB54+AC54=1,0.5,1)))))</f>
        <v/>
      </c>
      <c r="AG54" s="188">
        <f t="shared" si="3"/>
        <v>0</v>
      </c>
      <c r="AH54" s="187">
        <f t="shared" si="4"/>
        <v>0</v>
      </c>
    </row>
    <row r="55" spans="1:34" ht="15" thickTop="1">
      <c r="A55" s="47"/>
      <c r="B55" s="37"/>
      <c r="C55" s="16"/>
      <c r="D55" s="38"/>
      <c r="E55" s="38"/>
      <c r="F55" s="38"/>
      <c r="G55" s="38"/>
      <c r="H55" s="38"/>
      <c r="I55" s="38"/>
      <c r="J55" s="38"/>
      <c r="K55" s="464" t="str">
        <f>Para1!F184&amp;" (hh:mm)"</f>
        <v>Total (hh:mm)</v>
      </c>
      <c r="L55" s="39">
        <f>SUM(L24:L54)</f>
        <v>0</v>
      </c>
      <c r="M55" s="44">
        <f>SUM(M24:M54)</f>
        <v>7.6999999999999966</v>
      </c>
      <c r="N55" s="235"/>
      <c r="O55" s="194"/>
      <c r="P55" s="110">
        <f t="shared" ref="P55:U55" si="11">SUM(P24:P54)</f>
        <v>0</v>
      </c>
      <c r="Q55" s="110">
        <f t="shared" si="11"/>
        <v>0</v>
      </c>
      <c r="R55" s="36">
        <f t="shared" si="11"/>
        <v>0</v>
      </c>
      <c r="S55" s="36">
        <f t="shared" si="11"/>
        <v>0</v>
      </c>
      <c r="T55" s="36">
        <f t="shared" si="11"/>
        <v>0</v>
      </c>
      <c r="U55" s="44">
        <f t="shared" si="11"/>
        <v>0</v>
      </c>
      <c r="V55" s="201"/>
      <c r="W55" s="230"/>
      <c r="X55" s="203"/>
      <c r="AB55" s="884" t="str">
        <f>Para1!F177&amp;" "&amp;Para1!F171</f>
        <v>Soll Halbtag</v>
      </c>
      <c r="AC55" s="885"/>
      <c r="AD55" s="188">
        <f>SUM(AG24:AG54)</f>
        <v>0</v>
      </c>
      <c r="AE55" s="540">
        <f>SUM(AE24:AE54)</f>
        <v>0</v>
      </c>
      <c r="AF55" s="540">
        <f>SUM(AF24:AF54)</f>
        <v>0</v>
      </c>
    </row>
    <row r="56" spans="1:34" ht="15" thickBot="1">
      <c r="A56" s="48"/>
      <c r="B56" s="40"/>
      <c r="C56" s="40"/>
      <c r="D56" s="41"/>
      <c r="E56" s="41"/>
      <c r="F56" s="41"/>
      <c r="G56" s="19"/>
      <c r="H56" s="19"/>
      <c r="I56" s="19"/>
      <c r="J56" s="19"/>
      <c r="K56" s="766" t="str">
        <f>Para1!F184&amp;" ("&amp;Para1!F106&amp;")"</f>
        <v>Total (dezimal)</v>
      </c>
      <c r="L56" s="767">
        <f>L55*24</f>
        <v>0</v>
      </c>
      <c r="M56" s="768">
        <f>M55*24</f>
        <v>184.79999999999993</v>
      </c>
      <c r="N56" s="772"/>
      <c r="O56" s="773"/>
      <c r="P56" s="771">
        <f t="shared" ref="P56:U56" si="12">P55*24</f>
        <v>0</v>
      </c>
      <c r="Q56" s="770">
        <f t="shared" si="12"/>
        <v>0</v>
      </c>
      <c r="R56" s="768">
        <f t="shared" si="12"/>
        <v>0</v>
      </c>
      <c r="S56" s="768">
        <f t="shared" si="12"/>
        <v>0</v>
      </c>
      <c r="T56" s="768">
        <f t="shared" si="12"/>
        <v>0</v>
      </c>
      <c r="U56" s="768">
        <f t="shared" si="12"/>
        <v>0</v>
      </c>
      <c r="V56" s="202"/>
      <c r="W56" s="229"/>
      <c r="X56" s="195"/>
      <c r="AB56" s="882">
        <f>(C8*24+((AE55+AF55)/100*H3))/(SUM(AB24:AC54)-AD55)/24</f>
        <v>0.17500000000000002</v>
      </c>
      <c r="AC56" s="883"/>
    </row>
    <row r="57" spans="1:34" ht="15" thickTop="1"/>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M3:N3"/>
    <mergeCell ref="L21:N21"/>
    <mergeCell ref="M22:M23"/>
    <mergeCell ref="A23:B23"/>
    <mergeCell ref="D60:E60"/>
    <mergeCell ref="K60:O60"/>
    <mergeCell ref="L22:L23"/>
    <mergeCell ref="H22:K22"/>
    <mergeCell ref="N22:N23"/>
    <mergeCell ref="N7:O7"/>
    <mergeCell ref="N8:O8"/>
    <mergeCell ref="U14:V14"/>
    <mergeCell ref="U15:V15"/>
    <mergeCell ref="R22:R23"/>
    <mergeCell ref="Q22:Q23"/>
    <mergeCell ref="T22:T23"/>
    <mergeCell ref="S22:S23"/>
    <mergeCell ref="A1:B1"/>
    <mergeCell ref="A3:B3"/>
    <mergeCell ref="A22:B22"/>
    <mergeCell ref="H1:I1"/>
    <mergeCell ref="C1:E1"/>
    <mergeCell ref="C7:D7"/>
    <mergeCell ref="C8:D8"/>
    <mergeCell ref="C9:D9"/>
    <mergeCell ref="C10:D10"/>
    <mergeCell ref="C11:D11"/>
    <mergeCell ref="C12:D12"/>
    <mergeCell ref="D22:G22"/>
    <mergeCell ref="T60:X60"/>
    <mergeCell ref="AB21:AC21"/>
    <mergeCell ref="AB22:AB23"/>
    <mergeCell ref="AC22:AC23"/>
    <mergeCell ref="AB55:AC55"/>
    <mergeCell ref="AB56:AC56"/>
    <mergeCell ref="W21:X21"/>
    <mergeCell ref="W22:W23"/>
    <mergeCell ref="X22:X23"/>
    <mergeCell ref="Y21:Z21"/>
    <mergeCell ref="P21:U21"/>
    <mergeCell ref="U22:U23"/>
    <mergeCell ref="P22:P23"/>
  </mergeCells>
  <phoneticPr fontId="0" type="noConversion"/>
  <conditionalFormatting sqref="X24:X52">
    <cfRule type="cellIs" dxfId="69" priority="13" stopIfTrue="1" operator="greaterThan">
      <formula>0</formula>
    </cfRule>
  </conditionalFormatting>
  <conditionalFormatting sqref="N24:N54">
    <cfRule type="cellIs" dxfId="68" priority="10" operator="equal">
      <formula>N23-M24</formula>
    </cfRule>
  </conditionalFormatting>
  <conditionalFormatting sqref="L24:M54 A24:B54">
    <cfRule type="expression" dxfId="67" priority="9">
      <formula>$M24=0</formula>
    </cfRule>
  </conditionalFormatting>
  <conditionalFormatting sqref="D24:G54 W24:W54 AB25:AB54">
    <cfRule type="expression" dxfId="66" priority="8">
      <formula>$AB24=0</formula>
    </cfRule>
  </conditionalFormatting>
  <conditionalFormatting sqref="AC24:AC54 X24:X54 H24:K54">
    <cfRule type="expression" dxfId="65" priority="7">
      <formula>$AC24=0</formula>
    </cfRule>
  </conditionalFormatting>
  <conditionalFormatting sqref="P24:U54">
    <cfRule type="expression" dxfId="64" priority="5">
      <formula>$AB24+$AC24=0</formula>
    </cfRule>
    <cfRule type="expression" dxfId="63" priority="6">
      <formula>$AB24+$AC24=1</formula>
    </cfRule>
  </conditionalFormatting>
  <conditionalFormatting sqref="AB24:AC54 W24:X54 P24:U54 D24:K54">
    <cfRule type="expression" dxfId="62" priority="4">
      <formula>$AE24:$AE54=0</formula>
    </cfRule>
  </conditionalFormatting>
  <conditionalFormatting sqref="N24">
    <cfRule type="expression" dxfId="61" priority="3">
      <formula>$L$24=0</formula>
    </cfRule>
  </conditionalFormatting>
  <conditionalFormatting sqref="C7:D7 Z12 P8:Q8 N8 G18 J17:J18 C8:C12">
    <cfRule type="expression" dxfId="60" priority="12">
      <formula>#REF!="Absenzenerfassung"</formula>
    </cfRule>
  </conditionalFormatting>
  <conditionalFormatting sqref="I14">
    <cfRule type="expression" dxfId="59" priority="11">
      <formula>#REF!="Absenzenerfassung"</formula>
    </cfRule>
  </conditionalFormatting>
  <pageMargins left="0.4" right="0.41" top="0.79" bottom="0.39370078740157483" header="0.28999999999999998" footer="0.15748031496062992"/>
  <pageSetup paperSize="9" scale="53"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381D6136-A32D-4B7B-A0A2-0542E076C90F}">
            <xm:f>OR('Persönliche Daten (pers. data)'!$K$5="Nein",'Persönliche Daten (pers. data)'!$K$5="no")</xm:f>
            <x14:dxf>
              <font>
                <color theme="0"/>
              </font>
              <border>
                <left/>
                <right/>
                <top/>
                <bottom/>
                <vertical/>
                <horizontal/>
              </border>
            </x14:dxf>
          </x14:cfRule>
          <xm:sqref>H14:I17</xm:sqref>
        </x14:conditionalFormatting>
        <x14:conditionalFormatting xmlns:xm="http://schemas.microsoft.com/office/excel/2006/main">
          <x14:cfRule type="expression" priority="1" id="{ED28DB35-74FC-4073-BB0E-D2C8DBCEB584}">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pageSetUpPr fitToPage="1"/>
  </sheetPr>
  <dimension ref="A1:AH60"/>
  <sheetViews>
    <sheetView showGridLines="0" topLeftCell="A16" zoomScale="75" zoomScaleNormal="75" workbookViewId="0">
      <selection activeCell="AB54" sqref="AB54"/>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72" customWidth="1"/>
    <col min="23" max="23" width="11.83203125" style="228" customWidth="1"/>
    <col min="24" max="27" width="11.83203125" style="11" customWidth="1"/>
    <col min="28" max="28" width="11.83203125" style="228" customWidth="1"/>
    <col min="29" max="29" width="11.83203125" style="11" customWidth="1"/>
    <col min="30" max="33" width="11.5" style="11" hidden="1" customWidth="1"/>
    <col min="34"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(Overview)'!J$8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29" ht="6" customHeight="1">
      <c r="O5" s="59"/>
      <c r="T5" s="11"/>
      <c r="V5" s="73"/>
      <c r="W5" s="11"/>
      <c r="AB5" s="73"/>
      <c r="AC5" s="16"/>
    </row>
    <row r="6" spans="1:29" ht="15" customHeight="1">
      <c r="F6" s="53"/>
      <c r="G6" s="20"/>
      <c r="O6" s="59"/>
      <c r="T6" s="11"/>
      <c r="U6" s="11"/>
      <c r="V6" s="16"/>
      <c r="W6" s="11"/>
      <c r="AB6" s="73"/>
      <c r="AC6" s="16"/>
    </row>
    <row r="7" spans="1:29"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29" ht="15" customHeight="1" thickBot="1">
      <c r="B8" s="9" t="str">
        <f>Para1!F177</f>
        <v>Soll</v>
      </c>
      <c r="C8" s="848">
        <f>Para1!E61/100*H3/24</f>
        <v>7.7</v>
      </c>
      <c r="D8" s="848"/>
      <c r="F8" s="19"/>
      <c r="H8" s="162" t="str">
        <f>Para1!F174&amp;" "&amp;Para1!F88&amp;" "&amp;Para1!F154</f>
        <v>Saldo Anfang Monat</v>
      </c>
      <c r="I8" s="159" t="e">
        <f>Juli!I11</f>
        <v>#N/A</v>
      </c>
      <c r="J8" s="212"/>
      <c r="M8" s="162" t="str">
        <f>Para1!F133</f>
        <v>JAZ-Kompensation</v>
      </c>
      <c r="N8" s="899">
        <f>SUMIF($W$24:$W$54,"k",$AH$24:$AH$54)+SUMIF($X$24:$X$54,"k",$AH$24:$AH$54)</f>
        <v>0</v>
      </c>
      <c r="O8" s="899"/>
      <c r="P8" s="732">
        <f>Juli!Q8</f>
        <v>0</v>
      </c>
      <c r="Q8" s="166">
        <f>N8+P8</f>
        <v>0</v>
      </c>
      <c r="S8" s="7"/>
      <c r="T8" s="20" t="str">
        <f>Para1!F139</f>
        <v>Krankheit</v>
      </c>
      <c r="U8" s="7"/>
      <c r="V8" s="7"/>
      <c r="W8" s="734">
        <f>P55</f>
        <v>0</v>
      </c>
      <c r="X8" s="734">
        <f>Juli!Y8</f>
        <v>0</v>
      </c>
      <c r="Y8" s="306">
        <f t="shared" ref="Y8:Y17" si="0">SUM(W8:X8)</f>
        <v>0</v>
      </c>
      <c r="Z8" s="155"/>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O9" s="59"/>
      <c r="S9" s="7"/>
      <c r="T9" s="20" t="str">
        <f>Para1!F196</f>
        <v>Unfall</v>
      </c>
      <c r="U9" s="7" t="str">
        <f>Para1!F98</f>
        <v>betriebsbedingt</v>
      </c>
      <c r="V9" s="7"/>
      <c r="W9" s="734">
        <f>Q55</f>
        <v>0</v>
      </c>
      <c r="X9" s="734">
        <f>Juli!Y9</f>
        <v>0</v>
      </c>
      <c r="Y9" s="306">
        <f t="shared" si="0"/>
        <v>0</v>
      </c>
      <c r="Z9" s="155"/>
    </row>
    <row r="10" spans="1:29" ht="15" customHeight="1">
      <c r="B10" s="22" t="str">
        <f>Para1!F108</f>
        <v>Differenz</v>
      </c>
      <c r="C10" s="904">
        <f>$C$9-$C$8</f>
        <v>-7.7</v>
      </c>
      <c r="D10" s="904"/>
      <c r="F10" s="19"/>
      <c r="H10" s="162" t="str">
        <f>"./. "&amp;Para1!F117</f>
        <v>./. Ferienkürzung</v>
      </c>
      <c r="I10" s="210">
        <v>0</v>
      </c>
      <c r="J10" s="212"/>
      <c r="O10" s="59"/>
      <c r="S10" s="7"/>
      <c r="T10" s="8"/>
      <c r="U10" s="7" t="str">
        <f>Para1!F163&amp;" "&amp;Para1!F99</f>
        <v>nicht betr.</v>
      </c>
      <c r="V10" s="7"/>
      <c r="W10" s="734">
        <f>R55</f>
        <v>0</v>
      </c>
      <c r="X10" s="734">
        <f>Juli!Y10</f>
        <v>0</v>
      </c>
      <c r="Y10" s="306">
        <f t="shared" si="0"/>
        <v>0</v>
      </c>
      <c r="Z10" s="155"/>
      <c r="AB10" s="11"/>
    </row>
    <row r="11" spans="1:29" ht="15" customHeight="1" thickBot="1">
      <c r="B11" s="20" t="str">
        <f>Para1!F190</f>
        <v>Übertrag Vormnt</v>
      </c>
      <c r="C11" s="847">
        <f>Juli!C12</f>
        <v>-51.016666666666666</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R11" s="8"/>
      <c r="S11" s="7"/>
      <c r="T11" s="20" t="str">
        <f>Para1!F140</f>
        <v>Kurzurlaub</v>
      </c>
      <c r="U11" s="8"/>
      <c r="V11" s="8"/>
      <c r="W11" s="734">
        <f>S55</f>
        <v>0</v>
      </c>
      <c r="X11" s="734">
        <f>Juli!Y11</f>
        <v>0</v>
      </c>
      <c r="Y11" s="306">
        <f t="shared" si="0"/>
        <v>0</v>
      </c>
      <c r="Z11" s="155"/>
      <c r="AB11" s="11"/>
    </row>
    <row r="12" spans="1:29" ht="15" customHeight="1" thickTop="1" thickBot="1">
      <c r="A12" s="127"/>
      <c r="B12" s="330" t="str">
        <f>Para1!F174</f>
        <v>Saldo</v>
      </c>
      <c r="C12" s="901">
        <f>C10+C11</f>
        <v>-58.716666666666669</v>
      </c>
      <c r="D12" s="901"/>
      <c r="F12" s="19"/>
      <c r="G12" s="7"/>
      <c r="L12" s="448" t="s">
        <v>492</v>
      </c>
      <c r="M12" s="449" t="str">
        <f>Para1!F115</f>
        <v>Ferien</v>
      </c>
      <c r="N12" s="449"/>
      <c r="O12" s="449"/>
      <c r="P12" s="449"/>
      <c r="Q12" s="450"/>
      <c r="R12" s="8"/>
      <c r="S12" s="7"/>
      <c r="T12" s="25" t="str">
        <f>Para1!F206</f>
        <v>Weiterbildung auf Arbeitszeit</v>
      </c>
      <c r="U12" s="7"/>
      <c r="V12" s="7"/>
      <c r="W12" s="734">
        <f>T55</f>
        <v>0</v>
      </c>
      <c r="X12" s="734">
        <f>Juli!Y12</f>
        <v>0</v>
      </c>
      <c r="Y12" s="306">
        <f t="shared" si="0"/>
        <v>0</v>
      </c>
      <c r="Z12" s="155"/>
      <c r="AB12" s="11"/>
    </row>
    <row r="13" spans="1:29" ht="15" customHeight="1" thickTop="1">
      <c r="B13" s="330"/>
      <c r="C13" s="309"/>
      <c r="D13" s="81"/>
      <c r="F13" s="19"/>
      <c r="J13" s="160"/>
      <c r="L13" s="448" t="s">
        <v>493</v>
      </c>
      <c r="M13" s="449" t="str">
        <f>Para1!F157</f>
        <v>Mutter- und Vaterschaftsurlaub</v>
      </c>
      <c r="N13" s="449"/>
      <c r="O13" s="449"/>
      <c r="P13" s="449"/>
      <c r="Q13" s="451"/>
      <c r="R13" s="8"/>
      <c r="S13" s="7"/>
      <c r="T13" s="20" t="str">
        <f>Para1!F165</f>
        <v>Öffentliches Amt</v>
      </c>
      <c r="U13" s="7"/>
      <c r="V13" s="7"/>
      <c r="W13" s="734">
        <f>U55</f>
        <v>0</v>
      </c>
      <c r="X13" s="734">
        <f>Juli!Y13</f>
        <v>0</v>
      </c>
      <c r="Y13" s="306">
        <f t="shared" si="0"/>
        <v>0</v>
      </c>
      <c r="Z13" s="16"/>
      <c r="AB13" s="11"/>
    </row>
    <row r="14" spans="1:29" ht="15" customHeight="1">
      <c r="F14" s="19"/>
      <c r="H14" s="9" t="str">
        <f>Para1!F142</f>
        <v>Langzeitkonto</v>
      </c>
      <c r="I14" s="160" t="s">
        <v>103</v>
      </c>
      <c r="J14" s="59"/>
      <c r="L14" s="448" t="s">
        <v>494</v>
      </c>
      <c r="M14" s="449" t="str">
        <f>Para1!F149</f>
        <v>Militär/Zivilsch./Zivildienst</v>
      </c>
      <c r="N14" s="449"/>
      <c r="O14" s="449"/>
      <c r="P14" s="449"/>
      <c r="Q14" s="451"/>
      <c r="R14" s="8"/>
      <c r="S14" s="8"/>
      <c r="T14" s="24" t="str">
        <f>Para1!F198</f>
        <v>Urlaub</v>
      </c>
      <c r="U14" s="853" t="str">
        <f>Para1!F100</f>
        <v>bezahlt</v>
      </c>
      <c r="V14" s="853"/>
      <c r="W14" s="738">
        <f>SUMIF($W$24:$W$54,"b",$AH$24:$AH$54)+SUMIF($X$24:$X$54,"b",$AH$24:$AH$54)</f>
        <v>0</v>
      </c>
      <c r="X14" s="734">
        <f>Juli!Y14</f>
        <v>0</v>
      </c>
      <c r="Y14" s="155">
        <f t="shared" si="0"/>
        <v>0</v>
      </c>
      <c r="Z14" s="535"/>
      <c r="AA14" s="536"/>
      <c r="AB14" s="11"/>
    </row>
    <row r="15" spans="1:29" ht="15" customHeight="1">
      <c r="H15" s="140" t="str">
        <f>Para1!F174&amp;" "&amp;Para1!F88&amp;" "&amp;Para1!F154</f>
        <v>Saldo Anfang Monat</v>
      </c>
      <c r="I15" s="299">
        <f>Juli!I17</f>
        <v>0</v>
      </c>
      <c r="J15" s="59"/>
      <c r="L15" s="448" t="s">
        <v>495</v>
      </c>
      <c r="M15" s="449" t="str">
        <f>Para1!F133</f>
        <v>JAZ-Kompensation</v>
      </c>
      <c r="N15" s="449"/>
      <c r="O15" s="449"/>
      <c r="P15" s="449"/>
      <c r="Q15" s="451"/>
      <c r="R15" s="8"/>
      <c r="S15" s="8"/>
      <c r="T15" s="24"/>
      <c r="U15" s="853" t="str">
        <f>Para1!F194</f>
        <v>unbezahlt</v>
      </c>
      <c r="V15" s="853"/>
      <c r="W15" s="738">
        <f>SUMIF($W$24:$W$54,"u",$AH$24:$AH$54)+SUMIF($X$24:$X$54,"u",$AH$24:$AH$54)</f>
        <v>0</v>
      </c>
      <c r="X15" s="734">
        <f>Juli!Y15</f>
        <v>0</v>
      </c>
      <c r="Y15" s="155">
        <f t="shared" si="0"/>
        <v>0</v>
      </c>
      <c r="Z15" s="536"/>
      <c r="AA15" s="536"/>
      <c r="AB15" s="11"/>
    </row>
    <row r="16" spans="1:29" ht="15" customHeight="1">
      <c r="F16" s="11"/>
      <c r="G16" s="11"/>
      <c r="H16" s="140" t="str">
        <f>"./. "&amp;Para1!F145</f>
        <v>./. LZK-Bezug</v>
      </c>
      <c r="I16" s="299">
        <f>SUMIF($W$24:$W$54,"l",$AH$24:$AH$54)+SUMIF($X$24:$X$54,"l",$AH$24:$AH$54)</f>
        <v>0</v>
      </c>
      <c r="J16" s="59"/>
      <c r="L16" s="452" t="s">
        <v>496</v>
      </c>
      <c r="M16" s="456" t="str">
        <f>Para1!F198&amp;" "&amp;Para1!F100</f>
        <v>Urlaub bezahlt</v>
      </c>
      <c r="N16" s="453"/>
      <c r="O16" s="454"/>
      <c r="P16" s="455"/>
      <c r="Q16" s="451"/>
      <c r="R16" s="8"/>
      <c r="S16" s="8"/>
      <c r="T16" s="24" t="str">
        <f>Para1!F157</f>
        <v>Mutter- und Vaterschaftsurlaub</v>
      </c>
      <c r="U16" s="73"/>
      <c r="V16" s="11"/>
      <c r="W16" s="738">
        <f>SUMIF($W$24:$W$54,"m",$AH$24:$AH$54)+SUMIF($X$24:$X$54,"m",$AH$24:$AH$54)</f>
        <v>0</v>
      </c>
      <c r="X16" s="734">
        <f>Juli!Y16</f>
        <v>0</v>
      </c>
      <c r="Y16" s="155">
        <f t="shared" si="0"/>
        <v>0</v>
      </c>
      <c r="Z16" s="536"/>
      <c r="AA16" s="536"/>
      <c r="AB16" s="11"/>
    </row>
    <row r="17" spans="1:34" ht="15" customHeight="1" thickBot="1">
      <c r="G17" s="162"/>
      <c r="H17" s="328" t="str">
        <f>Para1!F174&amp;" "&amp;Para1!F113&amp;" "&amp;Para1!F154</f>
        <v>Saldo Ende Monat</v>
      </c>
      <c r="I17" s="732">
        <f>I15-I16</f>
        <v>0</v>
      </c>
      <c r="J17" s="164"/>
      <c r="L17" s="452" t="s">
        <v>497</v>
      </c>
      <c r="M17" s="456" t="str">
        <f>Para1!F198&amp;" "&amp;Para1!F194</f>
        <v>Urlaub unbezahlt</v>
      </c>
      <c r="N17" s="453"/>
      <c r="O17" s="454"/>
      <c r="P17" s="455"/>
      <c r="Q17" s="451"/>
      <c r="R17" s="8"/>
      <c r="S17" s="8"/>
      <c r="T17" s="24" t="str">
        <f>Para1!F149</f>
        <v>Militär/Zivilsch./Zivildienst</v>
      </c>
      <c r="U17" s="73"/>
      <c r="V17" s="11"/>
      <c r="W17" s="738">
        <f>SUMIF($W$24:$W$54,"z",$AH$24:$AH$54)+SUMIF($X$24:$X$54,"z",$AH$24:$AH$54)</f>
        <v>0</v>
      </c>
      <c r="X17" s="734">
        <f>Juli!Y17</f>
        <v>0</v>
      </c>
      <c r="Y17" s="155">
        <f t="shared" si="0"/>
        <v>0</v>
      </c>
      <c r="Z17" s="536"/>
      <c r="AA17" s="536"/>
      <c r="AB17" s="11"/>
    </row>
    <row r="18" spans="1:34" ht="15" customHeight="1" thickTop="1" thickBot="1">
      <c r="F18" s="616" t="str">
        <f>IF(AND(Information!H8="Nein",I16&gt;0),"ACHTUNG: Langzeitkontobezug ohne entsprechendes Konto!!","")</f>
        <v/>
      </c>
      <c r="G18" s="162"/>
      <c r="H18" s="11"/>
      <c r="I18" s="11"/>
      <c r="J18" s="164"/>
      <c r="L18" s="448" t="s">
        <v>498</v>
      </c>
      <c r="M18" s="456" t="str">
        <f>Para1!F142</f>
        <v>Langzeitkonto</v>
      </c>
      <c r="N18" s="453"/>
      <c r="O18" s="454"/>
      <c r="P18" s="455"/>
      <c r="Q18" s="451"/>
      <c r="R18" s="8"/>
      <c r="S18" s="8"/>
      <c r="T18" s="9" t="str">
        <f>Para1!F184</f>
        <v>Total</v>
      </c>
      <c r="U18" s="11"/>
      <c r="V18" s="11"/>
      <c r="W18" s="733">
        <f>SUM(W8:W17)</f>
        <v>0</v>
      </c>
      <c r="X18" s="733">
        <f>SUM(X8:X17)</f>
        <v>0</v>
      </c>
      <c r="Y18" s="733">
        <f>SUM(Y8:Y17)</f>
        <v>0</v>
      </c>
      <c r="AB18" s="11"/>
    </row>
    <row r="19" spans="1:34" ht="15" customHeight="1" thickTop="1">
      <c r="E19" s="19"/>
      <c r="G19" s="72"/>
      <c r="H19" s="72"/>
      <c r="P19" s="25"/>
      <c r="Q19" s="7"/>
      <c r="R19" s="7"/>
      <c r="S19" s="21"/>
      <c r="T19" s="11"/>
      <c r="U19" s="11"/>
      <c r="V19" s="11"/>
      <c r="W19" s="59"/>
      <c r="X19" s="16"/>
      <c r="AB19" s="11"/>
    </row>
    <row r="20" spans="1:34" ht="15" customHeight="1" thickBot="1">
      <c r="A20" s="424" t="str">
        <f>Para1!J222</f>
        <v>(Bitte das Guthaben in Stunden und Minuten eingeben.)</v>
      </c>
      <c r="B20" s="8"/>
      <c r="L20" s="616"/>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row>
    <row r="24" spans="1:34" ht="16.5" customHeight="1" thickTop="1">
      <c r="A24" s="112" t="s">
        <v>5</v>
      </c>
      <c r="B24" s="303" t="str">
        <f>IF(Juli!B54=Para1!$F$153,Para1!$F$107,IF(Juli!B54=Para1!$F$107,Para1!$F$148,IF(Juli!B54=Para1!$F$148,Para1!$F$109,IF(Juli!B54=Para1!$F$109,Para1!$F$118,IF(Juli!B54=Para1!$F$118,Para1!$F$173,IF(Juli!B54=Para1!$F$173,Para1!$F$176,Para1!$F$153))))))</f>
        <v>So</v>
      </c>
      <c r="C24" s="339"/>
      <c r="D24" s="355"/>
      <c r="E24" s="355"/>
      <c r="F24" s="355"/>
      <c r="G24" s="357"/>
      <c r="H24" s="359"/>
      <c r="I24" s="355"/>
      <c r="J24" s="355"/>
      <c r="K24" s="357"/>
      <c r="L24" s="111">
        <f t="shared" ref="L24:L30" si="1">SUM((G24-D24),(K24-H24))-SUM((F24-E24),(J24-I24))</f>
        <v>0</v>
      </c>
      <c r="M24" s="372">
        <f>IF(AE24=0,0,IF(AB24,$AB$56,0)+IF(AC24,$AB$56,0)-IF(AE24="",0,(AE24/4800*$H$3)+(AE24/4800*$H$3)))-IF(AF24="",0,(AF24/4800*$H$3)+(AF24/4800*$H$3))</f>
        <v>0</v>
      </c>
      <c r="N24" s="189">
        <f>$C$11+$L24-M24+SUM($P24:$U24)+IF(OR($W24="f",$W24="m",$W24="z",$W24="u",$W24="b",$W24="l"),$AH24,0)+IF(OR($X24="f",$X24="m",$X24="z",$X24="u",$X24="b",$X24="l"),$AH24,0)</f>
        <v>-51.016666666666666</v>
      </c>
      <c r="O24" s="192"/>
      <c r="P24" s="355"/>
      <c r="Q24" s="355"/>
      <c r="R24" s="356"/>
      <c r="S24" s="357"/>
      <c r="T24" s="357"/>
      <c r="U24" s="358"/>
      <c r="V24" s="198"/>
      <c r="W24" s="373"/>
      <c r="X24" s="599"/>
      <c r="Y24" s="232"/>
      <c r="Z24" s="231"/>
      <c r="AA24" s="668"/>
      <c r="AB24" s="360">
        <v>0</v>
      </c>
      <c r="AC24" s="360">
        <v>0</v>
      </c>
      <c r="AD24" s="188" t="s">
        <v>119</v>
      </c>
      <c r="AE24" s="540" t="str">
        <f>IF((AB24+AC24)=0,"",IF(ISNA(AD24),"",IF(AD24="","",VLOOKUP(AD24,Para1!$D$67:$G$79,3,FALSE)*(IF(AB24+AC24=1,0.5,1)))))</f>
        <v/>
      </c>
      <c r="AF24" s="540" t="str">
        <f>IF(AB24+AC24=0,"",IF(ISNA(AD25),"",IF(AD25="","",VLOOKUP(AD25,Para1!$D$67:$G$79,4,FALSE)*(IF(AB24+AC24=1,0.5,1)))))</f>
        <v/>
      </c>
      <c r="AG24" s="188">
        <f>IF(AE24=0,AB24+AC24,0)</f>
        <v>0</v>
      </c>
      <c r="AH24" s="187">
        <f>IF((AB24+AC24)=0,0,M24/(AB24+AC24))</f>
        <v>0</v>
      </c>
    </row>
    <row r="25" spans="1:34" ht="16.5" customHeight="1">
      <c r="A25" s="112" t="s">
        <v>7</v>
      </c>
      <c r="B25" s="303" t="str">
        <f>IF(B24=Para1!$F$153,Para1!$F$107,IF(B24=Para1!$F$107,Para1!$F$148,IF(B24=Para1!$F$148,Para1!$F$109,IF(B24=Para1!$F$109,Para1!$F$118,IF(B24=Para1!$F$118,Para1!$F$173,IF(B24=Para1!$F$173,Para1!$F$176,Para1!$F$153))))))</f>
        <v>Mo</v>
      </c>
      <c r="C25" s="305"/>
      <c r="D25" s="355"/>
      <c r="E25" s="355"/>
      <c r="F25" s="355"/>
      <c r="G25" s="357"/>
      <c r="H25" s="359"/>
      <c r="I25" s="355"/>
      <c r="J25" s="355"/>
      <c r="K25" s="357"/>
      <c r="L25" s="111">
        <f t="shared" si="1"/>
        <v>0</v>
      </c>
      <c r="M25" s="371">
        <f t="shared" ref="M25:M54" si="2">IF(AE25=0,0,IF(AB25,$AB$56,0)+IF(AC25,$AB$56,0)-IF(AE25="",0,(AE25/4800*$H$3)+(AE25/4800*$H$3)))-IF(AF25="",0,(AF25/4800*$H$3)+(AF25/4800*$H$3))</f>
        <v>0.35000000000000003</v>
      </c>
      <c r="N25" s="189">
        <f>$N24+$L25-M25+SUM($P25:$U25)+IF(OR($W25="f",$W25="m",$W25="z",$W25="u",$W25="b",$W25="l"),$AH25,0)+IF(OR($X25="f",$X25="m",$X25="z",$X25="u",$X25="b",$X25="l"),$AH25,0)</f>
        <v>-51.366666666666667</v>
      </c>
      <c r="O25" s="193"/>
      <c r="P25" s="355"/>
      <c r="Q25" s="355"/>
      <c r="R25" s="356"/>
      <c r="S25" s="357"/>
      <c r="T25" s="357"/>
      <c r="U25" s="358"/>
      <c r="V25" s="198"/>
      <c r="W25" s="373"/>
      <c r="X25" s="599"/>
      <c r="Y25" s="200"/>
      <c r="Z25" s="69"/>
      <c r="AA25" s="128"/>
      <c r="AB25" s="360">
        <f>Juli!AB49</f>
        <v>1</v>
      </c>
      <c r="AC25" s="360">
        <f>Juli!AC49</f>
        <v>1</v>
      </c>
      <c r="AD25" s="188" t="str">
        <f>IF(VLOOKUP(A25,Para1!$B$67:$E$72,2,FALSE)="8.",VLOOKUP(A25,Para1!$B$67:$E$72,3,FALSE),"")</f>
        <v/>
      </c>
      <c r="AE25" s="540" t="str">
        <f>IF((AB25+AC25)=0,"",IF(ISNA(AD25),"",IF(AD25="","",VLOOKUP(AD25,Para1!$D$67:$G$79,3,FALSE)*(IF(AB25+AC25=1,0.5,1)))))</f>
        <v/>
      </c>
      <c r="AF25" s="540" t="str">
        <f>IF(AB25+AC25=0,"",IF(ISNA(AD26),"",IF(AD26="","",VLOOKUP(AD26,Para1!$D$67:$G$79,4,FALSE)*(IF(AB25+AC25=1,0.5,1)))))</f>
        <v/>
      </c>
      <c r="AG25" s="188">
        <f t="shared" ref="AG25:AG54" si="3">IF(AE25=0,AB25+AC25,0)</f>
        <v>0</v>
      </c>
      <c r="AH25" s="187">
        <f t="shared" ref="AH25:AH54" si="4">IF((AB25+AC25)=0,0,M25/(AB25+AC25))</f>
        <v>0.17500000000000002</v>
      </c>
    </row>
    <row r="26" spans="1:34" ht="16.5" customHeight="1">
      <c r="A26" s="112" t="s">
        <v>9</v>
      </c>
      <c r="B26" s="303" t="str">
        <f>IF(B25=Para1!$F$153,Para1!$F$107,IF(B25=Para1!$F$107,Para1!$F$148,IF(B25=Para1!$F$148,Para1!$F$109,IF(B25=Para1!$F$109,Para1!$F$118,IF(B25=Para1!$F$118,Para1!$F$173,IF(B25=Para1!$F$173,Para1!$F$176,Para1!$F$153))))))</f>
        <v>Di</v>
      </c>
      <c r="C26" s="305"/>
      <c r="D26" s="355"/>
      <c r="E26" s="355"/>
      <c r="F26" s="355"/>
      <c r="G26" s="357"/>
      <c r="H26" s="359"/>
      <c r="I26" s="355"/>
      <c r="J26" s="355"/>
      <c r="K26" s="357"/>
      <c r="L26" s="111">
        <f t="shared" si="1"/>
        <v>0</v>
      </c>
      <c r="M26" s="371">
        <f t="shared" si="2"/>
        <v>0.35000000000000003</v>
      </c>
      <c r="N26" s="189">
        <f t="shared" ref="N26:N54" si="5">$N25+$L26-M26+SUM($P26:$U26)+IF(OR($W26="f",$W26="m",$W26="z",$W26="u",$W26="b",$W26="l"),$AH26,0)+IF(OR($X26="f",$X26="m",$X26="z",$X26="u",$X26="b",$X26="l"),$AH26,0)</f>
        <v>-51.716666666666669</v>
      </c>
      <c r="O26" s="193"/>
      <c r="P26" s="355"/>
      <c r="Q26" s="355"/>
      <c r="R26" s="356"/>
      <c r="S26" s="357"/>
      <c r="T26" s="357"/>
      <c r="U26" s="358"/>
      <c r="V26" s="198"/>
      <c r="W26" s="373"/>
      <c r="X26" s="599"/>
      <c r="Y26" s="200"/>
      <c r="Z26" s="69"/>
      <c r="AA26" s="128"/>
      <c r="AB26" s="360">
        <f>Juli!AB50</f>
        <v>1</v>
      </c>
      <c r="AC26" s="360">
        <f>Juli!AC50</f>
        <v>1</v>
      </c>
      <c r="AD26" s="188" t="e">
        <f>IF(VLOOKUP(A26,Para1!$B$67:$E$72,2,FALSE)="8.",VLOOKUP(A26,Para1!$B$67:$E$72,3,FALSE),"")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0.17500000000000002</v>
      </c>
    </row>
    <row r="27" spans="1:34" ht="16.5" customHeight="1">
      <c r="A27" s="112" t="s">
        <v>11</v>
      </c>
      <c r="B27" s="303" t="str">
        <f>IF(B26=Para1!$F$153,Para1!$F$107,IF(B26=Para1!$F$107,Para1!$F$148,IF(B26=Para1!$F$148,Para1!$F$109,IF(B26=Para1!$F$109,Para1!$F$118,IF(B26=Para1!$F$118,Para1!$F$173,IF(B26=Para1!$F$173,Para1!$F$176,Para1!$F$153))))))</f>
        <v>Mi</v>
      </c>
      <c r="C27" s="339"/>
      <c r="D27" s="355"/>
      <c r="E27" s="355"/>
      <c r="F27" s="355"/>
      <c r="G27" s="357"/>
      <c r="H27" s="359"/>
      <c r="I27" s="355"/>
      <c r="J27" s="355"/>
      <c r="K27" s="357"/>
      <c r="L27" s="111">
        <f t="shared" si="1"/>
        <v>0</v>
      </c>
      <c r="M27" s="371">
        <f t="shared" si="2"/>
        <v>0.35000000000000003</v>
      </c>
      <c r="N27" s="189">
        <f t="shared" si="5"/>
        <v>-52.06666666666667</v>
      </c>
      <c r="O27" s="192"/>
      <c r="P27" s="355"/>
      <c r="Q27" s="355"/>
      <c r="R27" s="356"/>
      <c r="S27" s="357"/>
      <c r="T27" s="357"/>
      <c r="U27" s="358"/>
      <c r="V27" s="198"/>
      <c r="W27" s="374"/>
      <c r="X27" s="599"/>
      <c r="Y27" s="200"/>
      <c r="Z27" s="69"/>
      <c r="AA27" s="128"/>
      <c r="AB27" s="360">
        <f>Juli!AB51</f>
        <v>1</v>
      </c>
      <c r="AC27" s="360">
        <f>Juli!AC51</f>
        <v>1</v>
      </c>
      <c r="AD27" s="188" t="str">
        <f>IF(VLOOKUP(A27,Para1!$B$67:$E$72,2,FALSE)="8.",VLOOKUP(A27,Para1!$B$67:$E$72,3,FALSE),"")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0.17500000000000002</v>
      </c>
    </row>
    <row r="28" spans="1:34" ht="16.5" customHeight="1">
      <c r="A28" s="112" t="s">
        <v>13</v>
      </c>
      <c r="B28" s="303" t="str">
        <f>IF(B27=Para1!$F$153,Para1!$F$107,IF(B27=Para1!$F$107,Para1!$F$148,IF(B27=Para1!$F$148,Para1!$F$109,IF(B27=Para1!$F$109,Para1!$F$118,IF(B27=Para1!$F$118,Para1!$F$173,IF(B27=Para1!$F$173,Para1!$F$176,Para1!$F$153))))))</f>
        <v>Do</v>
      </c>
      <c r="C28" s="339"/>
      <c r="D28" s="355"/>
      <c r="E28" s="355"/>
      <c r="F28" s="355"/>
      <c r="G28" s="357"/>
      <c r="H28" s="359"/>
      <c r="I28" s="355"/>
      <c r="J28" s="355"/>
      <c r="K28" s="357"/>
      <c r="L28" s="111">
        <f t="shared" si="1"/>
        <v>0</v>
      </c>
      <c r="M28" s="371">
        <f t="shared" si="2"/>
        <v>0.35000000000000003</v>
      </c>
      <c r="N28" s="189">
        <f t="shared" si="5"/>
        <v>-52.416666666666671</v>
      </c>
      <c r="O28" s="192"/>
      <c r="P28" s="355"/>
      <c r="Q28" s="355"/>
      <c r="R28" s="356"/>
      <c r="S28" s="357"/>
      <c r="T28" s="357"/>
      <c r="U28" s="358"/>
      <c r="V28" s="198"/>
      <c r="W28" s="374"/>
      <c r="X28" s="599"/>
      <c r="Y28" s="200"/>
      <c r="Z28" s="69"/>
      <c r="AA28" s="128"/>
      <c r="AB28" s="360">
        <f>Juli!AB52</f>
        <v>1</v>
      </c>
      <c r="AC28" s="360">
        <f>Juli!AC52</f>
        <v>1</v>
      </c>
      <c r="AD28" s="188" t="str">
        <f>IF(VLOOKUP(A28,Para1!$B$67:$E$72,2,FALSE)="8.",VLOOKUP(A28,Para1!$B$67:$E$72,3,FALSE),"")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0.17500000000000002</v>
      </c>
    </row>
    <row r="29" spans="1:34" ht="16.5" customHeight="1">
      <c r="A29" s="112" t="s">
        <v>15</v>
      </c>
      <c r="B29" s="303" t="str">
        <f>IF(B28=Para1!$F$153,Para1!$F$107,IF(B28=Para1!$F$107,Para1!$F$148,IF(B28=Para1!$F$148,Para1!$F$109,IF(B28=Para1!$F$109,Para1!$F$118,IF(B28=Para1!$F$118,Para1!$F$173,IF(B28=Para1!$F$173,Para1!$F$176,Para1!$F$153))))))</f>
        <v>Fr</v>
      </c>
      <c r="C29" s="305"/>
      <c r="D29" s="355"/>
      <c r="E29" s="355"/>
      <c r="F29" s="355"/>
      <c r="G29" s="357"/>
      <c r="H29" s="359"/>
      <c r="I29" s="355"/>
      <c r="J29" s="355"/>
      <c r="K29" s="357"/>
      <c r="L29" s="111">
        <f t="shared" si="1"/>
        <v>0</v>
      </c>
      <c r="M29" s="371">
        <f t="shared" si="2"/>
        <v>0.35000000000000003</v>
      </c>
      <c r="N29" s="189">
        <f t="shared" si="5"/>
        <v>-52.766666666666673</v>
      </c>
      <c r="O29" s="193"/>
      <c r="P29" s="355"/>
      <c r="Q29" s="355"/>
      <c r="R29" s="356"/>
      <c r="S29" s="357"/>
      <c r="T29" s="357"/>
      <c r="U29" s="358"/>
      <c r="V29" s="198"/>
      <c r="W29" s="373"/>
      <c r="X29" s="599"/>
      <c r="Y29" s="200"/>
      <c r="Z29" s="69"/>
      <c r="AA29" s="128"/>
      <c r="AB29" s="360">
        <f>Juli!AB53</f>
        <v>1</v>
      </c>
      <c r="AC29" s="360">
        <f>Juli!AC53</f>
        <v>1</v>
      </c>
      <c r="AD29" s="188" t="e">
        <f>IF(VLOOKUP(A29,Para1!$B$67:$E$72,2,FALSE)="8.",VLOOKUP(A29,Para1!$B$67:$E$72,3,FALSE),"")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0.17500000000000002</v>
      </c>
    </row>
    <row r="30" spans="1:34" s="50" customFormat="1" ht="16.5" customHeight="1">
      <c r="A30" s="112" t="s">
        <v>17</v>
      </c>
      <c r="B30" s="303" t="str">
        <f>IF(B29=Para1!$F$153,Para1!$F$107,IF(B29=Para1!$F$107,Para1!$F$148,IF(B29=Para1!$F$148,Para1!$F$109,IF(B29=Para1!$F$109,Para1!$F$118,IF(B29=Para1!$F$118,Para1!$F$173,IF(B29=Para1!$F$173,Para1!$F$176,Para1!$F$153))))))</f>
        <v>Sa</v>
      </c>
      <c r="C30" s="305"/>
      <c r="D30" s="355"/>
      <c r="E30" s="355"/>
      <c r="F30" s="355"/>
      <c r="G30" s="357"/>
      <c r="H30" s="359"/>
      <c r="I30" s="355"/>
      <c r="J30" s="355"/>
      <c r="K30" s="357"/>
      <c r="L30" s="111">
        <f t="shared" si="1"/>
        <v>0</v>
      </c>
      <c r="M30" s="371">
        <f t="shared" si="2"/>
        <v>0</v>
      </c>
      <c r="N30" s="189">
        <f t="shared" si="5"/>
        <v>-52.766666666666673</v>
      </c>
      <c r="O30" s="193"/>
      <c r="P30" s="355"/>
      <c r="Q30" s="355"/>
      <c r="R30" s="356"/>
      <c r="S30" s="357"/>
      <c r="T30" s="357"/>
      <c r="U30" s="358"/>
      <c r="V30" s="198"/>
      <c r="W30" s="373"/>
      <c r="X30" s="599"/>
      <c r="Y30" s="200"/>
      <c r="Z30" s="69"/>
      <c r="AA30" s="128"/>
      <c r="AB30" s="360">
        <f>Juli!AB54</f>
        <v>0</v>
      </c>
      <c r="AC30" s="360">
        <f>Juli!AC54</f>
        <v>0</v>
      </c>
      <c r="AD30" s="188" t="e">
        <f>IF(VLOOKUP(A30,Para1!$B$67:$E$72,2,FALSE)="8.",VLOOKUP(A30,Para1!$B$67:$E$72,3,FALSE),"")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v>
      </c>
    </row>
    <row r="31" spans="1:34" s="50" customFormat="1" ht="16.5" customHeight="1">
      <c r="A31" s="112" t="s">
        <v>19</v>
      </c>
      <c r="B31" s="303" t="str">
        <f>IF(B30=Para1!$F$153,Para1!$F$107,IF(B30=Para1!$F$107,Para1!$F$148,IF(B30=Para1!$F$148,Para1!$F$109,IF(B30=Para1!$F$109,Para1!$F$118,IF(B30=Para1!$F$118,Para1!$F$173,IF(B30=Para1!$F$173,Para1!$F$176,Para1!$F$153))))))</f>
        <v>So</v>
      </c>
      <c r="C31" s="305"/>
      <c r="D31" s="355"/>
      <c r="E31" s="355"/>
      <c r="F31" s="355"/>
      <c r="G31" s="357"/>
      <c r="H31" s="359"/>
      <c r="I31" s="355"/>
      <c r="J31" s="355"/>
      <c r="K31" s="357"/>
      <c r="L31" s="111">
        <f t="shared" ref="L31:L54" si="6">SUM((G31-D31),(K31-H31))-SUM((F31-E31),(J31-I31))</f>
        <v>0</v>
      </c>
      <c r="M31" s="371">
        <f t="shared" si="2"/>
        <v>0</v>
      </c>
      <c r="N31" s="189">
        <f t="shared" si="5"/>
        <v>-52.766666666666673</v>
      </c>
      <c r="O31" s="193"/>
      <c r="P31" s="355"/>
      <c r="Q31" s="355"/>
      <c r="R31" s="356"/>
      <c r="S31" s="357"/>
      <c r="T31" s="357"/>
      <c r="U31" s="358"/>
      <c r="V31" s="198"/>
      <c r="W31" s="373"/>
      <c r="X31" s="599"/>
      <c r="Y31" s="200"/>
      <c r="Z31" s="69"/>
      <c r="AA31" s="128"/>
      <c r="AB31" s="360">
        <f>Juli!AB48</f>
        <v>0</v>
      </c>
      <c r="AC31" s="360">
        <f>Juli!AC48</f>
        <v>0</v>
      </c>
      <c r="AD31" s="188" t="e">
        <f>IF(VLOOKUP(A31,Para1!$B$67:$E$72,2,FALSE)="8.",VLOOKUP(A31,Para1!$B$67:$E$72,3,FALSE),"")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v>
      </c>
    </row>
    <row r="32" spans="1:34" ht="16.5" customHeight="1">
      <c r="A32" s="112" t="s">
        <v>20</v>
      </c>
      <c r="B32" s="303" t="str">
        <f>IF(B31=Para1!$F$153,Para1!$F$107,IF(B31=Para1!$F$107,Para1!$F$148,IF(B31=Para1!$F$148,Para1!$F$109,IF(B31=Para1!$F$109,Para1!$F$118,IF(B31=Para1!$F$118,Para1!$F$173,IF(B31=Para1!$F$173,Para1!$F$176,Para1!$F$153))))))</f>
        <v>Mo</v>
      </c>
      <c r="C32" s="305"/>
      <c r="D32" s="355"/>
      <c r="E32" s="355"/>
      <c r="F32" s="355"/>
      <c r="G32" s="357"/>
      <c r="H32" s="359"/>
      <c r="I32" s="355"/>
      <c r="J32" s="355"/>
      <c r="K32" s="357"/>
      <c r="L32" s="111">
        <f t="shared" si="6"/>
        <v>0</v>
      </c>
      <c r="M32" s="371">
        <f t="shared" si="2"/>
        <v>0.35000000000000003</v>
      </c>
      <c r="N32" s="189">
        <f t="shared" si="5"/>
        <v>-53.116666666666674</v>
      </c>
      <c r="O32" s="193"/>
      <c r="P32" s="355"/>
      <c r="Q32" s="355"/>
      <c r="R32" s="356"/>
      <c r="S32" s="357"/>
      <c r="T32" s="357"/>
      <c r="U32" s="358"/>
      <c r="V32" s="198"/>
      <c r="W32" s="373"/>
      <c r="X32" s="599"/>
      <c r="Y32" s="200"/>
      <c r="Z32" s="69"/>
      <c r="AA32" s="128"/>
      <c r="AB32" s="360">
        <f>AB25</f>
        <v>1</v>
      </c>
      <c r="AC32" s="360">
        <f t="shared" ref="AB32:AC37" si="7">AC25</f>
        <v>1</v>
      </c>
      <c r="AD32" s="188" t="e">
        <f>IF(VLOOKUP(A32,Para1!$B$67:$E$72,2,FALSE)="8.",VLOOKUP(A32,Para1!$B$67:$E$72,3,FALSE),"")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0.17500000000000002</v>
      </c>
    </row>
    <row r="33" spans="1:34" ht="16.5" customHeight="1">
      <c r="A33" s="112" t="s">
        <v>21</v>
      </c>
      <c r="B33" s="303" t="str">
        <f>IF(B32=Para1!$F$153,Para1!$F$107,IF(B32=Para1!$F$107,Para1!$F$148,IF(B32=Para1!$F$148,Para1!$F$109,IF(B32=Para1!$F$109,Para1!$F$118,IF(B32=Para1!$F$118,Para1!$F$173,IF(B32=Para1!$F$173,Para1!$F$176,Para1!$F$153))))))</f>
        <v>Di</v>
      </c>
      <c r="C33" s="305"/>
      <c r="D33" s="355"/>
      <c r="E33" s="355"/>
      <c r="F33" s="355"/>
      <c r="G33" s="357"/>
      <c r="H33" s="359"/>
      <c r="I33" s="355"/>
      <c r="J33" s="355"/>
      <c r="K33" s="357"/>
      <c r="L33" s="111">
        <f t="shared" si="6"/>
        <v>0</v>
      </c>
      <c r="M33" s="371">
        <f t="shared" si="2"/>
        <v>0.35000000000000003</v>
      </c>
      <c r="N33" s="189">
        <f t="shared" si="5"/>
        <v>-53.466666666666676</v>
      </c>
      <c r="O33" s="193"/>
      <c r="P33" s="355"/>
      <c r="Q33" s="355"/>
      <c r="R33" s="356"/>
      <c r="S33" s="357"/>
      <c r="T33" s="357"/>
      <c r="U33" s="358"/>
      <c r="V33" s="237"/>
      <c r="W33" s="373"/>
      <c r="X33" s="599"/>
      <c r="Y33" s="200"/>
      <c r="Z33" s="69"/>
      <c r="AA33" s="128"/>
      <c r="AB33" s="360">
        <f t="shared" si="7"/>
        <v>1</v>
      </c>
      <c r="AC33" s="360">
        <f t="shared" si="7"/>
        <v>1</v>
      </c>
      <c r="AD33" s="188" t="e">
        <f>IF(VLOOKUP(A33,Para1!$B$67:$E$72,2,FALSE)="8.",VLOOKUP(A33,Para1!$B$67:$E$72,3,FALSE),"")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0.17500000000000002</v>
      </c>
    </row>
    <row r="34" spans="1:34" ht="16.5" customHeight="1">
      <c r="A34" s="112" t="s">
        <v>22</v>
      </c>
      <c r="B34" s="303" t="str">
        <f>IF(B33=Para1!$F$153,Para1!$F$107,IF(B33=Para1!$F$107,Para1!$F$148,IF(B33=Para1!$F$148,Para1!$F$109,IF(B33=Para1!$F$109,Para1!$F$118,IF(B33=Para1!$F$118,Para1!$F$173,IF(B33=Para1!$F$173,Para1!$F$176,Para1!$F$153))))))</f>
        <v>Mi</v>
      </c>
      <c r="C34" s="339"/>
      <c r="D34" s="355"/>
      <c r="E34" s="355"/>
      <c r="F34" s="355"/>
      <c r="G34" s="357"/>
      <c r="H34" s="359"/>
      <c r="I34" s="355"/>
      <c r="J34" s="355"/>
      <c r="K34" s="357"/>
      <c r="L34" s="111">
        <f t="shared" si="6"/>
        <v>0</v>
      </c>
      <c r="M34" s="371">
        <f t="shared" si="2"/>
        <v>0.35000000000000003</v>
      </c>
      <c r="N34" s="189">
        <f t="shared" si="5"/>
        <v>-53.816666666666677</v>
      </c>
      <c r="O34" s="192"/>
      <c r="P34" s="355"/>
      <c r="Q34" s="355"/>
      <c r="R34" s="356"/>
      <c r="S34" s="357"/>
      <c r="T34" s="357"/>
      <c r="U34" s="358"/>
      <c r="V34" s="198"/>
      <c r="W34" s="374"/>
      <c r="X34" s="599"/>
      <c r="Y34" s="200"/>
      <c r="Z34" s="69"/>
      <c r="AA34" s="128"/>
      <c r="AB34" s="360">
        <f t="shared" si="7"/>
        <v>1</v>
      </c>
      <c r="AC34" s="360">
        <f t="shared" si="7"/>
        <v>1</v>
      </c>
      <c r="AD34" s="188" t="e">
        <f>IF(VLOOKUP(A34,Para1!$B$67:$E$72,2,FALSE)="8.",VLOOKUP(A34,Para1!$B$67:$E$72,3,FALSE),"")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0.17500000000000002</v>
      </c>
    </row>
    <row r="35" spans="1:34" ht="16.5" customHeight="1">
      <c r="A35" s="112" t="s">
        <v>23</v>
      </c>
      <c r="B35" s="303" t="str">
        <f>IF(B34=Para1!$F$153,Para1!$F$107,IF(B34=Para1!$F$107,Para1!$F$148,IF(B34=Para1!$F$148,Para1!$F$109,IF(B34=Para1!$F$109,Para1!$F$118,IF(B34=Para1!$F$118,Para1!$F$173,IF(B34=Para1!$F$173,Para1!$F$176,Para1!$F$153))))))</f>
        <v>Do</v>
      </c>
      <c r="C35" s="339"/>
      <c r="D35" s="355"/>
      <c r="E35" s="355"/>
      <c r="F35" s="355"/>
      <c r="G35" s="357"/>
      <c r="H35" s="359"/>
      <c r="I35" s="355"/>
      <c r="J35" s="355"/>
      <c r="K35" s="357"/>
      <c r="L35" s="111">
        <f t="shared" si="6"/>
        <v>0</v>
      </c>
      <c r="M35" s="371">
        <f t="shared" si="2"/>
        <v>0.35000000000000003</v>
      </c>
      <c r="N35" s="189">
        <f t="shared" si="5"/>
        <v>-54.166666666666679</v>
      </c>
      <c r="O35" s="192"/>
      <c r="P35" s="355"/>
      <c r="Q35" s="355"/>
      <c r="R35" s="356"/>
      <c r="S35" s="357"/>
      <c r="T35" s="357"/>
      <c r="U35" s="358"/>
      <c r="V35" s="198"/>
      <c r="W35" s="374"/>
      <c r="X35" s="599"/>
      <c r="Y35" s="200"/>
      <c r="Z35" s="69"/>
      <c r="AA35" s="128"/>
      <c r="AB35" s="360">
        <f t="shared" si="7"/>
        <v>1</v>
      </c>
      <c r="AC35" s="360">
        <f t="shared" si="7"/>
        <v>1</v>
      </c>
      <c r="AD35" s="188" t="e">
        <f>IF(VLOOKUP(A35,Para1!$B$67:$E$72,2,FALSE)="8.",VLOOKUP(A35,Para1!$B$67:$E$72,3,FALSE),"")</f>
        <v>#N/A</v>
      </c>
      <c r="AE35" s="540" t="str">
        <f>IF((AB35+AC35)=0,"",IF(ISNA(AD35),"",IF(AD35="","",VLOOKUP(AD35,Para1!$D$67:$G$79,3,FALSE)*(IF(AB35+AC35=1,0.5,1)))))</f>
        <v/>
      </c>
      <c r="AF35" s="540" t="str">
        <f>IF(AB35+AC35=0,"",IF(ISNA(AD36),"",IF(AD36="","",VLOOKUP(AD36,Para1!$D$67:$G$79,4,FALSE)*(IF(AB35+AC35=1,0.5,1)))))</f>
        <v/>
      </c>
      <c r="AG35" s="188">
        <f t="shared" si="3"/>
        <v>0</v>
      </c>
      <c r="AH35" s="187">
        <f t="shared" si="4"/>
        <v>0.17500000000000002</v>
      </c>
    </row>
    <row r="36" spans="1:34" ht="16.5" customHeight="1">
      <c r="A36" s="112" t="s">
        <v>24</v>
      </c>
      <c r="B36" s="303" t="str">
        <f>IF(B35=Para1!$F$153,Para1!$F$107,IF(B35=Para1!$F$107,Para1!$F$148,IF(B35=Para1!$F$148,Para1!$F$109,IF(B35=Para1!$F$109,Para1!$F$118,IF(B35=Para1!$F$118,Para1!$F$173,IF(B35=Para1!$F$173,Para1!$F$176,Para1!$F$153))))))</f>
        <v>Fr</v>
      </c>
      <c r="C36" s="305"/>
      <c r="D36" s="355"/>
      <c r="E36" s="355"/>
      <c r="F36" s="355"/>
      <c r="G36" s="357"/>
      <c r="H36" s="359"/>
      <c r="I36" s="355"/>
      <c r="J36" s="355"/>
      <c r="K36" s="357"/>
      <c r="L36" s="111">
        <f t="shared" si="6"/>
        <v>0</v>
      </c>
      <c r="M36" s="371">
        <f t="shared" si="2"/>
        <v>0.35000000000000003</v>
      </c>
      <c r="N36" s="189">
        <f t="shared" si="5"/>
        <v>-54.51666666666668</v>
      </c>
      <c r="O36" s="193"/>
      <c r="P36" s="355"/>
      <c r="Q36" s="355"/>
      <c r="R36" s="356"/>
      <c r="S36" s="357"/>
      <c r="T36" s="357"/>
      <c r="U36" s="358"/>
      <c r="V36" s="198"/>
      <c r="W36" s="373"/>
      <c r="X36" s="599"/>
      <c r="Y36" s="200"/>
      <c r="Z36" s="69"/>
      <c r="AA36" s="128"/>
      <c r="AB36" s="360">
        <f t="shared" si="7"/>
        <v>1</v>
      </c>
      <c r="AC36" s="360">
        <f t="shared" si="7"/>
        <v>1</v>
      </c>
      <c r="AD36" s="188" t="str">
        <f>IF(VLOOKUP(A36,Para1!$B$67:$E$72,2,FALSE)="8.",VLOOKUP(A36,Para1!$B$67:$E$72,3,FALSE),"")</f>
        <v/>
      </c>
      <c r="AE36" s="540" t="str">
        <f>IF((AB36+AC36)=0,"",IF(ISNA(AD36),"",IF(AD36="","",VLOOKUP(AD36,Para1!$D$67:$G$79,3,FALSE)*(IF(AB36+AC36=1,0.5,1)))))</f>
        <v/>
      </c>
      <c r="AF36" s="540" t="str">
        <f>IF(AB36+AC36=0,"",IF(ISNA(AD37),"",IF(AD37="","",VLOOKUP(AD37,Para1!$D$67:$G$79,4,FALSE)*(IF(AB36+AC36=1,0.5,1)))))</f>
        <v/>
      </c>
      <c r="AG36" s="188">
        <f t="shared" si="3"/>
        <v>0</v>
      </c>
      <c r="AH36" s="187">
        <f t="shared" si="4"/>
        <v>0.17500000000000002</v>
      </c>
    </row>
    <row r="37" spans="1:34" s="50" customFormat="1" ht="16.5" customHeight="1">
      <c r="A37" s="112" t="s">
        <v>25</v>
      </c>
      <c r="B37" s="303" t="str">
        <f>IF(B36=Para1!$F$153,Para1!$F$107,IF(B36=Para1!$F$107,Para1!$F$148,IF(B36=Para1!$F$148,Para1!$F$109,IF(B36=Para1!$F$109,Para1!$F$118,IF(B36=Para1!$F$118,Para1!$F$173,IF(B36=Para1!$F$173,Para1!$F$176,Para1!$F$153))))))</f>
        <v>Sa</v>
      </c>
      <c r="C37" s="305"/>
      <c r="D37" s="355"/>
      <c r="E37" s="355"/>
      <c r="F37" s="355"/>
      <c r="G37" s="357"/>
      <c r="H37" s="359"/>
      <c r="I37" s="355"/>
      <c r="J37" s="355"/>
      <c r="K37" s="357"/>
      <c r="L37" s="111">
        <f t="shared" si="6"/>
        <v>0</v>
      </c>
      <c r="M37" s="371">
        <f t="shared" si="2"/>
        <v>0</v>
      </c>
      <c r="N37" s="189">
        <f t="shared" si="5"/>
        <v>-54.51666666666668</v>
      </c>
      <c r="O37" s="193"/>
      <c r="P37" s="355"/>
      <c r="Q37" s="355"/>
      <c r="R37" s="356"/>
      <c r="S37" s="357"/>
      <c r="T37" s="357"/>
      <c r="U37" s="358"/>
      <c r="V37" s="198"/>
      <c r="W37" s="373"/>
      <c r="X37" s="599"/>
      <c r="Y37" s="200"/>
      <c r="Z37" s="69"/>
      <c r="AA37" s="128"/>
      <c r="AB37" s="360">
        <f t="shared" si="7"/>
        <v>0</v>
      </c>
      <c r="AC37" s="360">
        <f t="shared" si="7"/>
        <v>0</v>
      </c>
      <c r="AD37" s="188" t="e">
        <f>IF(VLOOKUP(A37,Para1!$B$67:$E$72,2,FALSE)="8.",VLOOKUP(A37,Para1!$B$67:$E$72,3,FALSE),"")</f>
        <v>#N/A</v>
      </c>
      <c r="AE37" s="540" t="str">
        <f>IF((AB37+AC37)=0,"",IF(ISNA(AD37),"",IF(AD37="","",VLOOKUP(AD37,Para1!$D$67:$G$79,3,FALSE)*(IF(AB37+AC37=1,0.5,1)))))</f>
        <v/>
      </c>
      <c r="AF37" s="540" t="str">
        <f>IF(AB37+AC37=0,"",IF(ISNA(AD38),"",IF(AD38="","",VLOOKUP(AD38,Para1!$D$67:$G$79,4,FALSE)*(IF(AB37+AC37=1,0.5,1)))))</f>
        <v/>
      </c>
      <c r="AG37" s="188">
        <f t="shared" si="3"/>
        <v>0</v>
      </c>
      <c r="AH37" s="187">
        <f t="shared" si="4"/>
        <v>0</v>
      </c>
    </row>
    <row r="38" spans="1:34" s="50" customFormat="1" ht="16.5" customHeight="1">
      <c r="A38" s="112" t="s">
        <v>26</v>
      </c>
      <c r="B38" s="303" t="str">
        <f>IF(B37=Para1!$F$153,Para1!$F$107,IF(B37=Para1!$F$107,Para1!$F$148,IF(B37=Para1!$F$148,Para1!$F$109,IF(B37=Para1!$F$109,Para1!$F$118,IF(B37=Para1!$F$118,Para1!$F$173,IF(B37=Para1!$F$173,Para1!$F$176,Para1!$F$153))))))</f>
        <v>So</v>
      </c>
      <c r="C38" s="305"/>
      <c r="D38" s="355"/>
      <c r="E38" s="355"/>
      <c r="F38" s="355"/>
      <c r="G38" s="357"/>
      <c r="H38" s="359"/>
      <c r="I38" s="355"/>
      <c r="J38" s="355"/>
      <c r="K38" s="357"/>
      <c r="L38" s="111">
        <f t="shared" si="6"/>
        <v>0</v>
      </c>
      <c r="M38" s="371">
        <f t="shared" si="2"/>
        <v>0</v>
      </c>
      <c r="N38" s="189">
        <f t="shared" si="5"/>
        <v>-54.51666666666668</v>
      </c>
      <c r="O38" s="193"/>
      <c r="P38" s="355"/>
      <c r="Q38" s="355"/>
      <c r="R38" s="356"/>
      <c r="S38" s="357"/>
      <c r="T38" s="357"/>
      <c r="U38" s="358"/>
      <c r="V38" s="198"/>
      <c r="W38" s="373"/>
      <c r="X38" s="599"/>
      <c r="Y38" s="200"/>
      <c r="Z38" s="69"/>
      <c r="AA38" s="128"/>
      <c r="AB38" s="360">
        <f>AB31</f>
        <v>0</v>
      </c>
      <c r="AC38" s="360">
        <f>AC31</f>
        <v>0</v>
      </c>
      <c r="AD38" s="188" t="e">
        <f>IF(VLOOKUP(A38,Para1!$B$67:$E$72,2,FALSE)="8.",VLOOKUP(A38,Para1!$B$67:$E$72,3,FALSE),"")</f>
        <v>#N/A</v>
      </c>
      <c r="AE38" s="540" t="str">
        <f>IF((AB38+AC38)=0,"",IF(ISNA(AD38),"",IF(AD38="","",VLOOKUP(AD38,Para1!$D$67:$G$79,3,FALSE)*(IF(AB38+AC38=1,0.5,1)))))</f>
        <v/>
      </c>
      <c r="AF38" s="540" t="str">
        <f>IF(AB38+AC38=0,"",IF(ISNA(AD39),"",IF(AD39="","",VLOOKUP(AD39,Para1!$D$67:$G$79,4,FALSE)*(IF(AB38+AC38=1,0.5,1)))))</f>
        <v/>
      </c>
      <c r="AG38" s="188">
        <f t="shared" si="3"/>
        <v>0</v>
      </c>
      <c r="AH38" s="187">
        <f t="shared" si="4"/>
        <v>0</v>
      </c>
    </row>
    <row r="39" spans="1:34" ht="16.5" customHeight="1">
      <c r="A39" s="112" t="s">
        <v>27</v>
      </c>
      <c r="B39" s="303" t="str">
        <f>IF(B38=Para1!$F$153,Para1!$F$107,IF(B38=Para1!$F$107,Para1!$F$148,IF(B38=Para1!$F$148,Para1!$F$109,IF(B38=Para1!$F$109,Para1!$F$118,IF(B38=Para1!$F$118,Para1!$F$173,IF(B38=Para1!$F$173,Para1!$F$176,Para1!$F$153))))))</f>
        <v>Mo</v>
      </c>
      <c r="C39" s="305"/>
      <c r="D39" s="355"/>
      <c r="E39" s="355"/>
      <c r="F39" s="355"/>
      <c r="G39" s="357"/>
      <c r="H39" s="359"/>
      <c r="I39" s="355"/>
      <c r="J39" s="355"/>
      <c r="K39" s="357"/>
      <c r="L39" s="111">
        <f t="shared" si="6"/>
        <v>0</v>
      </c>
      <c r="M39" s="371">
        <f t="shared" si="2"/>
        <v>0.35000000000000003</v>
      </c>
      <c r="N39" s="189">
        <f t="shared" si="5"/>
        <v>-54.866666666666681</v>
      </c>
      <c r="O39" s="193"/>
      <c r="P39" s="355"/>
      <c r="Q39" s="355"/>
      <c r="R39" s="356"/>
      <c r="S39" s="357"/>
      <c r="T39" s="357"/>
      <c r="U39" s="358"/>
      <c r="V39" s="198"/>
      <c r="W39" s="373"/>
      <c r="X39" s="599"/>
      <c r="Y39" s="200"/>
      <c r="Z39" s="69"/>
      <c r="AA39" s="128"/>
      <c r="AB39" s="360">
        <f t="shared" ref="AB39:AC44" si="8">AB32</f>
        <v>1</v>
      </c>
      <c r="AC39" s="360">
        <f t="shared" si="8"/>
        <v>1</v>
      </c>
      <c r="AD39" s="188" t="e">
        <f>IF(VLOOKUP(A39,Para1!$B$67:$E$72,2,FALSE)="8.",VLOOKUP(A39,Para1!$B$67:$E$72,3,FALSE),"")</f>
        <v>#N/A</v>
      </c>
      <c r="AE39" s="540" t="str">
        <f>IF((AB39+AC39)=0,"",IF(ISNA(AD39),"",IF(AD39="","",VLOOKUP(AD39,Para1!$D$67:$G$79,3,FALSE)*(IF(AB39+AC39=1,0.5,1)))))</f>
        <v/>
      </c>
      <c r="AF39" s="540" t="str">
        <f>IF(AB39+AC39=0,"",IF(ISNA(AD40),"",IF(AD40="","",VLOOKUP(AD40,Para1!$D$67:$G$79,4,FALSE)*(IF(AB39+AC39=1,0.5,1)))))</f>
        <v/>
      </c>
      <c r="AG39" s="188">
        <f t="shared" si="3"/>
        <v>0</v>
      </c>
      <c r="AH39" s="187">
        <f t="shared" si="4"/>
        <v>0.17500000000000002</v>
      </c>
    </row>
    <row r="40" spans="1:34" ht="16.5" customHeight="1">
      <c r="A40" s="112" t="s">
        <v>28</v>
      </c>
      <c r="B40" s="303" t="str">
        <f>IF(B39=Para1!$F$153,Para1!$F$107,IF(B39=Para1!$F$107,Para1!$F$148,IF(B39=Para1!$F$148,Para1!$F$109,IF(B39=Para1!$F$109,Para1!$F$118,IF(B39=Para1!$F$118,Para1!$F$173,IF(B39=Para1!$F$173,Para1!$F$176,Para1!$F$153))))))</f>
        <v>Di</v>
      </c>
      <c r="C40" s="305"/>
      <c r="D40" s="355"/>
      <c r="E40" s="355"/>
      <c r="F40" s="355"/>
      <c r="G40" s="357"/>
      <c r="H40" s="359"/>
      <c r="I40" s="355"/>
      <c r="J40" s="355"/>
      <c r="K40" s="357"/>
      <c r="L40" s="111">
        <f t="shared" si="6"/>
        <v>0</v>
      </c>
      <c r="M40" s="371">
        <f t="shared" si="2"/>
        <v>0.35000000000000003</v>
      </c>
      <c r="N40" s="189">
        <f t="shared" si="5"/>
        <v>-55.216666666666683</v>
      </c>
      <c r="O40" s="193"/>
      <c r="P40" s="355"/>
      <c r="Q40" s="355"/>
      <c r="R40" s="356"/>
      <c r="S40" s="357"/>
      <c r="T40" s="357"/>
      <c r="U40" s="358"/>
      <c r="V40" s="237"/>
      <c r="W40" s="373"/>
      <c r="X40" s="599"/>
      <c r="Y40" s="200"/>
      <c r="Z40" s="69"/>
      <c r="AA40" s="128"/>
      <c r="AB40" s="360">
        <f t="shared" si="8"/>
        <v>1</v>
      </c>
      <c r="AC40" s="360">
        <f t="shared" si="8"/>
        <v>1</v>
      </c>
      <c r="AD40" s="188" t="e">
        <f>IF(VLOOKUP(A40,Para1!$B$67:$E$72,2,FALSE)="8.",VLOOKUP(A40,Para1!$B$67:$E$72,3,FALSE),"")</f>
        <v>#N/A</v>
      </c>
      <c r="AE40" s="540" t="str">
        <f>IF((AB40+AC40)=0,"",IF(ISNA(AD40),"",IF(AD40="","",VLOOKUP(AD40,Para1!$D$67:$G$79,3,FALSE)*(IF(AB40+AC40=1,0.5,1)))))</f>
        <v/>
      </c>
      <c r="AF40" s="540" t="str">
        <f>IF(AB40+AC40=0,"",IF(ISNA(AD41),"",IF(AD41="","",VLOOKUP(AD41,Para1!$D$67:$G$79,4,FALSE)*(IF(AB40+AC40=1,0.5,1)))))</f>
        <v/>
      </c>
      <c r="AG40" s="188">
        <f t="shared" si="3"/>
        <v>0</v>
      </c>
      <c r="AH40" s="187">
        <f t="shared" si="4"/>
        <v>0.17500000000000002</v>
      </c>
    </row>
    <row r="41" spans="1:34" ht="16.5" customHeight="1">
      <c r="A41" s="112" t="s">
        <v>29</v>
      </c>
      <c r="B41" s="303" t="str">
        <f>IF(B40=Para1!$F$153,Para1!$F$107,IF(B40=Para1!$F$107,Para1!$F$148,IF(B40=Para1!$F$148,Para1!$F$109,IF(B40=Para1!$F$109,Para1!$F$118,IF(B40=Para1!$F$118,Para1!$F$173,IF(B40=Para1!$F$173,Para1!$F$176,Para1!$F$153))))))</f>
        <v>Mi</v>
      </c>
      <c r="C41" s="339"/>
      <c r="D41" s="355"/>
      <c r="E41" s="355"/>
      <c r="F41" s="355"/>
      <c r="G41" s="357"/>
      <c r="H41" s="359"/>
      <c r="I41" s="355"/>
      <c r="J41" s="355"/>
      <c r="K41" s="357"/>
      <c r="L41" s="111">
        <f t="shared" si="6"/>
        <v>0</v>
      </c>
      <c r="M41" s="371">
        <f t="shared" si="2"/>
        <v>0.35000000000000003</v>
      </c>
      <c r="N41" s="189">
        <f t="shared" si="5"/>
        <v>-55.566666666666684</v>
      </c>
      <c r="O41" s="192"/>
      <c r="P41" s="355"/>
      <c r="Q41" s="355"/>
      <c r="R41" s="356"/>
      <c r="S41" s="357"/>
      <c r="T41" s="357"/>
      <c r="U41" s="358"/>
      <c r="V41" s="198"/>
      <c r="W41" s="374"/>
      <c r="X41" s="599"/>
      <c r="Y41" s="200"/>
      <c r="Z41" s="69"/>
      <c r="AA41" s="128"/>
      <c r="AB41" s="360">
        <f t="shared" si="8"/>
        <v>1</v>
      </c>
      <c r="AC41" s="360">
        <f t="shared" si="8"/>
        <v>1</v>
      </c>
      <c r="AD41" s="188" t="e">
        <f>IF(VLOOKUP(A41,Para1!$B$67:$E$72,2,FALSE)="8.",VLOOKUP(A41,Para1!$B$67:$E$72,3,FALSE),"")</f>
        <v>#N/A</v>
      </c>
      <c r="AE41" s="540" t="str">
        <f>IF((AB41+AC41)=0,"",IF(ISNA(AD41),"",IF(AD41="","",VLOOKUP(AD41,Para1!$D$67:$G$79,3,FALSE)*(IF(AB41+AC41=1,0.5,1)))))</f>
        <v/>
      </c>
      <c r="AF41" s="540" t="str">
        <f>IF(AB41+AC41=0,"",IF(ISNA(AD42),"",IF(AD42="","",VLOOKUP(AD42,Para1!$D$67:$G$79,4,FALSE)*(IF(AB41+AC41=1,0.5,1)))))</f>
        <v/>
      </c>
      <c r="AG41" s="188">
        <f t="shared" si="3"/>
        <v>0</v>
      </c>
      <c r="AH41" s="187">
        <f t="shared" si="4"/>
        <v>0.17500000000000002</v>
      </c>
    </row>
    <row r="42" spans="1:34" ht="16.5" customHeight="1">
      <c r="A42" s="112" t="s">
        <v>30</v>
      </c>
      <c r="B42" s="303" t="str">
        <f>IF(B41=Para1!$F$153,Para1!$F$107,IF(B41=Para1!$F$107,Para1!$F$148,IF(B41=Para1!$F$148,Para1!$F$109,IF(B41=Para1!$F$109,Para1!$F$118,IF(B41=Para1!$F$118,Para1!$F$173,IF(B41=Para1!$F$173,Para1!$F$176,Para1!$F$153))))))</f>
        <v>Do</v>
      </c>
      <c r="C42" s="339"/>
      <c r="D42" s="355"/>
      <c r="E42" s="355"/>
      <c r="F42" s="355"/>
      <c r="G42" s="357"/>
      <c r="H42" s="359"/>
      <c r="I42" s="355"/>
      <c r="J42" s="355"/>
      <c r="K42" s="357"/>
      <c r="L42" s="111">
        <f t="shared" si="6"/>
        <v>0</v>
      </c>
      <c r="M42" s="371">
        <f t="shared" si="2"/>
        <v>0.35000000000000003</v>
      </c>
      <c r="N42" s="189">
        <f t="shared" si="5"/>
        <v>-55.916666666666686</v>
      </c>
      <c r="O42" s="192"/>
      <c r="P42" s="355"/>
      <c r="Q42" s="355"/>
      <c r="R42" s="356"/>
      <c r="S42" s="357"/>
      <c r="T42" s="357"/>
      <c r="U42" s="358"/>
      <c r="V42" s="198"/>
      <c r="W42" s="374"/>
      <c r="X42" s="599"/>
      <c r="Y42" s="200"/>
      <c r="Z42" s="69"/>
      <c r="AA42" s="128"/>
      <c r="AB42" s="360">
        <f t="shared" si="8"/>
        <v>1</v>
      </c>
      <c r="AC42" s="360">
        <f t="shared" si="8"/>
        <v>1</v>
      </c>
      <c r="AD42" s="188" t="e">
        <f>IF(VLOOKUP(A42,Para1!$B$67:$E$72,2,FALSE)="8.",VLOOKUP(A42,Para1!$B$67:$E$72,3,FALSE),"")</f>
        <v>#N/A</v>
      </c>
      <c r="AE42" s="540" t="str">
        <f>IF((AB42+AC42)=0,"",IF(ISNA(AD42),"",IF(AD42="","",VLOOKUP(AD42,Para1!$D$67:$G$79,3,FALSE)*(IF(AB42+AC42=1,0.5,1)))))</f>
        <v/>
      </c>
      <c r="AF42" s="540" t="str">
        <f>IF(AB42+AC42=0,"",IF(ISNA(AD43),"",IF(AD43="","",VLOOKUP(AD43,Para1!$D$67:$G$79,4,FALSE)*(IF(AB42+AC42=1,0.5,1)))))</f>
        <v/>
      </c>
      <c r="AG42" s="188">
        <f t="shared" si="3"/>
        <v>0</v>
      </c>
      <c r="AH42" s="187">
        <f t="shared" si="4"/>
        <v>0.17500000000000002</v>
      </c>
    </row>
    <row r="43" spans="1:34" ht="16.5" customHeight="1">
      <c r="A43" s="112" t="s">
        <v>31</v>
      </c>
      <c r="B43" s="303" t="str">
        <f>IF(B42=Para1!$F$153,Para1!$F$107,IF(B42=Para1!$F$107,Para1!$F$148,IF(B42=Para1!$F$148,Para1!$F$109,IF(B42=Para1!$F$109,Para1!$F$118,IF(B42=Para1!$F$118,Para1!$F$173,IF(B42=Para1!$F$173,Para1!$F$176,Para1!$F$153))))))</f>
        <v>Fr</v>
      </c>
      <c r="C43" s="305"/>
      <c r="D43" s="355"/>
      <c r="E43" s="355"/>
      <c r="F43" s="355"/>
      <c r="G43" s="357"/>
      <c r="H43" s="359"/>
      <c r="I43" s="355"/>
      <c r="J43" s="355"/>
      <c r="K43" s="357"/>
      <c r="L43" s="111">
        <f t="shared" si="6"/>
        <v>0</v>
      </c>
      <c r="M43" s="371">
        <f t="shared" si="2"/>
        <v>0.35000000000000003</v>
      </c>
      <c r="N43" s="189">
        <f t="shared" si="5"/>
        <v>-56.266666666666687</v>
      </c>
      <c r="O43" s="193"/>
      <c r="P43" s="355"/>
      <c r="Q43" s="355"/>
      <c r="R43" s="356"/>
      <c r="S43" s="357"/>
      <c r="T43" s="357"/>
      <c r="U43" s="358"/>
      <c r="V43" s="198"/>
      <c r="W43" s="373"/>
      <c r="X43" s="599"/>
      <c r="Y43" s="200"/>
      <c r="Z43" s="69"/>
      <c r="AA43" s="128"/>
      <c r="AB43" s="360">
        <f t="shared" si="8"/>
        <v>1</v>
      </c>
      <c r="AC43" s="360">
        <f t="shared" si="8"/>
        <v>1</v>
      </c>
      <c r="AD43" s="188" t="e">
        <f>IF(VLOOKUP(A43,Para1!$B$67:$E$72,2,FALSE)="8.",VLOOKUP(A43,Para1!$B$67:$E$72,3,FALSE),"")</f>
        <v>#N/A</v>
      </c>
      <c r="AE43" s="540" t="str">
        <f>IF((AB43+AC43)=0,"",IF(ISNA(AD43),"",IF(AD43="","",VLOOKUP(AD43,Para1!$D$67:$G$79,3,FALSE)*(IF(AB43+AC43=1,0.5,1)))))</f>
        <v/>
      </c>
      <c r="AF43" s="540" t="str">
        <f>IF(AB43+AC43=0,"",IF(ISNA(AD44),"",IF(AD44="","",VLOOKUP(AD44,Para1!$D$67:$G$79,4,FALSE)*(IF(AB43+AC43=1,0.5,1)))))</f>
        <v/>
      </c>
      <c r="AG43" s="188">
        <f t="shared" si="3"/>
        <v>0</v>
      </c>
      <c r="AH43" s="187">
        <f t="shared" si="4"/>
        <v>0.17500000000000002</v>
      </c>
    </row>
    <row r="44" spans="1:34" s="50" customFormat="1" ht="16.5" customHeight="1">
      <c r="A44" s="112" t="s">
        <v>32</v>
      </c>
      <c r="B44" s="303" t="str">
        <f>IF(B43=Para1!$F$153,Para1!$F$107,IF(B43=Para1!$F$107,Para1!$F$148,IF(B43=Para1!$F$148,Para1!$F$109,IF(B43=Para1!$F$109,Para1!$F$118,IF(B43=Para1!$F$118,Para1!$F$173,IF(B43=Para1!$F$173,Para1!$F$176,Para1!$F$153))))))</f>
        <v>Sa</v>
      </c>
      <c r="C44" s="305"/>
      <c r="D44" s="355"/>
      <c r="E44" s="355"/>
      <c r="F44" s="355"/>
      <c r="G44" s="357"/>
      <c r="H44" s="359"/>
      <c r="I44" s="355"/>
      <c r="J44" s="355"/>
      <c r="K44" s="357"/>
      <c r="L44" s="111">
        <f t="shared" si="6"/>
        <v>0</v>
      </c>
      <c r="M44" s="371">
        <f t="shared" si="2"/>
        <v>0</v>
      </c>
      <c r="N44" s="189">
        <f t="shared" si="5"/>
        <v>-56.266666666666687</v>
      </c>
      <c r="O44" s="193"/>
      <c r="P44" s="355"/>
      <c r="Q44" s="355"/>
      <c r="R44" s="356"/>
      <c r="S44" s="357"/>
      <c r="T44" s="357"/>
      <c r="U44" s="358"/>
      <c r="V44" s="198"/>
      <c r="W44" s="373"/>
      <c r="X44" s="599"/>
      <c r="Y44" s="200"/>
      <c r="Z44" s="69"/>
      <c r="AA44" s="128"/>
      <c r="AB44" s="360">
        <f t="shared" si="8"/>
        <v>0</v>
      </c>
      <c r="AC44" s="360">
        <f t="shared" si="8"/>
        <v>0</v>
      </c>
      <c r="AD44" s="188" t="e">
        <f>IF(VLOOKUP(A44,Para1!$B$67:$E$72,2,FALSE)="8.",VLOOKUP(A44,Para1!$B$67:$E$72,3,FALSE),"")</f>
        <v>#N/A</v>
      </c>
      <c r="AE44" s="540" t="str">
        <f>IF((AB44+AC44)=0,"",IF(ISNA(AD44),"",IF(AD44="","",VLOOKUP(AD44,Para1!$D$67:$G$79,3,FALSE)*(IF(AB44+AC44=1,0.5,1)))))</f>
        <v/>
      </c>
      <c r="AF44" s="540" t="str">
        <f>IF(AB44+AC44=0,"",IF(ISNA(AD45),"",IF(AD45="","",VLOOKUP(AD45,Para1!$D$67:$G$79,4,FALSE)*(IF(AB44+AC44=1,0.5,1)))))</f>
        <v/>
      </c>
      <c r="AG44" s="188">
        <f t="shared" si="3"/>
        <v>0</v>
      </c>
      <c r="AH44" s="187">
        <f t="shared" si="4"/>
        <v>0</v>
      </c>
    </row>
    <row r="45" spans="1:34" s="50" customFormat="1" ht="16.5" customHeight="1">
      <c r="A45" s="112" t="s">
        <v>33</v>
      </c>
      <c r="B45" s="303" t="str">
        <f>IF(B44=Para1!$F$153,Para1!$F$107,IF(B44=Para1!$F$107,Para1!$F$148,IF(B44=Para1!$F$148,Para1!$F$109,IF(B44=Para1!$F$109,Para1!$F$118,IF(B44=Para1!$F$118,Para1!$F$173,IF(B44=Para1!$F$173,Para1!$F$176,Para1!$F$153))))))</f>
        <v>So</v>
      </c>
      <c r="C45" s="305"/>
      <c r="D45" s="355"/>
      <c r="E45" s="355"/>
      <c r="F45" s="355"/>
      <c r="G45" s="357"/>
      <c r="H45" s="359"/>
      <c r="I45" s="355"/>
      <c r="J45" s="355"/>
      <c r="K45" s="357"/>
      <c r="L45" s="111">
        <f t="shared" si="6"/>
        <v>0</v>
      </c>
      <c r="M45" s="371">
        <f t="shared" si="2"/>
        <v>0</v>
      </c>
      <c r="N45" s="189">
        <f t="shared" si="5"/>
        <v>-56.266666666666687</v>
      </c>
      <c r="O45" s="193"/>
      <c r="P45" s="355"/>
      <c r="Q45" s="355"/>
      <c r="R45" s="356"/>
      <c r="S45" s="357"/>
      <c r="T45" s="357"/>
      <c r="U45" s="358"/>
      <c r="V45" s="198"/>
      <c r="W45" s="373"/>
      <c r="X45" s="599"/>
      <c r="Y45" s="200"/>
      <c r="Z45" s="69"/>
      <c r="AA45" s="128"/>
      <c r="AB45" s="360">
        <f>AB38</f>
        <v>0</v>
      </c>
      <c r="AC45" s="360">
        <f>AC38</f>
        <v>0</v>
      </c>
      <c r="AD45" s="188" t="e">
        <f>IF(VLOOKUP(A45,Para1!$B$67:$E$72,2,FALSE)="8.",VLOOKUP(A45,Para1!$B$67:$E$72,3,FALSE),"")</f>
        <v>#N/A</v>
      </c>
      <c r="AE45" s="540" t="str">
        <f>IF((AB45+AC45)=0,"",IF(ISNA(AD45),"",IF(AD45="","",VLOOKUP(AD45,Para1!$D$67:$G$79,3,FALSE)*(IF(AB45+AC45=1,0.5,1)))))</f>
        <v/>
      </c>
      <c r="AF45" s="540" t="str">
        <f>IF(AB45+AC45=0,"",IF(ISNA(AD46),"",IF(AD46="","",VLOOKUP(AD46,Para1!$D$67:$G$79,4,FALSE)*(IF(AB45+AC45=1,0.5,1)))))</f>
        <v/>
      </c>
      <c r="AG45" s="188">
        <f t="shared" si="3"/>
        <v>0</v>
      </c>
      <c r="AH45" s="187">
        <f t="shared" si="4"/>
        <v>0</v>
      </c>
    </row>
    <row r="46" spans="1:34" ht="16.5" customHeight="1">
      <c r="A46" s="112" t="s">
        <v>34</v>
      </c>
      <c r="B46" s="303" t="str">
        <f>IF(B45=Para1!$F$153,Para1!$F$107,IF(B45=Para1!$F$107,Para1!$F$148,IF(B45=Para1!$F$148,Para1!$F$109,IF(B45=Para1!$F$109,Para1!$F$118,IF(B45=Para1!$F$118,Para1!$F$173,IF(B45=Para1!$F$173,Para1!$F$176,Para1!$F$153))))))</f>
        <v>Mo</v>
      </c>
      <c r="C46" s="305"/>
      <c r="D46" s="355"/>
      <c r="E46" s="355"/>
      <c r="F46" s="355"/>
      <c r="G46" s="357"/>
      <c r="H46" s="359"/>
      <c r="I46" s="355"/>
      <c r="J46" s="355"/>
      <c r="K46" s="357"/>
      <c r="L46" s="111">
        <f t="shared" si="6"/>
        <v>0</v>
      </c>
      <c r="M46" s="371">
        <f t="shared" si="2"/>
        <v>0.35000000000000003</v>
      </c>
      <c r="N46" s="189">
        <f t="shared" si="5"/>
        <v>-56.616666666666688</v>
      </c>
      <c r="O46" s="193"/>
      <c r="P46" s="355"/>
      <c r="Q46" s="355"/>
      <c r="R46" s="356"/>
      <c r="S46" s="357"/>
      <c r="T46" s="357"/>
      <c r="U46" s="358"/>
      <c r="V46" s="198"/>
      <c r="W46" s="373"/>
      <c r="X46" s="599"/>
      <c r="Y46" s="200"/>
      <c r="Z46" s="69"/>
      <c r="AA46" s="128"/>
      <c r="AB46" s="360">
        <f t="shared" ref="AB46:AC51" si="9">AB39</f>
        <v>1</v>
      </c>
      <c r="AC46" s="360">
        <f t="shared" si="9"/>
        <v>1</v>
      </c>
      <c r="AD46" s="188" t="str">
        <f>IF(VLOOKUP(A46,Para1!$B$67:$E$72,2,FALSE)="8.",VLOOKUP(A46,Para1!$B$67:$E$72,3,FALSE),"")</f>
        <v/>
      </c>
      <c r="AE46" s="540" t="str">
        <f>IF((AB46+AC46)=0,"",IF(ISNA(AD46),"",IF(AD46="","",VLOOKUP(AD46,Para1!$D$67:$G$79,3,FALSE)*(IF(AB46+AC46=1,0.5,1)))))</f>
        <v/>
      </c>
      <c r="AF46" s="540" t="str">
        <f>IF(AB46+AC46=0,"",IF(ISNA(AD47),"",IF(AD47="","",VLOOKUP(AD47,Para1!$D$67:$G$79,4,FALSE)*(IF(AB46+AC46=1,0.5,1)))))</f>
        <v/>
      </c>
      <c r="AG46" s="188">
        <f t="shared" si="3"/>
        <v>0</v>
      </c>
      <c r="AH46" s="187">
        <f t="shared" si="4"/>
        <v>0.17500000000000002</v>
      </c>
    </row>
    <row r="47" spans="1:34" ht="16.5" customHeight="1">
      <c r="A47" s="112" t="s">
        <v>35</v>
      </c>
      <c r="B47" s="303" t="str">
        <f>IF(B46=Para1!$F$153,Para1!$F$107,IF(B46=Para1!$F$107,Para1!$F$148,IF(B46=Para1!$F$148,Para1!$F$109,IF(B46=Para1!$F$109,Para1!$F$118,IF(B46=Para1!$F$118,Para1!$F$173,IF(B46=Para1!$F$173,Para1!$F$176,Para1!$F$153))))))</f>
        <v>Di</v>
      </c>
      <c r="C47" s="305"/>
      <c r="D47" s="355"/>
      <c r="E47" s="355"/>
      <c r="F47" s="355"/>
      <c r="G47" s="357"/>
      <c r="H47" s="359"/>
      <c r="I47" s="355"/>
      <c r="J47" s="355"/>
      <c r="K47" s="357"/>
      <c r="L47" s="111">
        <f t="shared" si="6"/>
        <v>0</v>
      </c>
      <c r="M47" s="371">
        <f t="shared" si="2"/>
        <v>0.35000000000000003</v>
      </c>
      <c r="N47" s="189">
        <f t="shared" si="5"/>
        <v>-56.96666666666669</v>
      </c>
      <c r="O47" s="193"/>
      <c r="P47" s="355"/>
      <c r="Q47" s="355"/>
      <c r="R47" s="356"/>
      <c r="S47" s="357"/>
      <c r="T47" s="357"/>
      <c r="U47" s="358"/>
      <c r="V47" s="237"/>
      <c r="W47" s="373"/>
      <c r="X47" s="599"/>
      <c r="Y47" s="200"/>
      <c r="Z47" s="69"/>
      <c r="AA47" s="128"/>
      <c r="AB47" s="360">
        <f t="shared" si="9"/>
        <v>1</v>
      </c>
      <c r="AC47" s="360">
        <f t="shared" si="9"/>
        <v>1</v>
      </c>
      <c r="AD47" s="188" t="str">
        <f>IF(VLOOKUP(A47,Para1!$B$67:$E$72,2,FALSE)="8.",VLOOKUP(A47,Para1!$B$67:$E$72,3,FALSE),"")</f>
        <v/>
      </c>
      <c r="AE47" s="540" t="str">
        <f>IF((AB47+AC47)=0,"",IF(ISNA(AD47),"",IF(AD47="","",VLOOKUP(AD47,Para1!$D$67:$G$79,3,FALSE)*(IF(AB47+AC47=1,0.5,1)))))</f>
        <v/>
      </c>
      <c r="AF47" s="540" t="str">
        <f>IF(AB47+AC47=0,"",IF(ISNA(AD48),"",IF(AD48="","",VLOOKUP(AD48,Para1!$D$67:$G$79,4,FALSE)*(IF(AB47+AC47=1,0.5,1)))))</f>
        <v/>
      </c>
      <c r="AG47" s="188">
        <f t="shared" si="3"/>
        <v>0</v>
      </c>
      <c r="AH47" s="187">
        <f t="shared" si="4"/>
        <v>0.17500000000000002</v>
      </c>
    </row>
    <row r="48" spans="1:34" ht="16.5" customHeight="1">
      <c r="A48" s="112" t="s">
        <v>36</v>
      </c>
      <c r="B48" s="303" t="str">
        <f>IF(B47=Para1!$F$153,Para1!$F$107,IF(B47=Para1!$F$107,Para1!$F$148,IF(B47=Para1!$F$148,Para1!$F$109,IF(B47=Para1!$F$109,Para1!$F$118,IF(B47=Para1!$F$118,Para1!$F$173,IF(B47=Para1!$F$173,Para1!$F$176,Para1!$F$153))))))</f>
        <v>Mi</v>
      </c>
      <c r="C48" s="339"/>
      <c r="D48" s="355"/>
      <c r="E48" s="355"/>
      <c r="F48" s="355"/>
      <c r="G48" s="357"/>
      <c r="H48" s="359"/>
      <c r="I48" s="355"/>
      <c r="J48" s="355"/>
      <c r="K48" s="357"/>
      <c r="L48" s="111">
        <f t="shared" si="6"/>
        <v>0</v>
      </c>
      <c r="M48" s="371">
        <f t="shared" si="2"/>
        <v>0.35000000000000003</v>
      </c>
      <c r="N48" s="189">
        <f t="shared" si="5"/>
        <v>-57.316666666666691</v>
      </c>
      <c r="O48" s="192"/>
      <c r="P48" s="355"/>
      <c r="Q48" s="355"/>
      <c r="R48" s="356"/>
      <c r="S48" s="357"/>
      <c r="T48" s="357"/>
      <c r="U48" s="358"/>
      <c r="V48" s="198"/>
      <c r="W48" s="374"/>
      <c r="X48" s="599"/>
      <c r="Y48" s="200"/>
      <c r="Z48" s="69"/>
      <c r="AA48" s="128"/>
      <c r="AB48" s="360">
        <f t="shared" si="9"/>
        <v>1</v>
      </c>
      <c r="AC48" s="360">
        <f t="shared" si="9"/>
        <v>1</v>
      </c>
      <c r="AD48" s="188" t="e">
        <f>IF(VLOOKUP(A48,Para1!$B$67:$E$72,2,FALSE)="8.",VLOOKUP(A48,Para1!$B$67:$E$72,3,FALSE),"")</f>
        <v>#N/A</v>
      </c>
      <c r="AE48" s="540" t="str">
        <f>IF((AB48+AC48)=0,"",IF(ISNA(AD48),"",IF(AD48="","",VLOOKUP(AD48,Para1!$D$67:$G$79,3,FALSE)*(IF(AB48+AC48=1,0.5,1)))))</f>
        <v/>
      </c>
      <c r="AF48" s="540" t="str">
        <f>IF(AB48+AC48=0,"",IF(ISNA(AD49),"",IF(AD49="","",VLOOKUP(AD49,Para1!$D$67:$G$79,4,FALSE)*(IF(AB48+AC48=1,0.5,1)))))</f>
        <v/>
      </c>
      <c r="AG48" s="188">
        <f t="shared" si="3"/>
        <v>0</v>
      </c>
      <c r="AH48" s="187">
        <f t="shared" si="4"/>
        <v>0.17500000000000002</v>
      </c>
    </row>
    <row r="49" spans="1:34" ht="16.5" customHeight="1">
      <c r="A49" s="112" t="s">
        <v>37</v>
      </c>
      <c r="B49" s="303" t="str">
        <f>IF(B48=Para1!$F$153,Para1!$F$107,IF(B48=Para1!$F$107,Para1!$F$148,IF(B48=Para1!$F$148,Para1!$F$109,IF(B48=Para1!$F$109,Para1!$F$118,IF(B48=Para1!$F$118,Para1!$F$173,IF(B48=Para1!$F$173,Para1!$F$176,Para1!$F$153))))))</f>
        <v>Do</v>
      </c>
      <c r="C49" s="339"/>
      <c r="D49" s="355"/>
      <c r="E49" s="355"/>
      <c r="F49" s="355"/>
      <c r="G49" s="357"/>
      <c r="H49" s="359"/>
      <c r="I49" s="355"/>
      <c r="J49" s="355"/>
      <c r="K49" s="357"/>
      <c r="L49" s="111">
        <f t="shared" si="6"/>
        <v>0</v>
      </c>
      <c r="M49" s="371">
        <f t="shared" si="2"/>
        <v>0.35000000000000003</v>
      </c>
      <c r="N49" s="189">
        <f t="shared" si="5"/>
        <v>-57.666666666666693</v>
      </c>
      <c r="O49" s="192"/>
      <c r="P49" s="355"/>
      <c r="Q49" s="355"/>
      <c r="R49" s="356"/>
      <c r="S49" s="357"/>
      <c r="T49" s="357"/>
      <c r="U49" s="358"/>
      <c r="V49" s="198"/>
      <c r="W49" s="374"/>
      <c r="X49" s="599"/>
      <c r="Y49" s="200"/>
      <c r="Z49" s="69"/>
      <c r="AA49" s="128"/>
      <c r="AB49" s="360">
        <f t="shared" si="9"/>
        <v>1</v>
      </c>
      <c r="AC49" s="360">
        <f t="shared" si="9"/>
        <v>1</v>
      </c>
      <c r="AD49" s="188" t="e">
        <f>IF(VLOOKUP(A49,Para1!$B$67:$E$72,2,FALSE)="8.",VLOOKUP(A49,Para1!$B$67:$E$72,3,FALSE),"")</f>
        <v>#N/A</v>
      </c>
      <c r="AE49" s="540" t="str">
        <f>IF((AB49+AC49)=0,"",IF(ISNA(AD49),"",IF(AD49="","",VLOOKUP(AD49,Para1!$D$67:$G$79,3,FALSE)*(IF(AB49+AC49=1,0.5,1)))))</f>
        <v/>
      </c>
      <c r="AF49" s="540" t="str">
        <f>IF(AB49+AC49=0,"",IF(ISNA(AD50),"",IF(AD50="","",VLOOKUP(AD50,Para1!$D$67:$G$79,4,FALSE)*(IF(AB49+AC49=1,0.5,1)))))</f>
        <v/>
      </c>
      <c r="AG49" s="188">
        <f t="shared" si="3"/>
        <v>0</v>
      </c>
      <c r="AH49" s="187">
        <f t="shared" si="4"/>
        <v>0.17500000000000002</v>
      </c>
    </row>
    <row r="50" spans="1:34" ht="16.5" customHeight="1">
      <c r="A50" s="112" t="s">
        <v>38</v>
      </c>
      <c r="B50" s="303" t="str">
        <f>IF(B49=Para1!$F$153,Para1!$F$107,IF(B49=Para1!$F$107,Para1!$F$148,IF(B49=Para1!$F$148,Para1!$F$109,IF(B49=Para1!$F$109,Para1!$F$118,IF(B49=Para1!$F$118,Para1!$F$173,IF(B49=Para1!$F$173,Para1!$F$176,Para1!$F$153))))))</f>
        <v>Fr</v>
      </c>
      <c r="C50" s="305"/>
      <c r="D50" s="355"/>
      <c r="E50" s="355"/>
      <c r="F50" s="355"/>
      <c r="G50" s="357"/>
      <c r="H50" s="359"/>
      <c r="I50" s="355"/>
      <c r="J50" s="355"/>
      <c r="K50" s="357"/>
      <c r="L50" s="111">
        <f t="shared" si="6"/>
        <v>0</v>
      </c>
      <c r="M50" s="371">
        <f t="shared" si="2"/>
        <v>0.35000000000000003</v>
      </c>
      <c r="N50" s="189">
        <f t="shared" si="5"/>
        <v>-58.016666666666694</v>
      </c>
      <c r="O50" s="193"/>
      <c r="P50" s="355"/>
      <c r="Q50" s="355"/>
      <c r="R50" s="356"/>
      <c r="S50" s="357"/>
      <c r="T50" s="357"/>
      <c r="U50" s="358"/>
      <c r="V50" s="198"/>
      <c r="W50" s="373"/>
      <c r="X50" s="599"/>
      <c r="Y50" s="200"/>
      <c r="Z50" s="69"/>
      <c r="AA50" s="128"/>
      <c r="AB50" s="360">
        <f t="shared" si="9"/>
        <v>1</v>
      </c>
      <c r="AC50" s="360">
        <f t="shared" si="9"/>
        <v>1</v>
      </c>
      <c r="AD50" s="188" t="e">
        <f>IF(VLOOKUP(A50,Para1!$B$67:$E$72,2,FALSE)="8.",VLOOKUP(A50,Para1!$B$67:$E$72,3,FALSE),"")</f>
        <v>#N/A</v>
      </c>
      <c r="AE50" s="540" t="str">
        <f>IF((AB50+AC50)=0,"",IF(ISNA(AD50),"",IF(AD50="","",VLOOKUP(AD50,Para1!$D$67:$G$79,3,FALSE)*(IF(AB50+AC50=1,0.5,1)))))</f>
        <v/>
      </c>
      <c r="AF50" s="540" t="str">
        <f>IF(AB50+AC50=0,"",IF(ISNA(AD51),"",IF(AD51="","",VLOOKUP(AD51,Para1!$D$67:$G$79,4,FALSE)*(IF(AB50+AC50=1,0.5,1)))))</f>
        <v/>
      </c>
      <c r="AG50" s="188">
        <f t="shared" si="3"/>
        <v>0</v>
      </c>
      <c r="AH50" s="187">
        <f t="shared" si="4"/>
        <v>0.17500000000000002</v>
      </c>
    </row>
    <row r="51" spans="1:34" s="50" customFormat="1" ht="16.5" customHeight="1">
      <c r="A51" s="112" t="s">
        <v>39</v>
      </c>
      <c r="B51" s="303" t="str">
        <f>IF(B50=Para1!$F$153,Para1!$F$107,IF(B50=Para1!$F$107,Para1!$F$148,IF(B50=Para1!$F$148,Para1!$F$109,IF(B50=Para1!$F$109,Para1!$F$118,IF(B50=Para1!$F$118,Para1!$F$173,IF(B50=Para1!$F$173,Para1!$F$176,Para1!$F$153))))))</f>
        <v>Sa</v>
      </c>
      <c r="C51" s="305"/>
      <c r="D51" s="355"/>
      <c r="E51" s="355"/>
      <c r="F51" s="355"/>
      <c r="G51" s="357"/>
      <c r="H51" s="359"/>
      <c r="I51" s="355"/>
      <c r="J51" s="355"/>
      <c r="K51" s="357"/>
      <c r="L51" s="111">
        <f t="shared" si="6"/>
        <v>0</v>
      </c>
      <c r="M51" s="371">
        <f t="shared" si="2"/>
        <v>0</v>
      </c>
      <c r="N51" s="189">
        <f t="shared" si="5"/>
        <v>-58.016666666666694</v>
      </c>
      <c r="O51" s="193"/>
      <c r="P51" s="355"/>
      <c r="Q51" s="355"/>
      <c r="R51" s="356"/>
      <c r="S51" s="357"/>
      <c r="T51" s="357"/>
      <c r="U51" s="358"/>
      <c r="V51" s="198"/>
      <c r="W51" s="373"/>
      <c r="X51" s="599"/>
      <c r="Y51" s="200"/>
      <c r="Z51" s="69"/>
      <c r="AA51" s="128"/>
      <c r="AB51" s="360">
        <f t="shared" si="9"/>
        <v>0</v>
      </c>
      <c r="AC51" s="360">
        <f t="shared" si="9"/>
        <v>0</v>
      </c>
      <c r="AD51" s="188" t="e">
        <f>IF(VLOOKUP(A51,Para1!$B$67:$E$72,2,FALSE)="8.",VLOOKUP(A51,Para1!$B$67:$E$72,3,FALSE),"")</f>
        <v>#N/A</v>
      </c>
      <c r="AE51" s="540" t="str">
        <f>IF((AB51+AC51)=0,"",IF(ISNA(AD51),"",IF(AD51="","",VLOOKUP(AD51,Para1!$D$67:$G$79,3,FALSE)*(IF(AB51+AC51=1,0.5,1)))))</f>
        <v/>
      </c>
      <c r="AF51" s="540" t="str">
        <f>IF(AB51+AC51=0,"",IF(ISNA(AD52),"",IF(AD52="","",VLOOKUP(AD52,Para1!$D$67:$G$79,4,FALSE)*(IF(AB51+AC51=1,0.5,1)))))</f>
        <v/>
      </c>
      <c r="AG51" s="188">
        <f t="shared" si="3"/>
        <v>0</v>
      </c>
      <c r="AH51" s="187">
        <f t="shared" si="4"/>
        <v>0</v>
      </c>
    </row>
    <row r="52" spans="1:34" s="50" customFormat="1" ht="16.5" customHeight="1">
      <c r="A52" s="112" t="s">
        <v>40</v>
      </c>
      <c r="B52" s="303" t="str">
        <f>IF(B51=Para1!$F$153,Para1!$F$107,IF(B51=Para1!$F$107,Para1!$F$148,IF(B51=Para1!$F$148,Para1!$F$109,IF(B51=Para1!$F$109,Para1!$F$118,IF(B51=Para1!$F$118,Para1!$F$173,IF(B51=Para1!$F$173,Para1!$F$176,Para1!$F$153))))))</f>
        <v>So</v>
      </c>
      <c r="C52" s="305"/>
      <c r="D52" s="355"/>
      <c r="E52" s="355"/>
      <c r="F52" s="355"/>
      <c r="G52" s="357"/>
      <c r="H52" s="359"/>
      <c r="I52" s="355"/>
      <c r="J52" s="355"/>
      <c r="K52" s="357"/>
      <c r="L52" s="111">
        <f t="shared" si="6"/>
        <v>0</v>
      </c>
      <c r="M52" s="371">
        <f t="shared" si="2"/>
        <v>0</v>
      </c>
      <c r="N52" s="189">
        <f t="shared" si="5"/>
        <v>-58.016666666666694</v>
      </c>
      <c r="O52" s="193"/>
      <c r="P52" s="355"/>
      <c r="Q52" s="355"/>
      <c r="R52" s="356"/>
      <c r="S52" s="357"/>
      <c r="T52" s="357"/>
      <c r="U52" s="358"/>
      <c r="V52" s="198"/>
      <c r="W52" s="373"/>
      <c r="X52" s="599"/>
      <c r="Y52" s="200"/>
      <c r="Z52" s="69"/>
      <c r="AA52" s="128"/>
      <c r="AB52" s="360">
        <f t="shared" ref="AB52:AC54" si="10">AB45</f>
        <v>0</v>
      </c>
      <c r="AC52" s="360">
        <f t="shared" si="10"/>
        <v>0</v>
      </c>
      <c r="AD52" s="188" t="e">
        <f>IF(VLOOKUP(A52,Para1!$B$67:$E$72,2,FALSE)="8.",VLOOKUP(A52,Para1!$B$67:$E$72,3,FALSE),"")</f>
        <v>#N/A</v>
      </c>
      <c r="AE52" s="540" t="str">
        <f>IF((AB52+AC52)=0,"",IF(ISNA(AD52),"",IF(AD52="","",VLOOKUP(AD52,Para1!$D$67:$G$79,3,FALSE)*(IF(AB52+AC52=1,0.5,1)))))</f>
        <v/>
      </c>
      <c r="AF52" s="540" t="str">
        <f>IF(AB52+AC52=0,"",IF(ISNA(AD53),"",IF(AD53="","",VLOOKUP(AD53,Para1!$D$67:$G$79,4,FALSE)*(IF(AB52+AC52=1,0.5,1)))))</f>
        <v/>
      </c>
      <c r="AG52" s="188">
        <f t="shared" si="3"/>
        <v>0</v>
      </c>
      <c r="AH52" s="187">
        <f t="shared" si="4"/>
        <v>0</v>
      </c>
    </row>
    <row r="53" spans="1:34" ht="16.5" customHeight="1">
      <c r="A53" s="112" t="s">
        <v>41</v>
      </c>
      <c r="B53" s="303" t="str">
        <f>IF(B52=Para1!$F$153,Para1!$F$107,IF(B52=Para1!$F$107,Para1!$F$148,IF(B52=Para1!$F$148,Para1!$F$109,IF(B52=Para1!$F$109,Para1!$F$118,IF(B52=Para1!$F$118,Para1!$F$173,IF(B52=Para1!$F$173,Para1!$F$176,Para1!$F$153))))))</f>
        <v>Mo</v>
      </c>
      <c r="C53" s="305"/>
      <c r="D53" s="355"/>
      <c r="E53" s="355"/>
      <c r="F53" s="355"/>
      <c r="G53" s="357"/>
      <c r="H53" s="359"/>
      <c r="I53" s="355"/>
      <c r="J53" s="355"/>
      <c r="K53" s="357"/>
      <c r="L53" s="111">
        <f t="shared" si="6"/>
        <v>0</v>
      </c>
      <c r="M53" s="371">
        <f t="shared" si="2"/>
        <v>0.35000000000000003</v>
      </c>
      <c r="N53" s="189">
        <f t="shared" si="5"/>
        <v>-58.366666666666696</v>
      </c>
      <c r="O53" s="193"/>
      <c r="P53" s="355"/>
      <c r="Q53" s="355"/>
      <c r="R53" s="356"/>
      <c r="S53" s="357"/>
      <c r="T53" s="357"/>
      <c r="U53" s="358"/>
      <c r="V53" s="198"/>
      <c r="W53" s="530"/>
      <c r="X53" s="599"/>
      <c r="Y53" s="200"/>
      <c r="Z53" s="69"/>
      <c r="AA53" s="128"/>
      <c r="AB53" s="361">
        <f t="shared" si="10"/>
        <v>1</v>
      </c>
      <c r="AC53" s="361">
        <f t="shared" si="10"/>
        <v>1</v>
      </c>
      <c r="AD53" s="188" t="e">
        <f>IF(VLOOKUP(A53,Para1!$B$67:$E$72,2,FALSE)="8.",VLOOKUP(A53,Para1!$B$67:$E$72,3,FALSE),"")</f>
        <v>#N/A</v>
      </c>
      <c r="AE53" s="540" t="str">
        <f>IF((AB53+AC53)=0,"",IF(ISNA(AD53),"",IF(AD53="","",VLOOKUP(AD53,Para1!$D$67:$G$79,3,FALSE)*(IF(AB53+AC53=1,0.5,1)))))</f>
        <v/>
      </c>
      <c r="AF53" s="540" t="str">
        <f>IF(AB53+AC53=0,"",IF(ISNA(AD54),"",IF(AD54="","",VLOOKUP(AD54,Para1!$D$67:$G$79,4,FALSE)*(IF(AB53+AC53=1,0.5,1)))))</f>
        <v/>
      </c>
      <c r="AG53" s="188">
        <f t="shared" si="3"/>
        <v>0</v>
      </c>
      <c r="AH53" s="187">
        <f t="shared" si="4"/>
        <v>0.17500000000000002</v>
      </c>
    </row>
    <row r="54" spans="1:34" ht="16.5" customHeight="1" thickBot="1">
      <c r="A54" s="112" t="s">
        <v>47</v>
      </c>
      <c r="B54" s="303" t="str">
        <f>IF(B53=Para1!$F$153,Para1!$F$107,IF(B53=Para1!$F$107,Para1!$F$148,IF(B53=Para1!$F$148,Para1!$F$109,IF(B53=Para1!$F$109,Para1!$F$118,IF(B53=Para1!$F$118,Para1!$F$173,IF(B53=Para1!$F$173,Para1!$F$176,Para1!$F$153))))))</f>
        <v>Di</v>
      </c>
      <c r="C54" s="305"/>
      <c r="D54" s="355"/>
      <c r="E54" s="355"/>
      <c r="F54" s="355"/>
      <c r="G54" s="357"/>
      <c r="H54" s="359"/>
      <c r="I54" s="355"/>
      <c r="J54" s="355"/>
      <c r="K54" s="357"/>
      <c r="L54" s="111">
        <f t="shared" si="6"/>
        <v>0</v>
      </c>
      <c r="M54" s="371">
        <f t="shared" si="2"/>
        <v>0.35000000000000003</v>
      </c>
      <c r="N54" s="189">
        <f t="shared" si="5"/>
        <v>-58.716666666666697</v>
      </c>
      <c r="O54" s="193"/>
      <c r="P54" s="355"/>
      <c r="Q54" s="355"/>
      <c r="R54" s="356"/>
      <c r="S54" s="357"/>
      <c r="T54" s="357"/>
      <c r="U54" s="358"/>
      <c r="V54" s="237"/>
      <c r="W54" s="530"/>
      <c r="X54" s="599"/>
      <c r="Y54" s="200"/>
      <c r="Z54" s="69"/>
      <c r="AA54" s="128"/>
      <c r="AB54" s="740">
        <f t="shared" si="10"/>
        <v>1</v>
      </c>
      <c r="AC54" s="740">
        <f t="shared" si="10"/>
        <v>1</v>
      </c>
      <c r="AD54" s="188" t="e">
        <f>IF(VLOOKUP(A54,Para1!$B$67:$E$72,2,FALSE)="8.",VLOOKUP(A54,Para1!$B$67:$E$72,3,FALSE),"")</f>
        <v>#N/A</v>
      </c>
      <c r="AE54" s="540" t="str">
        <f>IF((AB54+AC54)=0,"",IF(ISNA(AD54),"",IF(AD54="","",VLOOKUP(AD54,Para1!$D$67:$G$79,3,FALSE)*(IF(AB54+AC54=1,0.5,1)))))</f>
        <v/>
      </c>
      <c r="AF54" s="540" t="str">
        <f>IF(AB54+AC54=0,"",IF(ISNA(September!AD24),"",IF(September!AD24="","",VLOOKUP(September!AD24,Para1!$D$67:$G$79,4,FALSE)*(IF(AB54+AC54=1,0.5,1)))))</f>
        <v/>
      </c>
      <c r="AG54" s="188">
        <f t="shared" si="3"/>
        <v>0</v>
      </c>
      <c r="AH54" s="187">
        <f t="shared" si="4"/>
        <v>0.17500000000000002</v>
      </c>
    </row>
    <row r="55" spans="1:34" ht="15" thickTop="1">
      <c r="A55" s="47"/>
      <c r="B55" s="37"/>
      <c r="C55" s="16"/>
      <c r="D55" s="38"/>
      <c r="E55" s="38"/>
      <c r="F55" s="38"/>
      <c r="G55" s="38"/>
      <c r="H55" s="38"/>
      <c r="I55" s="38"/>
      <c r="J55" s="38"/>
      <c r="K55" s="464" t="str">
        <f>Para1!F184&amp;" (hh:mm)"</f>
        <v>Total (hh:mm)</v>
      </c>
      <c r="L55" s="39">
        <f>SUM(L24:L54)</f>
        <v>0</v>
      </c>
      <c r="M55" s="44">
        <f>SUM(M24:M54)</f>
        <v>7.6999999999999966</v>
      </c>
      <c r="N55" s="44"/>
      <c r="O55" s="194"/>
      <c r="P55" s="110">
        <f t="shared" ref="P55:T55" si="11">SUM(P24:P54)</f>
        <v>0</v>
      </c>
      <c r="Q55" s="110">
        <f t="shared" si="11"/>
        <v>0</v>
      </c>
      <c r="R55" s="36">
        <f t="shared" si="11"/>
        <v>0</v>
      </c>
      <c r="S55" s="36">
        <f t="shared" si="11"/>
        <v>0</v>
      </c>
      <c r="T55" s="36">
        <f t="shared" si="11"/>
        <v>0</v>
      </c>
      <c r="U55" s="44">
        <f>SUM(U24:U54)</f>
        <v>0</v>
      </c>
      <c r="V55" s="201"/>
      <c r="W55" s="230"/>
      <c r="X55" s="203"/>
      <c r="AB55" s="884" t="str">
        <f>Para1!F177&amp;" "&amp;Para1!F171</f>
        <v>Soll Halbtag</v>
      </c>
      <c r="AC55" s="885"/>
      <c r="AD55" s="188">
        <f>SUM(AG24:AG54)</f>
        <v>0</v>
      </c>
      <c r="AE55" s="540">
        <f>SUM(AE24:AE54)</f>
        <v>0</v>
      </c>
      <c r="AF55" s="540">
        <f>SUM(AF24:AF54)</f>
        <v>0</v>
      </c>
    </row>
    <row r="56" spans="1:34" ht="15" thickBot="1">
      <c r="A56" s="48"/>
      <c r="B56" s="40"/>
      <c r="C56" s="40"/>
      <c r="D56" s="41"/>
      <c r="E56" s="41"/>
      <c r="F56" s="41"/>
      <c r="G56" s="19"/>
      <c r="H56" s="19"/>
      <c r="I56" s="19"/>
      <c r="J56" s="19"/>
      <c r="K56" s="766" t="str">
        <f>Para1!F184&amp;" ("&amp;Para1!F106&amp;")"</f>
        <v>Total (dezimal)</v>
      </c>
      <c r="L56" s="767">
        <f>L55*24</f>
        <v>0</v>
      </c>
      <c r="M56" s="768">
        <f>M55*24</f>
        <v>184.79999999999993</v>
      </c>
      <c r="N56" s="778"/>
      <c r="O56" s="773"/>
      <c r="P56" s="771">
        <f t="shared" ref="P56:U56" si="12">P55*24</f>
        <v>0</v>
      </c>
      <c r="Q56" s="770">
        <f t="shared" si="12"/>
        <v>0</v>
      </c>
      <c r="R56" s="768">
        <f t="shared" si="12"/>
        <v>0</v>
      </c>
      <c r="S56" s="768">
        <f t="shared" si="12"/>
        <v>0</v>
      </c>
      <c r="T56" s="768">
        <f t="shared" si="12"/>
        <v>0</v>
      </c>
      <c r="U56" s="768">
        <f t="shared" si="12"/>
        <v>0</v>
      </c>
      <c r="V56" s="202"/>
      <c r="W56" s="229"/>
      <c r="X56" s="195"/>
      <c r="AB56" s="882">
        <f>(C8*24+((AE55+AF55)/100*H3))/(SUM(AB24:AC54)-AD55)/24</f>
        <v>0.17500000000000002</v>
      </c>
      <c r="AC56" s="883"/>
    </row>
    <row r="57" spans="1:34" ht="15" thickTop="1"/>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W21:X21"/>
    <mergeCell ref="W22:W23"/>
    <mergeCell ref="X22:X23"/>
    <mergeCell ref="P22:P23"/>
    <mergeCell ref="P21:U21"/>
    <mergeCell ref="S22:S23"/>
    <mergeCell ref="R22:R23"/>
    <mergeCell ref="U22:U23"/>
    <mergeCell ref="T22:T23"/>
    <mergeCell ref="Q22:Q23"/>
    <mergeCell ref="D60:E60"/>
    <mergeCell ref="K60:O60"/>
    <mergeCell ref="T60:X60"/>
    <mergeCell ref="AB55:AC55"/>
    <mergeCell ref="A1:B1"/>
    <mergeCell ref="A3:B3"/>
    <mergeCell ref="N22:N23"/>
    <mergeCell ref="L22:L23"/>
    <mergeCell ref="A22:B22"/>
    <mergeCell ref="M3:N3"/>
    <mergeCell ref="M22:M23"/>
    <mergeCell ref="H1:I1"/>
    <mergeCell ref="L21:N21"/>
    <mergeCell ref="A23:B23"/>
    <mergeCell ref="D22:G22"/>
    <mergeCell ref="H22:K22"/>
    <mergeCell ref="AB56:AC56"/>
    <mergeCell ref="C1:E1"/>
    <mergeCell ref="C7:D7"/>
    <mergeCell ref="N7:O7"/>
    <mergeCell ref="C8:D8"/>
    <mergeCell ref="N8:O8"/>
    <mergeCell ref="C9:D9"/>
    <mergeCell ref="C10:D10"/>
    <mergeCell ref="C11:D11"/>
    <mergeCell ref="C12:D12"/>
    <mergeCell ref="U14:V14"/>
    <mergeCell ref="U15:V15"/>
    <mergeCell ref="Y21:Z21"/>
    <mergeCell ref="AB21:AC21"/>
    <mergeCell ref="AB22:AB23"/>
    <mergeCell ref="AC22:AC23"/>
  </mergeCells>
  <phoneticPr fontId="0" type="noConversion"/>
  <conditionalFormatting sqref="N24">
    <cfRule type="expression" dxfId="56" priority="11">
      <formula>$L$24=0</formula>
    </cfRule>
  </conditionalFormatting>
  <conditionalFormatting sqref="N24:N54">
    <cfRule type="cellIs" dxfId="55" priority="9" operator="equal">
      <formula>N23-M24</formula>
    </cfRule>
  </conditionalFormatting>
  <conditionalFormatting sqref="D24:G54 W24:W54 AB24:AB54">
    <cfRule type="expression" dxfId="54" priority="8">
      <formula>$AB24=0</formula>
    </cfRule>
  </conditionalFormatting>
  <conditionalFormatting sqref="AC24:AC54 X24:X54 H24:K54">
    <cfRule type="expression" dxfId="53" priority="7">
      <formula>$AC24=0</formula>
    </cfRule>
  </conditionalFormatting>
  <conditionalFormatting sqref="L24:M54 A24:B54">
    <cfRule type="expression" dxfId="52" priority="6">
      <formula>$M24=0</formula>
    </cfRule>
  </conditionalFormatting>
  <conditionalFormatting sqref="P24:U54">
    <cfRule type="expression" dxfId="51" priority="4">
      <formula>$AB24+$AC24=0</formula>
    </cfRule>
    <cfRule type="expression" dxfId="50" priority="5">
      <formula>$AB24+$AC24=1</formula>
    </cfRule>
  </conditionalFormatting>
  <conditionalFormatting sqref="D24:K54 AB24:AC54 P24:U54 W24:X54">
    <cfRule type="expression" dxfId="49" priority="3">
      <formula>$AE24:$AE54=0</formula>
    </cfRule>
  </conditionalFormatting>
  <pageMargins left="0.4" right="0.41" top="0.79" bottom="0.39370078740157483" header="0.28999999999999998" footer="0.15748031496062992"/>
  <pageSetup paperSize="9" scale="53"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E44B6806-511E-4864-9D7F-C00D9193726D}">
            <xm:f>OR('Persönliche Daten (pers. data)'!$K$5="Nein",'Persönliche Daten (pers. data)'!$K$5="no")</xm:f>
            <x14:dxf>
              <font>
                <color theme="0"/>
              </font>
              <border>
                <left/>
                <right/>
                <top/>
                <bottom/>
                <vertical/>
                <horizontal/>
              </border>
            </x14:dxf>
          </x14:cfRule>
          <xm:sqref>H14:I17</xm:sqref>
        </x14:conditionalFormatting>
        <x14:conditionalFormatting xmlns:xm="http://schemas.microsoft.com/office/excel/2006/main">
          <x14:cfRule type="expression" priority="1" id="{6E8C8A43-D6B6-4C25-B251-7ECF251A09B0}">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pageSetUpPr fitToPage="1"/>
  </sheetPr>
  <dimension ref="A1:AI60"/>
  <sheetViews>
    <sheetView showGridLines="0" zoomScale="75" zoomScaleNormal="75" workbookViewId="0">
      <selection sqref="A1:B1"/>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72" customWidth="1"/>
    <col min="23" max="23" width="11.83203125" style="228" customWidth="1"/>
    <col min="24" max="27" width="11.83203125" style="11" customWidth="1"/>
    <col min="28" max="28" width="11.83203125" style="228" customWidth="1"/>
    <col min="29" max="29" width="11.83203125" style="11" customWidth="1"/>
    <col min="30" max="33" width="11.5" style="11" hidden="1" customWidth="1"/>
    <col min="34"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(Overview)'!K$8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29" ht="6" customHeight="1">
      <c r="O5" s="59"/>
      <c r="T5" s="11"/>
      <c r="V5" s="73"/>
      <c r="W5" s="11"/>
      <c r="AB5" s="73"/>
      <c r="AC5" s="16"/>
    </row>
    <row r="6" spans="1:29" ht="15" customHeight="1">
      <c r="F6" s="53"/>
      <c r="G6" s="20"/>
      <c r="O6" s="59"/>
      <c r="T6" s="11"/>
      <c r="U6" s="11"/>
      <c r="V6" s="16"/>
      <c r="W6" s="11"/>
      <c r="AB6" s="73"/>
      <c r="AC6" s="16"/>
    </row>
    <row r="7" spans="1:29"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29" ht="15" customHeight="1" thickBot="1">
      <c r="B8" s="9" t="str">
        <f>Para1!F177</f>
        <v>Soll</v>
      </c>
      <c r="C8" s="848">
        <f>Para1!G61/100*H3/24</f>
        <v>7.7</v>
      </c>
      <c r="D8" s="848"/>
      <c r="F8" s="19"/>
      <c r="H8" s="162" t="str">
        <f>Para1!F174&amp;" "&amp;Para1!F88&amp;" "&amp;Para1!F154</f>
        <v>Saldo Anfang Monat</v>
      </c>
      <c r="I8" s="159" t="e">
        <f>August!I11</f>
        <v>#N/A</v>
      </c>
      <c r="J8" s="212"/>
      <c r="M8" s="162" t="str">
        <f>Para1!F133</f>
        <v>JAZ-Kompensation</v>
      </c>
      <c r="N8" s="899">
        <f>SUMIF($W$24:$W$54,"k",$AH$24:$AH$54)+SUMIF($X$24:$X$54,"k",$AH$24:$AH$54)</f>
        <v>0</v>
      </c>
      <c r="O8" s="899"/>
      <c r="P8" s="732">
        <f>August!Q8</f>
        <v>0</v>
      </c>
      <c r="Q8" s="166">
        <f>N8+P8</f>
        <v>0</v>
      </c>
      <c r="S8" s="7"/>
      <c r="T8" s="20" t="str">
        <f>Para1!F139</f>
        <v>Krankheit</v>
      </c>
      <c r="U8" s="7"/>
      <c r="V8" s="7"/>
      <c r="W8" s="734">
        <f>P55</f>
        <v>0</v>
      </c>
      <c r="X8" s="734">
        <f>August!Y8</f>
        <v>0</v>
      </c>
      <c r="Y8" s="306">
        <f t="shared" ref="Y8:Y17" si="0">SUM(W8:X8)</f>
        <v>0</v>
      </c>
      <c r="Z8" s="155"/>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O9" s="59"/>
      <c r="S9" s="7"/>
      <c r="T9" s="20" t="str">
        <f>Para1!F196</f>
        <v>Unfall</v>
      </c>
      <c r="U9" s="7" t="str">
        <f>Para1!F98</f>
        <v>betriebsbedingt</v>
      </c>
      <c r="V9" s="7"/>
      <c r="W9" s="734">
        <f>Q55</f>
        <v>0</v>
      </c>
      <c r="X9" s="734">
        <f>August!Y9</f>
        <v>0</v>
      </c>
      <c r="Y9" s="306">
        <f t="shared" si="0"/>
        <v>0</v>
      </c>
      <c r="Z9" s="155"/>
    </row>
    <row r="10" spans="1:29" ht="15" customHeight="1">
      <c r="B10" s="22" t="str">
        <f>Para1!F108</f>
        <v>Differenz</v>
      </c>
      <c r="C10" s="904">
        <f>$C$9-$C$8</f>
        <v>-7.7</v>
      </c>
      <c r="D10" s="904"/>
      <c r="F10" s="19"/>
      <c r="H10" s="162" t="str">
        <f>"./. "&amp;Para1!F117</f>
        <v>./. Ferienkürzung</v>
      </c>
      <c r="I10" s="210">
        <v>0</v>
      </c>
      <c r="J10" s="212"/>
      <c r="M10" s="8"/>
      <c r="N10" s="8"/>
      <c r="O10" s="8"/>
      <c r="P10" s="8"/>
      <c r="Q10" s="8"/>
      <c r="R10" s="8"/>
      <c r="S10" s="7"/>
      <c r="T10" s="8"/>
      <c r="U10" s="7" t="str">
        <f>Para1!F163&amp;" "&amp;Para1!F99</f>
        <v>nicht betr.</v>
      </c>
      <c r="V10" s="7"/>
      <c r="W10" s="734">
        <f>R55</f>
        <v>0</v>
      </c>
      <c r="X10" s="734">
        <f>August!Y10</f>
        <v>0</v>
      </c>
      <c r="Y10" s="306">
        <f t="shared" si="0"/>
        <v>0</v>
      </c>
      <c r="Z10" s="155"/>
      <c r="AB10" s="11"/>
    </row>
    <row r="11" spans="1:29" ht="15" customHeight="1" thickBot="1">
      <c r="B11" s="20" t="str">
        <f>Para1!F190</f>
        <v>Übertrag Vormnt</v>
      </c>
      <c r="C11" s="847">
        <f>August!C12</f>
        <v>-58.716666666666669</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R11" s="8"/>
      <c r="S11" s="7"/>
      <c r="T11" s="20" t="str">
        <f>Para1!F140</f>
        <v>Kurzurlaub</v>
      </c>
      <c r="U11" s="8"/>
      <c r="V11" s="8"/>
      <c r="W11" s="734">
        <f>S55</f>
        <v>0</v>
      </c>
      <c r="X11" s="734">
        <f>August!Y11</f>
        <v>0</v>
      </c>
      <c r="Y11" s="306">
        <f t="shared" si="0"/>
        <v>0</v>
      </c>
      <c r="Z11" s="155"/>
      <c r="AB11" s="11"/>
    </row>
    <row r="12" spans="1:29" ht="15" customHeight="1" thickTop="1" thickBot="1">
      <c r="A12" s="127"/>
      <c r="B12" s="330" t="str">
        <f>Para1!F174</f>
        <v>Saldo</v>
      </c>
      <c r="C12" s="901">
        <f>C10+C11</f>
        <v>-66.416666666666671</v>
      </c>
      <c r="D12" s="901"/>
      <c r="F12" s="19"/>
      <c r="G12" s="7"/>
      <c r="L12" s="448" t="s">
        <v>492</v>
      </c>
      <c r="M12" s="449" t="str">
        <f>Para1!F115</f>
        <v>Ferien</v>
      </c>
      <c r="N12" s="449"/>
      <c r="O12" s="449"/>
      <c r="P12" s="449"/>
      <c r="Q12" s="450"/>
      <c r="R12" s="8"/>
      <c r="S12" s="7"/>
      <c r="T12" s="25" t="str">
        <f>Para1!F206</f>
        <v>Weiterbildung auf Arbeitszeit</v>
      </c>
      <c r="U12" s="7"/>
      <c r="V12" s="7"/>
      <c r="W12" s="734">
        <f>T55</f>
        <v>0</v>
      </c>
      <c r="X12" s="734">
        <f>August!Y12</f>
        <v>0</v>
      </c>
      <c r="Y12" s="306">
        <f t="shared" si="0"/>
        <v>0</v>
      </c>
      <c r="Z12" s="155"/>
      <c r="AB12" s="11"/>
    </row>
    <row r="13" spans="1:29" ht="15" customHeight="1" thickTop="1">
      <c r="B13" s="330"/>
      <c r="C13" s="309"/>
      <c r="D13" s="81"/>
      <c r="F13" s="19"/>
      <c r="J13" s="160"/>
      <c r="L13" s="448" t="s">
        <v>493</v>
      </c>
      <c r="M13" s="449" t="str">
        <f>Para1!F157</f>
        <v>Mutter- und Vaterschaftsurlaub</v>
      </c>
      <c r="N13" s="449"/>
      <c r="O13" s="449"/>
      <c r="P13" s="449"/>
      <c r="Q13" s="451"/>
      <c r="R13" s="8"/>
      <c r="S13" s="7"/>
      <c r="T13" s="20" t="str">
        <f>Para1!F165</f>
        <v>Öffentliches Amt</v>
      </c>
      <c r="U13" s="7"/>
      <c r="V13" s="7"/>
      <c r="W13" s="734">
        <f>U55</f>
        <v>0</v>
      </c>
      <c r="X13" s="734">
        <f>August!Y13</f>
        <v>0</v>
      </c>
      <c r="Y13" s="306">
        <f t="shared" si="0"/>
        <v>0</v>
      </c>
      <c r="Z13" s="16"/>
      <c r="AB13" s="11"/>
    </row>
    <row r="14" spans="1:29" ht="15" customHeight="1">
      <c r="F14" s="19"/>
      <c r="H14" s="9" t="str">
        <f>Para1!F142</f>
        <v>Langzeitkonto</v>
      </c>
      <c r="I14" s="160" t="s">
        <v>103</v>
      </c>
      <c r="J14" s="59"/>
      <c r="L14" s="448" t="s">
        <v>494</v>
      </c>
      <c r="M14" s="449" t="str">
        <f>Para1!F149</f>
        <v>Militär/Zivilsch./Zivildienst</v>
      </c>
      <c r="N14" s="449"/>
      <c r="O14" s="449"/>
      <c r="P14" s="449"/>
      <c r="Q14" s="451"/>
      <c r="R14" s="8"/>
      <c r="S14" s="8"/>
      <c r="T14" s="24" t="str">
        <f>Para1!F198</f>
        <v>Urlaub</v>
      </c>
      <c r="U14" s="853" t="str">
        <f>Para1!F100</f>
        <v>bezahlt</v>
      </c>
      <c r="V14" s="853"/>
      <c r="W14" s="738">
        <f>SUMIF($W$24:$W$54,"b",$AH$24:$AH$54)+SUMIF($X$24:$X$54,"b",$AH$24:$AH$54)</f>
        <v>0</v>
      </c>
      <c r="X14" s="734">
        <f>August!Y14</f>
        <v>0</v>
      </c>
      <c r="Y14" s="155">
        <f t="shared" si="0"/>
        <v>0</v>
      </c>
      <c r="Z14" s="535"/>
      <c r="AA14" s="536"/>
      <c r="AB14" s="11"/>
    </row>
    <row r="15" spans="1:29" ht="15" customHeight="1">
      <c r="H15" s="140" t="str">
        <f>Para1!F174&amp;" "&amp;Para1!F88&amp;" "&amp;Para1!F154</f>
        <v>Saldo Anfang Monat</v>
      </c>
      <c r="I15" s="299">
        <f>August!I17</f>
        <v>0</v>
      </c>
      <c r="J15" s="59"/>
      <c r="L15" s="448" t="s">
        <v>495</v>
      </c>
      <c r="M15" s="449" t="str">
        <f>Para1!F133</f>
        <v>JAZ-Kompensation</v>
      </c>
      <c r="N15" s="449"/>
      <c r="O15" s="449"/>
      <c r="P15" s="449"/>
      <c r="Q15" s="451"/>
      <c r="R15" s="8"/>
      <c r="S15" s="8"/>
      <c r="T15" s="24"/>
      <c r="U15" s="853" t="str">
        <f>Para1!F194</f>
        <v>unbezahlt</v>
      </c>
      <c r="V15" s="853"/>
      <c r="W15" s="738">
        <f>SUMIF($W$24:$W$54,"u",$AH$24:$AH$54)+SUMIF($X$24:$X$54,"u",$AH$24:$AH$54)</f>
        <v>0</v>
      </c>
      <c r="X15" s="734">
        <f>August!Y15</f>
        <v>0</v>
      </c>
      <c r="Y15" s="155">
        <f t="shared" si="0"/>
        <v>0</v>
      </c>
      <c r="Z15" s="536"/>
      <c r="AA15" s="536"/>
      <c r="AB15" s="11"/>
    </row>
    <row r="16" spans="1:29" ht="15" customHeight="1">
      <c r="F16" s="11"/>
      <c r="G16" s="11"/>
      <c r="H16" s="140" t="str">
        <f>"./. "&amp;Para1!F145</f>
        <v>./. LZK-Bezug</v>
      </c>
      <c r="I16" s="299">
        <f>SUMIF($W$24:$W$54,"l",$AH$24:$AH$54)+SUMIF($X$24:$X$54,"l",$AH$24:$AH$54)</f>
        <v>0</v>
      </c>
      <c r="J16" s="59"/>
      <c r="L16" s="452" t="s">
        <v>496</v>
      </c>
      <c r="M16" s="456" t="str">
        <f>Para1!F198&amp;" "&amp;Para1!F100</f>
        <v>Urlaub bezahlt</v>
      </c>
      <c r="N16" s="453"/>
      <c r="O16" s="454"/>
      <c r="P16" s="455"/>
      <c r="Q16" s="451"/>
      <c r="R16" s="8"/>
      <c r="S16" s="8"/>
      <c r="T16" s="24" t="str">
        <f>Para1!F157</f>
        <v>Mutter- und Vaterschaftsurlaub</v>
      </c>
      <c r="U16" s="73"/>
      <c r="V16" s="11"/>
      <c r="W16" s="738">
        <f>SUMIF($W$24:$W$54,"m",$AH$24:$AH$54)+SUMIF($X$24:$X$54,"m",$AH$24:$AH$54)</f>
        <v>0</v>
      </c>
      <c r="X16" s="734">
        <f>August!Y16</f>
        <v>0</v>
      </c>
      <c r="Y16" s="155">
        <f t="shared" si="0"/>
        <v>0</v>
      </c>
      <c r="Z16" s="536"/>
      <c r="AA16" s="536"/>
      <c r="AB16" s="11"/>
    </row>
    <row r="17" spans="1:35" ht="15" customHeight="1" thickBot="1">
      <c r="G17" s="162"/>
      <c r="H17" s="328" t="str">
        <f>Para1!F174&amp;" "&amp;Para1!F113&amp;" "&amp;Para1!F154</f>
        <v>Saldo Ende Monat</v>
      </c>
      <c r="I17" s="732">
        <f>I15-I16</f>
        <v>0</v>
      </c>
      <c r="J17" s="164"/>
      <c r="L17" s="452" t="s">
        <v>497</v>
      </c>
      <c r="M17" s="456" t="str">
        <f>Para1!F198&amp;" "&amp;Para1!F194</f>
        <v>Urlaub unbezahlt</v>
      </c>
      <c r="N17" s="453"/>
      <c r="O17" s="454"/>
      <c r="P17" s="455"/>
      <c r="Q17" s="451"/>
      <c r="R17" s="8"/>
      <c r="S17" s="8"/>
      <c r="T17" s="24" t="str">
        <f>Para1!F149</f>
        <v>Militär/Zivilsch./Zivildienst</v>
      </c>
      <c r="U17" s="73"/>
      <c r="V17" s="11"/>
      <c r="W17" s="738">
        <f>SUMIF($W$24:$W$54,"z",$AH$24:$AH$54)+SUMIF($X$24:$X$54,"z",$AH$24:$AH$54)</f>
        <v>0</v>
      </c>
      <c r="X17" s="734">
        <f>August!Y17</f>
        <v>0</v>
      </c>
      <c r="Y17" s="155">
        <f t="shared" si="0"/>
        <v>0</v>
      </c>
      <c r="Z17" s="536"/>
      <c r="AA17" s="536"/>
      <c r="AB17" s="11"/>
    </row>
    <row r="18" spans="1:35" ht="15" customHeight="1" thickTop="1" thickBot="1">
      <c r="F18" s="616" t="str">
        <f>IF(AND(Information!H8="Nein",I16&gt;0),"ACHTUNG: Langzeitkontobezug ohne entsprechendes Konto!!","")</f>
        <v/>
      </c>
      <c r="G18" s="162"/>
      <c r="H18" s="11"/>
      <c r="I18" s="11"/>
      <c r="J18" s="164"/>
      <c r="L18" s="448" t="s">
        <v>498</v>
      </c>
      <c r="M18" s="456" t="str">
        <f>Para1!F142</f>
        <v>Langzeitkonto</v>
      </c>
      <c r="N18" s="453"/>
      <c r="O18" s="454"/>
      <c r="P18" s="455"/>
      <c r="Q18" s="451"/>
      <c r="R18" s="8"/>
      <c r="S18" s="8"/>
      <c r="T18" s="9" t="str">
        <f>Para1!F184</f>
        <v>Total</v>
      </c>
      <c r="U18" s="11"/>
      <c r="V18" s="11"/>
      <c r="W18" s="733">
        <f>SUM(W8:W17)</f>
        <v>0</v>
      </c>
      <c r="X18" s="733">
        <f>SUM(X8:X17)</f>
        <v>0</v>
      </c>
      <c r="Y18" s="733">
        <f>SUM(Y8:Y17)</f>
        <v>0</v>
      </c>
      <c r="AB18" s="11"/>
    </row>
    <row r="19" spans="1:35" ht="15" customHeight="1" thickTop="1">
      <c r="E19" s="19"/>
      <c r="G19" s="64"/>
      <c r="H19" s="64"/>
      <c r="I19" s="19"/>
      <c r="J19" s="19"/>
      <c r="M19" s="8"/>
      <c r="N19" s="8"/>
      <c r="O19" s="8"/>
      <c r="P19" s="8"/>
      <c r="Q19" s="8"/>
      <c r="R19" s="8"/>
      <c r="S19" s="21"/>
      <c r="T19" s="11"/>
      <c r="U19" s="11"/>
      <c r="V19" s="11"/>
      <c r="W19" s="59"/>
      <c r="X19" s="16"/>
      <c r="AB19" s="11"/>
    </row>
    <row r="20" spans="1:35" ht="15" customHeight="1" thickBot="1">
      <c r="A20" s="424" t="str">
        <f>Para1!J222</f>
        <v>(Bitte das Guthaben in Stunden und Minuten eingeben.)</v>
      </c>
      <c r="B20" s="8"/>
    </row>
    <row r="21" spans="1:35"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5"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row>
    <row r="23" spans="1:35"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row>
    <row r="24" spans="1:35" ht="16.5" customHeight="1" thickTop="1">
      <c r="A24" s="112" t="s">
        <v>5</v>
      </c>
      <c r="B24" s="303" t="str">
        <f>IF(August!B54=Para1!$F$153,Para1!$F$107,IF(August!B54=Para1!$F$107,Para1!$F$148,IF(August!B54=Para1!$F$148,Para1!$F$109,IF(August!B54=Para1!$F$109,Para1!$F$118,IF(August!B54=Para1!$F$118,Para1!$F$173,IF(August!B54=Para1!$F$173,Para1!$F$176,Para1!$F$153))))))</f>
        <v>Mi</v>
      </c>
      <c r="C24" s="339"/>
      <c r="D24" s="355"/>
      <c r="E24" s="355"/>
      <c r="F24" s="355"/>
      <c r="G24" s="357"/>
      <c r="H24" s="359"/>
      <c r="I24" s="355"/>
      <c r="J24" s="355"/>
      <c r="K24" s="357"/>
      <c r="L24" s="111">
        <f t="shared" ref="L24:L29" si="1">SUM((G24-D24),(K24-H24))-SUM((F24-E24),(J24-I24))</f>
        <v>0</v>
      </c>
      <c r="M24" s="158">
        <f>IF(AE24=0,0,IF(AB24,$AB$56,0)+IF(AC24,$AB$56,0)-IF(AE24="",0,(AE24/4800*$H$3)+(AE24/4800*$H$3)))-IF(AF24="",0,(AF24/4800*$H$3)+(AF24/4800*$H$3))</f>
        <v>0.35000000000000003</v>
      </c>
      <c r="N24" s="189">
        <f>$C$11+$L24-M24+SUM($P24:$U24)+IF(OR($W24="f",$W24="m",$W24="z",$W24="u",$W24="b",$W24="l"),$AH24,0)+IF(OR($X24="f",$X24="m",$X24="z",$X24="u",$X24="b",$X24="l"),$AH24,0)</f>
        <v>-59.06666666666667</v>
      </c>
      <c r="O24" s="192"/>
      <c r="P24" s="355"/>
      <c r="Q24" s="355"/>
      <c r="R24" s="356"/>
      <c r="S24" s="357"/>
      <c r="T24" s="357"/>
      <c r="U24" s="358"/>
      <c r="V24" s="198"/>
      <c r="W24" s="373"/>
      <c r="X24" s="599"/>
      <c r="Y24" s="232"/>
      <c r="Z24" s="231"/>
      <c r="AA24" s="668"/>
      <c r="AB24" s="360">
        <f>August!AB48</f>
        <v>1</v>
      </c>
      <c r="AC24" s="360">
        <f>August!AC48</f>
        <v>1</v>
      </c>
      <c r="AD24" s="188" t="e">
        <f>IF(VLOOKUP(A24,Para1!$B$67:$E$72,2,FALSE)="9.",VLOOKUP(A24,Para1!$B$67:$E$72,3,FALSE),"")</f>
        <v>#N/A</v>
      </c>
      <c r="AE24" s="540" t="str">
        <f>IF((AB24+AC24)=0,"",IF(ISNA(AD24),"",IF(AD24="","",VLOOKUP(AD24,Para1!$D$67:$G$79,3,FALSE)*(IF(AB24+AC24=1,0.5,1)))))</f>
        <v/>
      </c>
      <c r="AF24" s="540" t="str">
        <f>IF(AB24+AC24=0,"",IF(ISNA(AD25),"",IF(AD25="","",VLOOKUP(AD25,Para1!$D$67:$G$79,4,FALSE)*(IF(AB24+AC24=1,0.5,1)))))</f>
        <v/>
      </c>
      <c r="AG24" s="188">
        <f>IF(AE24=0,AB24+AC24,0)</f>
        <v>0</v>
      </c>
      <c r="AH24" s="187">
        <f>IF((AB24+AC24)=0,0,M24/(AB24+AC24))</f>
        <v>0.17500000000000002</v>
      </c>
      <c r="AI24" s="188"/>
    </row>
    <row r="25" spans="1:35" ht="16.5" customHeight="1">
      <c r="A25" s="112" t="s">
        <v>7</v>
      </c>
      <c r="B25" s="303" t="str">
        <f>IF(B24=Para1!$F$153,Para1!$F$107,IF(B24=Para1!$F$107,Para1!$F$148,IF(B24=Para1!$F$148,Para1!$F$109,IF(B24=Para1!$F$109,Para1!$F$118,IF(B24=Para1!$F$118,Para1!$F$173,IF(B24=Para1!$F$173,Para1!$F$176,Para1!$F$153))))))</f>
        <v>Do</v>
      </c>
      <c r="C25" s="339"/>
      <c r="D25" s="355"/>
      <c r="E25" s="355"/>
      <c r="F25" s="355"/>
      <c r="G25" s="357"/>
      <c r="H25" s="359"/>
      <c r="I25" s="355"/>
      <c r="J25" s="355"/>
      <c r="K25" s="357"/>
      <c r="L25" s="111">
        <f t="shared" si="1"/>
        <v>0</v>
      </c>
      <c r="M25" s="158">
        <f t="shared" ref="M25:M53" si="2">IF(AE25=0,0,IF(AB25,$AB$56,0)+IF(AC25,$AB$56,0)-IF(AE25="",0,(AE25/4800*$H$3)+(AE25/4800*$H$3)))-IF(AF25="",0,(AF25/4800*$H$3)+(AF25/4800*$H$3))</f>
        <v>0.35000000000000003</v>
      </c>
      <c r="N25" s="189">
        <f>$N24+$L25-M25+SUM($P25:$U25)+IF(OR($W25="f",$W25="m",$W25="z",$W25="u",$W25="b",$W25="l"),$AH25,0)+IF(OR($X25="f",$X25="m",$X25="z",$X25="u",$X25="b",$X25="l"),$AH25,0)</f>
        <v>-59.416666666666671</v>
      </c>
      <c r="O25" s="192"/>
      <c r="P25" s="355"/>
      <c r="Q25" s="355"/>
      <c r="R25" s="356"/>
      <c r="S25" s="357"/>
      <c r="T25" s="357"/>
      <c r="U25" s="358"/>
      <c r="V25" s="198"/>
      <c r="W25" s="373"/>
      <c r="X25" s="599"/>
      <c r="Y25" s="200"/>
      <c r="Z25" s="69"/>
      <c r="AA25" s="128"/>
      <c r="AB25" s="360">
        <f>August!AB49</f>
        <v>1</v>
      </c>
      <c r="AC25" s="360">
        <f>August!AC49</f>
        <v>1</v>
      </c>
      <c r="AD25" s="188" t="str">
        <f>IF(VLOOKUP(A25,Para1!$B$67:$E$72,2,FALSE)="9.",VLOOKUP(A25,Para1!$B$67:$E$72,3,FALSE),"")</f>
        <v/>
      </c>
      <c r="AE25" s="540" t="str">
        <f>IF((AB25+AC25)=0,"",IF(ISNA(AD25),"",IF(AD25="","",VLOOKUP(AD25,Para1!$D$67:$G$79,3,FALSE)*(IF(AB25+AC25=1,0.5,1)))))</f>
        <v/>
      </c>
      <c r="AF25" s="540" t="str">
        <f>IF(AB25+AC25=0,"",IF(ISNA(AD26),"",IF(AD26="","",VLOOKUP(AD26,Para1!$D$67:$G$79,4,FALSE)*(IF(AB25+AC25=1,0.5,1)))))</f>
        <v/>
      </c>
      <c r="AG25" s="188">
        <f t="shared" ref="AG25:AG54" si="3">IF(AE25=0,AB25+AC25,0)</f>
        <v>0</v>
      </c>
      <c r="AH25" s="187">
        <f t="shared" ref="AH25:AH54" si="4">IF((AB25+AC25)=0,0,M25/(AB25+AC25))</f>
        <v>0.17500000000000002</v>
      </c>
      <c r="AI25" s="188"/>
    </row>
    <row r="26" spans="1:35" ht="16.5" customHeight="1">
      <c r="A26" s="112" t="s">
        <v>9</v>
      </c>
      <c r="B26" s="303" t="str">
        <f>IF(B25=Para1!$F$153,Para1!$F$107,IF(B25=Para1!$F$107,Para1!$F$148,IF(B25=Para1!$F$148,Para1!$F$109,IF(B25=Para1!$F$109,Para1!$F$118,IF(B25=Para1!$F$118,Para1!$F$173,IF(B25=Para1!$F$173,Para1!$F$176,Para1!$F$153))))))</f>
        <v>Fr</v>
      </c>
      <c r="C26" s="305"/>
      <c r="D26" s="355"/>
      <c r="E26" s="355"/>
      <c r="F26" s="355"/>
      <c r="G26" s="357"/>
      <c r="H26" s="359"/>
      <c r="I26" s="355"/>
      <c r="J26" s="355"/>
      <c r="K26" s="357"/>
      <c r="L26" s="111">
        <f t="shared" si="1"/>
        <v>0</v>
      </c>
      <c r="M26" s="158">
        <f t="shared" si="2"/>
        <v>0.35000000000000003</v>
      </c>
      <c r="N26" s="189">
        <f t="shared" ref="N26:N54" si="5">$N25+$L26-M26+SUM($P26:$U26)+IF(OR($W26="f",$W26="m",$W26="z",$W26="u",$W26="b",$W26="l"),$AH26,0)+IF(OR($X26="f",$X26="m",$X26="z",$X26="u",$X26="b",$X26="l"),$AH26,0)</f>
        <v>-59.766666666666673</v>
      </c>
      <c r="O26" s="193"/>
      <c r="P26" s="355"/>
      <c r="Q26" s="355"/>
      <c r="R26" s="356"/>
      <c r="S26" s="357"/>
      <c r="T26" s="357"/>
      <c r="U26" s="358"/>
      <c r="V26" s="198"/>
      <c r="W26" s="373"/>
      <c r="X26" s="599"/>
      <c r="Y26" s="200"/>
      <c r="Z26" s="69"/>
      <c r="AA26" s="128"/>
      <c r="AB26" s="360">
        <f>August!AB50</f>
        <v>1</v>
      </c>
      <c r="AC26" s="360">
        <f>August!AC50</f>
        <v>1</v>
      </c>
      <c r="AD26" s="188" t="e">
        <f>IF(VLOOKUP(A26,Para1!$B$67:$E$72,2,FALSE)="9.",VLOOKUP(A26,Para1!$B$67:$E$72,3,FALSE),"")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0.17500000000000002</v>
      </c>
      <c r="AI26" s="188"/>
    </row>
    <row r="27" spans="1:35" s="50" customFormat="1" ht="16.5" customHeight="1">
      <c r="A27" s="112" t="s">
        <v>11</v>
      </c>
      <c r="B27" s="303" t="str">
        <f>IF(B26=Para1!$F$153,Para1!$F$107,IF(B26=Para1!$F$107,Para1!$F$148,IF(B26=Para1!$F$148,Para1!$F$109,IF(B26=Para1!$F$109,Para1!$F$118,IF(B26=Para1!$F$118,Para1!$F$173,IF(B26=Para1!$F$173,Para1!$F$176,Para1!$F$153))))))</f>
        <v>Sa</v>
      </c>
      <c r="C27" s="305"/>
      <c r="D27" s="355"/>
      <c r="E27" s="355"/>
      <c r="F27" s="355"/>
      <c r="G27" s="357"/>
      <c r="H27" s="359"/>
      <c r="I27" s="355"/>
      <c r="J27" s="355"/>
      <c r="K27" s="357"/>
      <c r="L27" s="111">
        <f t="shared" si="1"/>
        <v>0</v>
      </c>
      <c r="M27" s="158">
        <f t="shared" si="2"/>
        <v>0</v>
      </c>
      <c r="N27" s="189">
        <f t="shared" si="5"/>
        <v>-59.766666666666673</v>
      </c>
      <c r="O27" s="193"/>
      <c r="P27" s="355"/>
      <c r="Q27" s="355"/>
      <c r="R27" s="356"/>
      <c r="S27" s="357"/>
      <c r="T27" s="357"/>
      <c r="U27" s="358"/>
      <c r="V27" s="198"/>
      <c r="W27" s="374"/>
      <c r="X27" s="599"/>
      <c r="Y27" s="200"/>
      <c r="Z27" s="69"/>
      <c r="AA27" s="128"/>
      <c r="AB27" s="360">
        <f>August!AB51</f>
        <v>0</v>
      </c>
      <c r="AC27" s="360">
        <f>August!AC51</f>
        <v>0</v>
      </c>
      <c r="AD27" s="188" t="str">
        <f>IF(VLOOKUP(A27,Para1!$B$67:$E$72,2,FALSE)="9.",VLOOKUP(A27,Para1!$B$67:$E$72,3,FALSE),"")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v>
      </c>
      <c r="AI27" s="188"/>
    </row>
    <row r="28" spans="1:35" s="50" customFormat="1" ht="16.5" customHeight="1">
      <c r="A28" s="112" t="s">
        <v>13</v>
      </c>
      <c r="B28" s="303" t="str">
        <f>IF(B27=Para1!$F$153,Para1!$F$107,IF(B27=Para1!$F$107,Para1!$F$148,IF(B27=Para1!$F$148,Para1!$F$109,IF(B27=Para1!$F$109,Para1!$F$118,IF(B27=Para1!$F$118,Para1!$F$173,IF(B27=Para1!$F$173,Para1!$F$176,Para1!$F$153))))))</f>
        <v>So</v>
      </c>
      <c r="C28" s="305"/>
      <c r="D28" s="355"/>
      <c r="E28" s="355"/>
      <c r="F28" s="355"/>
      <c r="G28" s="357"/>
      <c r="H28" s="359"/>
      <c r="I28" s="355"/>
      <c r="J28" s="355"/>
      <c r="K28" s="357"/>
      <c r="L28" s="111">
        <f t="shared" si="1"/>
        <v>0</v>
      </c>
      <c r="M28" s="158">
        <f t="shared" si="2"/>
        <v>0</v>
      </c>
      <c r="N28" s="189">
        <f t="shared" si="5"/>
        <v>-59.766666666666673</v>
      </c>
      <c r="O28" s="193"/>
      <c r="P28" s="355"/>
      <c r="Q28" s="355"/>
      <c r="R28" s="356"/>
      <c r="S28" s="357"/>
      <c r="T28" s="357"/>
      <c r="U28" s="358"/>
      <c r="V28" s="198"/>
      <c r="W28" s="374"/>
      <c r="X28" s="599"/>
      <c r="Y28" s="200"/>
      <c r="Z28" s="69"/>
      <c r="AA28" s="128"/>
      <c r="AB28" s="360">
        <f>August!AB52</f>
        <v>0</v>
      </c>
      <c r="AC28" s="360">
        <f>August!AC52</f>
        <v>0</v>
      </c>
      <c r="AD28" s="188" t="str">
        <f>IF(VLOOKUP(A28,Para1!$B$67:$E$72,2,FALSE)="9.",VLOOKUP(A28,Para1!$B$67:$E$72,3,FALSE),"")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v>
      </c>
      <c r="AI28" s="188"/>
    </row>
    <row r="29" spans="1:35" ht="16.5" customHeight="1">
      <c r="A29" s="112" t="s">
        <v>15</v>
      </c>
      <c r="B29" s="303" t="str">
        <f>IF(B28=Para1!$F$153,Para1!$F$107,IF(B28=Para1!$F$107,Para1!$F$148,IF(B28=Para1!$F$148,Para1!$F$109,IF(B28=Para1!$F$109,Para1!$F$118,IF(B28=Para1!$F$118,Para1!$F$173,IF(B28=Para1!$F$173,Para1!$F$176,Para1!$F$153))))))</f>
        <v>Mo</v>
      </c>
      <c r="C29" s="305"/>
      <c r="D29" s="355"/>
      <c r="E29" s="355"/>
      <c r="F29" s="355"/>
      <c r="G29" s="357"/>
      <c r="H29" s="359"/>
      <c r="I29" s="355"/>
      <c r="J29" s="355"/>
      <c r="K29" s="357"/>
      <c r="L29" s="111">
        <f t="shared" si="1"/>
        <v>0</v>
      </c>
      <c r="M29" s="158">
        <f t="shared" si="2"/>
        <v>0.35000000000000003</v>
      </c>
      <c r="N29" s="189">
        <f t="shared" si="5"/>
        <v>-60.116666666666674</v>
      </c>
      <c r="O29" s="193"/>
      <c r="P29" s="355"/>
      <c r="Q29" s="355"/>
      <c r="R29" s="356"/>
      <c r="S29" s="357"/>
      <c r="T29" s="357"/>
      <c r="U29" s="358"/>
      <c r="V29" s="198"/>
      <c r="W29" s="373"/>
      <c r="X29" s="599"/>
      <c r="Y29" s="200"/>
      <c r="Z29" s="69"/>
      <c r="AA29" s="128"/>
      <c r="AB29" s="360">
        <f>August!AB53</f>
        <v>1</v>
      </c>
      <c r="AC29" s="360">
        <f>August!AC53</f>
        <v>1</v>
      </c>
      <c r="AD29" s="188" t="e">
        <f>IF(VLOOKUP(A29,Para1!$B$67:$E$72,2,FALSE)="9.",VLOOKUP(A29,Para1!$B$67:$E$72,3,FALSE),"")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0.17500000000000002</v>
      </c>
      <c r="AI29" s="188"/>
    </row>
    <row r="30" spans="1:35" ht="16.5" customHeight="1">
      <c r="A30" s="112" t="s">
        <v>17</v>
      </c>
      <c r="B30" s="303" t="str">
        <f>IF(B29=Para1!$F$153,Para1!$F$107,IF(B29=Para1!$F$107,Para1!$F$148,IF(B29=Para1!$F$148,Para1!$F$109,IF(B29=Para1!$F$109,Para1!$F$118,IF(B29=Para1!$F$118,Para1!$F$173,IF(B29=Para1!$F$173,Para1!$F$176,Para1!$F$153))))))</f>
        <v>Di</v>
      </c>
      <c r="C30" s="305"/>
      <c r="D30" s="355"/>
      <c r="E30" s="355"/>
      <c r="F30" s="355"/>
      <c r="G30" s="357"/>
      <c r="H30" s="359"/>
      <c r="I30" s="355"/>
      <c r="J30" s="355"/>
      <c r="K30" s="357"/>
      <c r="L30" s="111">
        <f t="shared" ref="L30:L36" si="6">SUM((G30-D30),(K30-H30))-SUM((F30-E30),(J30-I30))</f>
        <v>0</v>
      </c>
      <c r="M30" s="158">
        <f t="shared" si="2"/>
        <v>0.35000000000000003</v>
      </c>
      <c r="N30" s="189">
        <f t="shared" si="5"/>
        <v>-60.466666666666676</v>
      </c>
      <c r="O30" s="193"/>
      <c r="P30" s="355"/>
      <c r="Q30" s="355"/>
      <c r="R30" s="356"/>
      <c r="S30" s="357"/>
      <c r="T30" s="357"/>
      <c r="U30" s="358"/>
      <c r="V30" s="198"/>
      <c r="W30" s="373"/>
      <c r="X30" s="599"/>
      <c r="Y30" s="200"/>
      <c r="Z30" s="69"/>
      <c r="AA30" s="128"/>
      <c r="AB30" s="360">
        <f>August!AB54</f>
        <v>1</v>
      </c>
      <c r="AC30" s="360">
        <f>August!AC54</f>
        <v>1</v>
      </c>
      <c r="AD30" s="188" t="e">
        <f>IF(VLOOKUP(A30,Para1!$B$67:$E$72,2,FALSE)="9.",VLOOKUP(A30,Para1!$B$67:$E$72,3,FALSE),"")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0.17500000000000002</v>
      </c>
      <c r="AI30" s="188"/>
    </row>
    <row r="31" spans="1:35" ht="16.5" customHeight="1">
      <c r="A31" s="112" t="s">
        <v>19</v>
      </c>
      <c r="B31" s="303" t="str">
        <f>IF(B30=Para1!$F$153,Para1!$F$107,IF(B30=Para1!$F$107,Para1!$F$148,IF(B30=Para1!$F$148,Para1!$F$109,IF(B30=Para1!$F$109,Para1!$F$118,IF(B30=Para1!$F$118,Para1!$F$173,IF(B30=Para1!$F$173,Para1!$F$176,Para1!$F$153))))))</f>
        <v>Mi</v>
      </c>
      <c r="C31" s="339"/>
      <c r="D31" s="355"/>
      <c r="E31" s="355"/>
      <c r="F31" s="355"/>
      <c r="G31" s="357"/>
      <c r="H31" s="359"/>
      <c r="I31" s="355"/>
      <c r="J31" s="355"/>
      <c r="K31" s="357"/>
      <c r="L31" s="111">
        <f t="shared" si="6"/>
        <v>0</v>
      </c>
      <c r="M31" s="158">
        <f t="shared" si="2"/>
        <v>0.35000000000000003</v>
      </c>
      <c r="N31" s="189">
        <f t="shared" si="5"/>
        <v>-60.816666666666677</v>
      </c>
      <c r="O31" s="192"/>
      <c r="P31" s="355"/>
      <c r="Q31" s="355"/>
      <c r="R31" s="356"/>
      <c r="S31" s="357"/>
      <c r="T31" s="357"/>
      <c r="U31" s="358"/>
      <c r="V31" s="198"/>
      <c r="W31" s="373"/>
      <c r="X31" s="599"/>
      <c r="Y31" s="200"/>
      <c r="Z31" s="69"/>
      <c r="AA31" s="128"/>
      <c r="AB31" s="360">
        <f>AB24</f>
        <v>1</v>
      </c>
      <c r="AC31" s="360">
        <f>AC24</f>
        <v>1</v>
      </c>
      <c r="AD31" s="188" t="e">
        <f>IF(VLOOKUP(A31,Para1!$B$67:$E$72,2,FALSE)="9.",VLOOKUP(A31,Para1!$B$67:$E$72,3,FALSE),"")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0.17500000000000002</v>
      </c>
      <c r="AI31" s="188"/>
    </row>
    <row r="32" spans="1:35" ht="16.5" customHeight="1">
      <c r="A32" s="112" t="s">
        <v>20</v>
      </c>
      <c r="B32" s="303" t="str">
        <f>IF(B31=Para1!$F$153,Para1!$F$107,IF(B31=Para1!$F$107,Para1!$F$148,IF(B31=Para1!$F$148,Para1!$F$109,IF(B31=Para1!$F$109,Para1!$F$118,IF(B31=Para1!$F$118,Para1!$F$173,IF(B31=Para1!$F$173,Para1!$F$176,Para1!$F$153))))))</f>
        <v>Do</v>
      </c>
      <c r="C32" s="339"/>
      <c r="D32" s="355"/>
      <c r="E32" s="355"/>
      <c r="F32" s="355"/>
      <c r="G32" s="357"/>
      <c r="H32" s="359"/>
      <c r="I32" s="355"/>
      <c r="J32" s="355"/>
      <c r="K32" s="357"/>
      <c r="L32" s="111">
        <f t="shared" si="6"/>
        <v>0</v>
      </c>
      <c r="M32" s="158">
        <f t="shared" si="2"/>
        <v>0.35000000000000003</v>
      </c>
      <c r="N32" s="189">
        <f t="shared" si="5"/>
        <v>-61.166666666666679</v>
      </c>
      <c r="O32" s="192"/>
      <c r="P32" s="355"/>
      <c r="Q32" s="355"/>
      <c r="R32" s="356"/>
      <c r="S32" s="357"/>
      <c r="T32" s="357"/>
      <c r="U32" s="358"/>
      <c r="V32" s="198"/>
      <c r="W32" s="373"/>
      <c r="X32" s="599"/>
      <c r="Y32" s="200"/>
      <c r="Z32" s="69"/>
      <c r="AA32" s="128"/>
      <c r="AB32" s="360">
        <f t="shared" ref="AB32:AC32" si="7">AB25</f>
        <v>1</v>
      </c>
      <c r="AC32" s="360">
        <f t="shared" si="7"/>
        <v>1</v>
      </c>
      <c r="AD32" s="188" t="e">
        <f>IF(VLOOKUP(A32,Para1!$B$67:$E$72,2,FALSE)="9.",VLOOKUP(A32,Para1!$B$67:$E$72,3,FALSE),"")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0.17500000000000002</v>
      </c>
      <c r="AI32" s="188"/>
    </row>
    <row r="33" spans="1:35" ht="16.5" customHeight="1">
      <c r="A33" s="112" t="s">
        <v>21</v>
      </c>
      <c r="B33" s="303" t="str">
        <f>IF(B32=Para1!$F$153,Para1!$F$107,IF(B32=Para1!$F$107,Para1!$F$148,IF(B32=Para1!$F$148,Para1!$F$109,IF(B32=Para1!$F$109,Para1!$F$118,IF(B32=Para1!$F$118,Para1!$F$173,IF(B32=Para1!$F$173,Para1!$F$176,Para1!$F$153))))))</f>
        <v>Fr</v>
      </c>
      <c r="C33" s="305"/>
      <c r="D33" s="355"/>
      <c r="E33" s="355"/>
      <c r="F33" s="355"/>
      <c r="G33" s="357"/>
      <c r="H33" s="359"/>
      <c r="I33" s="355"/>
      <c r="J33" s="355"/>
      <c r="K33" s="357"/>
      <c r="L33" s="111">
        <f t="shared" si="6"/>
        <v>0</v>
      </c>
      <c r="M33" s="158">
        <f t="shared" si="2"/>
        <v>0.35000000000000003</v>
      </c>
      <c r="N33" s="189">
        <f t="shared" si="5"/>
        <v>-61.51666666666668</v>
      </c>
      <c r="O33" s="193"/>
      <c r="P33" s="355"/>
      <c r="Q33" s="355"/>
      <c r="R33" s="356"/>
      <c r="S33" s="357"/>
      <c r="T33" s="357"/>
      <c r="U33" s="358"/>
      <c r="V33" s="237"/>
      <c r="W33" s="373"/>
      <c r="X33" s="599"/>
      <c r="Y33" s="200"/>
      <c r="Z33" s="69"/>
      <c r="AA33" s="128"/>
      <c r="AB33" s="360">
        <f t="shared" ref="AB33:AC33" si="8">AB26</f>
        <v>1</v>
      </c>
      <c r="AC33" s="360">
        <f t="shared" si="8"/>
        <v>1</v>
      </c>
      <c r="AD33" s="188" t="e">
        <f>IF(VLOOKUP(A33,Para1!$B$67:$E$72,2,FALSE)="9.",VLOOKUP(A33,Para1!$B$67:$E$72,3,FALSE),"")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0.17500000000000002</v>
      </c>
      <c r="AI33" s="188"/>
    </row>
    <row r="34" spans="1:35" s="50" customFormat="1" ht="16.5" customHeight="1">
      <c r="A34" s="112" t="s">
        <v>22</v>
      </c>
      <c r="B34" s="303" t="str">
        <f>IF(B33=Para1!$F$153,Para1!$F$107,IF(B33=Para1!$F$107,Para1!$F$148,IF(B33=Para1!$F$148,Para1!$F$109,IF(B33=Para1!$F$109,Para1!$F$118,IF(B33=Para1!$F$118,Para1!$F$173,IF(B33=Para1!$F$173,Para1!$F$176,Para1!$F$153))))))</f>
        <v>Sa</v>
      </c>
      <c r="C34" s="305"/>
      <c r="D34" s="355"/>
      <c r="E34" s="355"/>
      <c r="F34" s="355"/>
      <c r="G34" s="357"/>
      <c r="H34" s="359"/>
      <c r="I34" s="355"/>
      <c r="J34" s="355"/>
      <c r="K34" s="357"/>
      <c r="L34" s="111">
        <f t="shared" si="6"/>
        <v>0</v>
      </c>
      <c r="M34" s="158">
        <f t="shared" si="2"/>
        <v>0</v>
      </c>
      <c r="N34" s="189">
        <f t="shared" si="5"/>
        <v>-61.51666666666668</v>
      </c>
      <c r="O34" s="193"/>
      <c r="P34" s="355"/>
      <c r="Q34" s="355"/>
      <c r="R34" s="356"/>
      <c r="S34" s="357"/>
      <c r="T34" s="357"/>
      <c r="U34" s="358"/>
      <c r="V34" s="198"/>
      <c r="W34" s="374"/>
      <c r="X34" s="599"/>
      <c r="Y34" s="200"/>
      <c r="Z34" s="69"/>
      <c r="AA34" s="128"/>
      <c r="AB34" s="360">
        <f t="shared" ref="AB34:AC34" si="9">AB27</f>
        <v>0</v>
      </c>
      <c r="AC34" s="360">
        <f t="shared" si="9"/>
        <v>0</v>
      </c>
      <c r="AD34" s="188" t="e">
        <f>IF(VLOOKUP(A34,Para1!$B$67:$E$72,2,FALSE)="9.",VLOOKUP(A34,Para1!$B$67:$E$72,3,FALSE),"")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v>
      </c>
      <c r="AI34" s="188"/>
    </row>
    <row r="35" spans="1:35" s="50" customFormat="1" ht="16.5" customHeight="1">
      <c r="A35" s="112" t="s">
        <v>23</v>
      </c>
      <c r="B35" s="303" t="str">
        <f>IF(B34=Para1!$F$153,Para1!$F$107,IF(B34=Para1!$F$107,Para1!$F$148,IF(B34=Para1!$F$148,Para1!$F$109,IF(B34=Para1!$F$109,Para1!$F$118,IF(B34=Para1!$F$118,Para1!$F$173,IF(B34=Para1!$F$173,Para1!$F$176,Para1!$F$153))))))</f>
        <v>So</v>
      </c>
      <c r="C35" s="305"/>
      <c r="D35" s="355"/>
      <c r="E35" s="355"/>
      <c r="F35" s="355"/>
      <c r="G35" s="357"/>
      <c r="H35" s="359"/>
      <c r="I35" s="355"/>
      <c r="J35" s="355"/>
      <c r="K35" s="357"/>
      <c r="L35" s="111">
        <f t="shared" si="6"/>
        <v>0</v>
      </c>
      <c r="M35" s="158">
        <f t="shared" si="2"/>
        <v>0</v>
      </c>
      <c r="N35" s="189">
        <f t="shared" si="5"/>
        <v>-61.51666666666668</v>
      </c>
      <c r="O35" s="193"/>
      <c r="P35" s="355"/>
      <c r="Q35" s="355"/>
      <c r="R35" s="356"/>
      <c r="S35" s="357"/>
      <c r="T35" s="357"/>
      <c r="U35" s="358"/>
      <c r="V35" s="198"/>
      <c r="W35" s="374"/>
      <c r="X35" s="599"/>
      <c r="Y35" s="200"/>
      <c r="Z35" s="69"/>
      <c r="AA35" s="128"/>
      <c r="AB35" s="360">
        <f t="shared" ref="AB35:AC35" si="10">AB28</f>
        <v>0</v>
      </c>
      <c r="AC35" s="360">
        <f t="shared" si="10"/>
        <v>0</v>
      </c>
      <c r="AD35" s="188" t="e">
        <f>IF(VLOOKUP(A35,Para1!$B$67:$E$72,2,FALSE)="9.",VLOOKUP(A35,Para1!$B$67:$E$72,3,FALSE),"")</f>
        <v>#N/A</v>
      </c>
      <c r="AE35" s="540" t="str">
        <f>IF((AB35+AC35)=0,"",IF(ISNA(AD35),"",IF(AD35="","",VLOOKUP(AD35,Para1!$D$67:$G$79,3,FALSE)*(IF(AB35+AC35=1,0.5,1)))))</f>
        <v/>
      </c>
      <c r="AF35" s="319" t="str">
        <f>IF(AB35+AC35=0,"",IF(ISNA(AD36),"",IF(AD36="","",VLOOKUP(AD36,Para1!$D$67:$G$79,4,FALSE)*(IF(AB35+AC35=1,0.5,1)))))</f>
        <v/>
      </c>
      <c r="AG35" s="188">
        <f t="shared" si="3"/>
        <v>0</v>
      </c>
      <c r="AH35" s="187">
        <f t="shared" si="4"/>
        <v>0</v>
      </c>
    </row>
    <row r="36" spans="1:35" ht="16.5" customHeight="1">
      <c r="A36" s="112" t="s">
        <v>24</v>
      </c>
      <c r="B36" s="303" t="str">
        <f>IF(B35=Para1!$F$153,Para1!$F$107,IF(B35=Para1!$F$107,Para1!$F$148,IF(B35=Para1!$F$148,Para1!$F$109,IF(B35=Para1!$F$109,Para1!$F$118,IF(B35=Para1!$F$118,Para1!$F$173,IF(B35=Para1!$F$173,Para1!$F$176,Para1!$F$153))))))</f>
        <v>Mo</v>
      </c>
      <c r="C36" s="305"/>
      <c r="D36" s="355"/>
      <c r="E36" s="355"/>
      <c r="F36" s="355"/>
      <c r="G36" s="357"/>
      <c r="H36" s="359"/>
      <c r="I36" s="355"/>
      <c r="J36" s="355"/>
      <c r="K36" s="357"/>
      <c r="L36" s="111">
        <f t="shared" si="6"/>
        <v>0</v>
      </c>
      <c r="M36" s="158">
        <f t="shared" si="2"/>
        <v>0.35000000000000003</v>
      </c>
      <c r="N36" s="189">
        <f t="shared" si="5"/>
        <v>-61.866666666666681</v>
      </c>
      <c r="O36" s="193"/>
      <c r="P36" s="355"/>
      <c r="Q36" s="355"/>
      <c r="R36" s="356"/>
      <c r="S36" s="357"/>
      <c r="T36" s="357"/>
      <c r="U36" s="358"/>
      <c r="V36" s="198"/>
      <c r="W36" s="373"/>
      <c r="X36" s="599"/>
      <c r="Y36" s="200"/>
      <c r="Z36" s="69"/>
      <c r="AA36" s="128"/>
      <c r="AB36" s="360">
        <f t="shared" ref="AB36:AC36" si="11">AB29</f>
        <v>1</v>
      </c>
      <c r="AC36" s="360">
        <f t="shared" si="11"/>
        <v>1</v>
      </c>
      <c r="AD36" s="188" t="str">
        <f>IF(VLOOKUP(A36,Para1!$B$67:$E$72,2,FALSE)="9.",VLOOKUP(A36,Para1!$B$67:$E$72,3,FALSE),"")</f>
        <v/>
      </c>
      <c r="AE36" s="540" t="str">
        <f>IF((AB36+AC36)=0,"",IF(ISNA(AD36),"",IF(AD36="","",VLOOKUP(AD36,Para1!$D$67:$G$79,3,FALSE)*(IF(AB36+AC36=1,0.5,1)))))</f>
        <v/>
      </c>
      <c r="AF36" s="319" t="str">
        <f>IF(AB36+AC36=0,"",IF(ISNA(AD37),"",IF(AD37="","",VLOOKUP(AD37,Para1!$D$67:$G$79,4,FALSE)*(IF(AB36+AC36=1,0.5,1)))))</f>
        <v/>
      </c>
      <c r="AG36" s="188">
        <f t="shared" si="3"/>
        <v>0</v>
      </c>
      <c r="AH36" s="187">
        <f t="shared" si="4"/>
        <v>0.17500000000000002</v>
      </c>
    </row>
    <row r="37" spans="1:35" ht="16.5" customHeight="1">
      <c r="A37" s="112" t="s">
        <v>25</v>
      </c>
      <c r="B37" s="303" t="str">
        <f>IF(B36=Para1!$F$153,Para1!$F$107,IF(B36=Para1!$F$107,Para1!$F$148,IF(B36=Para1!$F$148,Para1!$F$109,IF(B36=Para1!$F$109,Para1!$F$118,IF(B36=Para1!$F$118,Para1!$F$173,IF(B36=Para1!$F$173,Para1!$F$176,Para1!$F$153))))))</f>
        <v>Di</v>
      </c>
      <c r="C37" s="305"/>
      <c r="D37" s="355"/>
      <c r="E37" s="355"/>
      <c r="F37" s="355"/>
      <c r="G37" s="357"/>
      <c r="H37" s="359"/>
      <c r="I37" s="355"/>
      <c r="J37" s="355"/>
      <c r="K37" s="357"/>
      <c r="L37" s="111">
        <f t="shared" ref="L37:L53" si="12">SUM((G37-D37),(K37-H37))-SUM((F37-E37),(J37-I37))</f>
        <v>0</v>
      </c>
      <c r="M37" s="158">
        <f t="shared" si="2"/>
        <v>0.35000000000000003</v>
      </c>
      <c r="N37" s="189">
        <f t="shared" si="5"/>
        <v>-62.216666666666683</v>
      </c>
      <c r="O37" s="193"/>
      <c r="P37" s="355"/>
      <c r="Q37" s="355"/>
      <c r="R37" s="356"/>
      <c r="S37" s="357"/>
      <c r="T37" s="357"/>
      <c r="U37" s="358"/>
      <c r="V37" s="198"/>
      <c r="W37" s="373"/>
      <c r="X37" s="599"/>
      <c r="Y37" s="200"/>
      <c r="Z37" s="69"/>
      <c r="AA37" s="128"/>
      <c r="AB37" s="360">
        <f t="shared" ref="AB37:AC37" si="13">AB30</f>
        <v>1</v>
      </c>
      <c r="AC37" s="360">
        <f t="shared" si="13"/>
        <v>1</v>
      </c>
      <c r="AD37" s="188" t="e">
        <f>IF(VLOOKUP(A37,Para1!$B$67:$E$72,2,FALSE)="9.",VLOOKUP(A37,Para1!$B$67:$E$72,3,FALSE),"")</f>
        <v>#N/A</v>
      </c>
      <c r="AE37" s="540" t="str">
        <f>IF((AB37+AC37)=0,"",IF(ISNA(AD37),"",IF(AD37="","",VLOOKUP(AD37,Para1!$D$67:$G$79,3,FALSE)*(IF(AB37+AC37=1,0.5,1)))))</f>
        <v/>
      </c>
      <c r="AF37" s="319" t="str">
        <f>IF(AB37+AC37=0,"",IF(ISNA(AD38),"",IF(AD38="","",VLOOKUP(AD38,Para1!$D$67:$G$79,4,FALSE)*(IF(AB37+AC37=1,0.5,1)))))</f>
        <v/>
      </c>
      <c r="AG37" s="188">
        <f t="shared" si="3"/>
        <v>0</v>
      </c>
      <c r="AH37" s="187">
        <f t="shared" si="4"/>
        <v>0.17500000000000002</v>
      </c>
    </row>
    <row r="38" spans="1:35" ht="16.5" customHeight="1">
      <c r="A38" s="112" t="s">
        <v>26</v>
      </c>
      <c r="B38" s="303" t="str">
        <f>IF(B37=Para1!$F$153,Para1!$F$107,IF(B37=Para1!$F$107,Para1!$F$148,IF(B37=Para1!$F$148,Para1!$F$109,IF(B37=Para1!$F$109,Para1!$F$118,IF(B37=Para1!$F$118,Para1!$F$173,IF(B37=Para1!$F$173,Para1!$F$176,Para1!$F$153))))))</f>
        <v>Mi</v>
      </c>
      <c r="C38" s="339"/>
      <c r="D38" s="355"/>
      <c r="E38" s="355"/>
      <c r="F38" s="355"/>
      <c r="G38" s="357"/>
      <c r="H38" s="359"/>
      <c r="I38" s="355"/>
      <c r="J38" s="355"/>
      <c r="K38" s="357"/>
      <c r="L38" s="111">
        <f t="shared" si="12"/>
        <v>0</v>
      </c>
      <c r="M38" s="158">
        <f t="shared" si="2"/>
        <v>0.35000000000000003</v>
      </c>
      <c r="N38" s="189">
        <f t="shared" si="5"/>
        <v>-62.566666666666684</v>
      </c>
      <c r="O38" s="192"/>
      <c r="P38" s="355"/>
      <c r="Q38" s="355"/>
      <c r="R38" s="356"/>
      <c r="S38" s="357"/>
      <c r="T38" s="357"/>
      <c r="U38" s="358"/>
      <c r="V38" s="198"/>
      <c r="W38" s="373"/>
      <c r="X38" s="599"/>
      <c r="Y38" s="200"/>
      <c r="Z38" s="69"/>
      <c r="AA38" s="128"/>
      <c r="AB38" s="360">
        <f>AB31</f>
        <v>1</v>
      </c>
      <c r="AC38" s="360">
        <f>AC31</f>
        <v>1</v>
      </c>
      <c r="AD38" s="188" t="e">
        <f>IF(VLOOKUP(A38,Para1!$B$67:$E$72,2,FALSE)="9.",VLOOKUP(A38,Para1!$B$67:$E$72,3,FALSE),"")</f>
        <v>#N/A</v>
      </c>
      <c r="AE38" s="540" t="str">
        <f>IF((AB38+AC38)=0,"",IF(ISNA(AD38),"",IF(AD38="","",VLOOKUP(AD38,Para1!$D$67:$G$79,3,FALSE)*(IF(AB38+AC38=1,0.5,1)))))</f>
        <v/>
      </c>
      <c r="AF38" s="319" t="str">
        <f>IF(AB38+AC38=0,"",IF(ISNA(AD39),"",IF(AD39="","",VLOOKUP(AD39,Para1!$D$67:$G$79,4,FALSE)*(IF(AB38+AC38=1,0.5,1)))))</f>
        <v/>
      </c>
      <c r="AG38" s="188">
        <f t="shared" si="3"/>
        <v>0</v>
      </c>
      <c r="AH38" s="187">
        <f t="shared" si="4"/>
        <v>0.17500000000000002</v>
      </c>
    </row>
    <row r="39" spans="1:35" ht="16.5" customHeight="1">
      <c r="A39" s="112" t="s">
        <v>27</v>
      </c>
      <c r="B39" s="303" t="str">
        <f>IF(B38=Para1!$F$153,Para1!$F$107,IF(B38=Para1!$F$107,Para1!$F$148,IF(B38=Para1!$F$148,Para1!$F$109,IF(B38=Para1!$F$109,Para1!$F$118,IF(B38=Para1!$F$118,Para1!$F$173,IF(B38=Para1!$F$173,Para1!$F$176,Para1!$F$153))))))</f>
        <v>Do</v>
      </c>
      <c r="C39" s="339"/>
      <c r="D39" s="355"/>
      <c r="E39" s="355"/>
      <c r="F39" s="355"/>
      <c r="G39" s="357"/>
      <c r="H39" s="359"/>
      <c r="I39" s="355"/>
      <c r="J39" s="355"/>
      <c r="K39" s="357"/>
      <c r="L39" s="111">
        <f t="shared" si="12"/>
        <v>0</v>
      </c>
      <c r="M39" s="158">
        <f t="shared" si="2"/>
        <v>0.35000000000000003</v>
      </c>
      <c r="N39" s="189">
        <f t="shared" si="5"/>
        <v>-62.916666666666686</v>
      </c>
      <c r="O39" s="192"/>
      <c r="P39" s="355"/>
      <c r="Q39" s="355"/>
      <c r="R39" s="356"/>
      <c r="S39" s="357"/>
      <c r="T39" s="357"/>
      <c r="U39" s="358"/>
      <c r="V39" s="198"/>
      <c r="W39" s="373"/>
      <c r="X39" s="599"/>
      <c r="Y39" s="200"/>
      <c r="Z39" s="69"/>
      <c r="AA39" s="128"/>
      <c r="AB39" s="360">
        <f t="shared" ref="AB39:AC44" si="14">AB32</f>
        <v>1</v>
      </c>
      <c r="AC39" s="360">
        <f t="shared" si="14"/>
        <v>1</v>
      </c>
      <c r="AD39" s="188" t="e">
        <f>IF(VLOOKUP(A39,Para1!$B$67:$E$72,2,FALSE)="9.",VLOOKUP(A39,Para1!$B$67:$E$72,3,FALSE),"")</f>
        <v>#N/A</v>
      </c>
      <c r="AE39" s="540" t="str">
        <f>IF((AB39+AC39)=0,"",IF(ISNA(AD39),"",IF(AD39="","",VLOOKUP(AD39,Para1!$D$67:$G$79,3,FALSE)*(IF(AB39+AC39=1,0.5,1)))))</f>
        <v/>
      </c>
      <c r="AF39" s="319" t="str">
        <f>IF(AB39+AC39=0,"",IF(ISNA(AD40),"",IF(AD40="","",VLOOKUP(AD40,Para1!$D$67:$G$79,4,FALSE)*(IF(AB39+AC39=1,0.5,1)))))</f>
        <v/>
      </c>
      <c r="AG39" s="188">
        <f t="shared" si="3"/>
        <v>0</v>
      </c>
      <c r="AH39" s="187">
        <f t="shared" si="4"/>
        <v>0.17500000000000002</v>
      </c>
    </row>
    <row r="40" spans="1:35" ht="16.5" customHeight="1">
      <c r="A40" s="112" t="s">
        <v>28</v>
      </c>
      <c r="B40" s="303" t="str">
        <f>IF(B39=Para1!$F$153,Para1!$F$107,IF(B39=Para1!$F$107,Para1!$F$148,IF(B39=Para1!$F$148,Para1!$F$109,IF(B39=Para1!$F$109,Para1!$F$118,IF(B39=Para1!$F$118,Para1!$F$173,IF(B39=Para1!$F$173,Para1!$F$176,Para1!$F$153))))))</f>
        <v>Fr</v>
      </c>
      <c r="C40" s="305"/>
      <c r="D40" s="355"/>
      <c r="E40" s="355"/>
      <c r="F40" s="355"/>
      <c r="G40" s="357"/>
      <c r="H40" s="359"/>
      <c r="I40" s="355"/>
      <c r="J40" s="355"/>
      <c r="K40" s="357"/>
      <c r="L40" s="111">
        <f t="shared" si="12"/>
        <v>0</v>
      </c>
      <c r="M40" s="158">
        <f t="shared" si="2"/>
        <v>0.35000000000000003</v>
      </c>
      <c r="N40" s="189">
        <f t="shared" si="5"/>
        <v>-63.266666666666687</v>
      </c>
      <c r="O40" s="193"/>
      <c r="P40" s="355"/>
      <c r="Q40" s="355"/>
      <c r="R40" s="356"/>
      <c r="S40" s="357"/>
      <c r="T40" s="357"/>
      <c r="U40" s="358"/>
      <c r="V40" s="237"/>
      <c r="W40" s="373"/>
      <c r="X40" s="599"/>
      <c r="Y40" s="200"/>
      <c r="Z40" s="69"/>
      <c r="AA40" s="128"/>
      <c r="AB40" s="360">
        <f t="shared" si="14"/>
        <v>1</v>
      </c>
      <c r="AC40" s="360">
        <f t="shared" si="14"/>
        <v>1</v>
      </c>
      <c r="AD40" s="188" t="e">
        <f>IF(VLOOKUP(A40,Para1!$B$67:$E$72,2,FALSE)="9.",VLOOKUP(A40,Para1!$B$67:$E$72,3,FALSE),"")</f>
        <v>#N/A</v>
      </c>
      <c r="AE40" s="540" t="str">
        <f>IF((AB40+AC40)=0,"",IF(ISNA(AD40),"",IF(AD40="","",VLOOKUP(AD40,Para1!$D$67:$G$79,3,FALSE)*(IF(AB40+AC40=1,0.5,1)))))</f>
        <v/>
      </c>
      <c r="AF40" s="319" t="str">
        <f>IF(AB40+AC40=0,"",IF(ISNA(AD41),"",IF(AD41="","",VLOOKUP(AD41,Para1!$D$67:$G$79,4,FALSE)*(IF(AB40+AC40=1,0.5,1)))))</f>
        <v/>
      </c>
      <c r="AG40" s="188">
        <f t="shared" si="3"/>
        <v>0</v>
      </c>
      <c r="AH40" s="187">
        <f t="shared" si="4"/>
        <v>0.17500000000000002</v>
      </c>
    </row>
    <row r="41" spans="1:35" s="50" customFormat="1" ht="16.5" customHeight="1">
      <c r="A41" s="112" t="s">
        <v>29</v>
      </c>
      <c r="B41" s="303" t="str">
        <f>IF(B40=Para1!$F$153,Para1!$F$107,IF(B40=Para1!$F$107,Para1!$F$148,IF(B40=Para1!$F$148,Para1!$F$109,IF(B40=Para1!$F$109,Para1!$F$118,IF(B40=Para1!$F$118,Para1!$F$173,IF(B40=Para1!$F$173,Para1!$F$176,Para1!$F$153))))))</f>
        <v>Sa</v>
      </c>
      <c r="C41" s="305"/>
      <c r="D41" s="355"/>
      <c r="E41" s="355"/>
      <c r="F41" s="355"/>
      <c r="G41" s="357"/>
      <c r="H41" s="359"/>
      <c r="I41" s="355"/>
      <c r="J41" s="355"/>
      <c r="K41" s="357"/>
      <c r="L41" s="111">
        <f t="shared" si="12"/>
        <v>0</v>
      </c>
      <c r="M41" s="158">
        <f t="shared" si="2"/>
        <v>0</v>
      </c>
      <c r="N41" s="189">
        <f t="shared" si="5"/>
        <v>-63.266666666666687</v>
      </c>
      <c r="O41" s="193"/>
      <c r="P41" s="355"/>
      <c r="Q41" s="355"/>
      <c r="R41" s="356"/>
      <c r="S41" s="357"/>
      <c r="T41" s="357"/>
      <c r="U41" s="358"/>
      <c r="V41" s="198"/>
      <c r="W41" s="374"/>
      <c r="X41" s="599"/>
      <c r="Y41" s="200"/>
      <c r="Z41" s="69"/>
      <c r="AA41" s="128"/>
      <c r="AB41" s="360">
        <f t="shared" si="14"/>
        <v>0</v>
      </c>
      <c r="AC41" s="360">
        <f t="shared" si="14"/>
        <v>0</v>
      </c>
      <c r="AD41" s="188" t="e">
        <f>IF(VLOOKUP(A41,Para1!$B$67:$E$72,2,FALSE)="9.",VLOOKUP(A41,Para1!$B$67:$E$72,3,FALSE),"")</f>
        <v>#N/A</v>
      </c>
      <c r="AE41" s="540" t="str">
        <f>IF((AB41+AC41)=0,"",IF(ISNA(AD41),"",IF(AD41="","",VLOOKUP(AD41,Para1!$D$67:$G$79,3,FALSE)*(IF(AB41+AC41=1,0.5,1)))))</f>
        <v/>
      </c>
      <c r="AF41" s="319" t="str">
        <f>IF(AB41+AC41=0,"",IF(ISNA(AD42),"",IF(AD42="","",VLOOKUP(AD42,Para1!$D$67:$G$79,4,FALSE)*(IF(AB41+AC41=1,0.5,1)))))</f>
        <v/>
      </c>
      <c r="AG41" s="188">
        <f t="shared" si="3"/>
        <v>0</v>
      </c>
      <c r="AH41" s="187">
        <f t="shared" si="4"/>
        <v>0</v>
      </c>
    </row>
    <row r="42" spans="1:35" s="50" customFormat="1" ht="16.5" customHeight="1">
      <c r="A42" s="112" t="s">
        <v>30</v>
      </c>
      <c r="B42" s="303" t="str">
        <f>IF(B41=Para1!$F$153,Para1!$F$107,IF(B41=Para1!$F$107,Para1!$F$148,IF(B41=Para1!$F$148,Para1!$F$109,IF(B41=Para1!$F$109,Para1!$F$118,IF(B41=Para1!$F$118,Para1!$F$173,IF(B41=Para1!$F$173,Para1!$F$176,Para1!$F$153))))))</f>
        <v>So</v>
      </c>
      <c r="C42" s="305"/>
      <c r="D42" s="355"/>
      <c r="E42" s="355"/>
      <c r="F42" s="355"/>
      <c r="G42" s="357"/>
      <c r="H42" s="359"/>
      <c r="I42" s="355"/>
      <c r="J42" s="355"/>
      <c r="K42" s="357"/>
      <c r="L42" s="111">
        <f t="shared" si="12"/>
        <v>0</v>
      </c>
      <c r="M42" s="158">
        <f t="shared" si="2"/>
        <v>0</v>
      </c>
      <c r="N42" s="189">
        <f t="shared" si="5"/>
        <v>-63.266666666666687</v>
      </c>
      <c r="O42" s="193"/>
      <c r="P42" s="355"/>
      <c r="Q42" s="355"/>
      <c r="R42" s="356"/>
      <c r="S42" s="357"/>
      <c r="T42" s="357"/>
      <c r="U42" s="358"/>
      <c r="V42" s="198"/>
      <c r="W42" s="374"/>
      <c r="X42" s="599"/>
      <c r="Y42" s="200"/>
      <c r="Z42" s="69"/>
      <c r="AA42" s="128"/>
      <c r="AB42" s="360">
        <f t="shared" si="14"/>
        <v>0</v>
      </c>
      <c r="AC42" s="360">
        <f t="shared" si="14"/>
        <v>0</v>
      </c>
      <c r="AD42" s="188" t="e">
        <f>IF(VLOOKUP(A42,Para1!$B$67:$E$72,2,FALSE)="9.",VLOOKUP(A42,Para1!$B$67:$E$72,3,FALSE),"")</f>
        <v>#N/A</v>
      </c>
      <c r="AE42" s="540" t="str">
        <f>IF((AB42+AC42)=0,"",IF(ISNA(AD42),"",IF(AD42="","",VLOOKUP(AD42,Para1!$D$67:$G$79,3,FALSE)*(IF(AB42+AC42=1,0.5,1)))))</f>
        <v/>
      </c>
      <c r="AF42" s="319" t="str">
        <f>IF(AB42+AC42=0,"",IF(ISNA(AD43),"",IF(AD43="","",VLOOKUP(AD43,Para1!$D$67:$G$79,4,FALSE)*(IF(AB42+AC42=1,0.5,1)))))</f>
        <v/>
      </c>
      <c r="AG42" s="188">
        <f t="shared" si="3"/>
        <v>0</v>
      </c>
      <c r="AH42" s="187">
        <f t="shared" si="4"/>
        <v>0</v>
      </c>
    </row>
    <row r="43" spans="1:35" ht="16.5" customHeight="1">
      <c r="A43" s="112" t="s">
        <v>31</v>
      </c>
      <c r="B43" s="303" t="str">
        <f>IF(B42=Para1!$F$153,Para1!$F$107,IF(B42=Para1!$F$107,Para1!$F$148,IF(B42=Para1!$F$148,Para1!$F$109,IF(B42=Para1!$F$109,Para1!$F$118,IF(B42=Para1!$F$118,Para1!$F$173,IF(B42=Para1!$F$173,Para1!$F$176,Para1!$F$153))))))</f>
        <v>Mo</v>
      </c>
      <c r="C43" s="305"/>
      <c r="D43" s="355"/>
      <c r="E43" s="355"/>
      <c r="F43" s="355"/>
      <c r="G43" s="357"/>
      <c r="H43" s="359"/>
      <c r="I43" s="355"/>
      <c r="J43" s="355"/>
      <c r="K43" s="357"/>
      <c r="L43" s="111">
        <f t="shared" si="12"/>
        <v>0</v>
      </c>
      <c r="M43" s="158">
        <f t="shared" si="2"/>
        <v>0.35000000000000003</v>
      </c>
      <c r="N43" s="189">
        <f t="shared" si="5"/>
        <v>-63.616666666666688</v>
      </c>
      <c r="O43" s="193"/>
      <c r="P43" s="355"/>
      <c r="Q43" s="355"/>
      <c r="R43" s="356"/>
      <c r="S43" s="357"/>
      <c r="T43" s="357"/>
      <c r="U43" s="358"/>
      <c r="V43" s="198"/>
      <c r="W43" s="373"/>
      <c r="X43" s="599"/>
      <c r="Y43" s="200"/>
      <c r="Z43" s="69"/>
      <c r="AA43" s="128"/>
      <c r="AB43" s="360">
        <f t="shared" si="14"/>
        <v>1</v>
      </c>
      <c r="AC43" s="360">
        <f t="shared" si="14"/>
        <v>1</v>
      </c>
      <c r="AD43" s="188" t="e">
        <f>IF(VLOOKUP(A43,Para1!$B$67:$E$72,2,FALSE)="9.",VLOOKUP(A43,Para1!$B$67:$E$72,3,FALSE),"")</f>
        <v>#N/A</v>
      </c>
      <c r="AE43" s="540" t="str">
        <f>IF((AB43+AC43)=0,"",IF(ISNA(AD43),"",IF(AD43="","",VLOOKUP(AD43,Para1!$D$67:$G$79,3,FALSE)*(IF(AB43+AC43=1,0.5,1)))))</f>
        <v/>
      </c>
      <c r="AF43" s="319" t="str">
        <f>IF(AB43+AC43=0,"",IF(ISNA(AD44),"",IF(AD44="","",VLOOKUP(AD44,Para1!$D$67:$G$79,4,FALSE)*(IF(AB43+AC43=1,0.5,1)))))</f>
        <v/>
      </c>
      <c r="AG43" s="188">
        <f t="shared" si="3"/>
        <v>0</v>
      </c>
      <c r="AH43" s="187">
        <f t="shared" si="4"/>
        <v>0.17500000000000002</v>
      </c>
    </row>
    <row r="44" spans="1:35" ht="16.5" customHeight="1">
      <c r="A44" s="112" t="s">
        <v>32</v>
      </c>
      <c r="B44" s="303" t="str">
        <f>IF(B43=Para1!$F$153,Para1!$F$107,IF(B43=Para1!$F$107,Para1!$F$148,IF(B43=Para1!$F$148,Para1!$F$109,IF(B43=Para1!$F$109,Para1!$F$118,IF(B43=Para1!$F$118,Para1!$F$173,IF(B43=Para1!$F$173,Para1!$F$176,Para1!$F$153))))))</f>
        <v>Di</v>
      </c>
      <c r="C44" s="305"/>
      <c r="D44" s="355"/>
      <c r="E44" s="355"/>
      <c r="F44" s="355"/>
      <c r="G44" s="357"/>
      <c r="H44" s="359"/>
      <c r="I44" s="355"/>
      <c r="J44" s="355"/>
      <c r="K44" s="357"/>
      <c r="L44" s="111">
        <f t="shared" si="12"/>
        <v>0</v>
      </c>
      <c r="M44" s="158">
        <f t="shared" si="2"/>
        <v>0.35000000000000003</v>
      </c>
      <c r="N44" s="189">
        <f t="shared" si="5"/>
        <v>-63.96666666666669</v>
      </c>
      <c r="O44" s="193"/>
      <c r="P44" s="355"/>
      <c r="Q44" s="355"/>
      <c r="R44" s="356"/>
      <c r="S44" s="357"/>
      <c r="T44" s="357"/>
      <c r="U44" s="358"/>
      <c r="V44" s="198"/>
      <c r="W44" s="373"/>
      <c r="X44" s="599"/>
      <c r="Y44" s="200"/>
      <c r="Z44" s="69"/>
      <c r="AA44" s="128"/>
      <c r="AB44" s="360">
        <f t="shared" si="14"/>
        <v>1</v>
      </c>
      <c r="AC44" s="360">
        <f t="shared" si="14"/>
        <v>1</v>
      </c>
      <c r="AD44" s="188" t="e">
        <f>IF(VLOOKUP(A44,Para1!$B$67:$E$72,2,FALSE)="9.",VLOOKUP(A44,Para1!$B$67:$E$72,3,FALSE),"")</f>
        <v>#N/A</v>
      </c>
      <c r="AE44" s="540" t="str">
        <f>IF((AB44+AC44)=0,"",IF(ISNA(AD44),"",IF(AD44="","",VLOOKUP(AD44,Para1!$D$67:$G$79,3,FALSE)*(IF(AB44+AC44=1,0.5,1)))))</f>
        <v/>
      </c>
      <c r="AF44" s="319" t="str">
        <f>IF(AB44+AC44=0,"",IF(ISNA(AD45),"",IF(AD45="","",VLOOKUP(AD45,Para1!$D$67:$G$79,4,FALSE)*(IF(AB44+AC44=1,0.5,1)))))</f>
        <v/>
      </c>
      <c r="AG44" s="188">
        <f t="shared" si="3"/>
        <v>0</v>
      </c>
      <c r="AH44" s="187">
        <f t="shared" si="4"/>
        <v>0.17500000000000002</v>
      </c>
    </row>
    <row r="45" spans="1:35" ht="16.5" customHeight="1">
      <c r="A45" s="112" t="s">
        <v>33</v>
      </c>
      <c r="B45" s="303" t="str">
        <f>IF(B44=Para1!$F$153,Para1!$F$107,IF(B44=Para1!$F$107,Para1!$F$148,IF(B44=Para1!$F$148,Para1!$F$109,IF(B44=Para1!$F$109,Para1!$F$118,IF(B44=Para1!$F$118,Para1!$F$173,IF(B44=Para1!$F$173,Para1!$F$176,Para1!$F$153))))))</f>
        <v>Mi</v>
      </c>
      <c r="C45" s="339"/>
      <c r="D45" s="355"/>
      <c r="E45" s="355"/>
      <c r="F45" s="355"/>
      <c r="G45" s="357"/>
      <c r="H45" s="359"/>
      <c r="I45" s="355"/>
      <c r="J45" s="355"/>
      <c r="K45" s="357"/>
      <c r="L45" s="111">
        <f t="shared" si="12"/>
        <v>0</v>
      </c>
      <c r="M45" s="158">
        <f t="shared" si="2"/>
        <v>0.35000000000000003</v>
      </c>
      <c r="N45" s="189">
        <f t="shared" si="5"/>
        <v>-64.316666666666691</v>
      </c>
      <c r="O45" s="192"/>
      <c r="P45" s="355"/>
      <c r="Q45" s="355"/>
      <c r="R45" s="356"/>
      <c r="S45" s="357"/>
      <c r="T45" s="357"/>
      <c r="U45" s="358"/>
      <c r="V45" s="198"/>
      <c r="W45" s="373"/>
      <c r="X45" s="599"/>
      <c r="Y45" s="200"/>
      <c r="Z45" s="69"/>
      <c r="AA45" s="128"/>
      <c r="AB45" s="360">
        <f>AB38</f>
        <v>1</v>
      </c>
      <c r="AC45" s="360">
        <f>AC38</f>
        <v>1</v>
      </c>
      <c r="AD45" s="188" t="e">
        <f>IF(VLOOKUP(A45,Para1!$B$67:$E$72,2,FALSE)="9.",VLOOKUP(A45,Para1!$B$67:$E$72,3,FALSE),"")</f>
        <v>#N/A</v>
      </c>
      <c r="AE45" s="540" t="str">
        <f>IF((AB45+AC45)=0,"",IF(ISNA(AD45),"",IF(AD45="","",VLOOKUP(AD45,Para1!$D$67:$G$79,3,FALSE)*(IF(AB45+AC45=1,0.5,1)))))</f>
        <v/>
      </c>
      <c r="AF45" s="319" t="str">
        <f>IF(AB45+AC45=0,"",IF(ISNA(AD46),"",IF(AD46="","",VLOOKUP(AD46,Para1!$D$67:$G$79,4,FALSE)*(IF(AB45+AC45=1,0.5,1)))))</f>
        <v/>
      </c>
      <c r="AG45" s="188">
        <f t="shared" si="3"/>
        <v>0</v>
      </c>
      <c r="AH45" s="187">
        <f t="shared" si="4"/>
        <v>0.17500000000000002</v>
      </c>
    </row>
    <row r="46" spans="1:35" ht="16.5" customHeight="1">
      <c r="A46" s="112" t="s">
        <v>34</v>
      </c>
      <c r="B46" s="303" t="str">
        <f>IF(B45=Para1!$F$153,Para1!$F$107,IF(B45=Para1!$F$107,Para1!$F$148,IF(B45=Para1!$F$148,Para1!$F$109,IF(B45=Para1!$F$109,Para1!$F$118,IF(B45=Para1!$F$118,Para1!$F$173,IF(B45=Para1!$F$173,Para1!$F$176,Para1!$F$153))))))</f>
        <v>Do</v>
      </c>
      <c r="C46" s="339"/>
      <c r="D46" s="355"/>
      <c r="E46" s="355"/>
      <c r="F46" s="355"/>
      <c r="G46" s="357"/>
      <c r="H46" s="359"/>
      <c r="I46" s="355"/>
      <c r="J46" s="355"/>
      <c r="K46" s="357"/>
      <c r="L46" s="111">
        <f t="shared" si="12"/>
        <v>0</v>
      </c>
      <c r="M46" s="158">
        <f t="shared" si="2"/>
        <v>0.35000000000000003</v>
      </c>
      <c r="N46" s="189">
        <f t="shared" si="5"/>
        <v>-64.666666666666686</v>
      </c>
      <c r="O46" s="192"/>
      <c r="P46" s="355"/>
      <c r="Q46" s="355"/>
      <c r="R46" s="356"/>
      <c r="S46" s="357"/>
      <c r="T46" s="357"/>
      <c r="U46" s="358"/>
      <c r="V46" s="198"/>
      <c r="W46" s="373"/>
      <c r="X46" s="599"/>
      <c r="Y46" s="200"/>
      <c r="Z46" s="69"/>
      <c r="AA46" s="128"/>
      <c r="AB46" s="360">
        <f t="shared" ref="AB46:AC51" si="15">AB39</f>
        <v>1</v>
      </c>
      <c r="AC46" s="360">
        <f t="shared" si="15"/>
        <v>1</v>
      </c>
      <c r="AD46" s="188" t="str">
        <f>IF(VLOOKUP(A46,Para1!$B$67:$E$72,2,FALSE)="9.",VLOOKUP(A46,Para1!$B$67:$E$72,3,FALSE),"")</f>
        <v/>
      </c>
      <c r="AE46" s="540" t="str">
        <f>IF((AB46+AC46)=0,"",IF(ISNA(AD46),"",IF(AD46="","",VLOOKUP(AD46,Para1!$D$67:$G$79,3,FALSE)*(IF(AB46+AC46=1,0.5,1)))))</f>
        <v/>
      </c>
      <c r="AF46" s="319" t="str">
        <f>IF(AB46+AC46=0,"",IF(ISNA(AD47),"",IF(AD47="","",VLOOKUP(AD47,Para1!$D$67:$G$79,4,FALSE)*(IF(AB46+AC46=1,0.5,1)))))</f>
        <v/>
      </c>
      <c r="AG46" s="188">
        <f t="shared" si="3"/>
        <v>0</v>
      </c>
      <c r="AH46" s="187">
        <f t="shared" si="4"/>
        <v>0.17500000000000002</v>
      </c>
    </row>
    <row r="47" spans="1:35" ht="16.5" customHeight="1">
      <c r="A47" s="112" t="s">
        <v>35</v>
      </c>
      <c r="B47" s="303" t="str">
        <f>IF(B46=Para1!$F$153,Para1!$F$107,IF(B46=Para1!$F$107,Para1!$F$148,IF(B46=Para1!$F$148,Para1!$F$109,IF(B46=Para1!$F$109,Para1!$F$118,IF(B46=Para1!$F$118,Para1!$F$173,IF(B46=Para1!$F$173,Para1!$F$176,Para1!$F$153))))))</f>
        <v>Fr</v>
      </c>
      <c r="C47" s="305"/>
      <c r="D47" s="355"/>
      <c r="E47" s="355"/>
      <c r="F47" s="355"/>
      <c r="G47" s="357"/>
      <c r="H47" s="359"/>
      <c r="I47" s="355"/>
      <c r="J47" s="355"/>
      <c r="K47" s="357"/>
      <c r="L47" s="111">
        <f t="shared" si="12"/>
        <v>0</v>
      </c>
      <c r="M47" s="158">
        <f t="shared" si="2"/>
        <v>0.35000000000000003</v>
      </c>
      <c r="N47" s="189">
        <f t="shared" si="5"/>
        <v>-65.01666666666668</v>
      </c>
      <c r="O47" s="193"/>
      <c r="P47" s="355"/>
      <c r="Q47" s="355"/>
      <c r="R47" s="356"/>
      <c r="S47" s="357"/>
      <c r="T47" s="357"/>
      <c r="U47" s="358"/>
      <c r="V47" s="237"/>
      <c r="W47" s="373"/>
      <c r="X47" s="599"/>
      <c r="Y47" s="200"/>
      <c r="Z47" s="69"/>
      <c r="AA47" s="128"/>
      <c r="AB47" s="360">
        <f t="shared" si="15"/>
        <v>1</v>
      </c>
      <c r="AC47" s="360">
        <f t="shared" si="15"/>
        <v>1</v>
      </c>
      <c r="AD47" s="188" t="str">
        <f>IF(VLOOKUP(A47,Para1!$B$67:$E$72,2,FALSE)="9.",VLOOKUP(A47,Para1!$B$67:$E$72,3,FALSE),"")</f>
        <v/>
      </c>
      <c r="AE47" s="540" t="str">
        <f>IF((AB47+AC47)=0,"",IF(ISNA(AD47),"",IF(AD47="","",VLOOKUP(AD47,Para1!$D$67:$G$79,3,FALSE)*(IF(AB47+AC47=1,0.5,1)))))</f>
        <v/>
      </c>
      <c r="AF47" s="319" t="str">
        <f>IF(AB47+AC47=0,"",IF(ISNA(AD48),"",IF(AD48="","",VLOOKUP(AD48,Para1!$D$67:$G$79,4,FALSE)*(IF(AB47+AC47=1,0.5,1)))))</f>
        <v/>
      </c>
      <c r="AG47" s="188">
        <f t="shared" si="3"/>
        <v>0</v>
      </c>
      <c r="AH47" s="187">
        <f t="shared" si="4"/>
        <v>0.17500000000000002</v>
      </c>
    </row>
    <row r="48" spans="1:35" s="50" customFormat="1" ht="16.5" customHeight="1">
      <c r="A48" s="112" t="s">
        <v>36</v>
      </c>
      <c r="B48" s="303" t="str">
        <f>IF(B47=Para1!$F$153,Para1!$F$107,IF(B47=Para1!$F$107,Para1!$F$148,IF(B47=Para1!$F$148,Para1!$F$109,IF(B47=Para1!$F$109,Para1!$F$118,IF(B47=Para1!$F$118,Para1!$F$173,IF(B47=Para1!$F$173,Para1!$F$176,Para1!$F$153))))))</f>
        <v>Sa</v>
      </c>
      <c r="C48" s="305"/>
      <c r="D48" s="355"/>
      <c r="E48" s="355"/>
      <c r="F48" s="355"/>
      <c r="G48" s="357"/>
      <c r="H48" s="359"/>
      <c r="I48" s="355"/>
      <c r="J48" s="355"/>
      <c r="K48" s="357"/>
      <c r="L48" s="111">
        <f t="shared" si="12"/>
        <v>0</v>
      </c>
      <c r="M48" s="158">
        <f t="shared" si="2"/>
        <v>0</v>
      </c>
      <c r="N48" s="189">
        <f t="shared" si="5"/>
        <v>-65.01666666666668</v>
      </c>
      <c r="O48" s="193"/>
      <c r="P48" s="355"/>
      <c r="Q48" s="355"/>
      <c r="R48" s="356"/>
      <c r="S48" s="357"/>
      <c r="T48" s="357"/>
      <c r="U48" s="358"/>
      <c r="V48" s="198"/>
      <c r="W48" s="374"/>
      <c r="X48" s="599"/>
      <c r="Y48" s="200"/>
      <c r="Z48" s="69"/>
      <c r="AA48" s="128"/>
      <c r="AB48" s="360">
        <f t="shared" si="15"/>
        <v>0</v>
      </c>
      <c r="AC48" s="360">
        <f t="shared" si="15"/>
        <v>0</v>
      </c>
      <c r="AD48" s="188" t="e">
        <f>IF(VLOOKUP(A48,Para1!$B$67:$E$72,2,FALSE)="9.",VLOOKUP(A48,Para1!$B$67:$E$72,3,FALSE),"")</f>
        <v>#N/A</v>
      </c>
      <c r="AE48" s="540" t="str">
        <f>IF((AB48+AC48)=0,"",IF(ISNA(AD48),"",IF(AD48="","",VLOOKUP(AD48,Para1!$D$67:$G$79,3,FALSE)*(IF(AB48+AC48=1,0.5,1)))))</f>
        <v/>
      </c>
      <c r="AF48" s="319" t="str">
        <f>IF(AB48+AC48=0,"",IF(ISNA(AD49),"",IF(AD49="","",VLOOKUP(AD49,Para1!$D$67:$G$79,4,FALSE)*(IF(AB48+AC48=1,0.5,1)))))</f>
        <v/>
      </c>
      <c r="AG48" s="188">
        <f t="shared" si="3"/>
        <v>0</v>
      </c>
      <c r="AH48" s="187">
        <f t="shared" si="4"/>
        <v>0</v>
      </c>
    </row>
    <row r="49" spans="1:34" s="50" customFormat="1" ht="16.5" customHeight="1">
      <c r="A49" s="112" t="s">
        <v>37</v>
      </c>
      <c r="B49" s="303" t="str">
        <f>IF(B48=Para1!$F$153,Para1!$F$107,IF(B48=Para1!$F$107,Para1!$F$148,IF(B48=Para1!$F$148,Para1!$F$109,IF(B48=Para1!$F$109,Para1!$F$118,IF(B48=Para1!$F$118,Para1!$F$173,IF(B48=Para1!$F$173,Para1!$F$176,Para1!$F$153))))))</f>
        <v>So</v>
      </c>
      <c r="C49" s="305"/>
      <c r="D49" s="355"/>
      <c r="E49" s="355"/>
      <c r="F49" s="355"/>
      <c r="G49" s="357"/>
      <c r="H49" s="359"/>
      <c r="I49" s="355"/>
      <c r="J49" s="355"/>
      <c r="K49" s="357"/>
      <c r="L49" s="111">
        <f t="shared" si="12"/>
        <v>0</v>
      </c>
      <c r="M49" s="158">
        <f t="shared" si="2"/>
        <v>0</v>
      </c>
      <c r="N49" s="189">
        <f t="shared" si="5"/>
        <v>-65.01666666666668</v>
      </c>
      <c r="O49" s="193"/>
      <c r="P49" s="355"/>
      <c r="Q49" s="355"/>
      <c r="R49" s="356"/>
      <c r="S49" s="357"/>
      <c r="T49" s="357"/>
      <c r="U49" s="358"/>
      <c r="V49" s="198"/>
      <c r="W49" s="374"/>
      <c r="X49" s="599"/>
      <c r="Y49" s="200"/>
      <c r="Z49" s="69"/>
      <c r="AA49" s="128"/>
      <c r="AB49" s="360">
        <f t="shared" si="15"/>
        <v>0</v>
      </c>
      <c r="AC49" s="360">
        <f t="shared" si="15"/>
        <v>0</v>
      </c>
      <c r="AD49" s="188" t="e">
        <f>IF(VLOOKUP(A49,Para1!$B$67:$E$72,2,FALSE)="9.",VLOOKUP(A49,Para1!$B$67:$E$72,3,FALSE),"")</f>
        <v>#N/A</v>
      </c>
      <c r="AE49" s="540" t="str">
        <f>IF((AB49+AC49)=0,"",IF(ISNA(AD49),"",IF(AD49="","",VLOOKUP(AD49,Para1!$D$67:$G$79,3,FALSE)*(IF(AB49+AC49=1,0.5,1)))))</f>
        <v/>
      </c>
      <c r="AF49" s="319" t="str">
        <f>IF(AB49+AC49=0,"",IF(ISNA(AD50),"",IF(AD50="","",VLOOKUP(AD50,Para1!$D$67:$G$79,4,FALSE)*(IF(AB49+AC49=1,0.5,1)))))</f>
        <v/>
      </c>
      <c r="AG49" s="188">
        <f t="shared" si="3"/>
        <v>0</v>
      </c>
      <c r="AH49" s="187">
        <f t="shared" si="4"/>
        <v>0</v>
      </c>
    </row>
    <row r="50" spans="1:34" ht="16.5" customHeight="1">
      <c r="A50" s="112" t="s">
        <v>38</v>
      </c>
      <c r="B50" s="303" t="str">
        <f>IF(B49=Para1!$F$153,Para1!$F$107,IF(B49=Para1!$F$107,Para1!$F$148,IF(B49=Para1!$F$148,Para1!$F$109,IF(B49=Para1!$F$109,Para1!$F$118,IF(B49=Para1!$F$118,Para1!$F$173,IF(B49=Para1!$F$173,Para1!$F$176,Para1!$F$153))))))</f>
        <v>Mo</v>
      </c>
      <c r="C50" s="305"/>
      <c r="D50" s="355"/>
      <c r="E50" s="355"/>
      <c r="F50" s="355"/>
      <c r="G50" s="357"/>
      <c r="H50" s="359"/>
      <c r="I50" s="355"/>
      <c r="J50" s="355"/>
      <c r="K50" s="357"/>
      <c r="L50" s="111">
        <f t="shared" si="12"/>
        <v>0</v>
      </c>
      <c r="M50" s="158">
        <f t="shared" si="2"/>
        <v>0.35000000000000003</v>
      </c>
      <c r="N50" s="189">
        <f t="shared" si="5"/>
        <v>-65.366666666666674</v>
      </c>
      <c r="O50" s="193"/>
      <c r="P50" s="355"/>
      <c r="Q50" s="355"/>
      <c r="R50" s="356"/>
      <c r="S50" s="357"/>
      <c r="T50" s="357"/>
      <c r="U50" s="358"/>
      <c r="V50" s="198"/>
      <c r="W50" s="373"/>
      <c r="X50" s="599"/>
      <c r="Y50" s="200"/>
      <c r="Z50" s="69"/>
      <c r="AA50" s="128"/>
      <c r="AB50" s="360">
        <f t="shared" si="15"/>
        <v>1</v>
      </c>
      <c r="AC50" s="360">
        <f t="shared" si="15"/>
        <v>1</v>
      </c>
      <c r="AD50" s="188" t="e">
        <f>IF(VLOOKUP(A50,Para1!$B$67:$E$72,2,FALSE)="9.",VLOOKUP(A50,Para1!$B$67:$E$72,3,FALSE),"")</f>
        <v>#N/A</v>
      </c>
      <c r="AE50" s="540" t="str">
        <f>IF((AB50+AC50)=0,"",IF(ISNA(AD50),"",IF(AD50="","",VLOOKUP(AD50,Para1!$D$67:$G$79,3,FALSE)*(IF(AB50+AC50=1,0.5,1)))))</f>
        <v/>
      </c>
      <c r="AF50" s="319" t="str">
        <f>IF(AB50+AC50=0,"",IF(ISNA(AD51),"",IF(AD51="","",VLOOKUP(AD51,Para1!$D$67:$G$79,4,FALSE)*(IF(AB50+AC50=1,0.5,1)))))</f>
        <v/>
      </c>
      <c r="AG50" s="188">
        <f t="shared" si="3"/>
        <v>0</v>
      </c>
      <c r="AH50" s="187">
        <f t="shared" si="4"/>
        <v>0.17500000000000002</v>
      </c>
    </row>
    <row r="51" spans="1:34" ht="16.5" customHeight="1">
      <c r="A51" s="112" t="s">
        <v>39</v>
      </c>
      <c r="B51" s="303" t="str">
        <f>IF(B50=Para1!$F$153,Para1!$F$107,IF(B50=Para1!$F$107,Para1!$F$148,IF(B50=Para1!$F$148,Para1!$F$109,IF(B50=Para1!$F$109,Para1!$F$118,IF(B50=Para1!$F$118,Para1!$F$173,IF(B50=Para1!$F$173,Para1!$F$176,Para1!$F$153))))))</f>
        <v>Di</v>
      </c>
      <c r="C51" s="305"/>
      <c r="D51" s="355"/>
      <c r="E51" s="355"/>
      <c r="F51" s="355"/>
      <c r="G51" s="357"/>
      <c r="H51" s="359"/>
      <c r="I51" s="355"/>
      <c r="J51" s="355"/>
      <c r="K51" s="357"/>
      <c r="L51" s="111">
        <f t="shared" si="12"/>
        <v>0</v>
      </c>
      <c r="M51" s="158">
        <f t="shared" si="2"/>
        <v>0.35000000000000003</v>
      </c>
      <c r="N51" s="189">
        <f t="shared" si="5"/>
        <v>-65.716666666666669</v>
      </c>
      <c r="O51" s="193"/>
      <c r="P51" s="355"/>
      <c r="Q51" s="355"/>
      <c r="R51" s="356"/>
      <c r="S51" s="357"/>
      <c r="T51" s="357"/>
      <c r="U51" s="358"/>
      <c r="V51" s="198"/>
      <c r="W51" s="373"/>
      <c r="X51" s="599"/>
      <c r="Y51" s="200"/>
      <c r="Z51" s="69"/>
      <c r="AA51" s="128"/>
      <c r="AB51" s="360">
        <f t="shared" si="15"/>
        <v>1</v>
      </c>
      <c r="AC51" s="360">
        <f t="shared" si="15"/>
        <v>1</v>
      </c>
      <c r="AD51" s="188" t="e">
        <f>IF(VLOOKUP(A51,Para1!$B$67:$E$72,2,FALSE)="9.",VLOOKUP(A51,Para1!$B$67:$E$72,3,FALSE),"")</f>
        <v>#N/A</v>
      </c>
      <c r="AE51" s="540" t="str">
        <f>IF((AB51+AC51)=0,"",IF(ISNA(AD51),"",IF(AD51="","",VLOOKUP(AD51,Para1!$D$67:$G$79,3,FALSE)*(IF(AB51+AC51=1,0.5,1)))))</f>
        <v/>
      </c>
      <c r="AF51" s="319" t="str">
        <f>IF(AB51+AC51=0,"",IF(ISNA(AD52),"",IF(AD52="","",VLOOKUP(AD52,Para1!$D$67:$G$79,4,FALSE)*(IF(AB51+AC51=1,0.5,1)))))</f>
        <v/>
      </c>
      <c r="AG51" s="188">
        <f t="shared" si="3"/>
        <v>0</v>
      </c>
      <c r="AH51" s="187">
        <f t="shared" si="4"/>
        <v>0.17500000000000002</v>
      </c>
    </row>
    <row r="52" spans="1:34" ht="16.5" customHeight="1">
      <c r="A52" s="112" t="s">
        <v>40</v>
      </c>
      <c r="B52" s="303" t="str">
        <f>IF(B51=Para1!$F$153,Para1!$F$107,IF(B51=Para1!$F$107,Para1!$F$148,IF(B51=Para1!$F$148,Para1!$F$109,IF(B51=Para1!$F$109,Para1!$F$118,IF(B51=Para1!$F$118,Para1!$F$173,IF(B51=Para1!$F$173,Para1!$F$176,Para1!$F$153))))))</f>
        <v>Mi</v>
      </c>
      <c r="C52" s="339"/>
      <c r="D52" s="366"/>
      <c r="E52" s="366"/>
      <c r="F52" s="366"/>
      <c r="G52" s="367"/>
      <c r="H52" s="368"/>
      <c r="I52" s="366"/>
      <c r="J52" s="366"/>
      <c r="K52" s="369"/>
      <c r="L52" s="111">
        <f t="shared" si="12"/>
        <v>0</v>
      </c>
      <c r="M52" s="158">
        <f t="shared" si="2"/>
        <v>0.35000000000000003</v>
      </c>
      <c r="N52" s="189">
        <f t="shared" si="5"/>
        <v>-66.066666666666663</v>
      </c>
      <c r="O52" s="192"/>
      <c r="P52" s="355"/>
      <c r="Q52" s="355"/>
      <c r="R52" s="356"/>
      <c r="S52" s="357"/>
      <c r="T52" s="357"/>
      <c r="U52" s="358"/>
      <c r="V52" s="198"/>
      <c r="W52" s="373"/>
      <c r="X52" s="599"/>
      <c r="Y52" s="200"/>
      <c r="Z52" s="69"/>
      <c r="AA52" s="128"/>
      <c r="AB52" s="360">
        <f>AB45</f>
        <v>1</v>
      </c>
      <c r="AC52" s="360">
        <f>AC45</f>
        <v>1</v>
      </c>
      <c r="AD52" s="188" t="e">
        <f>IF(VLOOKUP(A52,Para1!$B$67:$E$72,2,FALSE)="9.",VLOOKUP(A52,Para1!$B$67:$E$72,3,FALSE),"")</f>
        <v>#N/A</v>
      </c>
      <c r="AE52" s="540" t="str">
        <f>IF((AB52+AC52)=0,"",IF(ISNA(AD52),"",IF(AD52="","",VLOOKUP(AD52,Para1!$D$67:$G$79,3,FALSE)*(IF(AB52+AC52=1,0.5,1)))))</f>
        <v/>
      </c>
      <c r="AF52" s="319" t="str">
        <f>IF(AB52+AC52=0,"",IF(ISNA(AD53),"",IF(AD53="","",VLOOKUP(AD53,Para1!$D$67:$G$79,4,FALSE)*(IF(AB52+AC52=1,0.5,1)))))</f>
        <v/>
      </c>
      <c r="AG52" s="188">
        <f t="shared" si="3"/>
        <v>0</v>
      </c>
      <c r="AH52" s="187">
        <f t="shared" si="4"/>
        <v>0.17500000000000002</v>
      </c>
    </row>
    <row r="53" spans="1:34" ht="16.5" customHeight="1" thickBot="1">
      <c r="A53" s="112" t="s">
        <v>41</v>
      </c>
      <c r="B53" s="303" t="str">
        <f>IF(B52=Para1!$F$153,Para1!$F$107,IF(B52=Para1!$F$107,Para1!$F$148,IF(B52=Para1!$F$148,Para1!$F$109,IF(B52=Para1!$F$109,Para1!$F$118,IF(B52=Para1!$F$118,Para1!$F$173,IF(B52=Para1!$F$173,Para1!$F$176,Para1!$F$153))))))</f>
        <v>Do</v>
      </c>
      <c r="C53" s="339"/>
      <c r="D53" s="355"/>
      <c r="E53" s="355"/>
      <c r="F53" s="355"/>
      <c r="G53" s="357"/>
      <c r="H53" s="359"/>
      <c r="I53" s="355"/>
      <c r="J53" s="355"/>
      <c r="K53" s="370"/>
      <c r="L53" s="111">
        <f t="shared" si="12"/>
        <v>0</v>
      </c>
      <c r="M53" s="158">
        <f t="shared" si="2"/>
        <v>0.35000000000000003</v>
      </c>
      <c r="N53" s="189">
        <f t="shared" si="5"/>
        <v>-66.416666666666657</v>
      </c>
      <c r="O53" s="192"/>
      <c r="P53" s="355"/>
      <c r="Q53" s="355"/>
      <c r="R53" s="356"/>
      <c r="S53" s="357"/>
      <c r="T53" s="357"/>
      <c r="U53" s="358"/>
      <c r="V53" s="198"/>
      <c r="W53" s="530"/>
      <c r="X53" s="599"/>
      <c r="Y53" s="200"/>
      <c r="Z53" s="69"/>
      <c r="AA53" s="128"/>
      <c r="AB53" s="361">
        <f>AB46</f>
        <v>1</v>
      </c>
      <c r="AC53" s="361">
        <f>AC46</f>
        <v>1</v>
      </c>
      <c r="AD53" s="188" t="e">
        <f>IF(VLOOKUP(A53,Para1!$B$67:$E$72,2,FALSE)="9.",VLOOKUP(A53,Para1!$B$67:$E$72,3,FALSE),"")</f>
        <v>#N/A</v>
      </c>
      <c r="AE53" s="540" t="str">
        <f>IF((AB53+AC53)=0,"",IF(ISNA(AD53),"",IF(AD53="","",VLOOKUP(AD53,Para1!$D$67:$G$79,3,FALSE)*(IF(AB53+AC53=1,0.5,1)))))</f>
        <v/>
      </c>
      <c r="AF53" s="540" t="str">
        <f>IF(AB53+AC53=0,"",IF(ISNA(Oktober!AD24),"",IF(Oktober!AD24="","",VLOOKUP(Oktober!AD24,Para1!$D$67:$G$79,4,FALSE)*(IF(AB53+AC53=1,0.5,1)))))</f>
        <v/>
      </c>
      <c r="AG53" s="188">
        <f t="shared" si="3"/>
        <v>0</v>
      </c>
      <c r="AH53" s="187">
        <f t="shared" si="4"/>
        <v>0.17500000000000002</v>
      </c>
    </row>
    <row r="54" spans="1:34" ht="16.5" customHeight="1" thickTop="1" thickBot="1">
      <c r="A54" s="49"/>
      <c r="B54" s="335"/>
      <c r="C54" s="337"/>
      <c r="D54" s="434"/>
      <c r="E54" s="434"/>
      <c r="F54" s="434"/>
      <c r="G54" s="435"/>
      <c r="H54" s="436"/>
      <c r="I54" s="434"/>
      <c r="J54" s="434"/>
      <c r="K54" s="437"/>
      <c r="L54" s="116"/>
      <c r="M54" s="371"/>
      <c r="N54" s="189">
        <f t="shared" si="5"/>
        <v>-66.416666666666657</v>
      </c>
      <c r="O54" s="193"/>
      <c r="P54" s="121"/>
      <c r="Q54" s="121"/>
      <c r="R54" s="123"/>
      <c r="S54" s="122"/>
      <c r="T54" s="122"/>
      <c r="U54" s="124"/>
      <c r="V54" s="237"/>
      <c r="W54" s="531"/>
      <c r="X54" s="739"/>
      <c r="Y54" s="200"/>
      <c r="Z54" s="69"/>
      <c r="AA54" s="128"/>
      <c r="AB54" s="240"/>
      <c r="AC54" s="240"/>
      <c r="AD54" s="188" t="e">
        <f>IF(VLOOKUP(A54,Para1!$B$67:$E$72,2,FALSE)="9.",VLOOKUP(A54,Para1!$B$67:$E$72,3,FALSE),"")</f>
        <v>#N/A</v>
      </c>
      <c r="AE54" s="540" t="str">
        <f>IF((AB54+AC54)=0,"",IF(ISNA(AD54),"",IF(AD54="","",VLOOKUP(AD54,Para1!$D$67:$G$79,3,FALSE)*(IF(AB54+AC54=1,0.5,1)))))</f>
        <v/>
      </c>
      <c r="AF54" s="540"/>
      <c r="AG54" s="188">
        <f t="shared" si="3"/>
        <v>0</v>
      </c>
      <c r="AH54" s="187">
        <f t="shared" si="4"/>
        <v>0</v>
      </c>
    </row>
    <row r="55" spans="1:34" ht="15" thickTop="1">
      <c r="A55" s="47"/>
      <c r="B55" s="37"/>
      <c r="C55" s="16"/>
      <c r="D55" s="38"/>
      <c r="E55" s="38"/>
      <c r="F55" s="38"/>
      <c r="G55" s="38"/>
      <c r="H55" s="38"/>
      <c r="I55" s="38"/>
      <c r="J55" s="38"/>
      <c r="K55" s="464" t="str">
        <f>Para1!F184&amp;" (hh:mm)"</f>
        <v>Total (hh:mm)</v>
      </c>
      <c r="L55" s="39">
        <f>SUM(L24:L54)</f>
        <v>0</v>
      </c>
      <c r="M55" s="44">
        <f>SUM(M24:M54)</f>
        <v>7.6999999999999966</v>
      </c>
      <c r="N55" s="44"/>
      <c r="O55" s="194"/>
      <c r="P55" s="110">
        <f t="shared" ref="P55:U55" si="16">SUM(P24:P54)</f>
        <v>0</v>
      </c>
      <c r="Q55" s="110">
        <f t="shared" si="16"/>
        <v>0</v>
      </c>
      <c r="R55" s="36">
        <f t="shared" si="16"/>
        <v>0</v>
      </c>
      <c r="S55" s="36">
        <f t="shared" si="16"/>
        <v>0</v>
      </c>
      <c r="T55" s="36">
        <f t="shared" si="16"/>
        <v>0</v>
      </c>
      <c r="U55" s="44">
        <f t="shared" si="16"/>
        <v>0</v>
      </c>
      <c r="V55" s="201"/>
      <c r="W55" s="230"/>
      <c r="X55" s="203"/>
      <c r="AB55" s="884" t="str">
        <f>Para1!F177&amp;" "&amp;Para1!F171</f>
        <v>Soll Halbtag</v>
      </c>
      <c r="AC55" s="885"/>
      <c r="AD55" s="188">
        <f>SUM(AG24:AG54)</f>
        <v>0</v>
      </c>
      <c r="AE55" s="540">
        <f>SUM(AE24:AE54)</f>
        <v>0</v>
      </c>
      <c r="AF55" s="540">
        <f>SUM(AF24:AF54)</f>
        <v>0</v>
      </c>
    </row>
    <row r="56" spans="1:34" ht="15" thickBot="1">
      <c r="A56" s="48"/>
      <c r="B56" s="40"/>
      <c r="C56" s="40"/>
      <c r="D56" s="41"/>
      <c r="E56" s="41"/>
      <c r="F56" s="41"/>
      <c r="G56" s="19"/>
      <c r="H56" s="19"/>
      <c r="I56" s="19"/>
      <c r="J56" s="19"/>
      <c r="K56" s="766" t="str">
        <f>Para1!F184&amp;" ("&amp;Para1!F106&amp;")"</f>
        <v>Total (dezimal)</v>
      </c>
      <c r="L56" s="767">
        <f>L55*24</f>
        <v>0</v>
      </c>
      <c r="M56" s="768">
        <f>M55*24</f>
        <v>184.79999999999993</v>
      </c>
      <c r="N56" s="778"/>
      <c r="O56" s="773"/>
      <c r="P56" s="771">
        <f t="shared" ref="P56:U56" si="17">P55*24</f>
        <v>0</v>
      </c>
      <c r="Q56" s="770">
        <f t="shared" si="17"/>
        <v>0</v>
      </c>
      <c r="R56" s="768">
        <f t="shared" si="17"/>
        <v>0</v>
      </c>
      <c r="S56" s="768">
        <f t="shared" si="17"/>
        <v>0</v>
      </c>
      <c r="T56" s="768">
        <f t="shared" si="17"/>
        <v>0</v>
      </c>
      <c r="U56" s="768">
        <f t="shared" si="17"/>
        <v>0</v>
      </c>
      <c r="V56" s="202"/>
      <c r="W56" s="229"/>
      <c r="X56" s="195"/>
      <c r="AB56" s="882">
        <f>(C8*24+((AE55+AF55)/100*H3))/(SUM(AB24:AC54)-AD55)/24</f>
        <v>0.17500000000000002</v>
      </c>
      <c r="AC56" s="883"/>
    </row>
    <row r="57" spans="1:34" ht="15" thickTop="1"/>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A1:B1"/>
    <mergeCell ref="A3:B3"/>
    <mergeCell ref="A22:B22"/>
    <mergeCell ref="D22:G22"/>
    <mergeCell ref="A23:B23"/>
    <mergeCell ref="C1:E1"/>
    <mergeCell ref="C7:D7"/>
    <mergeCell ref="C8:D8"/>
    <mergeCell ref="C9:D9"/>
    <mergeCell ref="C10:D10"/>
    <mergeCell ref="C11:D11"/>
    <mergeCell ref="C12:D12"/>
    <mergeCell ref="H1:I1"/>
    <mergeCell ref="M3:N3"/>
    <mergeCell ref="L21:N21"/>
    <mergeCell ref="M22:M23"/>
    <mergeCell ref="L22:L23"/>
    <mergeCell ref="N22:N23"/>
    <mergeCell ref="H22:K22"/>
    <mergeCell ref="N7:O7"/>
    <mergeCell ref="N8:O8"/>
    <mergeCell ref="X22:X23"/>
    <mergeCell ref="AB21:AC21"/>
    <mergeCell ref="AB22:AB23"/>
    <mergeCell ref="AC22:AC23"/>
    <mergeCell ref="Y21:Z21"/>
    <mergeCell ref="AB55:AC55"/>
    <mergeCell ref="AB56:AC56"/>
    <mergeCell ref="U14:V14"/>
    <mergeCell ref="U15:V15"/>
    <mergeCell ref="D60:E60"/>
    <mergeCell ref="K60:O60"/>
    <mergeCell ref="T60:X60"/>
    <mergeCell ref="P21:U21"/>
    <mergeCell ref="U22:U23"/>
    <mergeCell ref="P22:P23"/>
    <mergeCell ref="R22:R23"/>
    <mergeCell ref="Q22:Q23"/>
    <mergeCell ref="T22:T23"/>
    <mergeCell ref="S22:S23"/>
    <mergeCell ref="W21:X21"/>
    <mergeCell ref="W22:W23"/>
  </mergeCells>
  <phoneticPr fontId="0" type="noConversion"/>
  <conditionalFormatting sqref="N24">
    <cfRule type="expression" dxfId="46" priority="10">
      <formula>$L$24=0</formula>
    </cfRule>
  </conditionalFormatting>
  <conditionalFormatting sqref="N24:N54">
    <cfRule type="cellIs" dxfId="45" priority="9" operator="equal">
      <formula>N23-M24</formula>
    </cfRule>
  </conditionalFormatting>
  <conditionalFormatting sqref="A24:B54 L24:M54">
    <cfRule type="expression" dxfId="44" priority="8">
      <formula>$M24=0</formula>
    </cfRule>
  </conditionalFormatting>
  <conditionalFormatting sqref="AB24:AB53 W24:W53 D24:G53">
    <cfRule type="expression" dxfId="43" priority="7">
      <formula>$AB24=0</formula>
    </cfRule>
  </conditionalFormatting>
  <conditionalFormatting sqref="H24:K53 X24:X53 AC24:AC53">
    <cfRule type="expression" dxfId="42" priority="6">
      <formula>$AC24=0</formula>
    </cfRule>
  </conditionalFormatting>
  <conditionalFormatting sqref="P24:U53">
    <cfRule type="expression" dxfId="41" priority="4">
      <formula>$AB24+$AC24=0</formula>
    </cfRule>
    <cfRule type="expression" dxfId="40" priority="5">
      <formula>$AB24+$AC24=1</formula>
    </cfRule>
  </conditionalFormatting>
  <conditionalFormatting sqref="D24:K53 P24:U53 W24:X53 AB24:AC53">
    <cfRule type="expression" dxfId="39" priority="3">
      <formula>$AE24=0</formula>
    </cfRule>
  </conditionalFormatting>
  <pageMargins left="0.4" right="0.4" top="0.79" bottom="0.39370078740157483" header="0.28999999999999998" footer="0.15748031496062992"/>
  <pageSetup paperSize="9" scale="53" orientation="landscape" verticalDpi="300" r:id="rId1"/>
  <headerFooter alignWithMargins="0">
    <oddHeader>&amp;C&amp;"Arial,Fett Kursiv"&amp;16Zeiterfassung -  &amp;A</oddHeader>
    <oddFooter>&amp;L&amp;F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FA6557A3-C57D-4084-934D-B299E93D49BA}">
            <xm:f>OR('Persönliche Daten (pers. data)'!$K$5="Nein",'Persönliche Daten (pers. data)'!$K$5="no")</xm:f>
            <x14:dxf>
              <font>
                <color theme="0"/>
              </font>
              <border>
                <left/>
                <right/>
                <top/>
                <bottom/>
                <vertical/>
                <horizontal/>
              </border>
            </x14:dxf>
          </x14:cfRule>
          <xm:sqref>H14:I17</xm:sqref>
        </x14:conditionalFormatting>
        <x14:conditionalFormatting xmlns:xm="http://schemas.microsoft.com/office/excel/2006/main">
          <x14:cfRule type="expression" priority="1" id="{3BBD861A-BD05-4411-AB5C-7D77C64D013A}">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3">
    <pageSetUpPr fitToPage="1"/>
  </sheetPr>
  <dimension ref="A1:AH60"/>
  <sheetViews>
    <sheetView showGridLines="0" zoomScale="75" zoomScaleNormal="75" workbookViewId="0">
      <selection activeCell="L30" sqref="L30"/>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72" customWidth="1"/>
    <col min="23" max="23" width="11.83203125" style="228" customWidth="1"/>
    <col min="24" max="27" width="11.83203125" style="11" customWidth="1"/>
    <col min="28" max="28" width="11.83203125" style="228" customWidth="1"/>
    <col min="29" max="29" width="11.83203125" style="11" customWidth="1"/>
    <col min="30" max="33" width="11.5" style="11" hidden="1" customWidth="1"/>
    <col min="34"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(Overview)'!L$8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29" ht="6" customHeight="1">
      <c r="O5" s="59"/>
      <c r="T5" s="11"/>
      <c r="V5" s="73"/>
      <c r="W5" s="11"/>
      <c r="AB5" s="73"/>
      <c r="AC5" s="16"/>
    </row>
    <row r="6" spans="1:29" ht="15" customHeight="1">
      <c r="F6" s="53"/>
      <c r="G6" s="20"/>
      <c r="O6" s="59"/>
      <c r="T6" s="11"/>
      <c r="U6" s="11"/>
      <c r="V6" s="16"/>
      <c r="W6" s="11"/>
      <c r="AB6" s="73"/>
      <c r="AC6" s="16"/>
    </row>
    <row r="7" spans="1:29"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29" ht="15" customHeight="1" thickBot="1">
      <c r="B8" s="9" t="str">
        <f>Para1!F177</f>
        <v>Soll</v>
      </c>
      <c r="C8" s="848">
        <f>Para1!I61/100*H3/24</f>
        <v>7.3500000000000005</v>
      </c>
      <c r="D8" s="848"/>
      <c r="F8" s="19"/>
      <c r="H8" s="162" t="str">
        <f>Para1!F174&amp;" "&amp;Para1!F88&amp;" "&amp;Para1!F154</f>
        <v>Saldo Anfang Monat</v>
      </c>
      <c r="I8" s="159" t="e">
        <f>September!I11</f>
        <v>#N/A</v>
      </c>
      <c r="J8" s="212"/>
      <c r="M8" s="162" t="str">
        <f>Para1!F133</f>
        <v>JAZ-Kompensation</v>
      </c>
      <c r="N8" s="899">
        <f>SUMIF($W$24:$W$54,"k",$AH$24:$AH$54)+SUMIF($X$24:$X$54,"k",$AH$24:$AH$54)</f>
        <v>0</v>
      </c>
      <c r="O8" s="899"/>
      <c r="P8" s="732">
        <f>September!Q8</f>
        <v>0</v>
      </c>
      <c r="Q8" s="166">
        <f>N8+P8</f>
        <v>0</v>
      </c>
      <c r="S8" s="7"/>
      <c r="T8" s="20" t="str">
        <f>Para1!F139</f>
        <v>Krankheit</v>
      </c>
      <c r="U8" s="7"/>
      <c r="V8" s="7"/>
      <c r="W8" s="734">
        <f>P55</f>
        <v>0</v>
      </c>
      <c r="X8" s="734">
        <f>September!Y8</f>
        <v>0</v>
      </c>
      <c r="Y8" s="306">
        <f t="shared" ref="Y8:Y17" si="0">SUM(W8:X8)</f>
        <v>0</v>
      </c>
      <c r="Z8" s="155"/>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O9" s="59"/>
      <c r="S9" s="7"/>
      <c r="T9" s="20" t="str">
        <f>Para1!F196</f>
        <v>Unfall</v>
      </c>
      <c r="U9" s="7" t="str">
        <f>Para1!F98</f>
        <v>betriebsbedingt</v>
      </c>
      <c r="V9" s="7"/>
      <c r="W9" s="734">
        <f>Q55</f>
        <v>0</v>
      </c>
      <c r="X9" s="734">
        <f>September!Y9</f>
        <v>0</v>
      </c>
      <c r="Y9" s="306">
        <f t="shared" si="0"/>
        <v>0</v>
      </c>
      <c r="Z9" s="155"/>
    </row>
    <row r="10" spans="1:29" ht="15" customHeight="1">
      <c r="B10" s="22" t="str">
        <f>Para1!F108</f>
        <v>Differenz</v>
      </c>
      <c r="C10" s="904">
        <f>$C$9-$C$8</f>
        <v>-7.3500000000000005</v>
      </c>
      <c r="D10" s="904"/>
      <c r="F10" s="19"/>
      <c r="H10" s="162" t="str">
        <f>"./. "&amp;Para1!F117</f>
        <v>./. Ferienkürzung</v>
      </c>
      <c r="I10" s="210">
        <v>0</v>
      </c>
      <c r="J10" s="212"/>
      <c r="M10" s="8"/>
      <c r="N10" s="8"/>
      <c r="O10" s="8"/>
      <c r="P10" s="8"/>
      <c r="Q10" s="8"/>
      <c r="R10" s="8"/>
      <c r="S10" s="7"/>
      <c r="T10" s="8"/>
      <c r="U10" s="7" t="str">
        <f>Para1!F163&amp;" "&amp;Para1!F99</f>
        <v>nicht betr.</v>
      </c>
      <c r="V10" s="7"/>
      <c r="W10" s="734">
        <f>R55</f>
        <v>0</v>
      </c>
      <c r="X10" s="734">
        <f>September!Y10</f>
        <v>0</v>
      </c>
      <c r="Y10" s="306">
        <f t="shared" si="0"/>
        <v>0</v>
      </c>
      <c r="Z10" s="155"/>
      <c r="AB10" s="11"/>
    </row>
    <row r="11" spans="1:29" ht="15" customHeight="1" thickBot="1">
      <c r="B11" s="20" t="str">
        <f>Para1!F190</f>
        <v>Übertrag Vormnt</v>
      </c>
      <c r="C11" s="847">
        <f>September!C12</f>
        <v>-66.416666666666671</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R11" s="8"/>
      <c r="S11" s="7"/>
      <c r="T11" s="20" t="str">
        <f>Para1!F140</f>
        <v>Kurzurlaub</v>
      </c>
      <c r="U11" s="8"/>
      <c r="V11" s="8"/>
      <c r="W11" s="734">
        <f>S55</f>
        <v>0</v>
      </c>
      <c r="X11" s="734">
        <f>September!Y11</f>
        <v>0</v>
      </c>
      <c r="Y11" s="306">
        <f t="shared" si="0"/>
        <v>0</v>
      </c>
      <c r="Z11" s="155"/>
      <c r="AB11" s="11"/>
    </row>
    <row r="12" spans="1:29" ht="15" customHeight="1" thickTop="1" thickBot="1">
      <c r="A12" s="127"/>
      <c r="B12" s="330" t="str">
        <f>Para1!F174</f>
        <v>Saldo</v>
      </c>
      <c r="C12" s="901">
        <f>C10+C11</f>
        <v>-73.766666666666666</v>
      </c>
      <c r="D12" s="901"/>
      <c r="F12" s="19"/>
      <c r="G12" s="7"/>
      <c r="L12" s="448" t="s">
        <v>492</v>
      </c>
      <c r="M12" s="449" t="str">
        <f>Para1!F115</f>
        <v>Ferien</v>
      </c>
      <c r="N12" s="449"/>
      <c r="O12" s="449"/>
      <c r="P12" s="449"/>
      <c r="Q12" s="450"/>
      <c r="R12" s="8"/>
      <c r="S12" s="7"/>
      <c r="T12" s="25" t="str">
        <f>Para1!F206</f>
        <v>Weiterbildung auf Arbeitszeit</v>
      </c>
      <c r="U12" s="7"/>
      <c r="V12" s="7"/>
      <c r="W12" s="734">
        <f>T55</f>
        <v>0</v>
      </c>
      <c r="X12" s="734">
        <f>September!Y12</f>
        <v>0</v>
      </c>
      <c r="Y12" s="306">
        <f t="shared" si="0"/>
        <v>0</v>
      </c>
      <c r="Z12" s="155"/>
      <c r="AB12" s="11"/>
    </row>
    <row r="13" spans="1:29" ht="15" customHeight="1" thickTop="1">
      <c r="B13" s="330"/>
      <c r="C13" s="309"/>
      <c r="D13" s="81"/>
      <c r="F13" s="19"/>
      <c r="J13" s="160"/>
      <c r="L13" s="448" t="s">
        <v>493</v>
      </c>
      <c r="M13" s="449" t="str">
        <f>Para1!F157</f>
        <v>Mutter- und Vaterschaftsurlaub</v>
      </c>
      <c r="N13" s="449"/>
      <c r="O13" s="449"/>
      <c r="P13" s="449"/>
      <c r="Q13" s="451"/>
      <c r="R13" s="8"/>
      <c r="S13" s="7"/>
      <c r="T13" s="20" t="str">
        <f>Para1!F165</f>
        <v>Öffentliches Amt</v>
      </c>
      <c r="U13" s="7"/>
      <c r="V13" s="7"/>
      <c r="W13" s="734">
        <f>U55</f>
        <v>0</v>
      </c>
      <c r="X13" s="734">
        <f>September!Y13</f>
        <v>0</v>
      </c>
      <c r="Y13" s="306">
        <f t="shared" si="0"/>
        <v>0</v>
      </c>
      <c r="Z13" s="16"/>
      <c r="AB13" s="11"/>
    </row>
    <row r="14" spans="1:29" ht="15" customHeight="1">
      <c r="F14" s="19"/>
      <c r="H14" s="9" t="str">
        <f>Para1!F142</f>
        <v>Langzeitkonto</v>
      </c>
      <c r="I14" s="160" t="s">
        <v>103</v>
      </c>
      <c r="J14" s="59"/>
      <c r="L14" s="448" t="s">
        <v>494</v>
      </c>
      <c r="M14" s="449" t="str">
        <f>Para1!F149</f>
        <v>Militär/Zivilsch./Zivildienst</v>
      </c>
      <c r="N14" s="449"/>
      <c r="O14" s="449"/>
      <c r="P14" s="449"/>
      <c r="Q14" s="451"/>
      <c r="R14" s="8"/>
      <c r="S14" s="8"/>
      <c r="T14" s="24" t="str">
        <f>Para1!F198</f>
        <v>Urlaub</v>
      </c>
      <c r="U14" s="853" t="str">
        <f>Para1!F100</f>
        <v>bezahlt</v>
      </c>
      <c r="V14" s="853"/>
      <c r="W14" s="738">
        <f>SUMIF($W$24:$W$54,"b",$AH$24:$AH$54)+SUMIF($X$24:$X$54,"b",$AH$24:$AH$54)</f>
        <v>0</v>
      </c>
      <c r="X14" s="734">
        <f>September!Y14</f>
        <v>0</v>
      </c>
      <c r="Y14" s="155">
        <f t="shared" si="0"/>
        <v>0</v>
      </c>
      <c r="Z14" s="535"/>
      <c r="AA14" s="536"/>
      <c r="AB14" s="11"/>
    </row>
    <row r="15" spans="1:29" ht="15" customHeight="1">
      <c r="H15" s="140" t="str">
        <f>Para1!F174&amp;" "&amp;Para1!F88&amp;" "&amp;Para1!F154</f>
        <v>Saldo Anfang Monat</v>
      </c>
      <c r="I15" s="299">
        <f>September!I17</f>
        <v>0</v>
      </c>
      <c r="J15" s="59"/>
      <c r="L15" s="448" t="s">
        <v>495</v>
      </c>
      <c r="M15" s="449" t="str">
        <f>Para1!F133</f>
        <v>JAZ-Kompensation</v>
      </c>
      <c r="N15" s="449"/>
      <c r="O15" s="449"/>
      <c r="P15" s="449"/>
      <c r="Q15" s="451"/>
      <c r="R15" s="8"/>
      <c r="S15" s="8"/>
      <c r="T15" s="24"/>
      <c r="U15" s="853" t="str">
        <f>Para1!F194</f>
        <v>unbezahlt</v>
      </c>
      <c r="V15" s="853"/>
      <c r="W15" s="738">
        <f>SUMIF($W$24:$W$54,"u",$AH$24:$AH$54)+SUMIF($X$24:$X$54,"u",$AH$24:$AH$54)</f>
        <v>0</v>
      </c>
      <c r="X15" s="734">
        <f>September!Y15</f>
        <v>0</v>
      </c>
      <c r="Y15" s="155">
        <f t="shared" si="0"/>
        <v>0</v>
      </c>
      <c r="Z15" s="536"/>
      <c r="AA15" s="536"/>
      <c r="AB15" s="11"/>
    </row>
    <row r="16" spans="1:29" ht="15" customHeight="1">
      <c r="F16" s="11"/>
      <c r="G16" s="11"/>
      <c r="H16" s="140" t="str">
        <f>"./. "&amp;Para1!F145</f>
        <v>./. LZK-Bezug</v>
      </c>
      <c r="I16" s="299">
        <f>SUMIF($W$24:$W$54,"l",$AH$24:$AH$54)+SUMIF($X$24:$X$54,"l",$AH$24:$AH$54)</f>
        <v>0</v>
      </c>
      <c r="J16" s="59"/>
      <c r="L16" s="452" t="s">
        <v>496</v>
      </c>
      <c r="M16" s="456" t="str">
        <f>Para1!F198&amp;" "&amp;Para1!F100</f>
        <v>Urlaub bezahlt</v>
      </c>
      <c r="N16" s="453"/>
      <c r="O16" s="454"/>
      <c r="P16" s="455"/>
      <c r="Q16" s="451"/>
      <c r="R16" s="8"/>
      <c r="S16" s="8"/>
      <c r="T16" s="24" t="str">
        <f>Para1!F157</f>
        <v>Mutter- und Vaterschaftsurlaub</v>
      </c>
      <c r="U16" s="73"/>
      <c r="V16" s="11"/>
      <c r="W16" s="738">
        <f>SUMIF($W$24:$W$54,"m",$AH$24:$AH$54)+SUMIF($X$24:$X$54,"m",$AH$24:$AH$54)</f>
        <v>0</v>
      </c>
      <c r="X16" s="734">
        <f>September!Y16</f>
        <v>0</v>
      </c>
      <c r="Y16" s="155">
        <f t="shared" si="0"/>
        <v>0</v>
      </c>
      <c r="Z16" s="536"/>
      <c r="AA16" s="536"/>
      <c r="AB16" s="11"/>
    </row>
    <row r="17" spans="1:34" ht="15" customHeight="1" thickBot="1">
      <c r="G17" s="162"/>
      <c r="H17" s="328" t="str">
        <f>Para1!F174&amp;" "&amp;Para1!F113&amp;" "&amp;Para1!F154</f>
        <v>Saldo Ende Monat</v>
      </c>
      <c r="I17" s="732">
        <f>I15-I16</f>
        <v>0</v>
      </c>
      <c r="J17" s="164"/>
      <c r="L17" s="452" t="s">
        <v>497</v>
      </c>
      <c r="M17" s="456" t="str">
        <f>Para1!F198&amp;" "&amp;Para1!F194</f>
        <v>Urlaub unbezahlt</v>
      </c>
      <c r="N17" s="453"/>
      <c r="O17" s="454"/>
      <c r="P17" s="455"/>
      <c r="Q17" s="451"/>
      <c r="R17" s="8"/>
      <c r="S17" s="8"/>
      <c r="T17" s="24" t="str">
        <f>Para1!F149</f>
        <v>Militär/Zivilsch./Zivildienst</v>
      </c>
      <c r="U17" s="73"/>
      <c r="V17" s="11"/>
      <c r="W17" s="738">
        <f>SUMIF($W$24:$W$54,"z",$AH$24:$AH$54)+SUMIF($X$24:$X$54,"z",$AH$24:$AH$54)</f>
        <v>0</v>
      </c>
      <c r="X17" s="734">
        <f>September!Y17</f>
        <v>0</v>
      </c>
      <c r="Y17" s="155">
        <f t="shared" si="0"/>
        <v>0</v>
      </c>
      <c r="Z17" s="536"/>
      <c r="AA17" s="536"/>
      <c r="AB17" s="11"/>
    </row>
    <row r="18" spans="1:34" ht="15" customHeight="1" thickTop="1" thickBot="1">
      <c r="F18" s="616" t="str">
        <f>IF(AND(Information!H8="Nein",I16&gt;0),"ACHTUNG: Langzeitkontobezug ohne entsprechendes Konto!!","")</f>
        <v/>
      </c>
      <c r="G18" s="162"/>
      <c r="H18" s="11"/>
      <c r="I18" s="11"/>
      <c r="J18" s="164"/>
      <c r="L18" s="448" t="s">
        <v>498</v>
      </c>
      <c r="M18" s="456" t="str">
        <f>Para1!F142</f>
        <v>Langzeitkonto</v>
      </c>
      <c r="N18" s="453"/>
      <c r="O18" s="454"/>
      <c r="P18" s="455"/>
      <c r="Q18" s="451"/>
      <c r="R18" s="8"/>
      <c r="S18" s="8"/>
      <c r="T18" s="9" t="str">
        <f>Para1!F184</f>
        <v>Total</v>
      </c>
      <c r="U18" s="11"/>
      <c r="V18" s="11"/>
      <c r="W18" s="733">
        <f>SUM(W8:W17)</f>
        <v>0</v>
      </c>
      <c r="X18" s="733">
        <f>SUM(X8:X17)</f>
        <v>0</v>
      </c>
      <c r="Y18" s="733">
        <f>SUM(Y8:Y17)</f>
        <v>0</v>
      </c>
      <c r="AB18" s="11"/>
    </row>
    <row r="19" spans="1:34" ht="15" customHeight="1" thickTop="1">
      <c r="E19" s="19"/>
      <c r="G19" s="64"/>
      <c r="H19" s="64"/>
      <c r="I19" s="19"/>
      <c r="J19" s="19"/>
      <c r="M19" s="8"/>
      <c r="N19" s="8"/>
      <c r="O19" s="8"/>
      <c r="P19" s="8"/>
      <c r="Q19" s="8"/>
      <c r="R19" s="8"/>
      <c r="S19" s="21"/>
      <c r="T19" s="125"/>
      <c r="U19" s="11"/>
      <c r="V19" s="11"/>
      <c r="W19" s="59"/>
      <c r="X19" s="16"/>
      <c r="AB19" s="11"/>
    </row>
    <row r="20" spans="1:34" ht="15" customHeight="1" thickBot="1">
      <c r="A20" s="424" t="str">
        <f>Para1!J222</f>
        <v>(Bitte das Guthaben in Stunden und Minuten eingeben.)</v>
      </c>
      <c r="B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row>
    <row r="24" spans="1:34" ht="16.5" customHeight="1" thickTop="1">
      <c r="A24" s="112" t="s">
        <v>5</v>
      </c>
      <c r="B24" s="334" t="str">
        <f>IF(September!B53=Para1!$F$153,Para1!$F$107,IF(September!B53=Para1!$F$107,Para1!$F$148,IF(September!B53=Para1!$F$148,Para1!$F$109,IF(September!B53=Para1!$F$109,Para1!$F$118,IF(September!B53=Para1!$F$118,Para1!$F$173,IF(September!B53=Para1!$F$173,Para1!$F$176,Para1!$F$153))))))</f>
        <v>Fr</v>
      </c>
      <c r="C24" s="305"/>
      <c r="D24" s="355"/>
      <c r="E24" s="355"/>
      <c r="F24" s="355"/>
      <c r="G24" s="357"/>
      <c r="H24" s="359"/>
      <c r="I24" s="355"/>
      <c r="J24" s="355"/>
      <c r="K24" s="357"/>
      <c r="L24" s="111">
        <f t="shared" ref="L24:L30" si="1">SUM((G24-D24),(K24-H24))-SUM((F24-E24),(J24-I24))</f>
        <v>0</v>
      </c>
      <c r="M24" s="141">
        <f>IF(AE24=0,0,IF(AB24,$AB$56,0)+IF(AC24,$AB$56,0)-IF(AE24="",0,(AE24/4800*$H$3)+(AE24/4800*$H$3)))-IF(AF24="",0,(AF24/4800*$H$3)+(AF24/4800*$H$3))</f>
        <v>0.35000000000000003</v>
      </c>
      <c r="N24" s="189">
        <f>$C$11+$L24-M24+SUM($P24:$U24)+IF(OR($W24="f",$W24="m",$W24="z",$W24="u",$W24="b",$W24="l"),$AH24,0)+IF(OR($X24="f",$X24="m",$X24="z",$X24="u",$X24="b",$X24="l"),$AH24,0)</f>
        <v>-66.766666666666666</v>
      </c>
      <c r="O24" s="193"/>
      <c r="P24" s="355"/>
      <c r="Q24" s="355"/>
      <c r="R24" s="356"/>
      <c r="S24" s="357"/>
      <c r="T24" s="357"/>
      <c r="U24" s="358"/>
      <c r="V24" s="198"/>
      <c r="W24" s="373"/>
      <c r="X24" s="599"/>
      <c r="Y24" s="232"/>
      <c r="Z24" s="231"/>
      <c r="AA24" s="668"/>
      <c r="AB24" s="360">
        <f>September!AB47</f>
        <v>1</v>
      </c>
      <c r="AC24" s="360">
        <f>September!AC47</f>
        <v>1</v>
      </c>
      <c r="AD24" s="188" t="e">
        <f>IF(VLOOKUP(A24,Para1!$B$67:$E$72,2,FALSE)="10.",VLOOKUP(A24,Para1!$B$67:$E$72,3,FALSE),"")</f>
        <v>#N/A</v>
      </c>
      <c r="AE24" s="540" t="str">
        <f>IF((AB24+AC24)=0,"",IF(ISNA(AD24),"",IF(AD24="","",VLOOKUP(AD24,Para1!$D$67:$G$79,3,FALSE)*(IF(AB24+AC24=1,0.5,1)))))</f>
        <v/>
      </c>
      <c r="AF24" s="540" t="str">
        <f>IF(AB24+AC24=0,"",IF(ISNA(AD25),"",IF(AD25="","",VLOOKUP(AD25,Para1!$D$67:$G$79,4,FALSE)*(IF(AB24+AC24=1,0.5,1)))))</f>
        <v/>
      </c>
      <c r="AG24" s="188">
        <f>IF(AE24=0,AB24+AC24,0)</f>
        <v>0</v>
      </c>
      <c r="AH24" s="187">
        <f>IF((AB24+AC24)=0,0,M24/(AB24+AC24))</f>
        <v>0.17500000000000002</v>
      </c>
    </row>
    <row r="25" spans="1:34" ht="16.5" customHeight="1">
      <c r="A25" s="112" t="s">
        <v>7</v>
      </c>
      <c r="B25" s="334" t="str">
        <f>IF(B24=Para1!$F$153,Para1!$F$107,IF(B24=Para1!$F$107,Para1!$F$148,IF(B24=Para1!$F$148,Para1!$F$109,IF(B24=Para1!$F$109,Para1!$F$118,IF(B24=Para1!$F$118,Para1!$F$173,IF(B24=Para1!$F$173,Para1!$F$176,Para1!$F$153))))))</f>
        <v>Sa</v>
      </c>
      <c r="C25" s="305"/>
      <c r="D25" s="355"/>
      <c r="E25" s="355"/>
      <c r="F25" s="355"/>
      <c r="G25" s="357"/>
      <c r="H25" s="359"/>
      <c r="I25" s="355"/>
      <c r="J25" s="355"/>
      <c r="K25" s="357"/>
      <c r="L25" s="111">
        <f t="shared" si="1"/>
        <v>0</v>
      </c>
      <c r="M25" s="141">
        <f t="shared" ref="M25:M54" si="2">IF(AE25=0,0,IF(AB25,$AB$56,0)+IF(AC25,$AB$56,0)-IF(AE25="",0,(AE25/4800*$H$3)+(AE25/4800*$H$3)))-IF(AF25="",0,(AF25/4800*$H$3)+(AF25/4800*$H$3))</f>
        <v>0</v>
      </c>
      <c r="N25" s="189">
        <f>$N24+$L25-M25+SUM($P25:$U25)+IF(OR($W25="f",$W25="m",$W25="z",$W25="u",$W25="b",$W25="l"),$AH25,0)+IF(OR($X25="f",$X25="m",$X25="z",$X25="u",$X25="b",$X25="l"),$AH25,0)</f>
        <v>-66.766666666666666</v>
      </c>
      <c r="O25" s="193"/>
      <c r="P25" s="355"/>
      <c r="Q25" s="355"/>
      <c r="R25" s="356"/>
      <c r="S25" s="357"/>
      <c r="T25" s="357"/>
      <c r="U25" s="358"/>
      <c r="V25" s="198"/>
      <c r="W25" s="373"/>
      <c r="X25" s="599"/>
      <c r="Y25" s="200"/>
      <c r="Z25" s="69"/>
      <c r="AA25" s="128"/>
      <c r="AB25" s="360">
        <f>September!AB48</f>
        <v>0</v>
      </c>
      <c r="AC25" s="360">
        <f>September!AC48</f>
        <v>0</v>
      </c>
      <c r="AD25" s="188" t="str">
        <f>IF(VLOOKUP(A25,Para1!$B$67:$E$72,2,FALSE)="10.",VLOOKUP(A25,Para1!$B$67:$E$72,3,FALSE),"")</f>
        <v/>
      </c>
      <c r="AE25" s="540" t="str">
        <f>IF((AB25+AC25)=0,"",IF(ISNA(AD25),"",IF(AD25="","",VLOOKUP(AD25,Para1!$D$67:$G$79,3,FALSE)*(IF(AB25+AC25=1,0.5,1)))))</f>
        <v/>
      </c>
      <c r="AF25" s="540" t="str">
        <f>IF(AB25+AC25=0,"",IF(ISNA(AD26),"",IF(AD26="","",VLOOKUP(AD26,Para1!$D$67:$G$79,4,FALSE)*(IF(AB25+AC25=1,0.5,1)))))</f>
        <v/>
      </c>
      <c r="AG25" s="188">
        <f t="shared" ref="AG25:AG54" si="3">IF(AE25=0,AB25+AC25,0)</f>
        <v>0</v>
      </c>
      <c r="AH25" s="187">
        <f t="shared" ref="AH25:AH54" si="4">IF((AB25+AC25)=0,0,M25/(AB25+AC25))</f>
        <v>0</v>
      </c>
    </row>
    <row r="26" spans="1:34" ht="16.5" customHeight="1">
      <c r="A26" s="112" t="s">
        <v>9</v>
      </c>
      <c r="B26" s="334" t="str">
        <f>IF(B25=Para1!$F$153,Para1!$F$107,IF(B25=Para1!$F$107,Para1!$F$148,IF(B25=Para1!$F$148,Para1!$F$109,IF(B25=Para1!$F$109,Para1!$F$118,IF(B25=Para1!$F$118,Para1!$F$173,IF(B25=Para1!$F$173,Para1!$F$176,Para1!$F$153))))))</f>
        <v>So</v>
      </c>
      <c r="C26" s="305"/>
      <c r="D26" s="355"/>
      <c r="E26" s="355"/>
      <c r="F26" s="355"/>
      <c r="G26" s="357"/>
      <c r="H26" s="359"/>
      <c r="I26" s="355"/>
      <c r="J26" s="355"/>
      <c r="K26" s="357"/>
      <c r="L26" s="111">
        <f t="shared" si="1"/>
        <v>0</v>
      </c>
      <c r="M26" s="141">
        <f t="shared" si="2"/>
        <v>0</v>
      </c>
      <c r="N26" s="189">
        <f t="shared" ref="N26:N54" si="5">$N25+$L26-M26+SUM($P26:$U26)+IF(OR($W26="f",$W26="m",$W26="z",$W26="u",$W26="b",$W26="l"),$AH26,0)+IF(OR($X26="f",$X26="m",$X26="z",$X26="u",$X26="b",$X26="l"),$AH26,0)</f>
        <v>-66.766666666666666</v>
      </c>
      <c r="O26" s="193"/>
      <c r="P26" s="355"/>
      <c r="Q26" s="355"/>
      <c r="R26" s="356"/>
      <c r="S26" s="357"/>
      <c r="T26" s="357"/>
      <c r="U26" s="358"/>
      <c r="V26" s="198"/>
      <c r="W26" s="373"/>
      <c r="X26" s="599"/>
      <c r="Y26" s="200"/>
      <c r="Z26" s="69"/>
      <c r="AA26" s="128"/>
      <c r="AB26" s="360">
        <f>September!AB49</f>
        <v>0</v>
      </c>
      <c r="AC26" s="360">
        <f>September!AC49</f>
        <v>0</v>
      </c>
      <c r="AD26" s="188" t="e">
        <f>IF(VLOOKUP(A26,Para1!$B$67:$E$72,2,FALSE)="10.",VLOOKUP(A26,Para1!$B$67:$E$72,3,FALSE),"")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v>
      </c>
    </row>
    <row r="27" spans="1:34" ht="16.5" customHeight="1">
      <c r="A27" s="112" t="s">
        <v>11</v>
      </c>
      <c r="B27" s="334" t="str">
        <f>IF(B26=Para1!$F$153,Para1!$F$107,IF(B26=Para1!$F$107,Para1!$F$148,IF(B26=Para1!$F$148,Para1!$F$109,IF(B26=Para1!$F$109,Para1!$F$118,IF(B26=Para1!$F$118,Para1!$F$173,IF(B26=Para1!$F$173,Para1!$F$176,Para1!$F$153))))))</f>
        <v>Mo</v>
      </c>
      <c r="C27" s="305"/>
      <c r="D27" s="355"/>
      <c r="E27" s="355"/>
      <c r="F27" s="355"/>
      <c r="G27" s="357"/>
      <c r="H27" s="359"/>
      <c r="I27" s="355"/>
      <c r="J27" s="355"/>
      <c r="K27" s="357"/>
      <c r="L27" s="111">
        <f t="shared" si="1"/>
        <v>0</v>
      </c>
      <c r="M27" s="141">
        <f t="shared" si="2"/>
        <v>0.35000000000000003</v>
      </c>
      <c r="N27" s="189">
        <f t="shared" si="5"/>
        <v>-67.11666666666666</v>
      </c>
      <c r="O27" s="193"/>
      <c r="P27" s="355"/>
      <c r="Q27" s="355"/>
      <c r="R27" s="356"/>
      <c r="S27" s="357"/>
      <c r="T27" s="357"/>
      <c r="U27" s="358"/>
      <c r="V27" s="198"/>
      <c r="W27" s="374"/>
      <c r="X27" s="599"/>
      <c r="Y27" s="200"/>
      <c r="Z27" s="69"/>
      <c r="AA27" s="128"/>
      <c r="AB27" s="360">
        <f>September!AB50</f>
        <v>1</v>
      </c>
      <c r="AC27" s="360">
        <f>September!AC50</f>
        <v>1</v>
      </c>
      <c r="AD27" s="188" t="str">
        <f>IF(VLOOKUP(A27,Para1!$B$67:$E$72,2,FALSE)="10.",VLOOKUP(A27,Para1!$B$67:$E$72,3,FALSE),"")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0.17500000000000002</v>
      </c>
    </row>
    <row r="28" spans="1:34" ht="16.5" customHeight="1">
      <c r="A28" s="112" t="s">
        <v>13</v>
      </c>
      <c r="B28" s="334" t="str">
        <f>IF(B27=Para1!$F$153,Para1!$F$107,IF(B27=Para1!$F$107,Para1!$F$148,IF(B27=Para1!$F$148,Para1!$F$109,IF(B27=Para1!$F$109,Para1!$F$118,IF(B27=Para1!$F$118,Para1!$F$173,IF(B27=Para1!$F$173,Para1!$F$176,Para1!$F$153))))))</f>
        <v>Di</v>
      </c>
      <c r="C28" s="305"/>
      <c r="D28" s="355"/>
      <c r="E28" s="355"/>
      <c r="F28" s="355"/>
      <c r="G28" s="357"/>
      <c r="H28" s="359"/>
      <c r="I28" s="355"/>
      <c r="J28" s="355"/>
      <c r="K28" s="357"/>
      <c r="L28" s="111">
        <f t="shared" si="1"/>
        <v>0</v>
      </c>
      <c r="M28" s="141">
        <f t="shared" si="2"/>
        <v>0.35000000000000003</v>
      </c>
      <c r="N28" s="189">
        <f t="shared" si="5"/>
        <v>-67.466666666666654</v>
      </c>
      <c r="O28" s="193"/>
      <c r="P28" s="355"/>
      <c r="Q28" s="355"/>
      <c r="R28" s="356"/>
      <c r="S28" s="357"/>
      <c r="T28" s="357"/>
      <c r="U28" s="358"/>
      <c r="V28" s="198"/>
      <c r="W28" s="374"/>
      <c r="X28" s="599"/>
      <c r="Y28" s="200"/>
      <c r="Z28" s="69"/>
      <c r="AA28" s="128"/>
      <c r="AB28" s="360">
        <f>September!AB51</f>
        <v>1</v>
      </c>
      <c r="AC28" s="360">
        <f>September!AC51</f>
        <v>1</v>
      </c>
      <c r="AD28" s="188" t="str">
        <f>IF(VLOOKUP(A28,Para1!$B$67:$E$72,2,FALSE)="10.",VLOOKUP(A28,Para1!$B$67:$E$72,3,FALSE),"")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0.17500000000000002</v>
      </c>
    </row>
    <row r="29" spans="1:34" ht="16.5" customHeight="1">
      <c r="A29" s="112" t="s">
        <v>15</v>
      </c>
      <c r="B29" s="334" t="str">
        <f>IF(B28=Para1!$F$153,Para1!$F$107,IF(B28=Para1!$F$107,Para1!$F$148,IF(B28=Para1!$F$148,Para1!$F$109,IF(B28=Para1!$F$109,Para1!$F$118,IF(B28=Para1!$F$118,Para1!$F$173,IF(B28=Para1!$F$173,Para1!$F$176,Para1!$F$153))))))</f>
        <v>Mi</v>
      </c>
      <c r="C29" s="339"/>
      <c r="D29" s="355"/>
      <c r="E29" s="355"/>
      <c r="F29" s="355"/>
      <c r="G29" s="357"/>
      <c r="H29" s="359"/>
      <c r="I29" s="355"/>
      <c r="J29" s="355"/>
      <c r="K29" s="357"/>
      <c r="L29" s="111">
        <f t="shared" si="1"/>
        <v>0</v>
      </c>
      <c r="M29" s="141">
        <f t="shared" si="2"/>
        <v>0.35000000000000003</v>
      </c>
      <c r="N29" s="189">
        <f t="shared" si="5"/>
        <v>-67.816666666666649</v>
      </c>
      <c r="O29" s="192"/>
      <c r="P29" s="355"/>
      <c r="Q29" s="355"/>
      <c r="R29" s="356"/>
      <c r="S29" s="357"/>
      <c r="T29" s="357"/>
      <c r="U29" s="358"/>
      <c r="V29" s="198"/>
      <c r="W29" s="373"/>
      <c r="X29" s="599"/>
      <c r="Y29" s="200"/>
      <c r="Z29" s="69"/>
      <c r="AA29" s="128"/>
      <c r="AB29" s="360">
        <f>September!AB52</f>
        <v>1</v>
      </c>
      <c r="AC29" s="360">
        <f>September!AC52</f>
        <v>1</v>
      </c>
      <c r="AD29" s="188" t="e">
        <f>IF(VLOOKUP(A29,Para1!$B$67:$E$72,2,FALSE)="10.",VLOOKUP(A29,Para1!$B$67:$E$72,3,FALSE),"")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0.17500000000000002</v>
      </c>
    </row>
    <row r="30" spans="1:34" ht="16.5" customHeight="1">
      <c r="A30" s="112" t="s">
        <v>17</v>
      </c>
      <c r="B30" s="334" t="str">
        <f>IF(B29=Para1!$F$153,Para1!$F$107,IF(B29=Para1!$F$107,Para1!$F$148,IF(B29=Para1!$F$148,Para1!$F$109,IF(B29=Para1!$F$109,Para1!$F$118,IF(B29=Para1!$F$118,Para1!$F$173,IF(B29=Para1!$F$173,Para1!$F$176,Para1!$F$153))))))</f>
        <v>Do</v>
      </c>
      <c r="C30" s="339"/>
      <c r="D30" s="355"/>
      <c r="E30" s="355"/>
      <c r="F30" s="355"/>
      <c r="G30" s="357"/>
      <c r="H30" s="359"/>
      <c r="I30" s="355"/>
      <c r="J30" s="355"/>
      <c r="K30" s="357"/>
      <c r="L30" s="111">
        <f t="shared" si="1"/>
        <v>0</v>
      </c>
      <c r="M30" s="141">
        <f t="shared" si="2"/>
        <v>0.35000000000000003</v>
      </c>
      <c r="N30" s="189">
        <f t="shared" si="5"/>
        <v>-68.166666666666643</v>
      </c>
      <c r="O30" s="192"/>
      <c r="P30" s="355"/>
      <c r="Q30" s="355"/>
      <c r="R30" s="356"/>
      <c r="S30" s="357"/>
      <c r="T30" s="357"/>
      <c r="U30" s="358"/>
      <c r="V30" s="198"/>
      <c r="W30" s="373"/>
      <c r="X30" s="599"/>
      <c r="Y30" s="200"/>
      <c r="Z30" s="69"/>
      <c r="AA30" s="128"/>
      <c r="AB30" s="360">
        <f>September!AB53</f>
        <v>1</v>
      </c>
      <c r="AC30" s="360">
        <f>September!AC53</f>
        <v>1</v>
      </c>
      <c r="AD30" s="188" t="e">
        <f>IF(VLOOKUP(A30,Para1!$B$67:$E$72,2,FALSE)="10.",VLOOKUP(A30,Para1!$B$67:$E$72,3,FALSE),"")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0.17500000000000002</v>
      </c>
    </row>
    <row r="31" spans="1:34" ht="16.5" customHeight="1">
      <c r="A31" s="112" t="s">
        <v>19</v>
      </c>
      <c r="B31" s="334" t="str">
        <f>IF(B30=Para1!$F$153,Para1!$F$107,IF(B30=Para1!$F$107,Para1!$F$148,IF(B30=Para1!$F$148,Para1!$F$109,IF(B30=Para1!$F$109,Para1!$F$118,IF(B30=Para1!$F$118,Para1!$F$173,IF(B30=Para1!$F$173,Para1!$F$176,Para1!$F$153))))))</f>
        <v>Fr</v>
      </c>
      <c r="C31" s="305"/>
      <c r="D31" s="355"/>
      <c r="E31" s="355"/>
      <c r="F31" s="355"/>
      <c r="G31" s="357"/>
      <c r="H31" s="359"/>
      <c r="I31" s="355"/>
      <c r="J31" s="355"/>
      <c r="K31" s="357"/>
      <c r="L31" s="111">
        <f t="shared" ref="L31:L54" si="6">SUM((G31-D31),(K31-H31))-SUM((F31-E31),(J31-I31))</f>
        <v>0</v>
      </c>
      <c r="M31" s="141">
        <f t="shared" si="2"/>
        <v>0.35000000000000003</v>
      </c>
      <c r="N31" s="189">
        <f t="shared" si="5"/>
        <v>-68.516666666666637</v>
      </c>
      <c r="O31" s="193"/>
      <c r="P31" s="355"/>
      <c r="Q31" s="355"/>
      <c r="R31" s="356"/>
      <c r="S31" s="357"/>
      <c r="T31" s="357"/>
      <c r="U31" s="358"/>
      <c r="V31" s="198"/>
      <c r="W31" s="373"/>
      <c r="X31" s="599"/>
      <c r="Y31" s="200"/>
      <c r="Z31" s="69"/>
      <c r="AA31" s="128"/>
      <c r="AB31" s="360">
        <f>AB24</f>
        <v>1</v>
      </c>
      <c r="AC31" s="360">
        <f>AC24</f>
        <v>1</v>
      </c>
      <c r="AD31" s="188" t="e">
        <f>IF(VLOOKUP(A31,Para1!$B$67:$E$72,2,FALSE)="10.",VLOOKUP(A31,Para1!$B$67:$E$72,3,FALSE),"")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0.17500000000000002</v>
      </c>
    </row>
    <row r="32" spans="1:34" s="50" customFormat="1" ht="16.5" customHeight="1">
      <c r="A32" s="112" t="s">
        <v>20</v>
      </c>
      <c r="B32" s="334" t="str">
        <f>IF(B31=Para1!$F$153,Para1!$F$107,IF(B31=Para1!$F$107,Para1!$F$148,IF(B31=Para1!$F$148,Para1!$F$109,IF(B31=Para1!$F$109,Para1!$F$118,IF(B31=Para1!$F$118,Para1!$F$173,IF(B31=Para1!$F$173,Para1!$F$176,Para1!$F$153))))))</f>
        <v>Sa</v>
      </c>
      <c r="C32" s="305"/>
      <c r="D32" s="355"/>
      <c r="E32" s="355"/>
      <c r="F32" s="355"/>
      <c r="G32" s="357"/>
      <c r="H32" s="359"/>
      <c r="I32" s="355"/>
      <c r="J32" s="355"/>
      <c r="K32" s="357"/>
      <c r="L32" s="111">
        <f t="shared" si="6"/>
        <v>0</v>
      </c>
      <c r="M32" s="141">
        <f t="shared" si="2"/>
        <v>0</v>
      </c>
      <c r="N32" s="189">
        <f t="shared" si="5"/>
        <v>-68.516666666666637</v>
      </c>
      <c r="O32" s="193"/>
      <c r="P32" s="355"/>
      <c r="Q32" s="355"/>
      <c r="R32" s="356"/>
      <c r="S32" s="357"/>
      <c r="T32" s="357"/>
      <c r="U32" s="358"/>
      <c r="V32" s="198"/>
      <c r="W32" s="373"/>
      <c r="X32" s="599"/>
      <c r="Y32" s="200"/>
      <c r="Z32" s="69"/>
      <c r="AA32" s="128"/>
      <c r="AB32" s="360">
        <f>AB25</f>
        <v>0</v>
      </c>
      <c r="AC32" s="360">
        <f t="shared" ref="AB32:AC37" si="7">AC25</f>
        <v>0</v>
      </c>
      <c r="AD32" s="188" t="e">
        <f>IF(VLOOKUP(A32,Para1!$B$67:$E$72,2,FALSE)="10.",VLOOKUP(A32,Para1!$B$67:$E$72,3,FALSE),"")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v>
      </c>
    </row>
    <row r="33" spans="1:34" s="50" customFormat="1" ht="16.5" customHeight="1">
      <c r="A33" s="112" t="s">
        <v>21</v>
      </c>
      <c r="B33" s="334" t="str">
        <f>IF(B32=Para1!$F$153,Para1!$F$107,IF(B32=Para1!$F$107,Para1!$F$148,IF(B32=Para1!$F$148,Para1!$F$109,IF(B32=Para1!$F$109,Para1!$F$118,IF(B32=Para1!$F$118,Para1!$F$173,IF(B32=Para1!$F$173,Para1!$F$176,Para1!$F$153))))))</f>
        <v>So</v>
      </c>
      <c r="C33" s="305"/>
      <c r="D33" s="355"/>
      <c r="E33" s="355"/>
      <c r="F33" s="355"/>
      <c r="G33" s="357"/>
      <c r="H33" s="359"/>
      <c r="I33" s="355"/>
      <c r="J33" s="355"/>
      <c r="K33" s="357"/>
      <c r="L33" s="111">
        <f t="shared" si="6"/>
        <v>0</v>
      </c>
      <c r="M33" s="141">
        <f t="shared" si="2"/>
        <v>0</v>
      </c>
      <c r="N33" s="189">
        <f t="shared" si="5"/>
        <v>-68.516666666666637</v>
      </c>
      <c r="O33" s="193"/>
      <c r="P33" s="355"/>
      <c r="Q33" s="355"/>
      <c r="R33" s="356"/>
      <c r="S33" s="357"/>
      <c r="T33" s="357"/>
      <c r="U33" s="358"/>
      <c r="V33" s="237"/>
      <c r="W33" s="373"/>
      <c r="X33" s="599"/>
      <c r="Y33" s="200"/>
      <c r="Z33" s="69"/>
      <c r="AA33" s="128"/>
      <c r="AB33" s="360">
        <f t="shared" si="7"/>
        <v>0</v>
      </c>
      <c r="AC33" s="360">
        <f t="shared" si="7"/>
        <v>0</v>
      </c>
      <c r="AD33" s="188" t="e">
        <f>IF(VLOOKUP(A33,Para1!$B$67:$E$72,2,FALSE)="10.",VLOOKUP(A33,Para1!$B$67:$E$72,3,FALSE),"")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v>
      </c>
    </row>
    <row r="34" spans="1:34" ht="16.5" customHeight="1">
      <c r="A34" s="112" t="s">
        <v>22</v>
      </c>
      <c r="B34" s="334" t="str">
        <f>IF(B33=Para1!$F$153,Para1!$F$107,IF(B33=Para1!$F$107,Para1!$F$148,IF(B33=Para1!$F$148,Para1!$F$109,IF(B33=Para1!$F$109,Para1!$F$118,IF(B33=Para1!$F$118,Para1!$F$173,IF(B33=Para1!$F$173,Para1!$F$176,Para1!$F$153))))))</f>
        <v>Mo</v>
      </c>
      <c r="C34" s="305"/>
      <c r="D34" s="355"/>
      <c r="E34" s="355"/>
      <c r="F34" s="355"/>
      <c r="G34" s="357"/>
      <c r="H34" s="359"/>
      <c r="I34" s="355"/>
      <c r="J34" s="355"/>
      <c r="K34" s="357"/>
      <c r="L34" s="111">
        <f t="shared" si="6"/>
        <v>0</v>
      </c>
      <c r="M34" s="141">
        <f t="shared" si="2"/>
        <v>0.35000000000000003</v>
      </c>
      <c r="N34" s="189">
        <f t="shared" si="5"/>
        <v>-68.866666666666632</v>
      </c>
      <c r="O34" s="193"/>
      <c r="P34" s="355"/>
      <c r="Q34" s="355"/>
      <c r="R34" s="356"/>
      <c r="S34" s="357"/>
      <c r="T34" s="357"/>
      <c r="U34" s="358"/>
      <c r="V34" s="198"/>
      <c r="W34" s="374"/>
      <c r="X34" s="599"/>
      <c r="Y34" s="200"/>
      <c r="Z34" s="69"/>
      <c r="AA34" s="128"/>
      <c r="AB34" s="360">
        <f t="shared" si="7"/>
        <v>1</v>
      </c>
      <c r="AC34" s="360">
        <f t="shared" si="7"/>
        <v>1</v>
      </c>
      <c r="AD34" s="188" t="e">
        <f>IF(VLOOKUP(A34,Para1!$B$67:$E$72,2,FALSE)="10.",VLOOKUP(A34,Para1!$B$67:$E$72,3,FALSE),"")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0.17500000000000002</v>
      </c>
    </row>
    <row r="35" spans="1:34" ht="16.5" customHeight="1">
      <c r="A35" s="112" t="s">
        <v>23</v>
      </c>
      <c r="B35" s="334" t="str">
        <f>IF(B34=Para1!$F$153,Para1!$F$107,IF(B34=Para1!$F$107,Para1!$F$148,IF(B34=Para1!$F$148,Para1!$F$109,IF(B34=Para1!$F$109,Para1!$F$118,IF(B34=Para1!$F$118,Para1!$F$173,IF(B34=Para1!$F$173,Para1!$F$176,Para1!$F$153))))))</f>
        <v>Di</v>
      </c>
      <c r="C35" s="305"/>
      <c r="D35" s="355"/>
      <c r="E35" s="355"/>
      <c r="F35" s="355"/>
      <c r="G35" s="357"/>
      <c r="H35" s="359"/>
      <c r="I35" s="355"/>
      <c r="J35" s="355"/>
      <c r="K35" s="357"/>
      <c r="L35" s="111">
        <f t="shared" si="6"/>
        <v>0</v>
      </c>
      <c r="M35" s="141">
        <f t="shared" si="2"/>
        <v>0.35000000000000003</v>
      </c>
      <c r="N35" s="189">
        <f t="shared" si="5"/>
        <v>-69.216666666666626</v>
      </c>
      <c r="O35" s="193"/>
      <c r="P35" s="355"/>
      <c r="Q35" s="355"/>
      <c r="R35" s="356"/>
      <c r="S35" s="357"/>
      <c r="T35" s="357"/>
      <c r="U35" s="358"/>
      <c r="V35" s="198"/>
      <c r="W35" s="374"/>
      <c r="X35" s="599"/>
      <c r="Y35" s="200"/>
      <c r="Z35" s="69"/>
      <c r="AA35" s="128"/>
      <c r="AB35" s="360">
        <f t="shared" si="7"/>
        <v>1</v>
      </c>
      <c r="AC35" s="360">
        <f t="shared" si="7"/>
        <v>1</v>
      </c>
      <c r="AD35" s="188" t="e">
        <f>IF(VLOOKUP(A35,Para1!$B$67:$E$72,2,FALSE)="10.",VLOOKUP(A35,Para1!$B$67:$E$72,3,FALSE),"")</f>
        <v>#N/A</v>
      </c>
      <c r="AE35" s="540" t="str">
        <f>IF((AB35+AC35)=0,"",IF(ISNA(AD35),"",IF(AD35="","",VLOOKUP(AD35,Para1!$D$67:$G$79,3,FALSE)*(IF(AB35+AC35=1,0.5,1)))))</f>
        <v/>
      </c>
      <c r="AF35" s="540" t="str">
        <f>IF(AB35+AC35=0,"",IF(ISNA(AD36),"",IF(AD36="","",VLOOKUP(AD36,Para1!$D$67:$G$79,4,FALSE)*(IF(AB35+AC35=1,0.5,1)))))</f>
        <v/>
      </c>
      <c r="AG35" s="188">
        <f t="shared" si="3"/>
        <v>0</v>
      </c>
      <c r="AH35" s="187">
        <f t="shared" si="4"/>
        <v>0.17500000000000002</v>
      </c>
    </row>
    <row r="36" spans="1:34" ht="16.5" customHeight="1">
      <c r="A36" s="112" t="s">
        <v>24</v>
      </c>
      <c r="B36" s="334" t="str">
        <f>IF(B35=Para1!$F$153,Para1!$F$107,IF(B35=Para1!$F$107,Para1!$F$148,IF(B35=Para1!$F$148,Para1!$F$109,IF(B35=Para1!$F$109,Para1!$F$118,IF(B35=Para1!$F$118,Para1!$F$173,IF(B35=Para1!$F$173,Para1!$F$176,Para1!$F$153))))))</f>
        <v>Mi</v>
      </c>
      <c r="C36" s="339"/>
      <c r="D36" s="355"/>
      <c r="E36" s="355"/>
      <c r="F36" s="355"/>
      <c r="G36" s="357"/>
      <c r="H36" s="359"/>
      <c r="I36" s="355"/>
      <c r="J36" s="355"/>
      <c r="K36" s="357"/>
      <c r="L36" s="111">
        <f t="shared" si="6"/>
        <v>0</v>
      </c>
      <c r="M36" s="141">
        <f t="shared" si="2"/>
        <v>0.35000000000000003</v>
      </c>
      <c r="N36" s="189">
        <f t="shared" si="5"/>
        <v>-69.56666666666662</v>
      </c>
      <c r="O36" s="192"/>
      <c r="P36" s="355"/>
      <c r="Q36" s="355"/>
      <c r="R36" s="356"/>
      <c r="S36" s="357"/>
      <c r="T36" s="357"/>
      <c r="U36" s="358"/>
      <c r="V36" s="198"/>
      <c r="W36" s="373"/>
      <c r="X36" s="599"/>
      <c r="Y36" s="200"/>
      <c r="Z36" s="69"/>
      <c r="AA36" s="128"/>
      <c r="AB36" s="360">
        <f t="shared" si="7"/>
        <v>1</v>
      </c>
      <c r="AC36" s="360">
        <f t="shared" si="7"/>
        <v>1</v>
      </c>
      <c r="AD36" s="188" t="str">
        <f>IF(VLOOKUP(A36,Para1!$B$67:$E$72,2,FALSE)="10.",VLOOKUP(A36,Para1!$B$67:$E$72,3,FALSE),"")</f>
        <v/>
      </c>
      <c r="AE36" s="540" t="str">
        <f>IF((AB36+AC36)=0,"",IF(ISNA(AD36),"",IF(AD36="","",VLOOKUP(AD36,Para1!$D$67:$G$79,3,FALSE)*(IF(AB36+AC36=1,0.5,1)))))</f>
        <v/>
      </c>
      <c r="AF36" s="540" t="str">
        <f>IF(AB36+AC36=0,"",IF(ISNA(AD37),"",IF(AD37="","",VLOOKUP(AD37,Para1!$D$67:$G$79,4,FALSE)*(IF(AB36+AC36=1,0.5,1)))))</f>
        <v/>
      </c>
      <c r="AG36" s="188">
        <f t="shared" si="3"/>
        <v>0</v>
      </c>
      <c r="AH36" s="187">
        <f t="shared" si="4"/>
        <v>0.17500000000000002</v>
      </c>
    </row>
    <row r="37" spans="1:34" ht="16.5" customHeight="1">
      <c r="A37" s="112" t="s">
        <v>25</v>
      </c>
      <c r="B37" s="334" t="str">
        <f>IF(B36=Para1!$F$153,Para1!$F$107,IF(B36=Para1!$F$107,Para1!$F$148,IF(B36=Para1!$F$148,Para1!$F$109,IF(B36=Para1!$F$109,Para1!$F$118,IF(B36=Para1!$F$118,Para1!$F$173,IF(B36=Para1!$F$173,Para1!$F$176,Para1!$F$153))))))</f>
        <v>Do</v>
      </c>
      <c r="C37" s="339"/>
      <c r="D37" s="355"/>
      <c r="E37" s="355"/>
      <c r="F37" s="355"/>
      <c r="G37" s="357"/>
      <c r="H37" s="359"/>
      <c r="I37" s="355"/>
      <c r="J37" s="355"/>
      <c r="K37" s="357"/>
      <c r="L37" s="111">
        <f t="shared" si="6"/>
        <v>0</v>
      </c>
      <c r="M37" s="141">
        <f t="shared" si="2"/>
        <v>0.35000000000000003</v>
      </c>
      <c r="N37" s="189">
        <f t="shared" si="5"/>
        <v>-69.916666666666615</v>
      </c>
      <c r="O37" s="192"/>
      <c r="P37" s="355"/>
      <c r="Q37" s="355"/>
      <c r="R37" s="356"/>
      <c r="S37" s="357"/>
      <c r="T37" s="357"/>
      <c r="U37" s="358"/>
      <c r="V37" s="198"/>
      <c r="W37" s="373"/>
      <c r="X37" s="599"/>
      <c r="Y37" s="200"/>
      <c r="Z37" s="69"/>
      <c r="AA37" s="128"/>
      <c r="AB37" s="360">
        <f t="shared" si="7"/>
        <v>1</v>
      </c>
      <c r="AC37" s="360">
        <f t="shared" si="7"/>
        <v>1</v>
      </c>
      <c r="AD37" s="188" t="e">
        <f>IF(VLOOKUP(A37,Para1!$B$67:$E$72,2,FALSE)="10.",VLOOKUP(A37,Para1!$B$67:$E$72,3,FALSE),"")</f>
        <v>#N/A</v>
      </c>
      <c r="AE37" s="540" t="str">
        <f>IF((AB37+AC37)=0,"",IF(ISNA(AD37),"",IF(AD37="","",VLOOKUP(AD37,Para1!$D$67:$G$79,3,FALSE)*(IF(AB37+AC37=1,0.5,1)))))</f>
        <v/>
      </c>
      <c r="AF37" s="540" t="str">
        <f>IF(AB37+AC37=0,"",IF(ISNA(AD38),"",IF(AD38="","",VLOOKUP(AD38,Para1!$D$67:$G$79,4,FALSE)*(IF(AB37+AC37=1,0.5,1)))))</f>
        <v/>
      </c>
      <c r="AG37" s="188">
        <f t="shared" si="3"/>
        <v>0</v>
      </c>
      <c r="AH37" s="187">
        <f t="shared" si="4"/>
        <v>0.17500000000000002</v>
      </c>
    </row>
    <row r="38" spans="1:34" ht="16.5" customHeight="1">
      <c r="A38" s="112" t="s">
        <v>26</v>
      </c>
      <c r="B38" s="334" t="str">
        <f>IF(B37=Para1!$F$153,Para1!$F$107,IF(B37=Para1!$F$107,Para1!$F$148,IF(B37=Para1!$F$148,Para1!$F$109,IF(B37=Para1!$F$109,Para1!$F$118,IF(B37=Para1!$F$118,Para1!$F$173,IF(B37=Para1!$F$173,Para1!$F$176,Para1!$F$153))))))</f>
        <v>Fr</v>
      </c>
      <c r="C38" s="305"/>
      <c r="D38" s="355"/>
      <c r="E38" s="355"/>
      <c r="F38" s="355"/>
      <c r="G38" s="357"/>
      <c r="H38" s="359"/>
      <c r="I38" s="355"/>
      <c r="J38" s="355"/>
      <c r="K38" s="357"/>
      <c r="L38" s="111">
        <f t="shared" si="6"/>
        <v>0</v>
      </c>
      <c r="M38" s="141">
        <f t="shared" si="2"/>
        <v>0.35000000000000003</v>
      </c>
      <c r="N38" s="189">
        <f t="shared" si="5"/>
        <v>-70.266666666666609</v>
      </c>
      <c r="O38" s="193"/>
      <c r="P38" s="355"/>
      <c r="Q38" s="355"/>
      <c r="R38" s="356"/>
      <c r="S38" s="357"/>
      <c r="T38" s="357"/>
      <c r="U38" s="358"/>
      <c r="V38" s="198"/>
      <c r="W38" s="373"/>
      <c r="X38" s="599"/>
      <c r="Y38" s="200"/>
      <c r="Z38" s="69"/>
      <c r="AA38" s="128"/>
      <c r="AB38" s="360">
        <f>AB31</f>
        <v>1</v>
      </c>
      <c r="AC38" s="360">
        <f>AC31</f>
        <v>1</v>
      </c>
      <c r="AD38" s="188" t="e">
        <f>IF(VLOOKUP(A38,Para1!$B$67:$E$72,2,FALSE)="10.",VLOOKUP(A38,Para1!$B$67:$E$72,3,FALSE),"")</f>
        <v>#N/A</v>
      </c>
      <c r="AE38" s="540" t="str">
        <f>IF((AB38+AC38)=0,"",IF(ISNA(AD38),"",IF(AD38="","",VLOOKUP(AD38,Para1!$D$67:$G$79,3,FALSE)*(IF(AB38+AC38=1,0.5,1)))))</f>
        <v/>
      </c>
      <c r="AF38" s="540" t="str">
        <f>IF(AB38+AC38=0,"",IF(ISNA(AD39),"",IF(AD39="","",VLOOKUP(AD39,Para1!$D$67:$G$79,4,FALSE)*(IF(AB38+AC38=1,0.5,1)))))</f>
        <v/>
      </c>
      <c r="AG38" s="188">
        <f t="shared" si="3"/>
        <v>0</v>
      </c>
      <c r="AH38" s="187">
        <f t="shared" si="4"/>
        <v>0.17500000000000002</v>
      </c>
    </row>
    <row r="39" spans="1:34" s="50" customFormat="1" ht="16.5" customHeight="1">
      <c r="A39" s="112" t="s">
        <v>27</v>
      </c>
      <c r="B39" s="334" t="str">
        <f>IF(B38=Para1!$F$153,Para1!$F$107,IF(B38=Para1!$F$107,Para1!$F$148,IF(B38=Para1!$F$148,Para1!$F$109,IF(B38=Para1!$F$109,Para1!$F$118,IF(B38=Para1!$F$118,Para1!$F$173,IF(B38=Para1!$F$173,Para1!$F$176,Para1!$F$153))))))</f>
        <v>Sa</v>
      </c>
      <c r="C39" s="305"/>
      <c r="D39" s="355"/>
      <c r="E39" s="355"/>
      <c r="F39" s="355"/>
      <c r="G39" s="357"/>
      <c r="H39" s="359"/>
      <c r="I39" s="355"/>
      <c r="J39" s="355"/>
      <c r="K39" s="357"/>
      <c r="L39" s="111">
        <f t="shared" si="6"/>
        <v>0</v>
      </c>
      <c r="M39" s="141">
        <f t="shared" si="2"/>
        <v>0</v>
      </c>
      <c r="N39" s="189">
        <f t="shared" si="5"/>
        <v>-70.266666666666609</v>
      </c>
      <c r="O39" s="193"/>
      <c r="P39" s="355"/>
      <c r="Q39" s="355"/>
      <c r="R39" s="356"/>
      <c r="S39" s="357"/>
      <c r="T39" s="357"/>
      <c r="U39" s="358"/>
      <c r="V39" s="198"/>
      <c r="W39" s="373"/>
      <c r="X39" s="599"/>
      <c r="Y39" s="200"/>
      <c r="Z39" s="69"/>
      <c r="AA39" s="128"/>
      <c r="AB39" s="360">
        <f t="shared" ref="AB39:AC44" si="8">AB32</f>
        <v>0</v>
      </c>
      <c r="AC39" s="360">
        <f t="shared" si="8"/>
        <v>0</v>
      </c>
      <c r="AD39" s="188" t="e">
        <f>IF(VLOOKUP(A39,Para1!$B$67:$E$72,2,FALSE)="10.",VLOOKUP(A39,Para1!$B$67:$E$72,3,FALSE),"")</f>
        <v>#N/A</v>
      </c>
      <c r="AE39" s="540" t="str">
        <f>IF((AB39+AC39)=0,"",IF(ISNA(AD39),"",IF(AD39="","",VLOOKUP(AD39,Para1!$D$67:$G$79,3,FALSE)*(IF(AB39+AC39=1,0.5,1)))))</f>
        <v/>
      </c>
      <c r="AF39" s="540" t="str">
        <f>IF(AB39+AC39=0,"",IF(ISNA(AD40),"",IF(AD40="","",VLOOKUP(AD40,Para1!$D$67:$G$79,4,FALSE)*(IF(AB39+AC39=1,0.5,1)))))</f>
        <v/>
      </c>
      <c r="AG39" s="188">
        <f t="shared" si="3"/>
        <v>0</v>
      </c>
      <c r="AH39" s="187">
        <f t="shared" si="4"/>
        <v>0</v>
      </c>
    </row>
    <row r="40" spans="1:34" s="50" customFormat="1" ht="16.5" customHeight="1">
      <c r="A40" s="112" t="s">
        <v>28</v>
      </c>
      <c r="B40" s="334" t="str">
        <f>IF(B39=Para1!$F$153,Para1!$F$107,IF(B39=Para1!$F$107,Para1!$F$148,IF(B39=Para1!$F$148,Para1!$F$109,IF(B39=Para1!$F$109,Para1!$F$118,IF(B39=Para1!$F$118,Para1!$F$173,IF(B39=Para1!$F$173,Para1!$F$176,Para1!$F$153))))))</f>
        <v>So</v>
      </c>
      <c r="C40" s="305"/>
      <c r="D40" s="355"/>
      <c r="E40" s="355"/>
      <c r="F40" s="355"/>
      <c r="G40" s="357"/>
      <c r="H40" s="359"/>
      <c r="I40" s="355"/>
      <c r="J40" s="355"/>
      <c r="K40" s="357"/>
      <c r="L40" s="111">
        <f t="shared" si="6"/>
        <v>0</v>
      </c>
      <c r="M40" s="141">
        <f t="shared" si="2"/>
        <v>0</v>
      </c>
      <c r="N40" s="189">
        <f t="shared" si="5"/>
        <v>-70.266666666666609</v>
      </c>
      <c r="O40" s="193"/>
      <c r="P40" s="355"/>
      <c r="Q40" s="355"/>
      <c r="R40" s="356"/>
      <c r="S40" s="357"/>
      <c r="T40" s="357"/>
      <c r="U40" s="358"/>
      <c r="V40" s="237"/>
      <c r="W40" s="373"/>
      <c r="X40" s="599"/>
      <c r="Y40" s="200"/>
      <c r="Z40" s="69"/>
      <c r="AA40" s="128"/>
      <c r="AB40" s="360">
        <f t="shared" si="8"/>
        <v>0</v>
      </c>
      <c r="AC40" s="360">
        <f t="shared" si="8"/>
        <v>0</v>
      </c>
      <c r="AD40" s="188" t="e">
        <f>IF(VLOOKUP(A40,Para1!$B$67:$E$72,2,FALSE)="10.",VLOOKUP(A40,Para1!$B$67:$E$72,3,FALSE),"")</f>
        <v>#N/A</v>
      </c>
      <c r="AE40" s="540" t="str">
        <f>IF((AB40+AC40)=0,"",IF(ISNA(AD40),"",IF(AD40="","",VLOOKUP(AD40,Para1!$D$67:$G$79,3,FALSE)*(IF(AB40+AC40=1,0.5,1)))))</f>
        <v/>
      </c>
      <c r="AF40" s="540" t="str">
        <f>IF(AB40+AC40=0,"",IF(ISNA(AD41),"",IF(AD41="","",VLOOKUP(AD41,Para1!$D$67:$G$79,4,FALSE)*(IF(AB40+AC40=1,0.5,1)))))</f>
        <v/>
      </c>
      <c r="AG40" s="188">
        <f t="shared" si="3"/>
        <v>0</v>
      </c>
      <c r="AH40" s="187">
        <f t="shared" si="4"/>
        <v>0</v>
      </c>
    </row>
    <row r="41" spans="1:34" ht="16.5" customHeight="1">
      <c r="A41" s="112" t="s">
        <v>29</v>
      </c>
      <c r="B41" s="334" t="str">
        <f>IF(B40=Para1!$F$153,Para1!$F$107,IF(B40=Para1!$F$107,Para1!$F$148,IF(B40=Para1!$F$148,Para1!$F$109,IF(B40=Para1!$F$109,Para1!$F$118,IF(B40=Para1!$F$118,Para1!$F$173,IF(B40=Para1!$F$173,Para1!$F$176,Para1!$F$153))))))</f>
        <v>Mo</v>
      </c>
      <c r="C41" s="305"/>
      <c r="D41" s="355"/>
      <c r="E41" s="355"/>
      <c r="F41" s="355"/>
      <c r="G41" s="357"/>
      <c r="H41" s="359"/>
      <c r="I41" s="355"/>
      <c r="J41" s="355"/>
      <c r="K41" s="357"/>
      <c r="L41" s="111">
        <f t="shared" si="6"/>
        <v>0</v>
      </c>
      <c r="M41" s="141">
        <f t="shared" si="2"/>
        <v>0.35000000000000003</v>
      </c>
      <c r="N41" s="189">
        <f t="shared" si="5"/>
        <v>-70.616666666666603</v>
      </c>
      <c r="O41" s="193"/>
      <c r="P41" s="355"/>
      <c r="Q41" s="355"/>
      <c r="R41" s="356"/>
      <c r="S41" s="357"/>
      <c r="T41" s="357"/>
      <c r="U41" s="358"/>
      <c r="V41" s="198"/>
      <c r="W41" s="374"/>
      <c r="X41" s="599"/>
      <c r="Y41" s="200"/>
      <c r="Z41" s="69"/>
      <c r="AA41" s="128"/>
      <c r="AB41" s="360">
        <f t="shared" si="8"/>
        <v>1</v>
      </c>
      <c r="AC41" s="360">
        <f t="shared" si="8"/>
        <v>1</v>
      </c>
      <c r="AD41" s="188" t="e">
        <f>IF(VLOOKUP(A41,Para1!$B$67:$E$72,2,FALSE)="10.",VLOOKUP(A41,Para1!$B$67:$E$72,3,FALSE),"")</f>
        <v>#N/A</v>
      </c>
      <c r="AE41" s="540" t="str">
        <f>IF((AB41+AC41)=0,"",IF(ISNA(AD41),"",IF(AD41="","",VLOOKUP(AD41,Para1!$D$67:$G$79,3,FALSE)*(IF(AB41+AC41=1,0.5,1)))))</f>
        <v/>
      </c>
      <c r="AF41" s="540" t="str">
        <f>IF(AB41+AC41=0,"",IF(ISNA(AD42),"",IF(AD42="","",VLOOKUP(AD42,Para1!$D$67:$G$79,4,FALSE)*(IF(AB41+AC41=1,0.5,1)))))</f>
        <v/>
      </c>
      <c r="AG41" s="188">
        <f t="shared" si="3"/>
        <v>0</v>
      </c>
      <c r="AH41" s="187">
        <f t="shared" si="4"/>
        <v>0.17500000000000002</v>
      </c>
    </row>
    <row r="42" spans="1:34" ht="16.5" customHeight="1">
      <c r="A42" s="112" t="s">
        <v>30</v>
      </c>
      <c r="B42" s="334" t="str">
        <f>IF(B41=Para1!$F$153,Para1!$F$107,IF(B41=Para1!$F$107,Para1!$F$148,IF(B41=Para1!$F$148,Para1!$F$109,IF(B41=Para1!$F$109,Para1!$F$118,IF(B41=Para1!$F$118,Para1!$F$173,IF(B41=Para1!$F$173,Para1!$F$176,Para1!$F$153))))))</f>
        <v>Di</v>
      </c>
      <c r="C42" s="305"/>
      <c r="D42" s="355"/>
      <c r="E42" s="355"/>
      <c r="F42" s="355"/>
      <c r="G42" s="357"/>
      <c r="H42" s="359"/>
      <c r="I42" s="355"/>
      <c r="J42" s="355"/>
      <c r="K42" s="357"/>
      <c r="L42" s="111">
        <f t="shared" si="6"/>
        <v>0</v>
      </c>
      <c r="M42" s="141">
        <f t="shared" si="2"/>
        <v>0.35000000000000003</v>
      </c>
      <c r="N42" s="189">
        <f t="shared" si="5"/>
        <v>-70.966666666666598</v>
      </c>
      <c r="O42" s="193"/>
      <c r="P42" s="355"/>
      <c r="Q42" s="355"/>
      <c r="R42" s="356"/>
      <c r="S42" s="357"/>
      <c r="T42" s="357"/>
      <c r="U42" s="358"/>
      <c r="V42" s="198"/>
      <c r="W42" s="374"/>
      <c r="X42" s="599"/>
      <c r="Y42" s="200"/>
      <c r="Z42" s="69"/>
      <c r="AA42" s="128"/>
      <c r="AB42" s="360">
        <f t="shared" si="8"/>
        <v>1</v>
      </c>
      <c r="AC42" s="360">
        <f t="shared" si="8"/>
        <v>1</v>
      </c>
      <c r="AD42" s="188" t="e">
        <f>IF(VLOOKUP(A42,Para1!$B$67:$E$72,2,FALSE)="10.",VLOOKUP(A42,Para1!$B$67:$E$72,3,FALSE),"")</f>
        <v>#N/A</v>
      </c>
      <c r="AE42" s="540" t="str">
        <f>IF((AB42+AC42)=0,"",IF(ISNA(AD42),"",IF(AD42="","",VLOOKUP(AD42,Para1!$D$67:$G$79,3,FALSE)*(IF(AB42+AC42=1,0.5,1)))))</f>
        <v/>
      </c>
      <c r="AF42" s="540" t="str">
        <f>IF(AB42+AC42=0,"",IF(ISNA(AD43),"",IF(AD43="","",VLOOKUP(AD43,Para1!$D$67:$G$79,4,FALSE)*(IF(AB42+AC42=1,0.5,1)))))</f>
        <v/>
      </c>
      <c r="AG42" s="188">
        <f t="shared" si="3"/>
        <v>0</v>
      </c>
      <c r="AH42" s="187">
        <f t="shared" si="4"/>
        <v>0.17500000000000002</v>
      </c>
    </row>
    <row r="43" spans="1:34" ht="16.5" customHeight="1">
      <c r="A43" s="112" t="s">
        <v>31</v>
      </c>
      <c r="B43" s="334" t="str">
        <f>IF(B42=Para1!$F$153,Para1!$F$107,IF(B42=Para1!$F$107,Para1!$F$148,IF(B42=Para1!$F$148,Para1!$F$109,IF(B42=Para1!$F$109,Para1!$F$118,IF(B42=Para1!$F$118,Para1!$F$173,IF(B42=Para1!$F$173,Para1!$F$176,Para1!$F$153))))))</f>
        <v>Mi</v>
      </c>
      <c r="C43" s="339"/>
      <c r="D43" s="355"/>
      <c r="E43" s="355"/>
      <c r="F43" s="355"/>
      <c r="G43" s="357"/>
      <c r="H43" s="359"/>
      <c r="I43" s="355"/>
      <c r="J43" s="355"/>
      <c r="K43" s="357"/>
      <c r="L43" s="111">
        <f t="shared" si="6"/>
        <v>0</v>
      </c>
      <c r="M43" s="141">
        <f t="shared" si="2"/>
        <v>0.35000000000000003</v>
      </c>
      <c r="N43" s="189">
        <f t="shared" si="5"/>
        <v>-71.316666666666592</v>
      </c>
      <c r="O43" s="192"/>
      <c r="P43" s="355"/>
      <c r="Q43" s="355"/>
      <c r="R43" s="356"/>
      <c r="S43" s="357"/>
      <c r="T43" s="357"/>
      <c r="U43" s="358"/>
      <c r="V43" s="198"/>
      <c r="W43" s="373"/>
      <c r="X43" s="599"/>
      <c r="Y43" s="200"/>
      <c r="Z43" s="69"/>
      <c r="AA43" s="128"/>
      <c r="AB43" s="360">
        <f t="shared" si="8"/>
        <v>1</v>
      </c>
      <c r="AC43" s="360">
        <f t="shared" si="8"/>
        <v>1</v>
      </c>
      <c r="AD43" s="188" t="e">
        <f>IF(VLOOKUP(A43,Para1!$B$67:$E$72,2,FALSE)="10.",VLOOKUP(A43,Para1!$B$67:$E$72,3,FALSE),"")</f>
        <v>#N/A</v>
      </c>
      <c r="AE43" s="540" t="str">
        <f>IF((AB43+AC43)=0,"",IF(ISNA(AD43),"",IF(AD43="","",VLOOKUP(AD43,Para1!$D$67:$G$79,3,FALSE)*(IF(AB43+AC43=1,0.5,1)))))</f>
        <v/>
      </c>
      <c r="AF43" s="540" t="str">
        <f>IF(AB43+AC43=0,"",IF(ISNA(AD44),"",IF(AD44="","",VLOOKUP(AD44,Para1!$D$67:$G$79,4,FALSE)*(IF(AB43+AC43=1,0.5,1)))))</f>
        <v/>
      </c>
      <c r="AG43" s="188">
        <f t="shared" si="3"/>
        <v>0</v>
      </c>
      <c r="AH43" s="187">
        <f t="shared" si="4"/>
        <v>0.17500000000000002</v>
      </c>
    </row>
    <row r="44" spans="1:34" ht="16.5" customHeight="1">
      <c r="A44" s="112" t="s">
        <v>32</v>
      </c>
      <c r="B44" s="334" t="str">
        <f>IF(B43=Para1!$F$153,Para1!$F$107,IF(B43=Para1!$F$107,Para1!$F$148,IF(B43=Para1!$F$148,Para1!$F$109,IF(B43=Para1!$F$109,Para1!$F$118,IF(B43=Para1!$F$118,Para1!$F$173,IF(B43=Para1!$F$173,Para1!$F$176,Para1!$F$153))))))</f>
        <v>Do</v>
      </c>
      <c r="C44" s="339"/>
      <c r="D44" s="355"/>
      <c r="E44" s="355"/>
      <c r="F44" s="355"/>
      <c r="G44" s="357"/>
      <c r="H44" s="359"/>
      <c r="I44" s="355"/>
      <c r="J44" s="355"/>
      <c r="K44" s="357"/>
      <c r="L44" s="111">
        <f t="shared" si="6"/>
        <v>0</v>
      </c>
      <c r="M44" s="141">
        <f t="shared" si="2"/>
        <v>0.35000000000000003</v>
      </c>
      <c r="N44" s="189">
        <f t="shared" si="5"/>
        <v>-71.666666666666586</v>
      </c>
      <c r="O44" s="192"/>
      <c r="P44" s="355"/>
      <c r="Q44" s="355"/>
      <c r="R44" s="356"/>
      <c r="S44" s="357"/>
      <c r="T44" s="357"/>
      <c r="U44" s="358"/>
      <c r="V44" s="198"/>
      <c r="W44" s="373"/>
      <c r="X44" s="599"/>
      <c r="Y44" s="200"/>
      <c r="Z44" s="69"/>
      <c r="AA44" s="128"/>
      <c r="AB44" s="360">
        <f t="shared" si="8"/>
        <v>1</v>
      </c>
      <c r="AC44" s="360">
        <f t="shared" si="8"/>
        <v>1</v>
      </c>
      <c r="AD44" s="188" t="e">
        <f>IF(VLOOKUP(A44,Para1!$B$67:$E$72,2,FALSE)="10.",VLOOKUP(A44,Para1!$B$67:$E$72,3,FALSE),"")</f>
        <v>#N/A</v>
      </c>
      <c r="AE44" s="540" t="str">
        <f>IF((AB44+AC44)=0,"",IF(ISNA(AD44),"",IF(AD44="","",VLOOKUP(AD44,Para1!$D$67:$G$79,3,FALSE)*(IF(AB44+AC44=1,0.5,1)))))</f>
        <v/>
      </c>
      <c r="AF44" s="540" t="str">
        <f>IF(AB44+AC44=0,"",IF(ISNA(AD45),"",IF(AD45="","",VLOOKUP(AD45,Para1!$D$67:$G$79,4,FALSE)*(IF(AB44+AC44=1,0.5,1)))))</f>
        <v/>
      </c>
      <c r="AG44" s="188">
        <f t="shared" si="3"/>
        <v>0</v>
      </c>
      <c r="AH44" s="187">
        <f t="shared" si="4"/>
        <v>0.17500000000000002</v>
      </c>
    </row>
    <row r="45" spans="1:34" ht="16.5" customHeight="1">
      <c r="A45" s="112" t="s">
        <v>33</v>
      </c>
      <c r="B45" s="334" t="str">
        <f>IF(B44=Para1!$F$153,Para1!$F$107,IF(B44=Para1!$F$107,Para1!$F$148,IF(B44=Para1!$F$148,Para1!$F$109,IF(B44=Para1!$F$109,Para1!$F$118,IF(B44=Para1!$F$118,Para1!$F$173,IF(B44=Para1!$F$173,Para1!$F$176,Para1!$F$153))))))</f>
        <v>Fr</v>
      </c>
      <c r="C45" s="305"/>
      <c r="D45" s="355"/>
      <c r="E45" s="355"/>
      <c r="F45" s="355"/>
      <c r="G45" s="357"/>
      <c r="H45" s="359"/>
      <c r="I45" s="355"/>
      <c r="J45" s="355"/>
      <c r="K45" s="357"/>
      <c r="L45" s="111">
        <f t="shared" si="6"/>
        <v>0</v>
      </c>
      <c r="M45" s="141">
        <f t="shared" si="2"/>
        <v>0.35000000000000003</v>
      </c>
      <c r="N45" s="189">
        <f t="shared" si="5"/>
        <v>-72.01666666666658</v>
      </c>
      <c r="O45" s="193"/>
      <c r="P45" s="355"/>
      <c r="Q45" s="355"/>
      <c r="R45" s="356"/>
      <c r="S45" s="357"/>
      <c r="T45" s="357"/>
      <c r="U45" s="358"/>
      <c r="V45" s="198"/>
      <c r="W45" s="373"/>
      <c r="X45" s="599"/>
      <c r="Y45" s="200"/>
      <c r="Z45" s="69"/>
      <c r="AA45" s="128"/>
      <c r="AB45" s="360">
        <f>AB38</f>
        <v>1</v>
      </c>
      <c r="AC45" s="360">
        <f>AC38</f>
        <v>1</v>
      </c>
      <c r="AD45" s="188" t="e">
        <f>IF(VLOOKUP(A45,Para1!$B$67:$E$72,2,FALSE)="10.",VLOOKUP(A45,Para1!$B$67:$E$72,3,FALSE),"")</f>
        <v>#N/A</v>
      </c>
      <c r="AE45" s="540" t="str">
        <f>IF((AB45+AC45)=0,"",IF(ISNA(AD45),"",IF(AD45="","",VLOOKUP(AD45,Para1!$D$67:$G$79,3,FALSE)*(IF(AB45+AC45=1,0.5,1)))))</f>
        <v/>
      </c>
      <c r="AF45" s="540" t="str">
        <f>IF(AB45+AC45=0,"",IF(ISNA(AD46),"",IF(AD46="","",VLOOKUP(AD46,Para1!$D$67:$G$79,4,FALSE)*(IF(AB45+AC45=1,0.5,1)))))</f>
        <v/>
      </c>
      <c r="AG45" s="188">
        <f t="shared" si="3"/>
        <v>0</v>
      </c>
      <c r="AH45" s="187">
        <f t="shared" si="4"/>
        <v>0.17500000000000002</v>
      </c>
    </row>
    <row r="46" spans="1:34" s="50" customFormat="1" ht="16.5" customHeight="1">
      <c r="A46" s="112" t="s">
        <v>34</v>
      </c>
      <c r="B46" s="334" t="str">
        <f>IF(B45=Para1!$F$153,Para1!$F$107,IF(B45=Para1!$F$107,Para1!$F$148,IF(B45=Para1!$F$148,Para1!$F$109,IF(B45=Para1!$F$109,Para1!$F$118,IF(B45=Para1!$F$118,Para1!$F$173,IF(B45=Para1!$F$173,Para1!$F$176,Para1!$F$153))))))</f>
        <v>Sa</v>
      </c>
      <c r="C46" s="305"/>
      <c r="D46" s="355"/>
      <c r="E46" s="355"/>
      <c r="F46" s="355"/>
      <c r="G46" s="357"/>
      <c r="H46" s="359"/>
      <c r="I46" s="355"/>
      <c r="J46" s="355"/>
      <c r="K46" s="357"/>
      <c r="L46" s="111">
        <f t="shared" si="6"/>
        <v>0</v>
      </c>
      <c r="M46" s="141">
        <f t="shared" si="2"/>
        <v>0</v>
      </c>
      <c r="N46" s="189">
        <f t="shared" si="5"/>
        <v>-72.01666666666658</v>
      </c>
      <c r="O46" s="193"/>
      <c r="P46" s="355"/>
      <c r="Q46" s="355"/>
      <c r="R46" s="356"/>
      <c r="S46" s="357"/>
      <c r="T46" s="357"/>
      <c r="U46" s="358"/>
      <c r="V46" s="198"/>
      <c r="W46" s="373"/>
      <c r="X46" s="599"/>
      <c r="Y46" s="200"/>
      <c r="Z46" s="69"/>
      <c r="AA46" s="128"/>
      <c r="AB46" s="360">
        <f t="shared" ref="AB46:AC51" si="9">AB39</f>
        <v>0</v>
      </c>
      <c r="AC46" s="360">
        <f t="shared" si="9"/>
        <v>0</v>
      </c>
      <c r="AD46" s="188" t="str">
        <f>IF(VLOOKUP(A46,Para1!$B$67:$E$72,2,FALSE)="10.",VLOOKUP(A46,Para1!$B$67:$E$72,3,FALSE),"")</f>
        <v/>
      </c>
      <c r="AE46" s="540" t="str">
        <f>IF((AB46+AC46)=0,"",IF(ISNA(AD46),"",IF(AD46="","",VLOOKUP(AD46,Para1!$D$67:$G$79,3,FALSE)*(IF(AB46+AC46=1,0.5,1)))))</f>
        <v/>
      </c>
      <c r="AF46" s="540" t="str">
        <f>IF(AB46+AC46=0,"",IF(ISNA(AD47),"",IF(AD47="","",VLOOKUP(AD47,Para1!$D$67:$G$79,4,FALSE)*(IF(AB46+AC46=1,0.5,1)))))</f>
        <v/>
      </c>
      <c r="AG46" s="188">
        <f t="shared" si="3"/>
        <v>0</v>
      </c>
      <c r="AH46" s="187">
        <f t="shared" si="4"/>
        <v>0</v>
      </c>
    </row>
    <row r="47" spans="1:34" s="50" customFormat="1" ht="16.5" customHeight="1">
      <c r="A47" s="112" t="s">
        <v>35</v>
      </c>
      <c r="B47" s="334" t="str">
        <f>IF(B46=Para1!$F$153,Para1!$F$107,IF(B46=Para1!$F$107,Para1!$F$148,IF(B46=Para1!$F$148,Para1!$F$109,IF(B46=Para1!$F$109,Para1!$F$118,IF(B46=Para1!$F$118,Para1!$F$173,IF(B46=Para1!$F$173,Para1!$F$176,Para1!$F$153))))))</f>
        <v>So</v>
      </c>
      <c r="C47" s="305"/>
      <c r="D47" s="355"/>
      <c r="E47" s="355"/>
      <c r="F47" s="355"/>
      <c r="G47" s="357"/>
      <c r="H47" s="359"/>
      <c r="I47" s="355"/>
      <c r="J47" s="355"/>
      <c r="K47" s="357"/>
      <c r="L47" s="111">
        <f t="shared" si="6"/>
        <v>0</v>
      </c>
      <c r="M47" s="141">
        <f t="shared" si="2"/>
        <v>0</v>
      </c>
      <c r="N47" s="189">
        <f t="shared" si="5"/>
        <v>-72.01666666666658</v>
      </c>
      <c r="O47" s="193"/>
      <c r="P47" s="355"/>
      <c r="Q47" s="355"/>
      <c r="R47" s="356"/>
      <c r="S47" s="357"/>
      <c r="T47" s="357"/>
      <c r="U47" s="358"/>
      <c r="V47" s="237"/>
      <c r="W47" s="373"/>
      <c r="X47" s="599"/>
      <c r="Y47" s="200"/>
      <c r="Z47" s="69"/>
      <c r="AA47" s="128"/>
      <c r="AB47" s="360">
        <f t="shared" si="9"/>
        <v>0</v>
      </c>
      <c r="AC47" s="360">
        <f t="shared" si="9"/>
        <v>0</v>
      </c>
      <c r="AD47" s="188" t="str">
        <f>IF(VLOOKUP(A47,Para1!$B$67:$E$72,2,FALSE)="10.",VLOOKUP(A47,Para1!$B$67:$E$72,3,FALSE),"")</f>
        <v/>
      </c>
      <c r="AE47" s="540" t="str">
        <f>IF((AB47+AC47)=0,"",IF(ISNA(AD47),"",IF(AD47="","",VLOOKUP(AD47,Para1!$D$67:$G$79,3,FALSE)*(IF(AB47+AC47=1,0.5,1)))))</f>
        <v/>
      </c>
      <c r="AF47" s="540" t="str">
        <f>IF(AB47+AC47=0,"",IF(ISNA(AD48),"",IF(AD48="","",VLOOKUP(AD48,Para1!$D$67:$G$79,4,FALSE)*(IF(AB47+AC47=1,0.5,1)))))</f>
        <v/>
      </c>
      <c r="AG47" s="188">
        <f t="shared" si="3"/>
        <v>0</v>
      </c>
      <c r="AH47" s="187">
        <f t="shared" si="4"/>
        <v>0</v>
      </c>
    </row>
    <row r="48" spans="1:34" ht="16.5" customHeight="1">
      <c r="A48" s="112" t="s">
        <v>36</v>
      </c>
      <c r="B48" s="334" t="str">
        <f>IF(B47=Para1!$F$153,Para1!$F$107,IF(B47=Para1!$F$107,Para1!$F$148,IF(B47=Para1!$F$148,Para1!$F$109,IF(B47=Para1!$F$109,Para1!$F$118,IF(B47=Para1!$F$118,Para1!$F$173,IF(B47=Para1!$F$173,Para1!$F$176,Para1!$F$153))))))</f>
        <v>Mo</v>
      </c>
      <c r="C48" s="305"/>
      <c r="D48" s="355"/>
      <c r="E48" s="355"/>
      <c r="F48" s="355"/>
      <c r="G48" s="357"/>
      <c r="H48" s="359"/>
      <c r="I48" s="355"/>
      <c r="J48" s="355"/>
      <c r="K48" s="357"/>
      <c r="L48" s="111">
        <f t="shared" si="6"/>
        <v>0</v>
      </c>
      <c r="M48" s="141">
        <f t="shared" si="2"/>
        <v>0.35000000000000003</v>
      </c>
      <c r="N48" s="189">
        <f t="shared" si="5"/>
        <v>-72.366666666666575</v>
      </c>
      <c r="O48" s="193"/>
      <c r="P48" s="355"/>
      <c r="Q48" s="355"/>
      <c r="R48" s="356"/>
      <c r="S48" s="357"/>
      <c r="T48" s="357"/>
      <c r="U48" s="358"/>
      <c r="V48" s="198"/>
      <c r="W48" s="374"/>
      <c r="X48" s="599"/>
      <c r="Y48" s="200"/>
      <c r="Z48" s="69"/>
      <c r="AA48" s="128"/>
      <c r="AB48" s="360">
        <f t="shared" si="9"/>
        <v>1</v>
      </c>
      <c r="AC48" s="360">
        <f t="shared" si="9"/>
        <v>1</v>
      </c>
      <c r="AD48" s="188" t="e">
        <f>IF(VLOOKUP(A48,Para1!$B$67:$E$72,2,FALSE)="10.",VLOOKUP(A48,Para1!$B$67:$E$72,3,FALSE),"")</f>
        <v>#N/A</v>
      </c>
      <c r="AE48" s="540" t="str">
        <f>IF((AB48+AC48)=0,"",IF(ISNA(AD48),"",IF(AD48="","",VLOOKUP(AD48,Para1!$D$67:$G$79,3,FALSE)*(IF(AB48+AC48=1,0.5,1)))))</f>
        <v/>
      </c>
      <c r="AF48" s="540" t="str">
        <f>IF(AB48+AC48=0,"",IF(ISNA(AD49),"",IF(AD49="","",VLOOKUP(AD49,Para1!$D$67:$G$79,4,FALSE)*(IF(AB48+AC48=1,0.5,1)))))</f>
        <v/>
      </c>
      <c r="AG48" s="188">
        <f t="shared" si="3"/>
        <v>0</v>
      </c>
      <c r="AH48" s="187">
        <f t="shared" si="4"/>
        <v>0.17500000000000002</v>
      </c>
    </row>
    <row r="49" spans="1:34" ht="16.5" customHeight="1">
      <c r="A49" s="112" t="s">
        <v>37</v>
      </c>
      <c r="B49" s="334" t="str">
        <f>IF(B48=Para1!$F$153,Para1!$F$107,IF(B48=Para1!$F$107,Para1!$F$148,IF(B48=Para1!$F$148,Para1!$F$109,IF(B48=Para1!$F$109,Para1!$F$118,IF(B48=Para1!$F$118,Para1!$F$173,IF(B48=Para1!$F$173,Para1!$F$176,Para1!$F$153))))))</f>
        <v>Di</v>
      </c>
      <c r="C49" s="305"/>
      <c r="D49" s="355"/>
      <c r="E49" s="355"/>
      <c r="F49" s="355"/>
      <c r="G49" s="357"/>
      <c r="H49" s="359"/>
      <c r="I49" s="355"/>
      <c r="J49" s="355"/>
      <c r="K49" s="357"/>
      <c r="L49" s="111">
        <f t="shared" si="6"/>
        <v>0</v>
      </c>
      <c r="M49" s="141">
        <f t="shared" si="2"/>
        <v>0.35000000000000003</v>
      </c>
      <c r="N49" s="189">
        <f t="shared" si="5"/>
        <v>-72.716666666666569</v>
      </c>
      <c r="O49" s="193"/>
      <c r="P49" s="355"/>
      <c r="Q49" s="355"/>
      <c r="R49" s="356"/>
      <c r="S49" s="357"/>
      <c r="T49" s="357"/>
      <c r="U49" s="358"/>
      <c r="V49" s="198"/>
      <c r="W49" s="374"/>
      <c r="X49" s="599"/>
      <c r="Y49" s="200"/>
      <c r="Z49" s="69"/>
      <c r="AA49" s="128"/>
      <c r="AB49" s="360">
        <f t="shared" si="9"/>
        <v>1</v>
      </c>
      <c r="AC49" s="360">
        <f t="shared" si="9"/>
        <v>1</v>
      </c>
      <c r="AD49" s="188" t="e">
        <f>IF(VLOOKUP(A49,Para1!$B$67:$E$72,2,FALSE)="10.",VLOOKUP(A49,Para1!$B$67:$E$72,3,FALSE),"")</f>
        <v>#N/A</v>
      </c>
      <c r="AE49" s="540" t="str">
        <f>IF((AB49+AC49)=0,"",IF(ISNA(AD49),"",IF(AD49="","",VLOOKUP(AD49,Para1!$D$67:$G$79,3,FALSE)*(IF(AB49+AC49=1,0.5,1)))))</f>
        <v/>
      </c>
      <c r="AF49" s="540" t="str">
        <f>IF(AB49+AC49=0,"",IF(ISNA(AD50),"",IF(AD50="","",VLOOKUP(AD50,Para1!$D$67:$G$79,4,FALSE)*(IF(AB49+AC49=1,0.5,1)))))</f>
        <v/>
      </c>
      <c r="AG49" s="188">
        <f t="shared" si="3"/>
        <v>0</v>
      </c>
      <c r="AH49" s="187">
        <f t="shared" si="4"/>
        <v>0.17500000000000002</v>
      </c>
    </row>
    <row r="50" spans="1:34" ht="16.5" customHeight="1">
      <c r="A50" s="112" t="s">
        <v>38</v>
      </c>
      <c r="B50" s="334" t="str">
        <f>IF(B49=Para1!$F$153,Para1!$F$107,IF(B49=Para1!$F$107,Para1!$F$148,IF(B49=Para1!$F$148,Para1!$F$109,IF(B49=Para1!$F$109,Para1!$F$118,IF(B49=Para1!$F$118,Para1!$F$173,IF(B49=Para1!$F$173,Para1!$F$176,Para1!$F$153))))))</f>
        <v>Mi</v>
      </c>
      <c r="C50" s="339"/>
      <c r="D50" s="355"/>
      <c r="E50" s="355"/>
      <c r="F50" s="355"/>
      <c r="G50" s="357"/>
      <c r="H50" s="359"/>
      <c r="I50" s="355"/>
      <c r="J50" s="355"/>
      <c r="K50" s="357"/>
      <c r="L50" s="111">
        <f t="shared" si="6"/>
        <v>0</v>
      </c>
      <c r="M50" s="141">
        <f t="shared" si="2"/>
        <v>0.35000000000000003</v>
      </c>
      <c r="N50" s="189">
        <f t="shared" si="5"/>
        <v>-73.066666666666563</v>
      </c>
      <c r="O50" s="192"/>
      <c r="P50" s="355"/>
      <c r="Q50" s="355"/>
      <c r="R50" s="356"/>
      <c r="S50" s="357"/>
      <c r="T50" s="357"/>
      <c r="U50" s="358"/>
      <c r="V50" s="198"/>
      <c r="W50" s="373"/>
      <c r="X50" s="599"/>
      <c r="Y50" s="200"/>
      <c r="Z50" s="69"/>
      <c r="AA50" s="128"/>
      <c r="AB50" s="360">
        <f t="shared" si="9"/>
        <v>1</v>
      </c>
      <c r="AC50" s="360">
        <f t="shared" si="9"/>
        <v>1</v>
      </c>
      <c r="AD50" s="188" t="e">
        <f>IF(VLOOKUP(A50,Para1!$B$67:$E$72,2,FALSE)="10.",VLOOKUP(A50,Para1!$B$67:$E$72,3,FALSE),"")</f>
        <v>#N/A</v>
      </c>
      <c r="AE50" s="540" t="str">
        <f>IF((AB50+AC50)=0,"",IF(ISNA(AD50),"",IF(AD50="","",VLOOKUP(AD50,Para1!$D$67:$G$79,3,FALSE)*(IF(AB50+AC50=1,0.5,1)))))</f>
        <v/>
      </c>
      <c r="AF50" s="540" t="str">
        <f>IF(AB50+AC50=0,"",IF(ISNA(AD51),"",IF(AD51="","",VLOOKUP(AD51,Para1!$D$67:$G$79,4,FALSE)*(IF(AB50+AC50=1,0.5,1)))))</f>
        <v/>
      </c>
      <c r="AG50" s="188">
        <f t="shared" si="3"/>
        <v>0</v>
      </c>
      <c r="AH50" s="187">
        <f t="shared" si="4"/>
        <v>0.17500000000000002</v>
      </c>
    </row>
    <row r="51" spans="1:34" ht="16.5" customHeight="1">
      <c r="A51" s="112" t="s">
        <v>39</v>
      </c>
      <c r="B51" s="334" t="str">
        <f>IF(B50=Para1!$F$153,Para1!$F$107,IF(B50=Para1!$F$107,Para1!$F$148,IF(B50=Para1!$F$148,Para1!$F$109,IF(B50=Para1!$F$109,Para1!$F$118,IF(B50=Para1!$F$118,Para1!$F$173,IF(B50=Para1!$F$173,Para1!$F$176,Para1!$F$153))))))</f>
        <v>Do</v>
      </c>
      <c r="C51" s="339"/>
      <c r="D51" s="355"/>
      <c r="E51" s="355"/>
      <c r="F51" s="355"/>
      <c r="G51" s="357"/>
      <c r="H51" s="359"/>
      <c r="I51" s="355"/>
      <c r="J51" s="355"/>
      <c r="K51" s="357"/>
      <c r="L51" s="111">
        <f t="shared" si="6"/>
        <v>0</v>
      </c>
      <c r="M51" s="141">
        <f t="shared" si="2"/>
        <v>0.35000000000000003</v>
      </c>
      <c r="N51" s="189">
        <f t="shared" si="5"/>
        <v>-73.416666666666558</v>
      </c>
      <c r="O51" s="192"/>
      <c r="P51" s="355"/>
      <c r="Q51" s="355"/>
      <c r="R51" s="356"/>
      <c r="S51" s="357"/>
      <c r="T51" s="357"/>
      <c r="U51" s="358"/>
      <c r="V51" s="198"/>
      <c r="W51" s="373"/>
      <c r="X51" s="599"/>
      <c r="Y51" s="200"/>
      <c r="Z51" s="69"/>
      <c r="AA51" s="128"/>
      <c r="AB51" s="360">
        <f t="shared" si="9"/>
        <v>1</v>
      </c>
      <c r="AC51" s="360">
        <f t="shared" si="9"/>
        <v>1</v>
      </c>
      <c r="AD51" s="188" t="e">
        <f>IF(VLOOKUP(A51,Para1!$B$67:$E$72,2,FALSE)="10.",VLOOKUP(A51,Para1!$B$67:$E$72,3,FALSE),"")</f>
        <v>#N/A</v>
      </c>
      <c r="AE51" s="540" t="str">
        <f>IF((AB51+AC51)=0,"",IF(ISNA(AD51),"",IF(AD51="","",VLOOKUP(AD51,Para1!$D$67:$G$79,3,FALSE)*(IF(AB51+AC51=1,0.5,1)))))</f>
        <v/>
      </c>
      <c r="AF51" s="540" t="str">
        <f>IF(AB51+AC51=0,"",IF(ISNA(AD52),"",IF(AD52="","",VLOOKUP(AD52,Para1!$D$67:$G$79,4,FALSE)*(IF(AB51+AC51=1,0.5,1)))))</f>
        <v/>
      </c>
      <c r="AG51" s="188">
        <f t="shared" si="3"/>
        <v>0</v>
      </c>
      <c r="AH51" s="187">
        <f t="shared" si="4"/>
        <v>0.17500000000000002</v>
      </c>
    </row>
    <row r="52" spans="1:34" ht="16.5" customHeight="1">
      <c r="A52" s="112" t="s">
        <v>40</v>
      </c>
      <c r="B52" s="334" t="str">
        <f>IF(B51=Para1!$F$153,Para1!$F$107,IF(B51=Para1!$F$107,Para1!$F$148,IF(B51=Para1!$F$148,Para1!$F$109,IF(B51=Para1!$F$109,Para1!$F$118,IF(B51=Para1!$F$118,Para1!$F$173,IF(B51=Para1!$F$173,Para1!$F$176,Para1!$F$153))))))</f>
        <v>Fr</v>
      </c>
      <c r="C52" s="305"/>
      <c r="D52" s="355"/>
      <c r="E52" s="355"/>
      <c r="F52" s="355"/>
      <c r="G52" s="357"/>
      <c r="H52" s="359"/>
      <c r="I52" s="355"/>
      <c r="J52" s="355"/>
      <c r="K52" s="357"/>
      <c r="L52" s="111">
        <f t="shared" si="6"/>
        <v>0</v>
      </c>
      <c r="M52" s="141">
        <f t="shared" si="2"/>
        <v>0.35000000000000003</v>
      </c>
      <c r="N52" s="189">
        <f t="shared" si="5"/>
        <v>-73.766666666666552</v>
      </c>
      <c r="O52" s="193"/>
      <c r="P52" s="355"/>
      <c r="Q52" s="355"/>
      <c r="R52" s="356"/>
      <c r="S52" s="357"/>
      <c r="T52" s="357"/>
      <c r="U52" s="358"/>
      <c r="V52" s="198"/>
      <c r="W52" s="373"/>
      <c r="X52" s="599"/>
      <c r="Y52" s="200"/>
      <c r="Z52" s="69"/>
      <c r="AA52" s="128"/>
      <c r="AB52" s="360">
        <f t="shared" ref="AB52:AC54" si="10">AB45</f>
        <v>1</v>
      </c>
      <c r="AC52" s="360">
        <f t="shared" si="10"/>
        <v>1</v>
      </c>
      <c r="AD52" s="188" t="e">
        <f>IF(VLOOKUP(A52,Para1!$B$67:$E$72,2,FALSE)="10.",VLOOKUP(A52,Para1!$B$67:$E$72,3,FALSE),"")</f>
        <v>#N/A</v>
      </c>
      <c r="AE52" s="540" t="str">
        <f>IF((AB52+AC52)=0,"",IF(ISNA(AD52),"",IF(AD52="","",VLOOKUP(AD52,Para1!$D$67:$G$79,3,FALSE)*(IF(AB52+AC52=1,0.5,1)))))</f>
        <v/>
      </c>
      <c r="AF52" s="540" t="str">
        <f>IF(AB52+AC52=0,"",IF(ISNA(AD53),"",IF(AD53="","",VLOOKUP(AD53,Para1!$D$67:$G$79,4,FALSE)*(IF(AB52+AC52=1,0.5,1)))))</f>
        <v/>
      </c>
      <c r="AG52" s="188">
        <f t="shared" si="3"/>
        <v>0</v>
      </c>
      <c r="AH52" s="187">
        <f t="shared" si="4"/>
        <v>0.17500000000000002</v>
      </c>
    </row>
    <row r="53" spans="1:34" ht="16.5" customHeight="1">
      <c r="A53" s="112" t="s">
        <v>41</v>
      </c>
      <c r="B53" s="334" t="str">
        <f>IF(B52=Para1!$F$153,Para1!$F$107,IF(B52=Para1!$F$107,Para1!$F$148,IF(B52=Para1!$F$148,Para1!$F$109,IF(B52=Para1!$F$109,Para1!$F$118,IF(B52=Para1!$F$118,Para1!$F$173,IF(B52=Para1!$F$173,Para1!$F$176,Para1!$F$153))))))</f>
        <v>Sa</v>
      </c>
      <c r="C53" s="305"/>
      <c r="D53" s="355"/>
      <c r="E53" s="355"/>
      <c r="F53" s="355"/>
      <c r="G53" s="357"/>
      <c r="H53" s="359"/>
      <c r="I53" s="355"/>
      <c r="J53" s="355"/>
      <c r="K53" s="357"/>
      <c r="L53" s="111">
        <f t="shared" si="6"/>
        <v>0</v>
      </c>
      <c r="M53" s="141">
        <f t="shared" si="2"/>
        <v>0</v>
      </c>
      <c r="N53" s="189">
        <f t="shared" si="5"/>
        <v>-73.766666666666552</v>
      </c>
      <c r="O53" s="193"/>
      <c r="P53" s="355"/>
      <c r="Q53" s="355"/>
      <c r="R53" s="356"/>
      <c r="S53" s="357"/>
      <c r="T53" s="357"/>
      <c r="U53" s="358"/>
      <c r="V53" s="198"/>
      <c r="W53" s="530"/>
      <c r="X53" s="599"/>
      <c r="Y53" s="200"/>
      <c r="Z53" s="69"/>
      <c r="AA53" s="128"/>
      <c r="AB53" s="361">
        <f t="shared" si="10"/>
        <v>0</v>
      </c>
      <c r="AC53" s="361">
        <f t="shared" si="10"/>
        <v>0</v>
      </c>
      <c r="AD53" s="188" t="e">
        <f>IF(VLOOKUP(A53,Para1!$B$67:$E$72,2,FALSE)="10.",VLOOKUP(A53,Para1!$B$67:$E$72,3,FALSE),"")</f>
        <v>#N/A</v>
      </c>
      <c r="AE53" s="540" t="str">
        <f>IF((AB53+AC53)=0,"",IF(ISNA(AD53),"",IF(AD53="","",VLOOKUP(AD53,Para1!$D$67:$G$79,3,FALSE)*(IF(AB53+AC53=1,0.5,1)))))</f>
        <v/>
      </c>
      <c r="AF53" s="540" t="str">
        <f>IF(AB53+AC53=0,"",IF(ISNA(AD54),"",IF(AD54="","",VLOOKUP(AD54,Para1!$D$67:$G$79,4,FALSE)*(IF(AB53+AC53=1,0.5,1)))))</f>
        <v/>
      </c>
      <c r="AG53" s="188">
        <f t="shared" si="3"/>
        <v>0</v>
      </c>
      <c r="AH53" s="187">
        <f t="shared" si="4"/>
        <v>0</v>
      </c>
    </row>
    <row r="54" spans="1:34" ht="16.5" customHeight="1" thickBot="1">
      <c r="A54" s="112" t="s">
        <v>47</v>
      </c>
      <c r="B54" s="334" t="str">
        <f>IF(B53=Para1!$F$153,Para1!$F$107,IF(B53=Para1!$F$107,Para1!$F$148,IF(B53=Para1!$F$148,Para1!$F$109,IF(B53=Para1!$F$109,Para1!$F$118,IF(B53=Para1!$F$118,Para1!$F$173,IF(B53=Para1!$F$173,Para1!$F$176,Para1!$F$153))))))</f>
        <v>So</v>
      </c>
      <c r="C54" s="305"/>
      <c r="D54" s="355"/>
      <c r="E54" s="355"/>
      <c r="F54" s="355"/>
      <c r="G54" s="357"/>
      <c r="H54" s="359"/>
      <c r="I54" s="355"/>
      <c r="J54" s="355"/>
      <c r="K54" s="357"/>
      <c r="L54" s="111">
        <f t="shared" si="6"/>
        <v>0</v>
      </c>
      <c r="M54" s="141">
        <f t="shared" si="2"/>
        <v>0</v>
      </c>
      <c r="N54" s="189">
        <f t="shared" si="5"/>
        <v>-73.766666666666552</v>
      </c>
      <c r="O54" s="193"/>
      <c r="P54" s="355"/>
      <c r="Q54" s="355"/>
      <c r="R54" s="356"/>
      <c r="S54" s="357"/>
      <c r="T54" s="357"/>
      <c r="U54" s="358"/>
      <c r="V54" s="237"/>
      <c r="W54" s="530"/>
      <c r="X54" s="599"/>
      <c r="Y54" s="200"/>
      <c r="Z54" s="69"/>
      <c r="AA54" s="128"/>
      <c r="AB54" s="740">
        <f t="shared" si="10"/>
        <v>0</v>
      </c>
      <c r="AC54" s="740">
        <f t="shared" si="10"/>
        <v>0</v>
      </c>
      <c r="AD54" s="188" t="e">
        <f>IF(VLOOKUP(A54,Para1!$B$67:$E$72,2,FALSE)="10.",VLOOKUP(A54,Para1!$B$67:$E$72,3,FALSE),"")</f>
        <v>#N/A</v>
      </c>
      <c r="AE54" s="540" t="str">
        <f>IF((AB54+AC54)=0,"",IF(ISNA(AD54),"",IF(AD54="","",VLOOKUP(AD54,Para1!$D$67:$G$79,3,FALSE)*(IF(AB54+AC54=1,0.5,1)))))</f>
        <v/>
      </c>
      <c r="AF54" s="540" t="str">
        <f>IF(AB54+AC54=0,"",IF(ISNA(November!AD24),"",IF(November!AD24="","",VLOOKUP(November!AD24,Para1!$D$67:$G$79,4,FALSE)*(IF(AB54+AC54=1,0.5,1)))))</f>
        <v/>
      </c>
      <c r="AG54" s="188">
        <f t="shared" si="3"/>
        <v>0</v>
      </c>
      <c r="AH54" s="187">
        <f t="shared" si="4"/>
        <v>0</v>
      </c>
    </row>
    <row r="55" spans="1:34" ht="15" thickTop="1">
      <c r="A55" s="47"/>
      <c r="B55" s="37"/>
      <c r="C55" s="16"/>
      <c r="D55" s="38"/>
      <c r="E55" s="38"/>
      <c r="F55" s="38"/>
      <c r="G55" s="38"/>
      <c r="H55" s="38"/>
      <c r="I55" s="38"/>
      <c r="J55" s="38"/>
      <c r="K55" s="464" t="str">
        <f>Para1!F184&amp;" (hh:mm)"</f>
        <v>Total (hh:mm)</v>
      </c>
      <c r="L55" s="39">
        <f>SUM(L24:L54)</f>
        <v>0</v>
      </c>
      <c r="M55" s="44">
        <f>SUM(M24:M54)</f>
        <v>7.349999999999997</v>
      </c>
      <c r="N55" s="44"/>
      <c r="O55" s="194"/>
      <c r="P55" s="110">
        <f t="shared" ref="P55:U55" si="11">SUM(P24:P54)</f>
        <v>0</v>
      </c>
      <c r="Q55" s="110">
        <f t="shared" si="11"/>
        <v>0</v>
      </c>
      <c r="R55" s="36">
        <f t="shared" si="11"/>
        <v>0</v>
      </c>
      <c r="S55" s="36">
        <f t="shared" si="11"/>
        <v>0</v>
      </c>
      <c r="T55" s="36">
        <f t="shared" si="11"/>
        <v>0</v>
      </c>
      <c r="U55" s="44">
        <f t="shared" si="11"/>
        <v>0</v>
      </c>
      <c r="V55" s="201"/>
      <c r="W55" s="230"/>
      <c r="X55" s="203"/>
      <c r="AB55" s="884" t="str">
        <f>Para1!F177&amp;" "&amp;Para1!F171</f>
        <v>Soll Halbtag</v>
      </c>
      <c r="AC55" s="885"/>
      <c r="AD55" s="188">
        <f>SUM(AG24:AG54)</f>
        <v>0</v>
      </c>
      <c r="AE55" s="540">
        <f>SUM(AE24:AE54)</f>
        <v>0</v>
      </c>
      <c r="AF55" s="540">
        <f>SUM(AF24:AF54)</f>
        <v>0</v>
      </c>
    </row>
    <row r="56" spans="1:34" ht="15" thickBot="1">
      <c r="A56" s="48"/>
      <c r="B56" s="40"/>
      <c r="C56" s="40"/>
      <c r="D56" s="41"/>
      <c r="E56" s="41"/>
      <c r="F56" s="41"/>
      <c r="G56" s="19"/>
      <c r="H56" s="19"/>
      <c r="I56" s="19"/>
      <c r="J56" s="19"/>
      <c r="K56" s="766" t="str">
        <f>Para1!F184&amp;" ("&amp;Para1!F106&amp;")"</f>
        <v>Total (dezimal)</v>
      </c>
      <c r="L56" s="767">
        <f>L55*24</f>
        <v>0</v>
      </c>
      <c r="M56" s="768">
        <f>M55*24</f>
        <v>176.39999999999992</v>
      </c>
      <c r="N56" s="778"/>
      <c r="O56" s="773"/>
      <c r="P56" s="771">
        <f t="shared" ref="P56:U56" si="12">P55*24</f>
        <v>0</v>
      </c>
      <c r="Q56" s="770">
        <f t="shared" si="12"/>
        <v>0</v>
      </c>
      <c r="R56" s="768">
        <f t="shared" si="12"/>
        <v>0</v>
      </c>
      <c r="S56" s="768">
        <f t="shared" si="12"/>
        <v>0</v>
      </c>
      <c r="T56" s="768">
        <f t="shared" si="12"/>
        <v>0</v>
      </c>
      <c r="U56" s="768">
        <f t="shared" si="12"/>
        <v>0</v>
      </c>
      <c r="V56" s="202"/>
      <c r="W56" s="229"/>
      <c r="X56" s="195"/>
      <c r="AB56" s="882">
        <f>(C8*24+((AE55+AF55)/100*H3))/(SUM(AB24:AC54)-AD55)/24</f>
        <v>0.17500000000000002</v>
      </c>
      <c r="AC56" s="883"/>
    </row>
    <row r="57" spans="1:34" ht="15" thickTop="1"/>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W21:X21"/>
    <mergeCell ref="W22:W23"/>
    <mergeCell ref="X22:X23"/>
    <mergeCell ref="D22:G22"/>
    <mergeCell ref="H22:K22"/>
    <mergeCell ref="P22:P23"/>
    <mergeCell ref="S22:S23"/>
    <mergeCell ref="Q22:Q23"/>
    <mergeCell ref="P21:U21"/>
    <mergeCell ref="U22:U23"/>
    <mergeCell ref="T22:T23"/>
    <mergeCell ref="R22:R23"/>
    <mergeCell ref="D60:E60"/>
    <mergeCell ref="A1:B1"/>
    <mergeCell ref="A3:B3"/>
    <mergeCell ref="N22:N23"/>
    <mergeCell ref="A22:B22"/>
    <mergeCell ref="L21:N21"/>
    <mergeCell ref="M3:N3"/>
    <mergeCell ref="L22:L23"/>
    <mergeCell ref="M22:M23"/>
    <mergeCell ref="A23:B23"/>
    <mergeCell ref="AB21:AC21"/>
    <mergeCell ref="AB22:AB23"/>
    <mergeCell ref="AC22:AC23"/>
    <mergeCell ref="AB55:AC55"/>
    <mergeCell ref="AB56:AC56"/>
    <mergeCell ref="K60:O60"/>
    <mergeCell ref="T60:X60"/>
    <mergeCell ref="Y21:Z21"/>
    <mergeCell ref="C1:E1"/>
    <mergeCell ref="C7:D7"/>
    <mergeCell ref="N7:O7"/>
    <mergeCell ref="C8:D8"/>
    <mergeCell ref="N8:O8"/>
    <mergeCell ref="C9:D9"/>
    <mergeCell ref="C10:D10"/>
    <mergeCell ref="C11:D11"/>
    <mergeCell ref="C12:D12"/>
    <mergeCell ref="U14:V14"/>
    <mergeCell ref="U15:V15"/>
    <mergeCell ref="H1:I1"/>
  </mergeCells>
  <phoneticPr fontId="0" type="noConversion"/>
  <conditionalFormatting sqref="N24">
    <cfRule type="expression" dxfId="36" priority="10">
      <formula>$L$24=0</formula>
    </cfRule>
  </conditionalFormatting>
  <conditionalFormatting sqref="N24:N54">
    <cfRule type="cellIs" dxfId="35" priority="9" operator="equal">
      <formula>N23-M24</formula>
    </cfRule>
  </conditionalFormatting>
  <conditionalFormatting sqref="L24:M54 A24:B54">
    <cfRule type="expression" dxfId="34" priority="8">
      <formula>$M24=0</formula>
    </cfRule>
  </conditionalFormatting>
  <conditionalFormatting sqref="D24:G54 W24:W54 AB24:AB54">
    <cfRule type="expression" dxfId="33" priority="7">
      <formula>$AB24=0</formula>
    </cfRule>
  </conditionalFormatting>
  <conditionalFormatting sqref="H24:K54 X24:X54 AC24:AC54">
    <cfRule type="expression" dxfId="32" priority="6">
      <formula>$AC24=0</formula>
    </cfRule>
  </conditionalFormatting>
  <conditionalFormatting sqref="P24:U54">
    <cfRule type="expression" dxfId="31" priority="4">
      <formula>$AB24+$AC24=1</formula>
    </cfRule>
    <cfRule type="expression" dxfId="30" priority="5">
      <formula>$AB24+$AC24=0</formula>
    </cfRule>
  </conditionalFormatting>
  <conditionalFormatting sqref="P24:U54 D24:K54 W24:X54 AB24:AC54">
    <cfRule type="expression" dxfId="29" priority="3">
      <formula>$AE24=0</formula>
    </cfRule>
  </conditionalFormatting>
  <pageMargins left="0.41" right="0.38" top="0.79" bottom="0.39370078740157483" header="0.28999999999999998" footer="0.15748031496062992"/>
  <pageSetup paperSize="9" scale="54"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A58B8973-AACC-46E7-ABA5-2760C0CCAC16}">
            <xm:f>OR('Persönliche Daten (pers. data)'!$K$5="Nein",'Persönliche Daten (pers. data)'!$K$5="no")</xm:f>
            <x14:dxf>
              <font>
                <color theme="0"/>
              </font>
              <border>
                <left/>
                <right/>
                <top/>
                <bottom/>
                <vertical/>
                <horizontal/>
              </border>
            </x14:dxf>
          </x14:cfRule>
          <xm:sqref>H14:I17</xm:sqref>
        </x14:conditionalFormatting>
        <x14:conditionalFormatting xmlns:xm="http://schemas.microsoft.com/office/excel/2006/main">
          <x14:cfRule type="expression" priority="1" id="{3050AC86-4CC5-48D5-8A92-20F308B994E1}">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4">
    <pageSetUpPr fitToPage="1"/>
  </sheetPr>
  <dimension ref="A1:AH60"/>
  <sheetViews>
    <sheetView showGridLines="0" zoomScale="75" zoomScaleNormal="75" workbookViewId="0">
      <selection sqref="A1:B1"/>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72" customWidth="1"/>
    <col min="23" max="23" width="11.83203125" style="228" customWidth="1"/>
    <col min="24" max="26" width="11.83203125" style="11" customWidth="1"/>
    <col min="27" max="27" width="11.6640625" style="11" customWidth="1"/>
    <col min="28" max="28" width="11.83203125" style="228" customWidth="1"/>
    <col min="29" max="29" width="11.83203125" style="11" customWidth="1"/>
    <col min="30" max="33" width="11.5" style="11" hidden="1" customWidth="1"/>
    <col min="34"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(Overview)'!M$8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29" ht="6" customHeight="1">
      <c r="O5" s="59"/>
      <c r="T5" s="11"/>
      <c r="V5" s="73"/>
      <c r="W5" s="11"/>
      <c r="AB5" s="73"/>
      <c r="AC5" s="16"/>
    </row>
    <row r="6" spans="1:29" ht="15" customHeight="1">
      <c r="F6" s="53"/>
      <c r="G6" s="20"/>
      <c r="O6" s="59"/>
      <c r="T6" s="11"/>
      <c r="U6" s="11"/>
      <c r="V6" s="16"/>
      <c r="W6" s="11"/>
      <c r="AB6" s="73"/>
      <c r="AC6" s="16"/>
    </row>
    <row r="7" spans="1:29"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29" ht="15" customHeight="1" thickBot="1">
      <c r="B8" s="9" t="str">
        <f>Para1!F177</f>
        <v>Soll</v>
      </c>
      <c r="C8" s="848">
        <f>Para1!K61/100*H3/24</f>
        <v>7.7</v>
      </c>
      <c r="D8" s="848"/>
      <c r="F8" s="19"/>
      <c r="H8" s="162" t="str">
        <f>Para1!F174&amp;" "&amp;Para1!F88&amp;" "&amp;Para1!F154</f>
        <v>Saldo Anfang Monat</v>
      </c>
      <c r="I8" s="159" t="e">
        <f>Oktober!I11</f>
        <v>#N/A</v>
      </c>
      <c r="J8" s="212"/>
      <c r="M8" s="162" t="str">
        <f>Para1!F133</f>
        <v>JAZ-Kompensation</v>
      </c>
      <c r="N8" s="899">
        <f>SUMIF($W$24:$W$54,"k",$AH$24:$AH$54)+SUMIF($X$24:$X$54,"k",$AH$24:$AH$54)</f>
        <v>0</v>
      </c>
      <c r="O8" s="899"/>
      <c r="P8" s="732">
        <f>Oktober!Q8</f>
        <v>0</v>
      </c>
      <c r="Q8" s="166">
        <f>N8+P8</f>
        <v>0</v>
      </c>
      <c r="S8" s="7"/>
      <c r="T8" s="20" t="str">
        <f>Para1!F139</f>
        <v>Krankheit</v>
      </c>
      <c r="U8" s="7"/>
      <c r="V8" s="7"/>
      <c r="W8" s="734">
        <f>P55</f>
        <v>0</v>
      </c>
      <c r="X8" s="734">
        <f>Oktober!Y8</f>
        <v>0</v>
      </c>
      <c r="Y8" s="306">
        <f t="shared" ref="Y8:Y17" si="0">SUM(W8:X8)</f>
        <v>0</v>
      </c>
      <c r="Z8" s="155"/>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O9" s="59"/>
      <c r="S9" s="7"/>
      <c r="T9" s="20" t="str">
        <f>Para1!F196</f>
        <v>Unfall</v>
      </c>
      <c r="U9" s="7" t="str">
        <f>Para1!F98</f>
        <v>betriebsbedingt</v>
      </c>
      <c r="V9" s="7"/>
      <c r="W9" s="734">
        <f>Q55</f>
        <v>0</v>
      </c>
      <c r="X9" s="734">
        <f>Oktober!Y9</f>
        <v>0</v>
      </c>
      <c r="Y9" s="306">
        <f t="shared" si="0"/>
        <v>0</v>
      </c>
      <c r="Z9" s="155"/>
    </row>
    <row r="10" spans="1:29" ht="15" customHeight="1">
      <c r="B10" s="22" t="str">
        <f>Para1!F108</f>
        <v>Differenz</v>
      </c>
      <c r="C10" s="904">
        <f>$C$9-$C$8</f>
        <v>-7.7</v>
      </c>
      <c r="D10" s="904"/>
      <c r="F10" s="19"/>
      <c r="H10" s="162" t="str">
        <f>"./. "&amp;Para1!F117</f>
        <v>./. Ferienkürzung</v>
      </c>
      <c r="I10" s="210">
        <v>0</v>
      </c>
      <c r="J10" s="212"/>
      <c r="M10" s="8"/>
      <c r="N10" s="8"/>
      <c r="O10" s="8"/>
      <c r="P10" s="8"/>
      <c r="Q10" s="8"/>
      <c r="R10" s="8"/>
      <c r="S10" s="7"/>
      <c r="T10" s="8"/>
      <c r="U10" s="7" t="str">
        <f>Para1!F163&amp;" "&amp;Para1!F99</f>
        <v>nicht betr.</v>
      </c>
      <c r="V10" s="7"/>
      <c r="W10" s="734">
        <f>R55</f>
        <v>0</v>
      </c>
      <c r="X10" s="734">
        <f>Oktober!Y10</f>
        <v>0</v>
      </c>
      <c r="Y10" s="306">
        <f t="shared" si="0"/>
        <v>0</v>
      </c>
      <c r="Z10" s="155"/>
      <c r="AB10" s="11"/>
    </row>
    <row r="11" spans="1:29" ht="15" customHeight="1" thickBot="1">
      <c r="B11" s="20" t="str">
        <f>Para1!F190</f>
        <v>Übertrag Vormnt</v>
      </c>
      <c r="C11" s="847">
        <f>Oktober!C12</f>
        <v>-73.766666666666666</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R11" s="8"/>
      <c r="S11" s="7"/>
      <c r="T11" s="20" t="str">
        <f>Para1!F140</f>
        <v>Kurzurlaub</v>
      </c>
      <c r="U11" s="8"/>
      <c r="V11" s="8"/>
      <c r="W11" s="734">
        <f>S55</f>
        <v>0</v>
      </c>
      <c r="X11" s="734">
        <f>Oktober!Y11</f>
        <v>0</v>
      </c>
      <c r="Y11" s="306">
        <f t="shared" si="0"/>
        <v>0</v>
      </c>
      <c r="Z11" s="155"/>
      <c r="AB11" s="11"/>
    </row>
    <row r="12" spans="1:29" ht="15" customHeight="1" thickTop="1" thickBot="1">
      <c r="A12" s="127"/>
      <c r="B12" s="330" t="str">
        <f>Para1!F174</f>
        <v>Saldo</v>
      </c>
      <c r="C12" s="901">
        <f>C10+C11</f>
        <v>-81.466666666666669</v>
      </c>
      <c r="D12" s="901"/>
      <c r="F12" s="19"/>
      <c r="G12" s="7"/>
      <c r="L12" s="448" t="s">
        <v>492</v>
      </c>
      <c r="M12" s="449" t="str">
        <f>Para1!F115</f>
        <v>Ferien</v>
      </c>
      <c r="N12" s="449"/>
      <c r="O12" s="449"/>
      <c r="P12" s="449"/>
      <c r="Q12" s="450"/>
      <c r="R12" s="8"/>
      <c r="S12" s="7"/>
      <c r="T12" s="25" t="str">
        <f>Para1!F206</f>
        <v>Weiterbildung auf Arbeitszeit</v>
      </c>
      <c r="U12" s="7"/>
      <c r="V12" s="7"/>
      <c r="W12" s="734">
        <f>T55</f>
        <v>0</v>
      </c>
      <c r="X12" s="734">
        <f>Oktober!Y12</f>
        <v>0</v>
      </c>
      <c r="Y12" s="306">
        <f t="shared" si="0"/>
        <v>0</v>
      </c>
      <c r="Z12" s="155"/>
      <c r="AB12" s="11"/>
    </row>
    <row r="13" spans="1:29" ht="15" customHeight="1" thickTop="1">
      <c r="B13" s="330"/>
      <c r="C13" s="309"/>
      <c r="D13" s="81"/>
      <c r="F13" s="19"/>
      <c r="J13" s="160"/>
      <c r="L13" s="448" t="s">
        <v>493</v>
      </c>
      <c r="M13" s="449" t="str">
        <f>Para1!F157</f>
        <v>Mutter- und Vaterschaftsurlaub</v>
      </c>
      <c r="N13" s="449"/>
      <c r="O13" s="449"/>
      <c r="P13" s="449"/>
      <c r="Q13" s="451"/>
      <c r="R13" s="8"/>
      <c r="S13" s="7"/>
      <c r="T13" s="20" t="str">
        <f>Para1!F165</f>
        <v>Öffentliches Amt</v>
      </c>
      <c r="U13" s="7"/>
      <c r="V13" s="7"/>
      <c r="W13" s="734">
        <f>U55</f>
        <v>0</v>
      </c>
      <c r="X13" s="734">
        <f>Oktober!Y13</f>
        <v>0</v>
      </c>
      <c r="Y13" s="306">
        <f t="shared" si="0"/>
        <v>0</v>
      </c>
      <c r="Z13" s="16"/>
      <c r="AB13" s="11"/>
    </row>
    <row r="14" spans="1:29" ht="15" customHeight="1">
      <c r="F14" s="19"/>
      <c r="H14" s="9" t="str">
        <f>Para1!F142</f>
        <v>Langzeitkonto</v>
      </c>
      <c r="I14" s="159" t="s">
        <v>103</v>
      </c>
      <c r="J14" s="59"/>
      <c r="L14" s="448" t="s">
        <v>494</v>
      </c>
      <c r="M14" s="449" t="str">
        <f>Para1!F149</f>
        <v>Militär/Zivilsch./Zivildienst</v>
      </c>
      <c r="N14" s="449"/>
      <c r="O14" s="449"/>
      <c r="P14" s="449"/>
      <c r="Q14" s="451"/>
      <c r="R14" s="8"/>
      <c r="S14" s="8"/>
      <c r="T14" s="24" t="str">
        <f>Para1!F198</f>
        <v>Urlaub</v>
      </c>
      <c r="U14" s="853" t="str">
        <f>Para1!F100</f>
        <v>bezahlt</v>
      </c>
      <c r="V14" s="853"/>
      <c r="W14" s="738">
        <f>SUMIF($W$24:$W$54,"b",$AH$24:$AH$54)+SUMIF($X$24:$X$54,"b",$AH$24:$AH$54)</f>
        <v>0</v>
      </c>
      <c r="X14" s="734">
        <f>Oktober!Y14</f>
        <v>0</v>
      </c>
      <c r="Y14" s="155">
        <f t="shared" si="0"/>
        <v>0</v>
      </c>
      <c r="Z14" s="535"/>
      <c r="AA14" s="536"/>
      <c r="AB14" s="11"/>
    </row>
    <row r="15" spans="1:29" ht="15" customHeight="1">
      <c r="H15" s="140" t="str">
        <f>Para1!F174&amp;" "&amp;Para1!F88&amp;" "&amp;Para1!F154</f>
        <v>Saldo Anfang Monat</v>
      </c>
      <c r="I15" s="299">
        <f>Oktober!I17</f>
        <v>0</v>
      </c>
      <c r="J15" s="59"/>
      <c r="L15" s="448" t="s">
        <v>495</v>
      </c>
      <c r="M15" s="449" t="str">
        <f>Para1!F133</f>
        <v>JAZ-Kompensation</v>
      </c>
      <c r="N15" s="449"/>
      <c r="O15" s="449"/>
      <c r="P15" s="449"/>
      <c r="Q15" s="451"/>
      <c r="R15" s="8"/>
      <c r="S15" s="8"/>
      <c r="T15" s="24"/>
      <c r="U15" s="853" t="str">
        <f>Para1!F194</f>
        <v>unbezahlt</v>
      </c>
      <c r="V15" s="853"/>
      <c r="W15" s="738">
        <f>SUMIF($W$24:$W$54,"u",$AH$24:$AH$54)+SUMIF($X$24:$X$54,"u",$AH$24:$AH$54)</f>
        <v>0</v>
      </c>
      <c r="X15" s="734">
        <f>Oktober!Y15</f>
        <v>0</v>
      </c>
      <c r="Y15" s="155">
        <f t="shared" si="0"/>
        <v>0</v>
      </c>
      <c r="Z15" s="536"/>
      <c r="AA15" s="536"/>
      <c r="AB15" s="11"/>
    </row>
    <row r="16" spans="1:29" ht="15" customHeight="1">
      <c r="F16" s="11"/>
      <c r="G16" s="11"/>
      <c r="H16" s="140" t="str">
        <f>"./. "&amp;Para1!F145</f>
        <v>./. LZK-Bezug</v>
      </c>
      <c r="I16" s="299">
        <f>SUMIF($W$24:$W$54,"l",$AH$24:$AH$54)+SUMIF($X$24:$X$54,"l",$AH$24:$AH$54)</f>
        <v>0</v>
      </c>
      <c r="J16" s="59"/>
      <c r="L16" s="452" t="s">
        <v>496</v>
      </c>
      <c r="M16" s="456" t="str">
        <f>Para1!F198&amp;" "&amp;Para1!F100</f>
        <v>Urlaub bezahlt</v>
      </c>
      <c r="N16" s="453"/>
      <c r="O16" s="454"/>
      <c r="P16" s="455"/>
      <c r="Q16" s="451"/>
      <c r="R16" s="8"/>
      <c r="S16" s="8"/>
      <c r="T16" s="24" t="str">
        <f>Para1!F157</f>
        <v>Mutter- und Vaterschaftsurlaub</v>
      </c>
      <c r="U16" s="73"/>
      <c r="V16" s="11"/>
      <c r="W16" s="738">
        <f>SUMIF($W$24:$W$54,"m",$AH$24:$AH$54)+SUMIF($X$24:$X$54,"m",$AH$24:$AH$54)</f>
        <v>0</v>
      </c>
      <c r="X16" s="734">
        <f>Oktober!Y16</f>
        <v>0</v>
      </c>
      <c r="Y16" s="155">
        <f t="shared" si="0"/>
        <v>0</v>
      </c>
      <c r="Z16" s="536"/>
      <c r="AA16" s="536"/>
      <c r="AB16" s="11"/>
    </row>
    <row r="17" spans="1:34" ht="15" customHeight="1" thickBot="1">
      <c r="G17" s="162"/>
      <c r="H17" s="328" t="str">
        <f>Para1!F174&amp;" "&amp;Para1!F113&amp;" "&amp;Para1!F154</f>
        <v>Saldo Ende Monat</v>
      </c>
      <c r="I17" s="308">
        <f>I15-I16</f>
        <v>0</v>
      </c>
      <c r="J17" s="164"/>
      <c r="L17" s="452" t="s">
        <v>497</v>
      </c>
      <c r="M17" s="456" t="str">
        <f>Para1!F198&amp;" "&amp;Para1!F194</f>
        <v>Urlaub unbezahlt</v>
      </c>
      <c r="N17" s="453"/>
      <c r="O17" s="454"/>
      <c r="P17" s="455"/>
      <c r="Q17" s="451"/>
      <c r="R17" s="8"/>
      <c r="S17" s="8"/>
      <c r="T17" s="24" t="str">
        <f>Para1!F149</f>
        <v>Militär/Zivilsch./Zivildienst</v>
      </c>
      <c r="U17" s="73"/>
      <c r="V17" s="11"/>
      <c r="W17" s="738">
        <f>SUMIF($W$24:$W$54,"z",$AH$24:$AH$54)+SUMIF($X$24:$X$54,"z",$AH$24:$AH$54)</f>
        <v>0</v>
      </c>
      <c r="X17" s="734">
        <f>Oktober!Y17</f>
        <v>0</v>
      </c>
      <c r="Y17" s="155">
        <f t="shared" si="0"/>
        <v>0</v>
      </c>
      <c r="Z17" s="536"/>
      <c r="AA17" s="536"/>
      <c r="AB17" s="11"/>
    </row>
    <row r="18" spans="1:34" ht="15" customHeight="1" thickTop="1" thickBot="1">
      <c r="F18" s="616" t="str">
        <f>IF(AND(Information!H8="Nein",I16&gt;0),"ACHTUNG: Langzeitkontobezug ohne entsprechendes Konto!!","")</f>
        <v/>
      </c>
      <c r="G18" s="162"/>
      <c r="H18" s="11"/>
      <c r="I18" s="11"/>
      <c r="J18" s="164"/>
      <c r="L18" s="448" t="s">
        <v>498</v>
      </c>
      <c r="M18" s="456" t="str">
        <f>Para1!F142</f>
        <v>Langzeitkonto</v>
      </c>
      <c r="N18" s="453"/>
      <c r="O18" s="454"/>
      <c r="P18" s="455"/>
      <c r="Q18" s="451"/>
      <c r="R18" s="8"/>
      <c r="S18" s="8"/>
      <c r="T18" s="9" t="str">
        <f>Para1!F184</f>
        <v>Total</v>
      </c>
      <c r="U18" s="11"/>
      <c r="V18" s="11"/>
      <c r="W18" s="733">
        <f>SUM(W8:W17)</f>
        <v>0</v>
      </c>
      <c r="X18" s="733">
        <f>SUM(X8:X17)</f>
        <v>0</v>
      </c>
      <c r="Y18" s="733">
        <f>SUM(Y8:Y17)</f>
        <v>0</v>
      </c>
      <c r="AB18" s="11"/>
    </row>
    <row r="19" spans="1:34" ht="15" customHeight="1" thickTop="1">
      <c r="E19" s="19"/>
      <c r="G19" s="72"/>
      <c r="H19" s="72"/>
      <c r="P19" s="25"/>
      <c r="Q19" s="7"/>
      <c r="R19" s="7"/>
      <c r="S19" s="21"/>
      <c r="T19" s="11"/>
      <c r="U19" s="11"/>
      <c r="V19" s="11"/>
      <c r="W19" s="59"/>
      <c r="X19" s="16"/>
      <c r="AB19" s="11"/>
    </row>
    <row r="20" spans="1:34" ht="15" customHeight="1" thickBot="1">
      <c r="A20" s="424" t="str">
        <f>Para1!J222</f>
        <v>(Bitte das Guthaben in Stunden und Minuten eingeben.)</v>
      </c>
      <c r="B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c r="AD21" s="602"/>
      <c r="AE21" s="602"/>
      <c r="AF21" s="602"/>
      <c r="AG21" s="602"/>
      <c r="AH21" s="602"/>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
        <v>506</v>
      </c>
      <c r="X22" s="891" t="str">
        <f>Para1!F159</f>
        <v>Nach- mittag</v>
      </c>
      <c r="Y22" s="199"/>
      <c r="Z22" s="199"/>
      <c r="AB22" s="858" t="str">
        <f>Para1!F202</f>
        <v>Vor- mittag</v>
      </c>
      <c r="AC22" s="854" t="str">
        <f>Para1!F159</f>
        <v>Nach- mittag</v>
      </c>
      <c r="AD22" s="700"/>
      <c r="AE22" s="700"/>
      <c r="AF22" s="700"/>
      <c r="AG22" s="700"/>
      <c r="AH22" s="700"/>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c r="AD23" s="703"/>
      <c r="AE23" s="703"/>
      <c r="AF23" s="703"/>
      <c r="AG23" s="703"/>
      <c r="AH23" s="703"/>
    </row>
    <row r="24" spans="1:34" ht="16.5" customHeight="1" thickTop="1">
      <c r="A24" s="112" t="s">
        <v>5</v>
      </c>
      <c r="B24" s="334" t="str">
        <f>IF(Oktober!B54=Para1!$F$153,Para1!$F$107,IF(Oktober!B54=Para1!$F$107,Para1!$F$148,IF(Oktober!B54=Para1!$F$148,Para1!$F$109,IF(Oktober!B54=Para1!$F$109,Para1!$F$118,IF(Oktober!B54=Para1!$F$118,Para1!$F$173,IF(Oktober!B54=Para1!$F$173,Para1!$F$176,Para1!$F$153))))))</f>
        <v>Mo</v>
      </c>
      <c r="C24" s="336"/>
      <c r="D24" s="355"/>
      <c r="E24" s="355"/>
      <c r="F24" s="355"/>
      <c r="G24" s="357"/>
      <c r="H24" s="359"/>
      <c r="I24" s="355"/>
      <c r="J24" s="355"/>
      <c r="K24" s="357"/>
      <c r="L24" s="111">
        <f t="shared" ref="L24:L29" si="1">SUM((G24-D24),(K24-H24))-SUM((F24-E24),(J24-I24))</f>
        <v>0</v>
      </c>
      <c r="M24" s="158">
        <f>IF(AE24=0,0,IF(AB24,$AB$56,0)+IF(AC24,$AB$56,0)-IF(AE24="",0,(AE24/4800*$H$3)+(AE24/4800*$H$3)))-IF(AF24="",0,(AF24/4800*$H$3)+(AF24/4800*$H$3))</f>
        <v>0.35000000000000003</v>
      </c>
      <c r="N24" s="189">
        <f>$C$11+$L24-M24+SUM($P24:$U24)+IF(OR($W24="f",$W24="m",$W24="z",$W24="u",$W24="b",$W24="l"),$AH24,0)+IF(OR($X24="f",$X24="m",$X24="z",$X24="u",$X24="b",$X24="l"),$AH24,0)</f>
        <v>-74.11666666666666</v>
      </c>
      <c r="O24" s="193"/>
      <c r="P24" s="355"/>
      <c r="Q24" s="355"/>
      <c r="R24" s="356"/>
      <c r="S24" s="357"/>
      <c r="T24" s="357"/>
      <c r="U24" s="358"/>
      <c r="V24" s="198"/>
      <c r="W24" s="373"/>
      <c r="X24" s="599"/>
      <c r="Y24" s="232"/>
      <c r="Z24" s="231"/>
      <c r="AA24" s="668"/>
      <c r="AB24" s="360">
        <f>Oktober!AB48</f>
        <v>1</v>
      </c>
      <c r="AC24" s="360">
        <f>Oktober!AC48</f>
        <v>1</v>
      </c>
      <c r="AD24" s="188" t="e">
        <f>IF(VLOOKUP(A24,Para1!$B$67:$E$72,2,FALSE)="11.",VLOOKUP(A24,Para1!$B$67:$E$72,3,FALSE),"")</f>
        <v>#N/A</v>
      </c>
      <c r="AE24" s="540" t="str">
        <f>IF((AB24+AC24)=0,"",IF(ISNA(AD24),"",IF(AD24="","",VLOOKUP(AD24,Para1!$D$67:$G$79,3,FALSE)*(IF(AB24+AC24=1,0.5,1)))))</f>
        <v/>
      </c>
      <c r="AF24" s="540" t="str">
        <f>IF(AB24+AC24=0,"",IF(ISNA(AD25),"",IF(AD25="","",VLOOKUP(AD25,Para1!$D$67:$G$79,4,FALSE)*(IF(AB24+AC24=1,0.5,1)))))</f>
        <v/>
      </c>
      <c r="AG24" s="188">
        <f>IF(AE24=0,AB24+AC24,0)</f>
        <v>0</v>
      </c>
      <c r="AH24" s="187">
        <f>IF((AB24+AC24)=0,0,M24/(AB24+AC24))</f>
        <v>0.17500000000000002</v>
      </c>
    </row>
    <row r="25" spans="1:34" ht="16.5" customHeight="1">
      <c r="A25" s="112" t="s">
        <v>7</v>
      </c>
      <c r="B25" s="334" t="str">
        <f>IF(B24=Para1!$F$153,Para1!$F$107,IF(B24=Para1!$F$107,Para1!$F$148,IF(B24=Para1!$F$148,Para1!$F$109,IF(B24=Para1!$F$109,Para1!$F$118,IF(B24=Para1!$F$118,Para1!$F$173,IF(B24=Para1!$F$173,Para1!$F$176,Para1!$F$153))))))</f>
        <v>Di</v>
      </c>
      <c r="C25" s="336"/>
      <c r="D25" s="355"/>
      <c r="E25" s="355"/>
      <c r="F25" s="355"/>
      <c r="G25" s="357"/>
      <c r="H25" s="359"/>
      <c r="I25" s="355"/>
      <c r="J25" s="355"/>
      <c r="K25" s="357"/>
      <c r="L25" s="111">
        <f t="shared" si="1"/>
        <v>0</v>
      </c>
      <c r="M25" s="158">
        <f t="shared" ref="M25:M47" si="2">IF(AE25=0,0,IF(AB25,$AB$56,0)+IF(AC25,$AB$56,0)-IF(AE25="",0,(AE25/4800*$H$3)+(AE25/4800*$H$3)))-IF(AF25="",0,(AF25/4800*$H$3)+(AF25/4800*$H$3))</f>
        <v>0.35000000000000003</v>
      </c>
      <c r="N25" s="189">
        <f>$N24+$L25-M25+SUM($P25:$U25)+IF(OR($W25="f",$W25="m",$W25="z",$W25="u",$W25="b",$W25="l"),$AH25,0)+IF(OR($X25="f",$X25="m",$X25="z",$X25="u",$X25="b",$X25="l"),$AH25,0)</f>
        <v>-74.466666666666654</v>
      </c>
      <c r="O25" s="193"/>
      <c r="P25" s="355"/>
      <c r="Q25" s="355"/>
      <c r="R25" s="356"/>
      <c r="S25" s="357"/>
      <c r="T25" s="357"/>
      <c r="U25" s="358"/>
      <c r="V25" s="198"/>
      <c r="W25" s="373"/>
      <c r="X25" s="599"/>
      <c r="Y25" s="200"/>
      <c r="Z25" s="69"/>
      <c r="AA25" s="128"/>
      <c r="AB25" s="360">
        <f>Oktober!AB49</f>
        <v>1</v>
      </c>
      <c r="AC25" s="360">
        <f>Oktober!AC49</f>
        <v>1</v>
      </c>
      <c r="AD25" s="188" t="str">
        <f>IF(VLOOKUP(A25,Para1!$B$67:$E$72,2,FALSE)="11.",VLOOKUP(A25,Para1!$B$67:$E$72,3,FALSE),"")</f>
        <v/>
      </c>
      <c r="AE25" s="540" t="str">
        <f>IF((AB25+AC25)=0,"",IF(ISNA(AD25),"",IF(AD25="","",VLOOKUP(AD25,Para1!$D$67:$G$79,3,FALSE)*(IF(AB25+AC25=1,0.5,1)))))</f>
        <v/>
      </c>
      <c r="AF25" s="540" t="str">
        <f>IF(AB25+AC25=0,"",IF(ISNA(AD26),"",IF(AD26="","",VLOOKUP(AD26,Para1!$D$67:$G$79,4,FALSE)*(IF(AB25+AC25=1,0.5,1)))))</f>
        <v/>
      </c>
      <c r="AG25" s="188">
        <f t="shared" ref="AG25:AG54" si="3">IF(AE25=0,AB25+AC25,0)</f>
        <v>0</v>
      </c>
      <c r="AH25" s="187">
        <f t="shared" ref="AH25:AH54" si="4">IF((AB25+AC25)=0,0,M25/(AB25+AC25))</f>
        <v>0.17500000000000002</v>
      </c>
    </row>
    <row r="26" spans="1:34" ht="16.5" customHeight="1">
      <c r="A26" s="112" t="s">
        <v>9</v>
      </c>
      <c r="B26" s="334" t="str">
        <f>IF(B25=Para1!$F$153,Para1!$F$107,IF(B25=Para1!$F$107,Para1!$F$148,IF(B25=Para1!$F$148,Para1!$F$109,IF(B25=Para1!$F$109,Para1!$F$118,IF(B25=Para1!$F$118,Para1!$F$173,IF(B25=Para1!$F$173,Para1!$F$176,Para1!$F$153))))))</f>
        <v>Mi</v>
      </c>
      <c r="C26" s="338"/>
      <c r="D26" s="355"/>
      <c r="E26" s="355"/>
      <c r="F26" s="355"/>
      <c r="G26" s="357"/>
      <c r="H26" s="359"/>
      <c r="I26" s="355"/>
      <c r="J26" s="355"/>
      <c r="K26" s="357"/>
      <c r="L26" s="111">
        <f t="shared" si="1"/>
        <v>0</v>
      </c>
      <c r="M26" s="158">
        <f t="shared" si="2"/>
        <v>0.35000000000000003</v>
      </c>
      <c r="N26" s="189">
        <f t="shared" ref="N26:N54" si="5">$N25+$L26-M26+SUM($P26:$U26)+IF(OR($W26="f",$W26="m",$W26="z",$W26="u",$W26="b",$W26="l"),$AH26,0)+IF(OR($X26="f",$X26="m",$X26="z",$X26="u",$X26="b",$X26="l"),$AH26,0)</f>
        <v>-74.816666666666649</v>
      </c>
      <c r="O26" s="192"/>
      <c r="P26" s="355"/>
      <c r="Q26" s="355"/>
      <c r="R26" s="356"/>
      <c r="S26" s="357"/>
      <c r="T26" s="357"/>
      <c r="U26" s="358"/>
      <c r="V26" s="198"/>
      <c r="W26" s="373"/>
      <c r="X26" s="599"/>
      <c r="Y26" s="200"/>
      <c r="Z26" s="69"/>
      <c r="AA26" s="128"/>
      <c r="AB26" s="360">
        <f>Oktober!AB50</f>
        <v>1</v>
      </c>
      <c r="AC26" s="360">
        <f>Oktober!AC50</f>
        <v>1</v>
      </c>
      <c r="AD26" s="188" t="e">
        <f>IF(VLOOKUP(A26,Para1!$B$67:$E$72,2,FALSE)="11.",VLOOKUP(A26,Para1!$B$67:$E$72,3,FALSE),"")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0.17500000000000002</v>
      </c>
    </row>
    <row r="27" spans="1:34" ht="16.5" customHeight="1">
      <c r="A27" s="112" t="s">
        <v>11</v>
      </c>
      <c r="B27" s="334" t="str">
        <f>IF(B26=Para1!$F$153,Para1!$F$107,IF(B26=Para1!$F$107,Para1!$F$148,IF(B26=Para1!$F$148,Para1!$F$109,IF(B26=Para1!$F$109,Para1!$F$118,IF(B26=Para1!$F$118,Para1!$F$173,IF(B26=Para1!$F$173,Para1!$F$176,Para1!$F$153))))))</f>
        <v>Do</v>
      </c>
      <c r="C27" s="339"/>
      <c r="D27" s="355"/>
      <c r="E27" s="355"/>
      <c r="F27" s="355"/>
      <c r="G27" s="357"/>
      <c r="H27" s="359"/>
      <c r="I27" s="355"/>
      <c r="J27" s="355"/>
      <c r="K27" s="357"/>
      <c r="L27" s="111">
        <f t="shared" si="1"/>
        <v>0</v>
      </c>
      <c r="M27" s="158">
        <f t="shared" si="2"/>
        <v>0.35000000000000003</v>
      </c>
      <c r="N27" s="189">
        <f t="shared" si="5"/>
        <v>-75.166666666666643</v>
      </c>
      <c r="O27" s="192"/>
      <c r="P27" s="355"/>
      <c r="Q27" s="355"/>
      <c r="R27" s="356"/>
      <c r="S27" s="357"/>
      <c r="T27" s="357"/>
      <c r="U27" s="358"/>
      <c r="V27" s="198"/>
      <c r="W27" s="374"/>
      <c r="X27" s="599"/>
      <c r="Y27" s="200"/>
      <c r="Z27" s="69"/>
      <c r="AA27" s="128"/>
      <c r="AB27" s="360">
        <f>Oktober!AB51</f>
        <v>1</v>
      </c>
      <c r="AC27" s="360">
        <f>Oktober!AC51</f>
        <v>1</v>
      </c>
      <c r="AD27" s="188" t="str">
        <f>IF(VLOOKUP(A27,Para1!$B$67:$E$72,2,FALSE)="11.",VLOOKUP(A27,Para1!$B$67:$E$72,3,FALSE),"")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0.17500000000000002</v>
      </c>
    </row>
    <row r="28" spans="1:34" ht="16.5" customHeight="1">
      <c r="A28" s="112" t="s">
        <v>13</v>
      </c>
      <c r="B28" s="334" t="str">
        <f>IF(B27=Para1!$F$153,Para1!$F$107,IF(B27=Para1!$F$107,Para1!$F$148,IF(B27=Para1!$F$148,Para1!$F$109,IF(B27=Para1!$F$109,Para1!$F$118,IF(B27=Para1!$F$118,Para1!$F$173,IF(B27=Para1!$F$173,Para1!$F$176,Para1!$F$153))))))</f>
        <v>Fr</v>
      </c>
      <c r="C28" s="305"/>
      <c r="D28" s="355"/>
      <c r="E28" s="355"/>
      <c r="F28" s="355"/>
      <c r="G28" s="357"/>
      <c r="H28" s="359"/>
      <c r="I28" s="355"/>
      <c r="J28" s="355"/>
      <c r="K28" s="357"/>
      <c r="L28" s="111">
        <f t="shared" si="1"/>
        <v>0</v>
      </c>
      <c r="M28" s="158">
        <f t="shared" si="2"/>
        <v>0.35000000000000003</v>
      </c>
      <c r="N28" s="189">
        <f t="shared" si="5"/>
        <v>-75.516666666666637</v>
      </c>
      <c r="O28" s="193"/>
      <c r="P28" s="355"/>
      <c r="Q28" s="355"/>
      <c r="R28" s="356"/>
      <c r="S28" s="357"/>
      <c r="T28" s="357"/>
      <c r="U28" s="358"/>
      <c r="V28" s="198"/>
      <c r="W28" s="374"/>
      <c r="X28" s="599"/>
      <c r="Y28" s="200"/>
      <c r="Z28" s="69"/>
      <c r="AA28" s="128"/>
      <c r="AB28" s="360">
        <f>Oktober!AB52</f>
        <v>1</v>
      </c>
      <c r="AC28" s="360">
        <f>Oktober!AC52</f>
        <v>1</v>
      </c>
      <c r="AD28" s="188" t="str">
        <f>IF(VLOOKUP(A28,Para1!$B$67:$E$72,2,FALSE)="11.",VLOOKUP(A28,Para1!$B$67:$E$72,3,FALSE),"")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0.17500000000000002</v>
      </c>
    </row>
    <row r="29" spans="1:34" s="50" customFormat="1" ht="16.5" customHeight="1">
      <c r="A29" s="112" t="s">
        <v>15</v>
      </c>
      <c r="B29" s="334" t="str">
        <f>IF(B28=Para1!$F$153,Para1!$F$107,IF(B28=Para1!$F$107,Para1!$F$148,IF(B28=Para1!$F$148,Para1!$F$109,IF(B28=Para1!$F$109,Para1!$F$118,IF(B28=Para1!$F$118,Para1!$F$173,IF(B28=Para1!$F$173,Para1!$F$176,Para1!$F$153))))))</f>
        <v>Sa</v>
      </c>
      <c r="C29" s="336"/>
      <c r="D29" s="355"/>
      <c r="E29" s="355"/>
      <c r="F29" s="355"/>
      <c r="G29" s="357"/>
      <c r="H29" s="359"/>
      <c r="I29" s="355"/>
      <c r="J29" s="355"/>
      <c r="K29" s="357"/>
      <c r="L29" s="111">
        <f t="shared" si="1"/>
        <v>0</v>
      </c>
      <c r="M29" s="158">
        <f t="shared" si="2"/>
        <v>0</v>
      </c>
      <c r="N29" s="189">
        <f t="shared" si="5"/>
        <v>-75.516666666666637</v>
      </c>
      <c r="O29" s="193"/>
      <c r="P29" s="355"/>
      <c r="Q29" s="355"/>
      <c r="R29" s="356"/>
      <c r="S29" s="357"/>
      <c r="T29" s="357"/>
      <c r="U29" s="358"/>
      <c r="V29" s="198"/>
      <c r="W29" s="373"/>
      <c r="X29" s="599"/>
      <c r="Y29" s="200"/>
      <c r="Z29" s="69"/>
      <c r="AA29" s="128"/>
      <c r="AB29" s="360">
        <f>Oktober!AB53</f>
        <v>0</v>
      </c>
      <c r="AC29" s="360">
        <f>Oktober!AC53</f>
        <v>0</v>
      </c>
      <c r="AD29" s="188" t="e">
        <f>IF(VLOOKUP(A29,Para1!$B$67:$E$72,2,FALSE)="11.",VLOOKUP(A29,Para1!$B$67:$E$72,3,FALSE),"")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v>
      </c>
    </row>
    <row r="30" spans="1:34" s="50" customFormat="1" ht="16.5" customHeight="1">
      <c r="A30" s="112" t="s">
        <v>17</v>
      </c>
      <c r="B30" s="334" t="str">
        <f>IF(B29=Para1!$F$153,Para1!$F$107,IF(B29=Para1!$F$107,Para1!$F$148,IF(B29=Para1!$F$148,Para1!$F$109,IF(B29=Para1!$F$109,Para1!$F$118,IF(B29=Para1!$F$118,Para1!$F$173,IF(B29=Para1!$F$173,Para1!$F$176,Para1!$F$153))))))</f>
        <v>So</v>
      </c>
      <c r="C30" s="336"/>
      <c r="D30" s="355"/>
      <c r="E30" s="355"/>
      <c r="F30" s="355"/>
      <c r="G30" s="357"/>
      <c r="H30" s="359"/>
      <c r="I30" s="355"/>
      <c r="J30" s="355"/>
      <c r="K30" s="357"/>
      <c r="L30" s="111">
        <f t="shared" ref="L30:L36" si="6">SUM((G30-D30),(K30-H30))-SUM((F30-E30),(J30-I30))</f>
        <v>0</v>
      </c>
      <c r="M30" s="158">
        <f t="shared" si="2"/>
        <v>0</v>
      </c>
      <c r="N30" s="189">
        <f t="shared" si="5"/>
        <v>-75.516666666666637</v>
      </c>
      <c r="O30" s="193"/>
      <c r="P30" s="355"/>
      <c r="Q30" s="355"/>
      <c r="R30" s="356"/>
      <c r="S30" s="357"/>
      <c r="T30" s="357"/>
      <c r="U30" s="358"/>
      <c r="V30" s="198"/>
      <c r="W30" s="373"/>
      <c r="X30" s="599"/>
      <c r="Y30" s="200"/>
      <c r="Z30" s="69"/>
      <c r="AA30" s="128"/>
      <c r="AB30" s="360">
        <f>Oktober!AB54</f>
        <v>0</v>
      </c>
      <c r="AC30" s="360">
        <f>Oktober!AC54</f>
        <v>0</v>
      </c>
      <c r="AD30" s="188" t="e">
        <f>IF(VLOOKUP(A30,Para1!$B$67:$E$72,2,FALSE)="11.",VLOOKUP(A30,Para1!$B$67:$E$72,3,FALSE),"")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v>
      </c>
    </row>
    <row r="31" spans="1:34" ht="16.5" customHeight="1">
      <c r="A31" s="112" t="s">
        <v>19</v>
      </c>
      <c r="B31" s="334" t="str">
        <f>IF(B30=Para1!$F$153,Para1!$F$107,IF(B30=Para1!$F$107,Para1!$F$148,IF(B30=Para1!$F$148,Para1!$F$109,IF(B30=Para1!$F$109,Para1!$F$118,IF(B30=Para1!$F$118,Para1!$F$173,IF(B30=Para1!$F$173,Para1!$F$176,Para1!$F$153))))))</f>
        <v>Mo</v>
      </c>
      <c r="C31" s="336"/>
      <c r="D31" s="355"/>
      <c r="E31" s="355"/>
      <c r="F31" s="355"/>
      <c r="G31" s="357"/>
      <c r="H31" s="359"/>
      <c r="I31" s="355"/>
      <c r="J31" s="355"/>
      <c r="K31" s="357"/>
      <c r="L31" s="111">
        <f t="shared" si="6"/>
        <v>0</v>
      </c>
      <c r="M31" s="158">
        <f t="shared" si="2"/>
        <v>0.35000000000000003</v>
      </c>
      <c r="N31" s="189">
        <f t="shared" si="5"/>
        <v>-75.866666666666632</v>
      </c>
      <c r="O31" s="193"/>
      <c r="P31" s="355"/>
      <c r="Q31" s="355"/>
      <c r="R31" s="356"/>
      <c r="S31" s="357"/>
      <c r="T31" s="357"/>
      <c r="U31" s="358"/>
      <c r="V31" s="198"/>
      <c r="W31" s="373"/>
      <c r="X31" s="599"/>
      <c r="Y31" s="200"/>
      <c r="Z31" s="69"/>
      <c r="AA31" s="128"/>
      <c r="AB31" s="360">
        <f>AB24</f>
        <v>1</v>
      </c>
      <c r="AC31" s="360">
        <f>AC24</f>
        <v>1</v>
      </c>
      <c r="AD31" s="188" t="e">
        <f>IF(VLOOKUP(A31,Para1!$B$67:$E$72,2,FALSE)="11.",VLOOKUP(A31,Para1!$B$67:$E$72,3,FALSE),"")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0.17500000000000002</v>
      </c>
    </row>
    <row r="32" spans="1:34" ht="16.5" customHeight="1">
      <c r="A32" s="112" t="s">
        <v>20</v>
      </c>
      <c r="B32" s="334" t="str">
        <f>IF(B31=Para1!$F$153,Para1!$F$107,IF(B31=Para1!$F$107,Para1!$F$148,IF(B31=Para1!$F$148,Para1!$F$109,IF(B31=Para1!$F$109,Para1!$F$118,IF(B31=Para1!$F$118,Para1!$F$173,IF(B31=Para1!$F$173,Para1!$F$176,Para1!$F$153))))))</f>
        <v>Di</v>
      </c>
      <c r="C32" s="336"/>
      <c r="D32" s="355"/>
      <c r="E32" s="355"/>
      <c r="F32" s="355"/>
      <c r="G32" s="357"/>
      <c r="H32" s="359"/>
      <c r="I32" s="355"/>
      <c r="J32" s="355"/>
      <c r="K32" s="357"/>
      <c r="L32" s="111">
        <f t="shared" si="6"/>
        <v>0</v>
      </c>
      <c r="M32" s="158">
        <f t="shared" si="2"/>
        <v>0.35000000000000003</v>
      </c>
      <c r="N32" s="189">
        <f t="shared" si="5"/>
        <v>-76.216666666666626</v>
      </c>
      <c r="O32" s="193"/>
      <c r="P32" s="355"/>
      <c r="Q32" s="355"/>
      <c r="R32" s="356"/>
      <c r="S32" s="357"/>
      <c r="T32" s="357"/>
      <c r="U32" s="358"/>
      <c r="V32" s="198"/>
      <c r="W32" s="373"/>
      <c r="X32" s="599"/>
      <c r="Y32" s="200"/>
      <c r="Z32" s="69"/>
      <c r="AA32" s="128"/>
      <c r="AB32" s="360">
        <f>AB25</f>
        <v>1</v>
      </c>
      <c r="AC32" s="360">
        <f t="shared" ref="AB32:AC37" si="7">AC25</f>
        <v>1</v>
      </c>
      <c r="AD32" s="188" t="e">
        <f>IF(VLOOKUP(A32,Para1!$B$67:$E$72,2,FALSE)="11.",VLOOKUP(A32,Para1!$B$67:$E$72,3,FALSE),"")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0.17500000000000002</v>
      </c>
    </row>
    <row r="33" spans="1:34" ht="16.5" customHeight="1">
      <c r="A33" s="112" t="s">
        <v>21</v>
      </c>
      <c r="B33" s="334" t="str">
        <f>IF(B32=Para1!$F$153,Para1!$F$107,IF(B32=Para1!$F$107,Para1!$F$148,IF(B32=Para1!$F$148,Para1!$F$109,IF(B32=Para1!$F$109,Para1!$F$118,IF(B32=Para1!$F$118,Para1!$F$173,IF(B32=Para1!$F$173,Para1!$F$176,Para1!$F$153))))))</f>
        <v>Mi</v>
      </c>
      <c r="C33" s="338"/>
      <c r="D33" s="355"/>
      <c r="E33" s="355"/>
      <c r="F33" s="355"/>
      <c r="G33" s="357"/>
      <c r="H33" s="359"/>
      <c r="I33" s="355"/>
      <c r="J33" s="355"/>
      <c r="K33" s="357"/>
      <c r="L33" s="111">
        <f t="shared" si="6"/>
        <v>0</v>
      </c>
      <c r="M33" s="158">
        <f t="shared" si="2"/>
        <v>0.35000000000000003</v>
      </c>
      <c r="N33" s="189">
        <f t="shared" si="5"/>
        <v>-76.56666666666662</v>
      </c>
      <c r="O33" s="192"/>
      <c r="P33" s="355"/>
      <c r="Q33" s="355"/>
      <c r="R33" s="356"/>
      <c r="S33" s="357"/>
      <c r="T33" s="357"/>
      <c r="U33" s="358"/>
      <c r="V33" s="237"/>
      <c r="W33" s="373"/>
      <c r="X33" s="599"/>
      <c r="Y33" s="200"/>
      <c r="Z33" s="69"/>
      <c r="AA33" s="128"/>
      <c r="AB33" s="360">
        <f t="shared" si="7"/>
        <v>1</v>
      </c>
      <c r="AC33" s="360">
        <f t="shared" si="7"/>
        <v>1</v>
      </c>
      <c r="AD33" s="188" t="e">
        <f>IF(VLOOKUP(A33,Para1!$B$67:$E$72,2,FALSE)="11.",VLOOKUP(A33,Para1!$B$67:$E$72,3,FALSE),"")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0.17500000000000002</v>
      </c>
    </row>
    <row r="34" spans="1:34" ht="16.5" customHeight="1">
      <c r="A34" s="112" t="s">
        <v>22</v>
      </c>
      <c r="B34" s="334" t="str">
        <f>IF(B33=Para1!$F$153,Para1!$F$107,IF(B33=Para1!$F$107,Para1!$F$148,IF(B33=Para1!$F$148,Para1!$F$109,IF(B33=Para1!$F$109,Para1!$F$118,IF(B33=Para1!$F$118,Para1!$F$173,IF(B33=Para1!$F$173,Para1!$F$176,Para1!$F$153))))))</f>
        <v>Do</v>
      </c>
      <c r="C34" s="339"/>
      <c r="D34" s="355"/>
      <c r="E34" s="355"/>
      <c r="F34" s="355"/>
      <c r="G34" s="357"/>
      <c r="H34" s="359"/>
      <c r="I34" s="355"/>
      <c r="J34" s="355"/>
      <c r="K34" s="357"/>
      <c r="L34" s="111">
        <f t="shared" si="6"/>
        <v>0</v>
      </c>
      <c r="M34" s="158">
        <f t="shared" si="2"/>
        <v>0.35000000000000003</v>
      </c>
      <c r="N34" s="189">
        <f t="shared" si="5"/>
        <v>-76.916666666666615</v>
      </c>
      <c r="O34" s="192"/>
      <c r="P34" s="355"/>
      <c r="Q34" s="355"/>
      <c r="R34" s="356"/>
      <c r="S34" s="357"/>
      <c r="T34" s="357"/>
      <c r="U34" s="358"/>
      <c r="V34" s="198"/>
      <c r="W34" s="374"/>
      <c r="X34" s="599"/>
      <c r="Y34" s="200"/>
      <c r="Z34" s="69"/>
      <c r="AA34" s="128"/>
      <c r="AB34" s="360">
        <f t="shared" si="7"/>
        <v>1</v>
      </c>
      <c r="AC34" s="360">
        <f t="shared" si="7"/>
        <v>1</v>
      </c>
      <c r="AD34" s="188" t="e">
        <f>IF(VLOOKUP(A34,Para1!$B$67:$E$72,2,FALSE)="11.",VLOOKUP(A34,Para1!$B$67:$E$72,3,FALSE),"")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0.17500000000000002</v>
      </c>
    </row>
    <row r="35" spans="1:34" ht="16.5" customHeight="1">
      <c r="A35" s="112" t="s">
        <v>23</v>
      </c>
      <c r="B35" s="334" t="str">
        <f>IF(B34=Para1!$F$153,Para1!$F$107,IF(B34=Para1!$F$107,Para1!$F$148,IF(B34=Para1!$F$148,Para1!$F$109,IF(B34=Para1!$F$109,Para1!$F$118,IF(B34=Para1!$F$118,Para1!$F$173,IF(B34=Para1!$F$173,Para1!$F$176,Para1!$F$153))))))</f>
        <v>Fr</v>
      </c>
      <c r="C35" s="305"/>
      <c r="D35" s="355"/>
      <c r="E35" s="355"/>
      <c r="F35" s="355"/>
      <c r="G35" s="357"/>
      <c r="H35" s="359"/>
      <c r="I35" s="355"/>
      <c r="J35" s="355"/>
      <c r="K35" s="357"/>
      <c r="L35" s="111">
        <f t="shared" si="6"/>
        <v>0</v>
      </c>
      <c r="M35" s="158">
        <f t="shared" si="2"/>
        <v>0.35000000000000003</v>
      </c>
      <c r="N35" s="189">
        <f t="shared" si="5"/>
        <v>-77.266666666666609</v>
      </c>
      <c r="O35" s="193"/>
      <c r="P35" s="355"/>
      <c r="Q35" s="355"/>
      <c r="R35" s="356"/>
      <c r="S35" s="357"/>
      <c r="T35" s="357"/>
      <c r="U35" s="358"/>
      <c r="V35" s="198"/>
      <c r="W35" s="374"/>
      <c r="X35" s="599"/>
      <c r="Y35" s="200"/>
      <c r="Z35" s="69"/>
      <c r="AA35" s="128"/>
      <c r="AB35" s="360">
        <f t="shared" si="7"/>
        <v>1</v>
      </c>
      <c r="AC35" s="360">
        <f t="shared" si="7"/>
        <v>1</v>
      </c>
      <c r="AD35" s="188" t="e">
        <f>IF(VLOOKUP(A35,Para1!$B$67:$E$72,2,FALSE)="11.",VLOOKUP(A35,Para1!$B$67:$E$72,3,FALSE),"")</f>
        <v>#N/A</v>
      </c>
      <c r="AE35" s="540" t="str">
        <f>IF((AB35+AC35)=0,"",IF(ISNA(AD35),"",IF(AD35="","",VLOOKUP(AD35,Para1!$D$67:$G$79,3,FALSE)*(IF(AB35+AC35=1,0.5,1)))))</f>
        <v/>
      </c>
      <c r="AF35" s="540" t="str">
        <f>IF(AB35+AC35=0,"",IF(ISNA(AD36),"",IF(AD36="","",VLOOKUP(AD36,Para1!$D$67:$G$79,4,FALSE)*(IF(AB35+AC35=1,0.5,1)))))</f>
        <v/>
      </c>
      <c r="AG35" s="188">
        <f t="shared" si="3"/>
        <v>0</v>
      </c>
      <c r="AH35" s="187">
        <f t="shared" si="4"/>
        <v>0.17500000000000002</v>
      </c>
    </row>
    <row r="36" spans="1:34" s="50" customFormat="1" ht="16.5" customHeight="1">
      <c r="A36" s="112" t="s">
        <v>24</v>
      </c>
      <c r="B36" s="334" t="str">
        <f>IF(B35=Para1!$F$153,Para1!$F$107,IF(B35=Para1!$F$107,Para1!$F$148,IF(B35=Para1!$F$148,Para1!$F$109,IF(B35=Para1!$F$109,Para1!$F$118,IF(B35=Para1!$F$118,Para1!$F$173,IF(B35=Para1!$F$173,Para1!$F$176,Para1!$F$153))))))</f>
        <v>Sa</v>
      </c>
      <c r="C36" s="336"/>
      <c r="D36" s="355"/>
      <c r="E36" s="355"/>
      <c r="F36" s="355"/>
      <c r="G36" s="357"/>
      <c r="H36" s="359"/>
      <c r="I36" s="355"/>
      <c r="J36" s="355"/>
      <c r="K36" s="357"/>
      <c r="L36" s="111">
        <f t="shared" si="6"/>
        <v>0</v>
      </c>
      <c r="M36" s="158">
        <f t="shared" si="2"/>
        <v>0</v>
      </c>
      <c r="N36" s="189">
        <f t="shared" si="5"/>
        <v>-77.266666666666609</v>
      </c>
      <c r="O36" s="193"/>
      <c r="P36" s="355"/>
      <c r="Q36" s="355"/>
      <c r="R36" s="356"/>
      <c r="S36" s="357"/>
      <c r="T36" s="357"/>
      <c r="U36" s="358"/>
      <c r="V36" s="198"/>
      <c r="W36" s="373"/>
      <c r="X36" s="599"/>
      <c r="Y36" s="200"/>
      <c r="Z36" s="69"/>
      <c r="AA36" s="128"/>
      <c r="AB36" s="360">
        <f t="shared" si="7"/>
        <v>0</v>
      </c>
      <c r="AC36" s="360">
        <f t="shared" si="7"/>
        <v>0</v>
      </c>
      <c r="AD36" s="188" t="str">
        <f>IF(VLOOKUP(A36,Para1!$B$67:$E$72,2,FALSE)="11.",VLOOKUP(A36,Para1!$B$67:$E$72,3,FALSE),"")</f>
        <v/>
      </c>
      <c r="AE36" s="540" t="str">
        <f>IF((AB36+AC36)=0,"",IF(ISNA(AD36),"",IF(AD36="","",VLOOKUP(AD36,Para1!$D$67:$G$79,3,FALSE)*(IF(AB36+AC36=1,0.5,1)))))</f>
        <v/>
      </c>
      <c r="AF36" s="540" t="str">
        <f>IF(AB36+AC36=0,"",IF(ISNA(AD37),"",IF(AD37="","",VLOOKUP(AD37,Para1!$D$67:$G$79,4,FALSE)*(IF(AB36+AC36=1,0.5,1)))))</f>
        <v/>
      </c>
      <c r="AG36" s="188">
        <f t="shared" si="3"/>
        <v>0</v>
      </c>
      <c r="AH36" s="187">
        <f t="shared" si="4"/>
        <v>0</v>
      </c>
    </row>
    <row r="37" spans="1:34" s="50" customFormat="1" ht="16.5" customHeight="1">
      <c r="A37" s="112" t="s">
        <v>25</v>
      </c>
      <c r="B37" s="334" t="str">
        <f>IF(B36=Para1!$F$153,Para1!$F$107,IF(B36=Para1!$F$107,Para1!$F$148,IF(B36=Para1!$F$148,Para1!$F$109,IF(B36=Para1!$F$109,Para1!$F$118,IF(B36=Para1!$F$118,Para1!$F$173,IF(B36=Para1!$F$173,Para1!$F$176,Para1!$F$153))))))</f>
        <v>So</v>
      </c>
      <c r="C37" s="336"/>
      <c r="D37" s="355"/>
      <c r="E37" s="355"/>
      <c r="F37" s="355"/>
      <c r="G37" s="357"/>
      <c r="H37" s="359"/>
      <c r="I37" s="355"/>
      <c r="J37" s="355"/>
      <c r="K37" s="357"/>
      <c r="L37" s="111">
        <f t="shared" ref="L37:L53" si="8">SUM((G37-D37),(K37-H37))-SUM((F37-E37),(J37-I37))</f>
        <v>0</v>
      </c>
      <c r="M37" s="158">
        <f t="shared" si="2"/>
        <v>0</v>
      </c>
      <c r="N37" s="189">
        <f t="shared" si="5"/>
        <v>-77.266666666666609</v>
      </c>
      <c r="O37" s="193"/>
      <c r="P37" s="355"/>
      <c r="Q37" s="355"/>
      <c r="R37" s="356"/>
      <c r="S37" s="357"/>
      <c r="T37" s="357"/>
      <c r="U37" s="358"/>
      <c r="V37" s="198"/>
      <c r="W37" s="373"/>
      <c r="X37" s="599"/>
      <c r="Y37" s="200"/>
      <c r="Z37" s="69"/>
      <c r="AA37" s="128"/>
      <c r="AB37" s="360">
        <f t="shared" si="7"/>
        <v>0</v>
      </c>
      <c r="AC37" s="360">
        <f t="shared" si="7"/>
        <v>0</v>
      </c>
      <c r="AD37" s="188" t="e">
        <f>IF(VLOOKUP(A37,Para1!$B$67:$E$72,2,FALSE)="11.",VLOOKUP(A37,Para1!$B$67:$E$72,3,FALSE),"")</f>
        <v>#N/A</v>
      </c>
      <c r="AE37" s="540" t="str">
        <f>IF((AB37+AC37)=0,"",IF(ISNA(AD37),"",IF(AD37="","",VLOOKUP(AD37,Para1!$D$67:$G$79,3,FALSE)*(IF(AB37+AC37=1,0.5,1)))))</f>
        <v/>
      </c>
      <c r="AF37" s="540" t="str">
        <f>IF(AB37+AC37=0,"",IF(ISNA(AD38),"",IF(AD38="","",VLOOKUP(AD38,Para1!$D$67:$G$79,4,FALSE)*(IF(AB37+AC37=1,0.5,1)))))</f>
        <v/>
      </c>
      <c r="AG37" s="188">
        <f t="shared" si="3"/>
        <v>0</v>
      </c>
      <c r="AH37" s="187">
        <f t="shared" si="4"/>
        <v>0</v>
      </c>
    </row>
    <row r="38" spans="1:34" ht="16.5" customHeight="1">
      <c r="A38" s="112" t="s">
        <v>26</v>
      </c>
      <c r="B38" s="334" t="str">
        <f>IF(B37=Para1!$F$153,Para1!$F$107,IF(B37=Para1!$F$107,Para1!$F$148,IF(B37=Para1!$F$148,Para1!$F$109,IF(B37=Para1!$F$109,Para1!$F$118,IF(B37=Para1!$F$118,Para1!$F$173,IF(B37=Para1!$F$173,Para1!$F$176,Para1!$F$153))))))</f>
        <v>Mo</v>
      </c>
      <c r="C38" s="336"/>
      <c r="D38" s="355"/>
      <c r="E38" s="355"/>
      <c r="F38" s="355"/>
      <c r="G38" s="357"/>
      <c r="H38" s="359"/>
      <c r="I38" s="355"/>
      <c r="J38" s="355"/>
      <c r="K38" s="357"/>
      <c r="L38" s="111">
        <f t="shared" si="8"/>
        <v>0</v>
      </c>
      <c r="M38" s="158">
        <f t="shared" si="2"/>
        <v>0.35000000000000003</v>
      </c>
      <c r="N38" s="189">
        <f t="shared" si="5"/>
        <v>-77.616666666666603</v>
      </c>
      <c r="O38" s="193"/>
      <c r="P38" s="355"/>
      <c r="Q38" s="355"/>
      <c r="R38" s="356"/>
      <c r="S38" s="357"/>
      <c r="T38" s="357"/>
      <c r="U38" s="358"/>
      <c r="V38" s="198"/>
      <c r="W38" s="373"/>
      <c r="X38" s="599"/>
      <c r="Y38" s="200"/>
      <c r="Z38" s="69"/>
      <c r="AA38" s="128"/>
      <c r="AB38" s="360">
        <f>AB31</f>
        <v>1</v>
      </c>
      <c r="AC38" s="360">
        <f>AC31</f>
        <v>1</v>
      </c>
      <c r="AD38" s="188" t="e">
        <f>IF(VLOOKUP(A38,Para1!$B$67:$E$72,2,FALSE)="11.",VLOOKUP(A38,Para1!$B$67:$E$72,3,FALSE),"")</f>
        <v>#N/A</v>
      </c>
      <c r="AE38" s="540" t="str">
        <f>IF((AB38+AC38)=0,"",IF(ISNA(AD38),"",IF(AD38="","",VLOOKUP(AD38,Para1!$D$67:$G$79,3,FALSE)*(IF(AB38+AC38=1,0.5,1)))))</f>
        <v/>
      </c>
      <c r="AF38" s="540" t="str">
        <f>IF(AB38+AC38=0,"",IF(ISNA(AD39),"",IF(AD39="","",VLOOKUP(AD39,Para1!$D$67:$G$79,4,FALSE)*(IF(AB38+AC38=1,0.5,1)))))</f>
        <v/>
      </c>
      <c r="AG38" s="188">
        <f t="shared" si="3"/>
        <v>0</v>
      </c>
      <c r="AH38" s="187">
        <f t="shared" si="4"/>
        <v>0.17500000000000002</v>
      </c>
    </row>
    <row r="39" spans="1:34" ht="16.5" customHeight="1">
      <c r="A39" s="112" t="s">
        <v>27</v>
      </c>
      <c r="B39" s="334" t="str">
        <f>IF(B38=Para1!$F$153,Para1!$F$107,IF(B38=Para1!$F$107,Para1!$F$148,IF(B38=Para1!$F$148,Para1!$F$109,IF(B38=Para1!$F$109,Para1!$F$118,IF(B38=Para1!$F$118,Para1!$F$173,IF(B38=Para1!$F$173,Para1!$F$176,Para1!$F$153))))))</f>
        <v>Di</v>
      </c>
      <c r="C39" s="336"/>
      <c r="D39" s="355"/>
      <c r="E39" s="355"/>
      <c r="F39" s="355"/>
      <c r="G39" s="357"/>
      <c r="H39" s="359"/>
      <c r="I39" s="355"/>
      <c r="J39" s="355"/>
      <c r="K39" s="357"/>
      <c r="L39" s="111">
        <f t="shared" si="8"/>
        <v>0</v>
      </c>
      <c r="M39" s="158">
        <f t="shared" si="2"/>
        <v>0.35000000000000003</v>
      </c>
      <c r="N39" s="189">
        <f t="shared" si="5"/>
        <v>-77.966666666666598</v>
      </c>
      <c r="O39" s="193"/>
      <c r="P39" s="355"/>
      <c r="Q39" s="355"/>
      <c r="R39" s="356"/>
      <c r="S39" s="357"/>
      <c r="T39" s="357"/>
      <c r="U39" s="358"/>
      <c r="V39" s="198"/>
      <c r="W39" s="373"/>
      <c r="X39" s="599"/>
      <c r="Y39" s="200"/>
      <c r="Z39" s="69"/>
      <c r="AA39" s="128"/>
      <c r="AB39" s="360">
        <f t="shared" ref="AB39:AC44" si="9">AB32</f>
        <v>1</v>
      </c>
      <c r="AC39" s="360">
        <f t="shared" si="9"/>
        <v>1</v>
      </c>
      <c r="AD39" s="188" t="e">
        <f>IF(VLOOKUP(A39,Para1!$B$67:$E$72,2,FALSE)="11.",VLOOKUP(A39,Para1!$B$67:$E$72,3,FALSE),"")</f>
        <v>#N/A</v>
      </c>
      <c r="AE39" s="540" t="str">
        <f>IF((AB39+AC39)=0,"",IF(ISNA(AD39),"",IF(AD39="","",VLOOKUP(AD39,Para1!$D$67:$G$79,3,FALSE)*(IF(AB39+AC39=1,0.5,1)))))</f>
        <v/>
      </c>
      <c r="AF39" s="540" t="str">
        <f>IF(AB39+AC39=0,"",IF(ISNA(AD40),"",IF(AD40="","",VLOOKUP(AD40,Para1!$D$67:$G$79,4,FALSE)*(IF(AB39+AC39=1,0.5,1)))))</f>
        <v/>
      </c>
      <c r="AG39" s="188">
        <f t="shared" si="3"/>
        <v>0</v>
      </c>
      <c r="AH39" s="187">
        <f t="shared" si="4"/>
        <v>0.17500000000000002</v>
      </c>
    </row>
    <row r="40" spans="1:34" ht="16.5" customHeight="1">
      <c r="A40" s="112" t="s">
        <v>28</v>
      </c>
      <c r="B40" s="334" t="str">
        <f>IF(B39=Para1!$F$153,Para1!$F$107,IF(B39=Para1!$F$107,Para1!$F$148,IF(B39=Para1!$F$148,Para1!$F$109,IF(B39=Para1!$F$109,Para1!$F$118,IF(B39=Para1!$F$118,Para1!$F$173,IF(B39=Para1!$F$173,Para1!$F$176,Para1!$F$153))))))</f>
        <v>Mi</v>
      </c>
      <c r="C40" s="338"/>
      <c r="D40" s="355"/>
      <c r="E40" s="355"/>
      <c r="F40" s="355"/>
      <c r="G40" s="357"/>
      <c r="H40" s="359"/>
      <c r="I40" s="355"/>
      <c r="J40" s="355"/>
      <c r="K40" s="357"/>
      <c r="L40" s="111">
        <f t="shared" si="8"/>
        <v>0</v>
      </c>
      <c r="M40" s="158">
        <f t="shared" si="2"/>
        <v>0.35000000000000003</v>
      </c>
      <c r="N40" s="189">
        <f t="shared" si="5"/>
        <v>-78.316666666666592</v>
      </c>
      <c r="O40" s="192"/>
      <c r="P40" s="355"/>
      <c r="Q40" s="355"/>
      <c r="R40" s="356"/>
      <c r="S40" s="357"/>
      <c r="T40" s="357"/>
      <c r="U40" s="358"/>
      <c r="V40" s="237"/>
      <c r="W40" s="373"/>
      <c r="X40" s="599"/>
      <c r="Y40" s="200"/>
      <c r="Z40" s="69"/>
      <c r="AA40" s="128"/>
      <c r="AB40" s="360">
        <f t="shared" si="9"/>
        <v>1</v>
      </c>
      <c r="AC40" s="360">
        <f t="shared" si="9"/>
        <v>1</v>
      </c>
      <c r="AD40" s="188" t="e">
        <f>IF(VLOOKUP(A40,Para1!$B$67:$E$72,2,FALSE)="11.",VLOOKUP(A40,Para1!$B$67:$E$72,3,FALSE),"")</f>
        <v>#N/A</v>
      </c>
      <c r="AE40" s="540" t="str">
        <f>IF((AB40+AC40)=0,"",IF(ISNA(AD40),"",IF(AD40="","",VLOOKUP(AD40,Para1!$D$67:$G$79,3,FALSE)*(IF(AB40+AC40=1,0.5,1)))))</f>
        <v/>
      </c>
      <c r="AF40" s="540" t="str">
        <f>IF(AB40+AC40=0,"",IF(ISNA(AD41),"",IF(AD41="","",VLOOKUP(AD41,Para1!$D$67:$G$79,4,FALSE)*(IF(AB40+AC40=1,0.5,1)))))</f>
        <v/>
      </c>
      <c r="AG40" s="188">
        <f t="shared" si="3"/>
        <v>0</v>
      </c>
      <c r="AH40" s="187">
        <f t="shared" si="4"/>
        <v>0.17500000000000002</v>
      </c>
    </row>
    <row r="41" spans="1:34" ht="16.5" customHeight="1">
      <c r="A41" s="112" t="s">
        <v>29</v>
      </c>
      <c r="B41" s="334" t="str">
        <f>IF(B40=Para1!$F$153,Para1!$F$107,IF(B40=Para1!$F$107,Para1!$F$148,IF(B40=Para1!$F$148,Para1!$F$109,IF(B40=Para1!$F$109,Para1!$F$118,IF(B40=Para1!$F$118,Para1!$F$173,IF(B40=Para1!$F$173,Para1!$F$176,Para1!$F$153))))))</f>
        <v>Do</v>
      </c>
      <c r="C41" s="339"/>
      <c r="D41" s="355"/>
      <c r="E41" s="355"/>
      <c r="F41" s="355"/>
      <c r="G41" s="357"/>
      <c r="H41" s="359"/>
      <c r="I41" s="355"/>
      <c r="J41" s="355"/>
      <c r="K41" s="357"/>
      <c r="L41" s="111">
        <f t="shared" si="8"/>
        <v>0</v>
      </c>
      <c r="M41" s="158">
        <f t="shared" si="2"/>
        <v>0.35000000000000003</v>
      </c>
      <c r="N41" s="189">
        <f t="shared" si="5"/>
        <v>-78.666666666666586</v>
      </c>
      <c r="O41" s="192"/>
      <c r="P41" s="355"/>
      <c r="Q41" s="355"/>
      <c r="R41" s="356"/>
      <c r="S41" s="357"/>
      <c r="T41" s="357"/>
      <c r="U41" s="358"/>
      <c r="V41" s="198"/>
      <c r="W41" s="374"/>
      <c r="X41" s="599"/>
      <c r="Y41" s="200"/>
      <c r="Z41" s="69"/>
      <c r="AA41" s="128"/>
      <c r="AB41" s="360">
        <f t="shared" si="9"/>
        <v>1</v>
      </c>
      <c r="AC41" s="360">
        <f t="shared" si="9"/>
        <v>1</v>
      </c>
      <c r="AD41" s="188" t="e">
        <f>IF(VLOOKUP(A41,Para1!$B$67:$E$72,2,FALSE)="11.",VLOOKUP(A41,Para1!$B$67:$E$72,3,FALSE),"")</f>
        <v>#N/A</v>
      </c>
      <c r="AE41" s="540" t="str">
        <f>IF((AB41+AC41)=0,"",IF(ISNA(AD41),"",IF(AD41="","",VLOOKUP(AD41,Para1!$D$67:$G$79,3,FALSE)*(IF(AB41+AC41=1,0.5,1)))))</f>
        <v/>
      </c>
      <c r="AF41" s="540" t="str">
        <f>IF(AB41+AC41=0,"",IF(ISNA(AD42),"",IF(AD42="","",VLOOKUP(AD42,Para1!$D$67:$G$79,4,FALSE)*(IF(AB41+AC41=1,0.5,1)))))</f>
        <v/>
      </c>
      <c r="AG41" s="188">
        <f t="shared" si="3"/>
        <v>0</v>
      </c>
      <c r="AH41" s="187">
        <f t="shared" si="4"/>
        <v>0.17500000000000002</v>
      </c>
    </row>
    <row r="42" spans="1:34" ht="16.5" customHeight="1">
      <c r="A42" s="112" t="s">
        <v>30</v>
      </c>
      <c r="B42" s="334" t="str">
        <f>IF(B41=Para1!$F$153,Para1!$F$107,IF(B41=Para1!$F$107,Para1!$F$148,IF(B41=Para1!$F$148,Para1!$F$109,IF(B41=Para1!$F$109,Para1!$F$118,IF(B41=Para1!$F$118,Para1!$F$173,IF(B41=Para1!$F$173,Para1!$F$176,Para1!$F$153))))))</f>
        <v>Fr</v>
      </c>
      <c r="C42" s="305"/>
      <c r="D42" s="355"/>
      <c r="E42" s="355"/>
      <c r="F42" s="355"/>
      <c r="G42" s="357"/>
      <c r="H42" s="359"/>
      <c r="I42" s="355"/>
      <c r="J42" s="355"/>
      <c r="K42" s="357"/>
      <c r="L42" s="111">
        <f t="shared" si="8"/>
        <v>0</v>
      </c>
      <c r="M42" s="158">
        <f t="shared" si="2"/>
        <v>0.35000000000000003</v>
      </c>
      <c r="N42" s="189">
        <f t="shared" si="5"/>
        <v>-79.01666666666658</v>
      </c>
      <c r="O42" s="193"/>
      <c r="P42" s="355"/>
      <c r="Q42" s="355"/>
      <c r="R42" s="356"/>
      <c r="S42" s="357"/>
      <c r="T42" s="357"/>
      <c r="U42" s="358"/>
      <c r="V42" s="198"/>
      <c r="W42" s="374"/>
      <c r="X42" s="599"/>
      <c r="Y42" s="200"/>
      <c r="Z42" s="69"/>
      <c r="AA42" s="128"/>
      <c r="AB42" s="360">
        <f t="shared" si="9"/>
        <v>1</v>
      </c>
      <c r="AC42" s="360">
        <f t="shared" si="9"/>
        <v>1</v>
      </c>
      <c r="AD42" s="188" t="e">
        <f>IF(VLOOKUP(A42,Para1!$B$67:$E$72,2,FALSE)="11.",VLOOKUP(A42,Para1!$B$67:$E$72,3,FALSE),"")</f>
        <v>#N/A</v>
      </c>
      <c r="AE42" s="540" t="str">
        <f>IF((AB42+AC42)=0,"",IF(ISNA(AD42),"",IF(AD42="","",VLOOKUP(AD42,Para1!$D$67:$G$79,3,FALSE)*(IF(AB42+AC42=1,0.5,1)))))</f>
        <v/>
      </c>
      <c r="AF42" s="540" t="str">
        <f>IF(AB42+AC42=0,"",IF(ISNA(AD43),"",IF(AD43="","",VLOOKUP(AD43,Para1!$D$67:$G$79,4,FALSE)*(IF(AB42+AC42=1,0.5,1)))))</f>
        <v/>
      </c>
      <c r="AG42" s="188">
        <f t="shared" si="3"/>
        <v>0</v>
      </c>
      <c r="AH42" s="187">
        <f t="shared" si="4"/>
        <v>0.17500000000000002</v>
      </c>
    </row>
    <row r="43" spans="1:34" s="50" customFormat="1" ht="16.5" customHeight="1">
      <c r="A43" s="112" t="s">
        <v>31</v>
      </c>
      <c r="B43" s="334" t="str">
        <f>IF(B42=Para1!$F$153,Para1!$F$107,IF(B42=Para1!$F$107,Para1!$F$148,IF(B42=Para1!$F$148,Para1!$F$109,IF(B42=Para1!$F$109,Para1!$F$118,IF(B42=Para1!$F$118,Para1!$F$173,IF(B42=Para1!$F$173,Para1!$F$176,Para1!$F$153))))))</f>
        <v>Sa</v>
      </c>
      <c r="C43" s="336"/>
      <c r="D43" s="355"/>
      <c r="E43" s="355"/>
      <c r="F43" s="355"/>
      <c r="G43" s="357"/>
      <c r="H43" s="359"/>
      <c r="I43" s="355"/>
      <c r="J43" s="355"/>
      <c r="K43" s="357"/>
      <c r="L43" s="111">
        <f t="shared" si="8"/>
        <v>0</v>
      </c>
      <c r="M43" s="158">
        <f t="shared" si="2"/>
        <v>0</v>
      </c>
      <c r="N43" s="189">
        <f t="shared" si="5"/>
        <v>-79.01666666666658</v>
      </c>
      <c r="O43" s="193"/>
      <c r="P43" s="355"/>
      <c r="Q43" s="355"/>
      <c r="R43" s="356"/>
      <c r="S43" s="357"/>
      <c r="T43" s="357"/>
      <c r="U43" s="358"/>
      <c r="V43" s="198"/>
      <c r="W43" s="373"/>
      <c r="X43" s="599"/>
      <c r="Y43" s="200"/>
      <c r="Z43" s="69"/>
      <c r="AA43" s="128"/>
      <c r="AB43" s="360">
        <f t="shared" si="9"/>
        <v>0</v>
      </c>
      <c r="AC43" s="360">
        <f t="shared" si="9"/>
        <v>0</v>
      </c>
      <c r="AD43" s="188" t="e">
        <f>IF(VLOOKUP(A43,Para1!$B$67:$E$72,2,FALSE)="11.",VLOOKUP(A43,Para1!$B$67:$E$72,3,FALSE),"")</f>
        <v>#N/A</v>
      </c>
      <c r="AE43" s="540" t="str">
        <f>IF((AB43+AC43)=0,"",IF(ISNA(AD43),"",IF(AD43="","",VLOOKUP(AD43,Para1!$D$67:$G$79,3,FALSE)*(IF(AB43+AC43=1,0.5,1)))))</f>
        <v/>
      </c>
      <c r="AF43" s="540" t="str">
        <f>IF(AB43+AC43=0,"",IF(ISNA(AD44),"",IF(AD44="","",VLOOKUP(AD44,Para1!$D$67:$G$79,4,FALSE)*(IF(AB43+AC43=1,0.5,1)))))</f>
        <v/>
      </c>
      <c r="AG43" s="188">
        <f t="shared" si="3"/>
        <v>0</v>
      </c>
      <c r="AH43" s="187">
        <f t="shared" si="4"/>
        <v>0</v>
      </c>
    </row>
    <row r="44" spans="1:34" s="50" customFormat="1" ht="16.5" customHeight="1">
      <c r="A44" s="112" t="s">
        <v>32</v>
      </c>
      <c r="B44" s="334" t="str">
        <f>IF(B43=Para1!$F$153,Para1!$F$107,IF(B43=Para1!$F$107,Para1!$F$148,IF(B43=Para1!$F$148,Para1!$F$109,IF(B43=Para1!$F$109,Para1!$F$118,IF(B43=Para1!$F$118,Para1!$F$173,IF(B43=Para1!$F$173,Para1!$F$176,Para1!$F$153))))))</f>
        <v>So</v>
      </c>
      <c r="C44" s="336"/>
      <c r="D44" s="355"/>
      <c r="E44" s="355"/>
      <c r="F44" s="355"/>
      <c r="G44" s="357"/>
      <c r="H44" s="359"/>
      <c r="I44" s="355"/>
      <c r="J44" s="355"/>
      <c r="K44" s="357"/>
      <c r="L44" s="111">
        <f t="shared" si="8"/>
        <v>0</v>
      </c>
      <c r="M44" s="158">
        <f t="shared" si="2"/>
        <v>0</v>
      </c>
      <c r="N44" s="189">
        <f t="shared" si="5"/>
        <v>-79.01666666666658</v>
      </c>
      <c r="O44" s="193"/>
      <c r="P44" s="355"/>
      <c r="Q44" s="355"/>
      <c r="R44" s="356"/>
      <c r="S44" s="357"/>
      <c r="T44" s="357"/>
      <c r="U44" s="358"/>
      <c r="V44" s="198"/>
      <c r="W44" s="373"/>
      <c r="X44" s="599"/>
      <c r="Y44" s="200"/>
      <c r="Z44" s="69"/>
      <c r="AA44" s="128"/>
      <c r="AB44" s="360">
        <f t="shared" si="9"/>
        <v>0</v>
      </c>
      <c r="AC44" s="360">
        <f t="shared" si="9"/>
        <v>0</v>
      </c>
      <c r="AD44" s="188" t="e">
        <f>IF(VLOOKUP(A44,Para1!$B$67:$E$72,2,FALSE)="11.",VLOOKUP(A44,Para1!$B$67:$E$72,3,FALSE),"")</f>
        <v>#N/A</v>
      </c>
      <c r="AE44" s="540" t="str">
        <f>IF((AB44+AC44)=0,"",IF(ISNA(AD44),"",IF(AD44="","",VLOOKUP(AD44,Para1!$D$67:$G$79,3,FALSE)*(IF(AB44+AC44=1,0.5,1)))))</f>
        <v/>
      </c>
      <c r="AF44" s="540" t="str">
        <f>IF(AB44+AC44=0,"",IF(ISNA(AD45),"",IF(AD45="","",VLOOKUP(AD45,Para1!$D$67:$G$79,4,FALSE)*(IF(AB44+AC44=1,0.5,1)))))</f>
        <v/>
      </c>
      <c r="AG44" s="188">
        <f t="shared" si="3"/>
        <v>0</v>
      </c>
      <c r="AH44" s="187">
        <f t="shared" si="4"/>
        <v>0</v>
      </c>
    </row>
    <row r="45" spans="1:34" ht="16.5" customHeight="1">
      <c r="A45" s="112" t="s">
        <v>33</v>
      </c>
      <c r="B45" s="334" t="str">
        <f>IF(B44=Para1!$F$153,Para1!$F$107,IF(B44=Para1!$F$107,Para1!$F$148,IF(B44=Para1!$F$148,Para1!$F$109,IF(B44=Para1!$F$109,Para1!$F$118,IF(B44=Para1!$F$118,Para1!$F$173,IF(B44=Para1!$F$173,Para1!$F$176,Para1!$F$153))))))</f>
        <v>Mo</v>
      </c>
      <c r="C45" s="336"/>
      <c r="D45" s="355"/>
      <c r="E45" s="355"/>
      <c r="F45" s="355"/>
      <c r="G45" s="357"/>
      <c r="H45" s="359"/>
      <c r="I45" s="355"/>
      <c r="J45" s="355"/>
      <c r="K45" s="357"/>
      <c r="L45" s="111">
        <f t="shared" si="8"/>
        <v>0</v>
      </c>
      <c r="M45" s="158">
        <f t="shared" si="2"/>
        <v>0.35000000000000003</v>
      </c>
      <c r="N45" s="189">
        <f t="shared" si="5"/>
        <v>-79.366666666666575</v>
      </c>
      <c r="O45" s="193"/>
      <c r="P45" s="355"/>
      <c r="Q45" s="355"/>
      <c r="R45" s="356"/>
      <c r="S45" s="357"/>
      <c r="T45" s="357"/>
      <c r="U45" s="358"/>
      <c r="V45" s="198"/>
      <c r="W45" s="373"/>
      <c r="X45" s="599"/>
      <c r="Y45" s="200"/>
      <c r="Z45" s="69"/>
      <c r="AA45" s="128"/>
      <c r="AB45" s="360">
        <f>AB38</f>
        <v>1</v>
      </c>
      <c r="AC45" s="360">
        <f>AC38</f>
        <v>1</v>
      </c>
      <c r="AD45" s="188" t="e">
        <f>IF(VLOOKUP(A45,Para1!$B$67:$E$72,2,FALSE)="11.",VLOOKUP(A45,Para1!$B$67:$E$72,3,FALSE),"")</f>
        <v>#N/A</v>
      </c>
      <c r="AE45" s="540" t="str">
        <f>IF((AB45+AC45)=0,"",IF(ISNA(AD45),"",IF(AD45="","",VLOOKUP(AD45,Para1!$D$67:$G$79,3,FALSE)*(IF(AB45+AC45=1,0.5,1)))))</f>
        <v/>
      </c>
      <c r="AF45" s="540" t="str">
        <f>IF(AB45+AC45=0,"",IF(ISNA(AD46),"",IF(AD46="","",VLOOKUP(AD46,Para1!$D$67:$G$79,4,FALSE)*(IF(AB45+AC45=1,0.5,1)))))</f>
        <v/>
      </c>
      <c r="AG45" s="188">
        <f t="shared" si="3"/>
        <v>0</v>
      </c>
      <c r="AH45" s="187">
        <f t="shared" si="4"/>
        <v>0.17500000000000002</v>
      </c>
    </row>
    <row r="46" spans="1:34" ht="16.5" customHeight="1">
      <c r="A46" s="112" t="s">
        <v>34</v>
      </c>
      <c r="B46" s="334" t="str">
        <f>IF(B45=Para1!$F$153,Para1!$F$107,IF(B45=Para1!$F$107,Para1!$F$148,IF(B45=Para1!$F$148,Para1!$F$109,IF(B45=Para1!$F$109,Para1!$F$118,IF(B45=Para1!$F$118,Para1!$F$173,IF(B45=Para1!$F$173,Para1!$F$176,Para1!$F$153))))))</f>
        <v>Di</v>
      </c>
      <c r="C46" s="336"/>
      <c r="D46" s="355"/>
      <c r="E46" s="355"/>
      <c r="F46" s="355"/>
      <c r="G46" s="357"/>
      <c r="H46" s="359"/>
      <c r="I46" s="355"/>
      <c r="J46" s="355"/>
      <c r="K46" s="357"/>
      <c r="L46" s="111">
        <f t="shared" si="8"/>
        <v>0</v>
      </c>
      <c r="M46" s="158">
        <f t="shared" si="2"/>
        <v>0.35000000000000003</v>
      </c>
      <c r="N46" s="189">
        <f t="shared" si="5"/>
        <v>-79.716666666666569</v>
      </c>
      <c r="O46" s="193"/>
      <c r="P46" s="355"/>
      <c r="Q46" s="355"/>
      <c r="R46" s="356"/>
      <c r="S46" s="357"/>
      <c r="T46" s="357"/>
      <c r="U46" s="358"/>
      <c r="V46" s="198"/>
      <c r="W46" s="373"/>
      <c r="X46" s="599"/>
      <c r="Y46" s="200"/>
      <c r="Z46" s="69"/>
      <c r="AA46" s="128"/>
      <c r="AB46" s="360">
        <f t="shared" ref="AB46:AC51" si="10">AB39</f>
        <v>1</v>
      </c>
      <c r="AC46" s="360">
        <f t="shared" si="10"/>
        <v>1</v>
      </c>
      <c r="AD46" s="188" t="str">
        <f>IF(VLOOKUP(A46,Para1!$B$67:$E$72,2,FALSE)="11.",VLOOKUP(A46,Para1!$B$67:$E$72,3,FALSE),"")</f>
        <v/>
      </c>
      <c r="AE46" s="540" t="str">
        <f>IF((AB46+AC46)=0,"",IF(ISNA(AD46),"",IF(AD46="","",VLOOKUP(AD46,Para1!$D$67:$G$79,3,FALSE)*(IF(AB46+AC46=1,0.5,1)))))</f>
        <v/>
      </c>
      <c r="AF46" s="540" t="str">
        <f>IF(AB46+AC46=0,"",IF(ISNA(AD47),"",IF(AD47="","",VLOOKUP(AD47,Para1!$D$67:$G$79,4,FALSE)*(IF(AB46+AC46=1,0.5,1)))))</f>
        <v/>
      </c>
      <c r="AG46" s="188">
        <f t="shared" si="3"/>
        <v>0</v>
      </c>
      <c r="AH46" s="187">
        <f t="shared" si="4"/>
        <v>0.17500000000000002</v>
      </c>
    </row>
    <row r="47" spans="1:34" ht="16.5" customHeight="1">
      <c r="A47" s="112" t="s">
        <v>35</v>
      </c>
      <c r="B47" s="334" t="str">
        <f>IF(B46=Para1!$F$153,Para1!$F$107,IF(B46=Para1!$F$107,Para1!$F$148,IF(B46=Para1!$F$148,Para1!$F$109,IF(B46=Para1!$F$109,Para1!$F$118,IF(B46=Para1!$F$118,Para1!$F$173,IF(B46=Para1!$F$173,Para1!$F$176,Para1!$F$153))))))</f>
        <v>Mi</v>
      </c>
      <c r="C47" s="338"/>
      <c r="D47" s="355"/>
      <c r="E47" s="355"/>
      <c r="F47" s="355"/>
      <c r="G47" s="357"/>
      <c r="H47" s="359"/>
      <c r="I47" s="355"/>
      <c r="J47" s="355"/>
      <c r="K47" s="357"/>
      <c r="L47" s="111">
        <f t="shared" si="8"/>
        <v>0</v>
      </c>
      <c r="M47" s="158">
        <f t="shared" si="2"/>
        <v>0.35000000000000003</v>
      </c>
      <c r="N47" s="189">
        <f t="shared" si="5"/>
        <v>-80.066666666666563</v>
      </c>
      <c r="O47" s="192"/>
      <c r="P47" s="355"/>
      <c r="Q47" s="355"/>
      <c r="R47" s="356"/>
      <c r="S47" s="357"/>
      <c r="T47" s="357"/>
      <c r="U47" s="358"/>
      <c r="V47" s="237"/>
      <c r="W47" s="373"/>
      <c r="X47" s="599"/>
      <c r="Y47" s="200"/>
      <c r="Z47" s="69"/>
      <c r="AA47" s="128"/>
      <c r="AB47" s="360">
        <f t="shared" si="10"/>
        <v>1</v>
      </c>
      <c r="AC47" s="360">
        <f t="shared" si="10"/>
        <v>1</v>
      </c>
      <c r="AD47" s="188" t="str">
        <f>IF(VLOOKUP(A47,Para1!$B$67:$E$72,2,FALSE)="11.",VLOOKUP(A47,Para1!$B$67:$E$72,3,FALSE),"")</f>
        <v/>
      </c>
      <c r="AE47" s="540" t="str">
        <f>IF((AB47+AC47)=0,"",IF(ISNA(AD47),"",IF(AD47="","",VLOOKUP(AD47,Para1!$D$67:$G$79,3,FALSE)*(IF(AB47+AC47=1,0.5,1)))))</f>
        <v/>
      </c>
      <c r="AF47" s="540" t="str">
        <f>IF(AB47+AC47=0,"",IF(ISNA(AD48),"",IF(AD48="","",VLOOKUP(AD48,Para1!$D$67:$G$79,4,FALSE)*(IF(AB47+AC47=1,0.5,1)))))</f>
        <v/>
      </c>
      <c r="AG47" s="188">
        <f t="shared" si="3"/>
        <v>0</v>
      </c>
      <c r="AH47" s="187">
        <f t="shared" si="4"/>
        <v>0.17500000000000002</v>
      </c>
    </row>
    <row r="48" spans="1:34" ht="16.5" customHeight="1">
      <c r="A48" s="112" t="s">
        <v>36</v>
      </c>
      <c r="B48" s="334" t="str">
        <f>IF(B47=Para1!$F$153,Para1!$F$107,IF(B47=Para1!$F$107,Para1!$F$148,IF(B47=Para1!$F$148,Para1!$F$109,IF(B47=Para1!$F$109,Para1!$F$118,IF(B47=Para1!$F$118,Para1!$F$173,IF(B47=Para1!$F$173,Para1!$F$176,Para1!$F$153))))))</f>
        <v>Do</v>
      </c>
      <c r="C48" s="339"/>
      <c r="D48" s="355"/>
      <c r="E48" s="355"/>
      <c r="F48" s="355"/>
      <c r="G48" s="357"/>
      <c r="H48" s="359"/>
      <c r="I48" s="355"/>
      <c r="J48" s="355"/>
      <c r="K48" s="357"/>
      <c r="L48" s="111">
        <f t="shared" si="8"/>
        <v>0</v>
      </c>
      <c r="M48" s="158">
        <f>IF(AE48=0,0,IF(AB48,$AB$56,0)+IF(AC48,$AB$56,0)-IF(AE48="",0,(AE48/4800*$H$3)+(AE48/4800*$H$3)))-IF(AF48="",0,(AF48/4800*$H$3)+(AF48/4800*$H$3))</f>
        <v>0.35000000000000003</v>
      </c>
      <c r="N48" s="189">
        <f t="shared" si="5"/>
        <v>-80.416666666666558</v>
      </c>
      <c r="O48" s="192"/>
      <c r="P48" s="355"/>
      <c r="Q48" s="355"/>
      <c r="R48" s="356"/>
      <c r="S48" s="357"/>
      <c r="T48" s="357"/>
      <c r="U48" s="358"/>
      <c r="V48" s="198"/>
      <c r="W48" s="374"/>
      <c r="X48" s="599"/>
      <c r="Y48" s="200"/>
      <c r="Z48" s="69"/>
      <c r="AA48" s="128"/>
      <c r="AB48" s="360">
        <f>AB41</f>
        <v>1</v>
      </c>
      <c r="AC48" s="360">
        <f>AC41</f>
        <v>1</v>
      </c>
      <c r="AD48" s="188" t="e">
        <f>IF(VLOOKUP(A48,Para1!$B$67:$E$72,2,FALSE)="11.",VLOOKUP(A48,Para1!$B$67:$E$72,3,FALSE),"")</f>
        <v>#N/A</v>
      </c>
      <c r="AE48" s="540" t="str">
        <f>IF((AB48+AC48)=0,"",IF(ISNA(AD48),"",IF(AD48="","",VLOOKUP(AD48,Para1!$D$67:$G$79,3,FALSE)*(IF(AB48+AC48=1,0.5,1)))))</f>
        <v/>
      </c>
      <c r="AF48" s="540" t="str">
        <f>IF(AB48+AC48=0,"",IF(ISNA(AD49),"",IF(AD49="","",VLOOKUP(AD49,Para1!$D$67:$G$79,4,FALSE)*(IF(AB48+AC48=1,0.5,1)))))</f>
        <v/>
      </c>
      <c r="AG48" s="188">
        <f t="shared" si="3"/>
        <v>0</v>
      </c>
      <c r="AH48" s="187">
        <f t="shared" si="4"/>
        <v>0.17500000000000002</v>
      </c>
    </row>
    <row r="49" spans="1:34" ht="16.5" customHeight="1">
      <c r="A49" s="112" t="s">
        <v>37</v>
      </c>
      <c r="B49" s="334" t="str">
        <f>IF(B48=Para1!$F$153,Para1!$F$107,IF(B48=Para1!$F$107,Para1!$F$148,IF(B48=Para1!$F$148,Para1!$F$109,IF(B48=Para1!$F$109,Para1!$F$118,IF(B48=Para1!$F$118,Para1!$F$173,IF(B48=Para1!$F$173,Para1!$F$176,Para1!$F$153))))))</f>
        <v>Fr</v>
      </c>
      <c r="C49" s="305"/>
      <c r="D49" s="355"/>
      <c r="E49" s="355"/>
      <c r="F49" s="355"/>
      <c r="G49" s="357"/>
      <c r="H49" s="359"/>
      <c r="I49" s="355"/>
      <c r="J49" s="355"/>
      <c r="K49" s="357"/>
      <c r="L49" s="111">
        <f t="shared" si="8"/>
        <v>0</v>
      </c>
      <c r="M49" s="158">
        <f t="shared" ref="M49:M53" si="11">IF(AE49=0,0,IF(AB49,$AB$56,0)+IF(AC49,$AB$56,0)-IF(AE49="",0,(AE49/4800*$H$3)+(AE49/4800*$H$3)))-IF(AF49="",0,(AF49/4800*$H$3)+(AF49/4800*$H$3))</f>
        <v>0.35000000000000003</v>
      </c>
      <c r="N49" s="189">
        <f t="shared" si="5"/>
        <v>-80.766666666666552</v>
      </c>
      <c r="O49" s="193"/>
      <c r="P49" s="355"/>
      <c r="Q49" s="355"/>
      <c r="R49" s="356"/>
      <c r="S49" s="357"/>
      <c r="T49" s="357"/>
      <c r="U49" s="358"/>
      <c r="V49" s="198"/>
      <c r="W49" s="374"/>
      <c r="X49" s="599"/>
      <c r="Y49" s="200"/>
      <c r="Z49" s="69"/>
      <c r="AA49" s="128"/>
      <c r="AB49" s="360">
        <f>AB42</f>
        <v>1</v>
      </c>
      <c r="AC49" s="360">
        <f t="shared" si="10"/>
        <v>1</v>
      </c>
      <c r="AD49" s="188" t="e">
        <f>IF(VLOOKUP(A49,Para1!$B$67:$E$72,2,FALSE)="11.",VLOOKUP(A49,Para1!$B$67:$E$72,3,FALSE),"")</f>
        <v>#N/A</v>
      </c>
      <c r="AE49" s="540" t="str">
        <f>IF((AB49+AC49)=0,"",IF(ISNA(AD49),"",IF(AD49="","",VLOOKUP(AD49,Para1!$D$67:$G$79,3,FALSE)*(IF(AB49+AC49=1,0.5,1)))))</f>
        <v/>
      </c>
      <c r="AF49" s="540" t="str">
        <f>IF(AB49+AC49=0,"",IF(ISNA(AD50),"",IF(AD50="","",VLOOKUP(AD50,Para1!$D$67:$G$79,4,FALSE)*(IF(AB49+AC49=1,0.5,1)))))</f>
        <v/>
      </c>
      <c r="AG49" s="188">
        <f t="shared" si="3"/>
        <v>0</v>
      </c>
      <c r="AH49" s="187">
        <f t="shared" si="4"/>
        <v>0.17500000000000002</v>
      </c>
    </row>
    <row r="50" spans="1:34" s="50" customFormat="1" ht="16.5" customHeight="1">
      <c r="A50" s="112" t="s">
        <v>38</v>
      </c>
      <c r="B50" s="334" t="str">
        <f>IF(B49=Para1!$F$153,Para1!$F$107,IF(B49=Para1!$F$107,Para1!$F$148,IF(B49=Para1!$F$148,Para1!$F$109,IF(B49=Para1!$F$109,Para1!$F$118,IF(B49=Para1!$F$118,Para1!$F$173,IF(B49=Para1!$F$173,Para1!$F$176,Para1!$F$153))))))</f>
        <v>Sa</v>
      </c>
      <c r="C50" s="336"/>
      <c r="D50" s="355"/>
      <c r="E50" s="355"/>
      <c r="F50" s="355"/>
      <c r="G50" s="357"/>
      <c r="H50" s="359"/>
      <c r="I50" s="355"/>
      <c r="J50" s="355"/>
      <c r="K50" s="357"/>
      <c r="L50" s="111">
        <f t="shared" si="8"/>
        <v>0</v>
      </c>
      <c r="M50" s="158">
        <f t="shared" si="11"/>
        <v>0</v>
      </c>
      <c r="N50" s="189">
        <f t="shared" si="5"/>
        <v>-80.766666666666552</v>
      </c>
      <c r="O50" s="193"/>
      <c r="P50" s="355"/>
      <c r="Q50" s="355"/>
      <c r="R50" s="356"/>
      <c r="S50" s="357"/>
      <c r="T50" s="357"/>
      <c r="U50" s="358"/>
      <c r="V50" s="198"/>
      <c r="W50" s="373"/>
      <c r="X50" s="599"/>
      <c r="Y50" s="200"/>
      <c r="Z50" s="69"/>
      <c r="AA50" s="128"/>
      <c r="AB50" s="360">
        <f t="shared" si="10"/>
        <v>0</v>
      </c>
      <c r="AC50" s="360">
        <f t="shared" si="10"/>
        <v>0</v>
      </c>
      <c r="AD50" s="188" t="e">
        <f>IF(VLOOKUP(A50,Para1!$B$67:$E$72,2,FALSE)="11.",VLOOKUP(A50,Para1!$B$67:$E$72,3,FALSE),"")</f>
        <v>#N/A</v>
      </c>
      <c r="AE50" s="540" t="str">
        <f>IF((AB50+AC50)=0,"",IF(ISNA(AD50),"",IF(AD50="","",VLOOKUP(AD50,Para1!$D$67:$G$79,3,FALSE)*(IF(AB50+AC50=1,0.5,1)))))</f>
        <v/>
      </c>
      <c r="AF50" s="540" t="str">
        <f>IF(AB50+AC50=0,"",IF(ISNA(AD51),"",IF(AD51="","",VLOOKUP(AD51,Para1!$D$67:$G$79,4,FALSE)*(IF(AB50+AC50=1,0.5,1)))))</f>
        <v/>
      </c>
      <c r="AG50" s="188">
        <f t="shared" si="3"/>
        <v>0</v>
      </c>
      <c r="AH50" s="187">
        <f t="shared" si="4"/>
        <v>0</v>
      </c>
    </row>
    <row r="51" spans="1:34" s="50" customFormat="1" ht="16.5" customHeight="1">
      <c r="A51" s="112" t="s">
        <v>39</v>
      </c>
      <c r="B51" s="334" t="str">
        <f>IF(B50=Para1!$F$153,Para1!$F$107,IF(B50=Para1!$F$107,Para1!$F$148,IF(B50=Para1!$F$148,Para1!$F$109,IF(B50=Para1!$F$109,Para1!$F$118,IF(B50=Para1!$F$118,Para1!$F$173,IF(B50=Para1!$F$173,Para1!$F$176,Para1!$F$153))))))</f>
        <v>So</v>
      </c>
      <c r="C51" s="336"/>
      <c r="D51" s="355"/>
      <c r="E51" s="355"/>
      <c r="F51" s="355"/>
      <c r="G51" s="357"/>
      <c r="H51" s="359"/>
      <c r="I51" s="355"/>
      <c r="J51" s="355"/>
      <c r="K51" s="357"/>
      <c r="L51" s="111">
        <f t="shared" si="8"/>
        <v>0</v>
      </c>
      <c r="M51" s="158">
        <f t="shared" si="11"/>
        <v>0</v>
      </c>
      <c r="N51" s="189">
        <f t="shared" si="5"/>
        <v>-80.766666666666552</v>
      </c>
      <c r="O51" s="193"/>
      <c r="P51" s="355"/>
      <c r="Q51" s="355"/>
      <c r="R51" s="356"/>
      <c r="S51" s="357"/>
      <c r="T51" s="357"/>
      <c r="U51" s="358"/>
      <c r="V51" s="198"/>
      <c r="W51" s="373"/>
      <c r="X51" s="599"/>
      <c r="Y51" s="200"/>
      <c r="Z51" s="69"/>
      <c r="AA51" s="128"/>
      <c r="AB51" s="360">
        <f t="shared" si="10"/>
        <v>0</v>
      </c>
      <c r="AC51" s="360">
        <f t="shared" si="10"/>
        <v>0</v>
      </c>
      <c r="AD51" s="188" t="e">
        <f>IF(VLOOKUP(A51,Para1!$B$67:$E$72,2,FALSE)="11.",VLOOKUP(A51,Para1!$B$67:$E$72,3,FALSE),"")</f>
        <v>#N/A</v>
      </c>
      <c r="AE51" s="540" t="str">
        <f>IF((AB51+AC51)=0,"",IF(ISNA(AD51),"",IF(AD51="","",VLOOKUP(AD51,Para1!$D$67:$G$79,3,FALSE)*(IF(AB51+AC51=1,0.5,1)))))</f>
        <v/>
      </c>
      <c r="AF51" s="540" t="str">
        <f>IF(AB51+AC51=0,"",IF(ISNA(AD52),"",IF(AD52="","",VLOOKUP(AD52,Para1!$D$67:$G$79,4,FALSE)*(IF(AB51+AC51=1,0.5,1)))))</f>
        <v/>
      </c>
      <c r="AG51" s="188">
        <f t="shared" si="3"/>
        <v>0</v>
      </c>
      <c r="AH51" s="187">
        <f t="shared" si="4"/>
        <v>0</v>
      </c>
    </row>
    <row r="52" spans="1:34" ht="16.5" customHeight="1">
      <c r="A52" s="112" t="s">
        <v>40</v>
      </c>
      <c r="B52" s="334" t="str">
        <f>IF(B51=Para1!$F$153,Para1!$F$107,IF(B51=Para1!$F$107,Para1!$F$148,IF(B51=Para1!$F$148,Para1!$F$109,IF(B51=Para1!$F$109,Para1!$F$118,IF(B51=Para1!$F$118,Para1!$F$173,IF(B51=Para1!$F$173,Para1!$F$176,Para1!$F$153))))))</f>
        <v>Mo</v>
      </c>
      <c r="C52" s="336"/>
      <c r="D52" s="355"/>
      <c r="E52" s="355"/>
      <c r="F52" s="355"/>
      <c r="G52" s="357"/>
      <c r="H52" s="359"/>
      <c r="I52" s="355"/>
      <c r="J52" s="355"/>
      <c r="K52" s="357"/>
      <c r="L52" s="111">
        <f t="shared" si="8"/>
        <v>0</v>
      </c>
      <c r="M52" s="158">
        <f t="shared" si="11"/>
        <v>0.35000000000000003</v>
      </c>
      <c r="N52" s="189">
        <f t="shared" si="5"/>
        <v>-81.116666666666546</v>
      </c>
      <c r="O52" s="193"/>
      <c r="P52" s="355"/>
      <c r="Q52" s="355"/>
      <c r="R52" s="356"/>
      <c r="S52" s="357"/>
      <c r="T52" s="357"/>
      <c r="U52" s="358"/>
      <c r="V52" s="198"/>
      <c r="W52" s="373"/>
      <c r="X52" s="599"/>
      <c r="Y52" s="200"/>
      <c r="Z52" s="69"/>
      <c r="AA52" s="128"/>
      <c r="AB52" s="360">
        <f>AB45</f>
        <v>1</v>
      </c>
      <c r="AC52" s="360">
        <f>AC45</f>
        <v>1</v>
      </c>
      <c r="AD52" s="188" t="e">
        <f>IF(VLOOKUP(A52,Para1!$B$67:$E$72,2,FALSE)="11.",VLOOKUP(A52,Para1!$B$67:$E$72,3,FALSE),"")</f>
        <v>#N/A</v>
      </c>
      <c r="AE52" s="540" t="str">
        <f>IF((AB52+AC52)=0,"",IF(ISNA(AD52),"",IF(AD52="","",VLOOKUP(AD52,Para1!$D$67:$G$79,3,FALSE)*(IF(AB52+AC52=1,0.5,1)))))</f>
        <v/>
      </c>
      <c r="AF52" s="540" t="str">
        <f>IF(AB52+AC52=0,"",IF(ISNA(AD53),"",IF(AD53="","",VLOOKUP(AD53,Para1!$D$67:$G$79,4,FALSE)*(IF(AB52+AC52=1,0.5,1)))))</f>
        <v/>
      </c>
      <c r="AG52" s="188">
        <f t="shared" si="3"/>
        <v>0</v>
      </c>
      <c r="AH52" s="187">
        <f t="shared" si="4"/>
        <v>0.17500000000000002</v>
      </c>
    </row>
    <row r="53" spans="1:34" ht="16.5" customHeight="1" thickBot="1">
      <c r="A53" s="112" t="s">
        <v>41</v>
      </c>
      <c r="B53" s="334" t="str">
        <f>IF(B52=Para1!$F$153,Para1!$F$107,IF(B52=Para1!$F$107,Para1!$F$148,IF(B52=Para1!$F$148,Para1!$F$109,IF(B52=Para1!$F$109,Para1!$F$118,IF(B52=Para1!$F$118,Para1!$F$173,IF(B52=Para1!$F$173,Para1!$F$176,Para1!$F$153))))))</f>
        <v>Di</v>
      </c>
      <c r="C53" s="336"/>
      <c r="D53" s="355"/>
      <c r="E53" s="355"/>
      <c r="F53" s="355"/>
      <c r="G53" s="357"/>
      <c r="H53" s="359"/>
      <c r="I53" s="355"/>
      <c r="J53" s="355"/>
      <c r="K53" s="357"/>
      <c r="L53" s="111">
        <f t="shared" si="8"/>
        <v>0</v>
      </c>
      <c r="M53" s="158">
        <f t="shared" si="11"/>
        <v>0.35000000000000003</v>
      </c>
      <c r="N53" s="189">
        <f t="shared" si="5"/>
        <v>-81.466666666666541</v>
      </c>
      <c r="O53" s="193"/>
      <c r="P53" s="355"/>
      <c r="Q53" s="355"/>
      <c r="R53" s="356"/>
      <c r="S53" s="357"/>
      <c r="T53" s="357"/>
      <c r="U53" s="358"/>
      <c r="V53" s="198"/>
      <c r="W53" s="530"/>
      <c r="X53" s="599"/>
      <c r="Y53" s="200"/>
      <c r="Z53" s="69"/>
      <c r="AA53" s="128"/>
      <c r="AB53" s="361">
        <f>AB46</f>
        <v>1</v>
      </c>
      <c r="AC53" s="361">
        <f>AC46</f>
        <v>1</v>
      </c>
      <c r="AD53" s="188" t="e">
        <f>IF(VLOOKUP(A53,Para1!$B$67:$E$72,2,FALSE)="11.",VLOOKUP(A53,Para1!$B$67:$E$72,3,FALSE),"")</f>
        <v>#N/A</v>
      </c>
      <c r="AE53" s="540" t="str">
        <f>IF((AB53+AC53)=0,"",IF(ISNA(AD53),"",IF(AD53="","",VLOOKUP(AD53,Para1!$D$67:$G$79,3,FALSE)*(IF(AB53+AC53=1,0.5,1)))))</f>
        <v/>
      </c>
      <c r="AF53" s="540" t="str">
        <f>IF(AB53+AC53=0,"",IF(ISNA(Dezember!AD24),"",IF(Dezember!AD24="","",VLOOKUP(Dezember!AD24,Para1!$D$67:$G$79,4,FALSE)*(IF(AB53+AC53=1,0.5,1)))))</f>
        <v/>
      </c>
      <c r="AG53" s="188">
        <f t="shared" si="3"/>
        <v>0</v>
      </c>
      <c r="AH53" s="187">
        <f t="shared" si="4"/>
        <v>0.17500000000000002</v>
      </c>
    </row>
    <row r="54" spans="1:34" ht="16.5" customHeight="1" thickTop="1" thickBot="1">
      <c r="A54" s="49"/>
      <c r="B54" s="335"/>
      <c r="C54" s="337"/>
      <c r="D54" s="434"/>
      <c r="E54" s="434"/>
      <c r="F54" s="434"/>
      <c r="G54" s="435"/>
      <c r="H54" s="436"/>
      <c r="I54" s="434"/>
      <c r="J54" s="434"/>
      <c r="K54" s="437"/>
      <c r="L54" s="116"/>
      <c r="M54" s="438"/>
      <c r="N54" s="189">
        <f t="shared" si="5"/>
        <v>-81.466666666666541</v>
      </c>
      <c r="O54" s="192"/>
      <c r="P54" s="121"/>
      <c r="Q54" s="121"/>
      <c r="R54" s="123"/>
      <c r="S54" s="122"/>
      <c r="T54" s="122"/>
      <c r="U54" s="124"/>
      <c r="V54" s="237"/>
      <c r="W54" s="531"/>
      <c r="X54" s="739"/>
      <c r="Y54" s="200"/>
      <c r="Z54" s="69"/>
      <c r="AA54" s="128"/>
      <c r="AB54" s="240"/>
      <c r="AC54" s="240"/>
      <c r="AD54" s="188" t="e">
        <f>IF(VLOOKUP(A54,Para1!$B$67:$E$72,2,FALSE)="11.",VLOOKUP(A54,Para1!$B$67:$E$72,3,FALSE),"")</f>
        <v>#N/A</v>
      </c>
      <c r="AE54" s="540" t="str">
        <f>IF((AB54+AC54)=0,"",IF(ISNA(AD54),"",IF(AD54="","",VLOOKUP(AD54,Para1!$D$67:$G$79,3,FALSE)*(IF(AB54+AC54=1,0.5,1)))))</f>
        <v/>
      </c>
      <c r="AF54" s="540"/>
      <c r="AG54" s="188">
        <f t="shared" si="3"/>
        <v>0</v>
      </c>
      <c r="AH54" s="187">
        <f t="shared" si="4"/>
        <v>0</v>
      </c>
    </row>
    <row r="55" spans="1:34" ht="15" thickTop="1">
      <c r="A55" s="47"/>
      <c r="B55" s="37"/>
      <c r="C55" s="16"/>
      <c r="D55" s="38"/>
      <c r="E55" s="38"/>
      <c r="F55" s="38"/>
      <c r="G55" s="38"/>
      <c r="H55" s="38"/>
      <c r="I55" s="38"/>
      <c r="J55" s="38"/>
      <c r="K55" s="464" t="str">
        <f>Para1!F184&amp;" (hh:mm)"</f>
        <v>Total (hh:mm)</v>
      </c>
      <c r="L55" s="39">
        <f>SUM(L24:L54)</f>
        <v>0</v>
      </c>
      <c r="M55" s="44">
        <f>SUM(M24:M54)</f>
        <v>7.6999999999999966</v>
      </c>
      <c r="N55" s="44"/>
      <c r="O55" s="194"/>
      <c r="P55" s="110">
        <f t="shared" ref="P55:U55" si="12">SUM(P24:P54)</f>
        <v>0</v>
      </c>
      <c r="Q55" s="110">
        <f t="shared" si="12"/>
        <v>0</v>
      </c>
      <c r="R55" s="36">
        <f t="shared" si="12"/>
        <v>0</v>
      </c>
      <c r="S55" s="36">
        <f t="shared" si="12"/>
        <v>0</v>
      </c>
      <c r="T55" s="36">
        <f t="shared" si="12"/>
        <v>0</v>
      </c>
      <c r="U55" s="44">
        <f t="shared" si="12"/>
        <v>0</v>
      </c>
      <c r="V55" s="201"/>
      <c r="W55" s="230"/>
      <c r="X55" s="203"/>
      <c r="AB55" s="884" t="str">
        <f>Para1!F177&amp;" "&amp;Para1!F171</f>
        <v>Soll Halbtag</v>
      </c>
      <c r="AC55" s="885"/>
      <c r="AD55" s="188">
        <f>SUM(AG24:AG54)</f>
        <v>0</v>
      </c>
      <c r="AE55" s="540">
        <f>SUM(AE24:AE54)</f>
        <v>0</v>
      </c>
      <c r="AF55" s="540">
        <f>SUM(AF24:AF54)</f>
        <v>0</v>
      </c>
      <c r="AG55" s="188"/>
      <c r="AH55" s="188"/>
    </row>
    <row r="56" spans="1:34" ht="15" thickBot="1">
      <c r="A56" s="48"/>
      <c r="B56" s="40"/>
      <c r="C56" s="40"/>
      <c r="D56" s="41"/>
      <c r="E56" s="41"/>
      <c r="F56" s="41"/>
      <c r="G56" s="19"/>
      <c r="H56" s="19"/>
      <c r="I56" s="19"/>
      <c r="J56" s="19"/>
      <c r="K56" s="766" t="str">
        <f>Para1!F184&amp;" ("&amp;Para1!F106&amp;")"</f>
        <v>Total (dezimal)</v>
      </c>
      <c r="L56" s="767">
        <f>L55*24</f>
        <v>0</v>
      </c>
      <c r="M56" s="768">
        <f>M55*24</f>
        <v>184.79999999999993</v>
      </c>
      <c r="N56" s="778"/>
      <c r="O56" s="773"/>
      <c r="P56" s="771">
        <f t="shared" ref="P56:U56" si="13">P55*24</f>
        <v>0</v>
      </c>
      <c r="Q56" s="770">
        <f t="shared" si="13"/>
        <v>0</v>
      </c>
      <c r="R56" s="768">
        <f t="shared" si="13"/>
        <v>0</v>
      </c>
      <c r="S56" s="768">
        <f t="shared" si="13"/>
        <v>0</v>
      </c>
      <c r="T56" s="768">
        <f t="shared" si="13"/>
        <v>0</v>
      </c>
      <c r="U56" s="768">
        <f t="shared" si="13"/>
        <v>0</v>
      </c>
      <c r="V56" s="202"/>
      <c r="W56" s="229"/>
      <c r="X56" s="195"/>
      <c r="AB56" s="882">
        <f>(C8*24+((AE55+AF55)/100*H3))/(SUM(AB24:AC54)-AD55)/24</f>
        <v>0.17500000000000002</v>
      </c>
      <c r="AC56" s="883"/>
      <c r="AD56" s="602"/>
      <c r="AE56" s="602"/>
      <c r="AF56" s="602"/>
      <c r="AG56" s="602"/>
      <c r="AH56" s="602"/>
    </row>
    <row r="57" spans="1:34" ht="15" thickTop="1"/>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A1:B1"/>
    <mergeCell ref="A3:B3"/>
    <mergeCell ref="A22:B22"/>
    <mergeCell ref="D22:G22"/>
    <mergeCell ref="A23:B23"/>
    <mergeCell ref="C1:E1"/>
    <mergeCell ref="C7:D7"/>
    <mergeCell ref="C8:D8"/>
    <mergeCell ref="C9:D9"/>
    <mergeCell ref="C10:D10"/>
    <mergeCell ref="C11:D11"/>
    <mergeCell ref="C12:D12"/>
    <mergeCell ref="H1:I1"/>
    <mergeCell ref="R22:R23"/>
    <mergeCell ref="M22:M23"/>
    <mergeCell ref="P21:U21"/>
    <mergeCell ref="L22:L23"/>
    <mergeCell ref="H22:K22"/>
    <mergeCell ref="L21:N21"/>
    <mergeCell ref="Q22:Q23"/>
    <mergeCell ref="N22:N23"/>
    <mergeCell ref="P22:P23"/>
    <mergeCell ref="U22:U23"/>
    <mergeCell ref="T22:T23"/>
    <mergeCell ref="S22:S23"/>
    <mergeCell ref="N7:O7"/>
    <mergeCell ref="N8:O8"/>
    <mergeCell ref="U14:V14"/>
    <mergeCell ref="AB55:AC55"/>
    <mergeCell ref="AB56:AC56"/>
    <mergeCell ref="U15:V15"/>
    <mergeCell ref="M3:N3"/>
    <mergeCell ref="D60:E60"/>
    <mergeCell ref="K60:O60"/>
    <mergeCell ref="T60:X60"/>
    <mergeCell ref="W21:X21"/>
    <mergeCell ref="W22:W23"/>
    <mergeCell ref="X22:X23"/>
    <mergeCell ref="AB21:AC21"/>
    <mergeCell ref="AB22:AB23"/>
    <mergeCell ref="AC22:AC23"/>
    <mergeCell ref="Y21:Z21"/>
  </mergeCells>
  <phoneticPr fontId="0" type="noConversion"/>
  <conditionalFormatting sqref="N24:N54">
    <cfRule type="cellIs" dxfId="26" priority="10" operator="equal">
      <formula>N23-M24</formula>
    </cfRule>
  </conditionalFormatting>
  <conditionalFormatting sqref="N24">
    <cfRule type="expression" dxfId="25" priority="9">
      <formula>$L$24=0</formula>
    </cfRule>
  </conditionalFormatting>
  <conditionalFormatting sqref="A24:B53 L24:M53">
    <cfRule type="expression" dxfId="24" priority="8">
      <formula>$M24=0</formula>
    </cfRule>
  </conditionalFormatting>
  <conditionalFormatting sqref="D24:G53 W24:W53 AB24:AB53 AC48">
    <cfRule type="expression" dxfId="23" priority="7">
      <formula>$AB24=0</formula>
    </cfRule>
  </conditionalFormatting>
  <conditionalFormatting sqref="H24:K53 X24:X53 AC24:AC53">
    <cfRule type="expression" dxfId="22" priority="6">
      <formula>$AC24=0</formula>
    </cfRule>
  </conditionalFormatting>
  <conditionalFormatting sqref="P24:U53">
    <cfRule type="expression" dxfId="21" priority="4">
      <formula>$AB24+$AC24=1</formula>
    </cfRule>
    <cfRule type="expression" dxfId="20" priority="5">
      <formula>$AB24+$AC24=0</formula>
    </cfRule>
  </conditionalFormatting>
  <conditionalFormatting sqref="D24:K53 P24:U53 W24:X52 AB24:AC52">
    <cfRule type="expression" dxfId="19" priority="3">
      <formula>$AE24=0</formula>
    </cfRule>
  </conditionalFormatting>
  <pageMargins left="0.38" right="0.4" top="0.79" bottom="0.39370078740157483" header="0.28999999999999998" footer="0.15748031496062992"/>
  <pageSetup paperSize="9" scale="54" orientation="landscape" verticalDpi="300" r:id="rId1"/>
  <headerFooter alignWithMargins="0">
    <oddHeader>&amp;C&amp;"Arial,Fett Kursiv"&amp;16Zeiterfassung -  &amp;A</oddHeader>
    <oddFooter>&amp;L&amp;Z&amp;F</oddFooter>
  </headerFooter>
  <cellWatches>
    <cellWatch r="M25"/>
    <cellWatch r="Y26"/>
    <cellWatch r="Y56"/>
    <cellWatch r="U29"/>
    <cellWatch r="Y92"/>
    <cellWatch r="Y41"/>
    <cellWatch r="Y75"/>
    <cellWatch r="Y11"/>
    <cellWatch r="Y122"/>
    <cellWatch r="Y107"/>
    <cellWatch r="Z26"/>
    <cellWatch r="N25"/>
    <cellWatch r="V29"/>
    <cellWatch r="Z56"/>
    <cellWatch r="Z92"/>
    <cellWatch r="Z75"/>
    <cellWatch r="Z41"/>
    <cellWatch r="M55"/>
    <cellWatch r="U59"/>
    <cellWatch r="Y137"/>
    <cellWatch r="Y24"/>
    <cellWatch r="Y65"/>
    <cellWatch r="U27"/>
    <cellWatch r="Y116"/>
    <cellWatch r="Y101"/>
    <cellWatch r="Y38"/>
    <cellWatch r="Y52"/>
    <cellWatch r="Y86"/>
    <cellWatch r="M40"/>
    <cellWatch r="U44"/>
    <cellWatch r="Y58"/>
    <cellWatch r="Y94"/>
    <cellWatch r="Y77"/>
    <cellWatch r="M57"/>
    <cellWatch r="U61"/>
    <cellWatch r="Y139"/>
    <cellWatch r="Y27"/>
    <cellWatch r="Y78"/>
    <cellWatch r="U30"/>
    <cellWatch r="Y125"/>
    <cellWatch r="Y110"/>
    <cellWatch r="Y42"/>
    <cellWatch r="Y59"/>
    <cellWatch r="Y95"/>
    <cellWatch r="Y28"/>
    <cellWatch r="M27"/>
    <cellWatch r="Y60"/>
    <cellWatch r="U31"/>
    <cellWatch r="Y96"/>
    <cellWatch r="Y81"/>
    <cellWatch r="Y43"/>
    <cellWatch r="Z28"/>
    <cellWatch r="N27"/>
    <cellWatch r="V31"/>
    <cellWatch r="Z60"/>
    <cellWatch r="Z96"/>
    <cellWatch r="Z81"/>
    <cellWatch r="Z43"/>
    <cellWatch r="Y66"/>
    <cellWatch r="Y102"/>
    <cellWatch r="Y87"/>
    <cellWatch r="Y132"/>
    <cellWatch r="Y117"/>
    <cellWatch r="AA47"/>
    <cellWatch r="M46"/>
    <cellWatch r="W50"/>
    <cellWatch r="AA92"/>
    <cellWatch r="AA122"/>
    <cellWatch r="AA75"/>
    <cellWatch r="Y118"/>
    <cellWatch r="Y103"/>
    <cellWatch r="Y88"/>
    <cellWatch r="Y124"/>
    <cellWatch r="Y109"/>
    <cellWatch r="Z94"/>
    <cellWatch r="Z77"/>
    <cellWatch r="Y141"/>
    <cellWatch r="Y82"/>
    <cellWatch r="Y127"/>
    <cellWatch r="Y112"/>
    <cellWatch r="Y97"/>
    <cellWatch r="Y98"/>
    <cellWatch r="Y83"/>
    <cellWatch r="Z98"/>
    <cellWatch r="Z83"/>
    <cellWatch r="Y72"/>
    <cellWatch r="Y104"/>
    <cellWatch r="Y89"/>
    <cellWatch r="Y134"/>
    <cellWatch r="Y119"/>
    <cellWatch r="AA94"/>
    <cellWatch r="AA124"/>
    <cellWatch r="AA77"/>
    <cellWatch r="Y71"/>
    <cellWatch r="M23"/>
    <cellWatch r="Y133"/>
    <cellWatch r="Z88"/>
    <cellWatch r="Z71"/>
    <cellWatch r="Y90"/>
    <cellWatch r="Y73"/>
    <cellWatch r="Y135"/>
    <cellWatch r="Y74"/>
    <cellWatch r="Y121"/>
    <cellWatch r="Y106"/>
    <cellWatch r="Y91"/>
    <cellWatch r="Y128"/>
    <cellWatch r="Y113"/>
    <cellWatch r="AA88"/>
    <cellWatch r="AA118"/>
    <cellWatch r="AA71"/>
    <cellWatch r="Y114"/>
    <cellWatch r="Y99"/>
    <cellWatch r="Y84"/>
    <cellWatch r="Y120"/>
    <cellWatch r="Y105"/>
    <cellWatch r="Z90"/>
    <cellWatch r="Z73"/>
    <cellWatch r="Y76"/>
    <cellWatch r="Y123"/>
    <cellWatch r="Y108"/>
    <cellWatch r="Y93"/>
    <cellWatch r="Y68"/>
    <cellWatch r="Y100"/>
    <cellWatch r="Y85"/>
    <cellWatch r="Y130"/>
    <cellWatch r="Y115"/>
    <cellWatch r="AA90"/>
    <cellWatch r="AA120"/>
    <cellWatch r="AA73"/>
    <cellWatch r="Z34"/>
    <cellWatch r="Z36"/>
    <cellWatch r="Y63"/>
    <cellWatch r="AA46"/>
    <cellWatch r="M45"/>
    <cellWatch r="W49"/>
    <cellWatch r="AA85"/>
    <cellWatch r="AA115"/>
    <cellWatch r="AA68"/>
    <cellWatch r="Y129"/>
    <cellWatch r="Y144"/>
    <cellWatch r="Z99"/>
    <cellWatch r="Z84"/>
    <cellWatch r="Y146"/>
    <cellWatch r="Z103"/>
    <cellWatch r="AA99"/>
    <cellWatch r="AA129"/>
    <cellWatch r="AA84"/>
    <cellWatch r="Y25"/>
    <cellWatch r="Y22"/>
    <cellWatch r="M24"/>
    <cellWatch r="U28"/>
    <cellWatch r="M83"/>
    <cellWatch r="U87"/>
    <cellWatch r="Z114"/>
    <cellWatch r="Z25"/>
    <cellWatch r="Y179"/>
    <cellWatch r="Y173"/>
    <cellWatch r="Y194"/>
    <cellWatch r="M84"/>
    <cellWatch r="U88"/>
    <cellWatch r="Z85"/>
    <cellWatch r="Z115"/>
    <cellWatch r="Z100"/>
    <cellWatch r="M86"/>
    <cellWatch r="U90"/>
    <cellWatch r="Y196"/>
    <cellWatch r="Y182"/>
    <cellWatch r="Z89"/>
    <cellWatch r="Z119"/>
    <cellWatch r="Z104"/>
    <cellWatch r="Y189"/>
    <cellWatch r="Y174"/>
    <cellWatch r="AA70"/>
    <cellWatch r="M69"/>
    <cellWatch r="W73"/>
    <cellWatch r="AA179"/>
    <cellWatch r="AA100"/>
    <cellWatch r="Y160"/>
    <cellWatch r="Y145"/>
    <cellWatch r="Y149"/>
    <cellWatch r="Y164"/>
    <cellWatch r="Y143"/>
    <cellWatch r="Y166"/>
    <cellWatch r="Y152"/>
    <cellWatch r="Z123"/>
    <cellWatch r="Z108"/>
    <cellWatch r="Y159"/>
    <cellWatch r="AA119"/>
    <cellWatch r="AA149"/>
    <cellWatch r="AA104"/>
    <cellWatch r="Y151"/>
    <cellWatch r="Y136"/>
    <cellWatch r="Z121"/>
    <cellWatch r="Z106"/>
    <cellWatch r="Y168"/>
    <cellWatch r="Y154"/>
    <cellWatch r="Z125"/>
    <cellWatch r="Z110"/>
    <cellWatch r="Y131"/>
    <cellWatch r="Y161"/>
    <cellWatch r="AA121"/>
    <cellWatch r="AA151"/>
    <cellWatch r="AA106"/>
  </cellWatches>
  <legacyDrawing r:id="rId2"/>
  <extLst>
    <ext xmlns:x14="http://schemas.microsoft.com/office/spreadsheetml/2009/9/main" uri="{78C0D931-6437-407d-A8EE-F0AAD7539E65}">
      <x14:conditionalFormattings>
        <x14:conditionalFormatting xmlns:xm="http://schemas.microsoft.com/office/excel/2006/main">
          <x14:cfRule type="expression" priority="2" id="{8508E325-0452-4559-90E9-724459C90389}">
            <xm:f>OR('Persönliche Daten (pers. data)'!$K$5="Nein",'Persönliche Daten (pers. data)'!$K$5="no")</xm:f>
            <x14:dxf>
              <font>
                <color theme="0"/>
              </font>
              <border>
                <left/>
                <right/>
                <top/>
                <bottom/>
                <vertical/>
                <horizontal/>
              </border>
            </x14:dxf>
          </x14:cfRule>
          <xm:sqref>G14:I17</xm:sqref>
        </x14:conditionalFormatting>
        <x14:conditionalFormatting xmlns:xm="http://schemas.microsoft.com/office/excel/2006/main">
          <x14:cfRule type="expression" priority="1" id="{32CF2171-C743-4073-A64A-21683421055F}">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5">
    <pageSetUpPr fitToPage="1"/>
  </sheetPr>
  <dimension ref="A1:AJ66"/>
  <sheetViews>
    <sheetView showGridLines="0" zoomScale="75" zoomScaleNormal="75" workbookViewId="0">
      <selection activeCell="AB68" sqref="AB68"/>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72" customWidth="1"/>
    <col min="23" max="23" width="11.83203125" style="228" customWidth="1"/>
    <col min="24" max="27" width="11.83203125" style="11" customWidth="1"/>
    <col min="28" max="28" width="11.83203125" style="228" customWidth="1"/>
    <col min="29" max="29" width="11.83203125" style="11" customWidth="1"/>
    <col min="30" max="34" width="11.5" style="11" customWidth="1"/>
    <col min="35" max="16384" width="11.5" style="11"/>
  </cols>
  <sheetData>
    <row r="1" spans="1:36">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36" ht="6" customHeight="1">
      <c r="O2" s="59"/>
      <c r="T2" s="11"/>
      <c r="V2" s="73"/>
      <c r="W2" s="11"/>
    </row>
    <row r="3" spans="1:36">
      <c r="A3" s="894" t="str">
        <f>Para1!F168</f>
        <v xml:space="preserve">Pers-Nr.: </v>
      </c>
      <c r="B3" s="894"/>
      <c r="C3" s="902">
        <f>'Jahresübersicht (Overview)'!C4</f>
        <v>0</v>
      </c>
      <c r="D3" s="902"/>
      <c r="E3" s="903" t="str">
        <f>Para1!F96&amp;": "</f>
        <v xml:space="preserve">Beschäftigungsgrad: </v>
      </c>
      <c r="F3" s="903"/>
      <c r="G3" s="903"/>
      <c r="H3" s="444">
        <f>'Jahresübersicht (Overview)'!N$8</f>
        <v>100</v>
      </c>
      <c r="I3" s="8" t="s">
        <v>248</v>
      </c>
      <c r="L3" s="328" t="str">
        <f>Para1!F111</f>
        <v xml:space="preserve">Eintrittsdatum: </v>
      </c>
      <c r="M3" s="895">
        <f>'Jahresübersicht (Overview)'!$G$4</f>
        <v>0</v>
      </c>
      <c r="N3" s="895"/>
      <c r="O3" s="311"/>
      <c r="T3" s="11"/>
      <c r="V3" s="73"/>
      <c r="W3" s="11"/>
      <c r="AB3" s="73"/>
      <c r="AC3" s="16"/>
    </row>
    <row r="4" spans="1:36"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36" ht="6" customHeight="1">
      <c r="O5" s="59"/>
      <c r="T5" s="11"/>
      <c r="V5" s="73"/>
      <c r="W5" s="11"/>
      <c r="AB5" s="73"/>
      <c r="AC5" s="16"/>
    </row>
    <row r="6" spans="1:36" ht="15" customHeight="1">
      <c r="F6" s="53"/>
      <c r="G6" s="20"/>
      <c r="O6" s="59"/>
      <c r="T6" s="11"/>
      <c r="U6" s="11"/>
      <c r="V6" s="16"/>
      <c r="W6" s="11"/>
      <c r="AB6" s="73"/>
      <c r="AC6" s="16"/>
    </row>
    <row r="7" spans="1:36"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36" ht="15" customHeight="1" thickBot="1">
      <c r="B8" s="9" t="str">
        <f>Para1!F177</f>
        <v>Soll</v>
      </c>
      <c r="C8" s="848">
        <f>Para1!M61/100*H3/24</f>
        <v>7.7</v>
      </c>
      <c r="D8" s="848"/>
      <c r="F8" s="19"/>
      <c r="H8" s="162" t="str">
        <f>Para1!F174&amp;" "&amp;Para1!F88&amp;" "&amp;Para1!F154</f>
        <v>Saldo Anfang Monat</v>
      </c>
      <c r="I8" s="159" t="e">
        <f>November!I11</f>
        <v>#N/A</v>
      </c>
      <c r="J8" s="212"/>
      <c r="M8" s="162" t="str">
        <f>Para1!F133</f>
        <v>JAZ-Kompensation</v>
      </c>
      <c r="N8" s="899">
        <f>SUMIF($W$24:$W$46,"k",$AH$24:$AH$46)+SUMIF($X$24:$X$46,"k",$AH$24:$AH$46)+SUMIF($W$48:$W$53,"k",$AH$48:$AH$53)+SUMIF($X$48:$X$53,"k",$AH$48:$AH$53)+SUMIF($W$54,"k",$AH$54)+SUMIF($W$47,"k",$AH$47)</f>
        <v>0</v>
      </c>
      <c r="O8" s="899"/>
      <c r="P8" s="732">
        <f>November!Q8</f>
        <v>0</v>
      </c>
      <c r="Q8" s="166">
        <f>N8+P8</f>
        <v>0</v>
      </c>
      <c r="S8" s="7"/>
      <c r="T8" s="20" t="str">
        <f>Para1!F139</f>
        <v>Krankheit</v>
      </c>
      <c r="U8" s="7"/>
      <c r="V8" s="7"/>
      <c r="W8" s="734">
        <f>P55</f>
        <v>0</v>
      </c>
      <c r="X8" s="734">
        <f>November!Y8</f>
        <v>0</v>
      </c>
      <c r="Y8" s="306">
        <f t="shared" ref="Y8:Y17" si="0">SUM(W8:X8)</f>
        <v>0</v>
      </c>
      <c r="Z8" s="155"/>
      <c r="AB8" s="73"/>
      <c r="AC8" s="16"/>
    </row>
    <row r="9" spans="1:36" ht="15" customHeight="1" thickTop="1">
      <c r="B9" s="9" t="str">
        <f>Para1!F127&amp;" "&amp;Para1!F184</f>
        <v>Ist Total</v>
      </c>
      <c r="C9" s="847">
        <f>SUM($I$9+$W$18+$L$55+$I$16)</f>
        <v>0</v>
      </c>
      <c r="D9" s="847"/>
      <c r="E9" s="8" t="str">
        <f>Para1!F126&amp;" "&amp;Para1!F83</f>
        <v>inkl. Absenzen</v>
      </c>
      <c r="F9" s="134"/>
      <c r="H9" s="162" t="str">
        <f>"./. "&amp;Para1!F116</f>
        <v>./. Ferienbezug</v>
      </c>
      <c r="I9" s="159">
        <f>SUMIF($W$24:$W$46,"f",$AH$24:$AH$46)+SUMIF($X$24:$X$46,"f",$AH$24:$AH$46)+SUMIF($W$48:$W$53,"f",$AH$48:$AH$53)+SUMIF($X$48:$X$53,"f",$AH$48:$AH$53)+SUMIF($W$54,"f",$AH$54)+SUMIF($W$47,"f",$AH$47)</f>
        <v>0</v>
      </c>
      <c r="J9" s="537"/>
      <c r="K9" s="537"/>
      <c r="O9" s="59"/>
      <c r="S9" s="7"/>
      <c r="T9" s="20" t="str">
        <f>Para1!F196</f>
        <v>Unfall</v>
      </c>
      <c r="U9" s="7" t="str">
        <f>Para1!F98</f>
        <v>betriebsbedingt</v>
      </c>
      <c r="V9" s="7"/>
      <c r="W9" s="734">
        <f>Q55</f>
        <v>0</v>
      </c>
      <c r="X9" s="734">
        <f>November!Y9</f>
        <v>0</v>
      </c>
      <c r="Y9" s="306">
        <f t="shared" si="0"/>
        <v>0</v>
      </c>
      <c r="Z9" s="155"/>
    </row>
    <row r="10" spans="1:36" ht="15" customHeight="1">
      <c r="B10" s="22" t="str">
        <f>Para1!F108</f>
        <v>Differenz</v>
      </c>
      <c r="C10" s="904">
        <f>$C$9-$C$8</f>
        <v>-7.7</v>
      </c>
      <c r="D10" s="904"/>
      <c r="F10" s="19"/>
      <c r="H10" s="162" t="str">
        <f>"./. "&amp;Para1!F117</f>
        <v>./. Ferienkürzung</v>
      </c>
      <c r="I10" s="210">
        <v>0</v>
      </c>
      <c r="J10" s="212"/>
      <c r="K10" s="701"/>
      <c r="O10" s="59"/>
      <c r="S10" s="7"/>
      <c r="T10" s="8"/>
      <c r="U10" s="7" t="str">
        <f>Para1!F163&amp;" "&amp;Para1!F99</f>
        <v>nicht betr.</v>
      </c>
      <c r="V10" s="7"/>
      <c r="W10" s="734">
        <f>R55</f>
        <v>0</v>
      </c>
      <c r="X10" s="734">
        <f>November!Y10</f>
        <v>0</v>
      </c>
      <c r="Y10" s="306">
        <f t="shared" si="0"/>
        <v>0</v>
      </c>
      <c r="Z10" s="155"/>
      <c r="AB10" s="11"/>
    </row>
    <row r="11" spans="1:36" ht="15" customHeight="1" thickBot="1">
      <c r="B11" s="20" t="str">
        <f>Para1!F190</f>
        <v>Übertrag Vormnt</v>
      </c>
      <c r="C11" s="847">
        <f>November!C12</f>
        <v>-81.466666666666669</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S11" s="7"/>
      <c r="T11" s="20" t="str">
        <f>Para1!F140</f>
        <v>Kurzurlaub</v>
      </c>
      <c r="U11" s="8"/>
      <c r="V11" s="8"/>
      <c r="W11" s="734">
        <f>S55</f>
        <v>0</v>
      </c>
      <c r="X11" s="734">
        <f>November!Y11</f>
        <v>0</v>
      </c>
      <c r="Y11" s="306">
        <f t="shared" si="0"/>
        <v>0</v>
      </c>
      <c r="Z11" s="155"/>
      <c r="AB11" s="11"/>
      <c r="AD11" s="602"/>
      <c r="AE11" s="602"/>
      <c r="AF11" s="602"/>
      <c r="AG11" s="602"/>
      <c r="AH11" s="602"/>
      <c r="AI11" s="602"/>
      <c r="AJ11" s="602"/>
    </row>
    <row r="12" spans="1:36" ht="15" customHeight="1" thickTop="1" thickBot="1">
      <c r="A12" s="127"/>
      <c r="B12" s="330" t="str">
        <f>Para1!F174</f>
        <v>Saldo</v>
      </c>
      <c r="C12" s="901">
        <f>C10+C11</f>
        <v>-89.166666666666671</v>
      </c>
      <c r="D12" s="901"/>
      <c r="F12" s="19"/>
      <c r="G12" s="7"/>
      <c r="L12" s="448" t="s">
        <v>492</v>
      </c>
      <c r="M12" s="449" t="str">
        <f>Para1!F115</f>
        <v>Ferien</v>
      </c>
      <c r="N12" s="449"/>
      <c r="O12" s="449"/>
      <c r="P12" s="449"/>
      <c r="Q12" s="450"/>
      <c r="S12" s="7"/>
      <c r="T12" s="25" t="str">
        <f>Para1!F206</f>
        <v>Weiterbildung auf Arbeitszeit</v>
      </c>
      <c r="U12" s="7"/>
      <c r="V12" s="7"/>
      <c r="W12" s="734">
        <f>T55</f>
        <v>0</v>
      </c>
      <c r="X12" s="734">
        <f>November!Y12</f>
        <v>0</v>
      </c>
      <c r="Y12" s="306">
        <f t="shared" si="0"/>
        <v>0</v>
      </c>
      <c r="Z12" s="155"/>
      <c r="AB12" s="11"/>
      <c r="AD12" s="602"/>
      <c r="AE12" s="602"/>
      <c r="AF12" s="602"/>
      <c r="AG12" s="602"/>
      <c r="AH12" s="602"/>
      <c r="AI12" s="602"/>
      <c r="AJ12" s="602"/>
    </row>
    <row r="13" spans="1:36" ht="15" customHeight="1" thickTop="1">
      <c r="B13" s="330"/>
      <c r="C13" s="309"/>
      <c r="D13" s="81"/>
      <c r="F13" s="19"/>
      <c r="J13" s="160"/>
      <c r="L13" s="448" t="s">
        <v>493</v>
      </c>
      <c r="M13" s="449" t="str">
        <f>Para1!F157</f>
        <v>Mutter- und Vaterschaftsurlaub</v>
      </c>
      <c r="N13" s="449"/>
      <c r="O13" s="449"/>
      <c r="P13" s="449"/>
      <c r="Q13" s="451"/>
      <c r="S13" s="7"/>
      <c r="T13" s="20" t="str">
        <f>Para1!F165</f>
        <v>Öffentliches Amt</v>
      </c>
      <c r="U13" s="7"/>
      <c r="V13" s="7"/>
      <c r="W13" s="734">
        <f>U55</f>
        <v>0</v>
      </c>
      <c r="X13" s="734">
        <f>November!Y13</f>
        <v>0</v>
      </c>
      <c r="Y13" s="306">
        <f t="shared" si="0"/>
        <v>0</v>
      </c>
      <c r="Z13" s="541"/>
      <c r="AA13" s="188"/>
      <c r="AB13" s="11"/>
      <c r="AD13" s="602"/>
      <c r="AE13" s="602"/>
      <c r="AF13" s="602"/>
      <c r="AG13" s="602"/>
      <c r="AH13" s="602"/>
      <c r="AI13" s="602"/>
      <c r="AJ13" s="602"/>
    </row>
    <row r="14" spans="1:36" ht="15" customHeight="1">
      <c r="A14" s="909"/>
      <c r="B14" s="909"/>
      <c r="C14" s="909"/>
      <c r="D14" s="909"/>
      <c r="E14" s="605"/>
      <c r="H14" s="9" t="str">
        <f>Para1!F142</f>
        <v>Langzeitkonto</v>
      </c>
      <c r="I14" s="160" t="s">
        <v>103</v>
      </c>
      <c r="J14" s="59"/>
      <c r="L14" s="448" t="s">
        <v>494</v>
      </c>
      <c r="M14" s="449" t="str">
        <f>Para1!F149</f>
        <v>Militär/Zivilsch./Zivildienst</v>
      </c>
      <c r="N14" s="449"/>
      <c r="O14" s="449"/>
      <c r="P14" s="449"/>
      <c r="Q14" s="451"/>
      <c r="S14" s="8"/>
      <c r="T14" s="24" t="str">
        <f>Para1!F198</f>
        <v>Urlaub</v>
      </c>
      <c r="U14" s="853" t="str">
        <f>Para1!F100</f>
        <v>bezahlt</v>
      </c>
      <c r="V14" s="853"/>
      <c r="W14" s="738">
        <f>SUMIF($W$24:$W$46,"b",$AH$24:$AH$46)+SUMIF($X$24:$X$46,"b",$AH$24:$AH$46)+SUMIF($W$48:$W$53,"b",$AH$48:$AH$53)+SUMIF($X$48:$X$53,"b",$AH$48:$AH$53)+SUMIF($W$54,"b",$AH$54)+SUMIF($W$47,"b",$AH$47)</f>
        <v>0</v>
      </c>
      <c r="X14" s="734">
        <f>November!Y14</f>
        <v>0</v>
      </c>
      <c r="Y14" s="155">
        <f t="shared" si="0"/>
        <v>0</v>
      </c>
      <c r="Z14" s="535"/>
      <c r="AA14" s="536"/>
      <c r="AB14" s="602"/>
      <c r="AD14" s="602"/>
      <c r="AE14" s="602"/>
      <c r="AF14" s="602"/>
      <c r="AG14" s="602"/>
      <c r="AH14" s="602"/>
      <c r="AI14" s="602"/>
      <c r="AJ14" s="602"/>
    </row>
    <row r="15" spans="1:36" ht="15" customHeight="1">
      <c r="A15" s="909"/>
      <c r="B15" s="909"/>
      <c r="C15" s="909"/>
      <c r="D15" s="909"/>
      <c r="E15" s="605"/>
      <c r="H15" s="140" t="str">
        <f>Para1!F174&amp;" "&amp;Para1!F88&amp;" "&amp;Para1!F154</f>
        <v>Saldo Anfang Monat</v>
      </c>
      <c r="I15" s="299">
        <f>November!I17</f>
        <v>0</v>
      </c>
      <c r="J15" s="59"/>
      <c r="L15" s="448" t="s">
        <v>495</v>
      </c>
      <c r="M15" s="449" t="str">
        <f>Para1!F133</f>
        <v>JAZ-Kompensation</v>
      </c>
      <c r="N15" s="449"/>
      <c r="O15" s="449"/>
      <c r="P15" s="449"/>
      <c r="Q15" s="451"/>
      <c r="S15" s="8"/>
      <c r="T15" s="24"/>
      <c r="U15" s="853" t="str">
        <f>Para1!F194</f>
        <v>unbezahlt</v>
      </c>
      <c r="V15" s="853"/>
      <c r="W15" s="738">
        <f>SUMIF($W$24:$W$46,"u",$AH$24:$AH$46)+SUMIF($X$24:$X$46,"u",$AH$24:$AH$46)+SUMIF($W$48:$W$53,"u",$AH$48:$AH$53)+SUMIF($X$48:$X$53,"u",$AH$48:$AH$53)+SUMIF($W$54,"u",$AH$54)+SUMIF($W$47,"u",$AH$47)</f>
        <v>0</v>
      </c>
      <c r="X15" s="734">
        <f>November!Y15</f>
        <v>0</v>
      </c>
      <c r="Y15" s="155">
        <f t="shared" si="0"/>
        <v>0</v>
      </c>
      <c r="Z15" s="536"/>
      <c r="AA15" s="536"/>
      <c r="AB15" s="602"/>
      <c r="AD15" s="602"/>
      <c r="AE15" s="602"/>
      <c r="AF15" s="602"/>
      <c r="AG15" s="602"/>
      <c r="AH15" s="602"/>
      <c r="AI15" s="602"/>
      <c r="AJ15" s="602"/>
    </row>
    <row r="16" spans="1:36" ht="15" customHeight="1">
      <c r="A16" s="909"/>
      <c r="B16" s="909"/>
      <c r="C16" s="909"/>
      <c r="D16" s="909"/>
      <c r="E16" s="605"/>
      <c r="G16" s="11"/>
      <c r="H16" s="140" t="str">
        <f>"./. "&amp;Para1!F145</f>
        <v>./. LZK-Bezug</v>
      </c>
      <c r="I16" s="299">
        <f>SUMIF($W$24:$W$46,"l",$AH$24:$AH$46)+SUMIF($X$24:$X$46,"l",$AH$24:$AH$46)+SUMIF($W$48:$W$53,"l",$AH$48:$AH$53)+SUMIF($X$48:$X$53,"l",$AH$48:$AH$53)+SUMIF($W$54,"l",$AH$54)+SUMIF($W$47,"l",$AH$47)</f>
        <v>0</v>
      </c>
      <c r="J16" s="59"/>
      <c r="L16" s="452" t="s">
        <v>496</v>
      </c>
      <c r="M16" s="456" t="str">
        <f>Para1!F198&amp;" "&amp;Para1!F100</f>
        <v>Urlaub bezahlt</v>
      </c>
      <c r="N16" s="453"/>
      <c r="O16" s="454"/>
      <c r="P16" s="455"/>
      <c r="Q16" s="451"/>
      <c r="S16" s="8"/>
      <c r="T16" s="24" t="str">
        <f>Para1!F157</f>
        <v>Mutter- und Vaterschaftsurlaub</v>
      </c>
      <c r="U16" s="73"/>
      <c r="V16" s="11"/>
      <c r="W16" s="738">
        <f>SUMIF($W$24:$W$46,"m",$AH$24:$AH$46)+SUMIF($X$24:$X$46,"m",$AH$24:$AH$46)+SUMIF($W$48:$W$53,"m",$AH$48:$AH$53)+SUMIF($X$48:$X$53,"m",$AH$48:$AH$53)+SUMIF($W$54,"m",$AH$54)+SUMIF($W$47,"m",$AH$47)</f>
        <v>0</v>
      </c>
      <c r="X16" s="734">
        <f>November!Y16</f>
        <v>0</v>
      </c>
      <c r="Y16" s="155">
        <f t="shared" si="0"/>
        <v>0</v>
      </c>
      <c r="Z16" s="536"/>
      <c r="AA16" s="536"/>
      <c r="AB16" s="602"/>
      <c r="AD16" s="602"/>
      <c r="AE16" s="602"/>
      <c r="AF16" s="602"/>
      <c r="AG16" s="602"/>
      <c r="AH16" s="602"/>
      <c r="AI16" s="602"/>
      <c r="AJ16" s="602"/>
    </row>
    <row r="17" spans="1:36" ht="15" customHeight="1" thickBot="1">
      <c r="A17" s="910"/>
      <c r="B17" s="910"/>
      <c r="C17" s="910"/>
      <c r="D17" s="910"/>
      <c r="E17" s="626"/>
      <c r="G17" s="162"/>
      <c r="H17" s="328" t="str">
        <f>Para1!F174&amp;" "&amp;Para1!F113&amp;" "&amp;Para1!F154</f>
        <v>Saldo Ende Monat</v>
      </c>
      <c r="I17" s="732">
        <f>I15-I16</f>
        <v>0</v>
      </c>
      <c r="J17" s="164"/>
      <c r="L17" s="452" t="s">
        <v>497</v>
      </c>
      <c r="M17" s="456" t="str">
        <f>Para1!F198&amp;" "&amp;Para1!F194</f>
        <v>Urlaub unbezahlt</v>
      </c>
      <c r="N17" s="453"/>
      <c r="O17" s="454"/>
      <c r="P17" s="455"/>
      <c r="Q17" s="451"/>
      <c r="S17" s="8"/>
      <c r="T17" s="24" t="str">
        <f>Para1!F149</f>
        <v>Militär/Zivilsch./Zivildienst</v>
      </c>
      <c r="U17" s="73"/>
      <c r="V17" s="11"/>
      <c r="W17" s="738">
        <f>SUMIF($W$24:$W$46,"z",$AH$24:$AH$46)+SUMIF($X$24:$X$46,"z",$AH$24:$AH$46)+SUMIF($W$48:$W$53,"z",$AH$48:$AH$53)+SUMIF($X$48:$X$53,"z",$AH$48:$AH$53)+SUMIF($W$54,"z",$AH$54)+SUMIF($W$47,"z",$AH$47)</f>
        <v>0</v>
      </c>
      <c r="X17" s="734">
        <f>November!Y17</f>
        <v>0</v>
      </c>
      <c r="Y17" s="155">
        <f t="shared" si="0"/>
        <v>0</v>
      </c>
      <c r="Z17" s="536"/>
      <c r="AA17" s="536"/>
      <c r="AB17" s="602"/>
      <c r="AD17" s="602"/>
      <c r="AE17" s="602"/>
      <c r="AF17" s="602"/>
      <c r="AG17" s="602"/>
      <c r="AH17" s="602"/>
      <c r="AI17" s="602"/>
      <c r="AJ17" s="602"/>
    </row>
    <row r="18" spans="1:36" ht="15" customHeight="1" thickTop="1" thickBot="1">
      <c r="A18" s="910"/>
      <c r="B18" s="910"/>
      <c r="C18" s="910"/>
      <c r="D18" s="910"/>
      <c r="E18" s="626"/>
      <c r="F18" s="616" t="str">
        <f>IF(AND(Information!H8="Nein",I16&gt;0),"ACHTUNG: Langzeitkontobezug ohne entsprechendes Konto!!","")</f>
        <v/>
      </c>
      <c r="G18" s="162"/>
      <c r="H18" s="11"/>
      <c r="I18" s="11"/>
      <c r="J18" s="714"/>
      <c r="L18" s="448" t="s">
        <v>498</v>
      </c>
      <c r="M18" s="456" t="str">
        <f>Para1!F142</f>
        <v>Langzeitkonto</v>
      </c>
      <c r="N18" s="453"/>
      <c r="O18" s="454"/>
      <c r="P18" s="455"/>
      <c r="Q18" s="451"/>
      <c r="S18" s="8"/>
      <c r="T18" s="9" t="str">
        <f>Para1!F184</f>
        <v>Total</v>
      </c>
      <c r="U18" s="11"/>
      <c r="V18" s="11"/>
      <c r="W18" s="733">
        <f>SUM(W8:W17)</f>
        <v>0</v>
      </c>
      <c r="X18" s="733">
        <f>SUM(X8:X17)</f>
        <v>0</v>
      </c>
      <c r="Y18" s="733">
        <f>SUM(Y8:Y17)</f>
        <v>0</v>
      </c>
      <c r="AB18" s="11"/>
      <c r="AD18" s="602"/>
      <c r="AE18" s="602"/>
      <c r="AF18" s="602"/>
      <c r="AG18" s="602"/>
      <c r="AH18" s="602"/>
      <c r="AI18" s="602"/>
      <c r="AJ18" s="602"/>
    </row>
    <row r="19" spans="1:36" ht="15" customHeight="1" thickTop="1">
      <c r="E19" s="19"/>
      <c r="G19" s="72"/>
      <c r="H19" s="72"/>
      <c r="P19" s="25"/>
      <c r="Q19" s="7"/>
      <c r="R19" s="7"/>
      <c r="S19" s="21"/>
      <c r="T19" s="157" t="str">
        <f>IF(U12&lt;0,"Ferienguthaben negativ! Bitte Vorgesetzte/n kontaktieren!","")</f>
        <v/>
      </c>
      <c r="U19" s="11"/>
      <c r="V19" s="11"/>
      <c r="W19" s="59"/>
      <c r="X19" s="16"/>
      <c r="AB19" s="11"/>
      <c r="AD19" s="602"/>
      <c r="AE19" s="602"/>
      <c r="AF19" s="602"/>
      <c r="AG19" s="602"/>
      <c r="AH19" s="602"/>
      <c r="AI19" s="602"/>
      <c r="AJ19" s="602"/>
    </row>
    <row r="20" spans="1:36" ht="15" customHeight="1" thickBot="1">
      <c r="A20" s="424" t="str">
        <f>Para1!J222</f>
        <v>(Bitte das Guthaben in Stunden und Minuten eingeben.)</v>
      </c>
      <c r="B20" s="8"/>
      <c r="AD20" s="602"/>
      <c r="AE20" s="602"/>
      <c r="AF20" s="602"/>
      <c r="AG20" s="602"/>
      <c r="AH20" s="602"/>
      <c r="AI20" s="602"/>
      <c r="AJ20" s="602"/>
    </row>
    <row r="21" spans="1:36"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c r="AD21" s="602"/>
      <c r="AE21" s="602"/>
      <c r="AF21" s="602"/>
      <c r="AG21" s="602"/>
      <c r="AH21" s="602"/>
      <c r="AI21" s="602"/>
      <c r="AJ21" s="602"/>
    </row>
    <row r="22" spans="1:36"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c r="AD22" s="700"/>
      <c r="AE22" s="700"/>
      <c r="AF22" s="700"/>
      <c r="AG22" s="700"/>
      <c r="AH22" s="700"/>
      <c r="AI22" s="700"/>
      <c r="AJ22" s="700"/>
    </row>
    <row r="23" spans="1:36"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c r="AD23" s="700"/>
      <c r="AE23" s="700"/>
      <c r="AF23" s="700"/>
      <c r="AG23" s="700"/>
      <c r="AH23" s="700"/>
      <c r="AI23" s="700"/>
      <c r="AJ23" s="700"/>
    </row>
    <row r="24" spans="1:36" ht="16.5" customHeight="1" thickTop="1">
      <c r="A24" s="112" t="s">
        <v>5</v>
      </c>
      <c r="B24" s="303" t="str">
        <f>IF(November!B53=Para1!$F$153,Para1!$F$107,IF(November!B53=Para1!$F$107,Para1!$F$148,IF(November!B53=Para1!$F$148,Para1!$F$109,IF(November!B53=Para1!$F$109,Para1!$F$118,IF(November!B53=Para1!$F$118,Para1!$F$173,IF(November!B53=Para1!$F$173,Para1!$F$176,Para1!$F$153))))))</f>
        <v>Mi</v>
      </c>
      <c r="C24" s="338"/>
      <c r="D24" s="355"/>
      <c r="E24" s="355"/>
      <c r="F24" s="355"/>
      <c r="G24" s="357"/>
      <c r="H24" s="359"/>
      <c r="I24" s="355"/>
      <c r="J24" s="355"/>
      <c r="K24" s="370"/>
      <c r="L24" s="111">
        <f t="shared" ref="L24:L30" si="1">SUM((G24-D24),(K24-H24))-SUM((F24-E24),(J24-I24))</f>
        <v>0</v>
      </c>
      <c r="M24" s="158">
        <f t="shared" ref="M24:M46" si="2">IF(AE24=0,0,IF(AB24,$AB$56,0)+IF(AC24,$AB$56,0)-IF(AE24="",0,(AE24/4800*$H$3)+(AE24/4800*$H$3)))-IF(AF24="",0,(AF24/4800*$H$3)+(AF24/4800*$H$3))</f>
        <v>0.35000000000000003</v>
      </c>
      <c r="N24" s="45">
        <f>$C$11+$L24-M24+SUM($P24:$U24)+IF(OR($W24="f",$W24="m",$W24="z",$W24="u",$W24="b",$W24="l"),$AH24,0)+IF(OR($X24="f",$X24="m",$X24="z",$X24="u",$X24="b",$X24="l"),$AH24,0)</f>
        <v>-81.816666666666663</v>
      </c>
      <c r="O24" s="342"/>
      <c r="P24" s="355"/>
      <c r="Q24" s="355"/>
      <c r="R24" s="356"/>
      <c r="S24" s="357"/>
      <c r="T24" s="357"/>
      <c r="U24" s="358"/>
      <c r="V24" s="198"/>
      <c r="W24" s="373"/>
      <c r="X24" s="599"/>
      <c r="Y24" s="232"/>
      <c r="Z24" s="231"/>
      <c r="AA24" s="669"/>
      <c r="AB24" s="360">
        <f>November!AB47</f>
        <v>1</v>
      </c>
      <c r="AC24" s="360">
        <f>November!AC47</f>
        <v>1</v>
      </c>
      <c r="AD24" s="188" t="e">
        <f>IF(VLOOKUP(A24,Para1!$B$67:$E$72,2,FALSE)="12.",VLOOKUP(A24,Para1!$B$67:$E$72,3,FALSE),"")</f>
        <v>#N/A</v>
      </c>
      <c r="AE24" s="540" t="str">
        <f>IF((AB24+AC24)=0,"",IF(ISNA(AD24),"",IF(AD24="","",VLOOKUP(AD24,Para1!$D$67:$G$79,3,FALSE)*(IF(AB24+AC24=1,0.5,1)))))</f>
        <v/>
      </c>
      <c r="AF24" s="540" t="str">
        <f>IF(AB24+AC24=0,"",IF(ISNA(AD25),"",IF(AD25="","",VLOOKUP(AD25,Para1!$D$67:$G$79,4,FALSE)*(IF(AB24+AC24=1,0.5,1)))))</f>
        <v/>
      </c>
      <c r="AG24" s="188">
        <f t="shared" ref="AG24:AG54" si="3">IF(AE24=0,AB24+AC24,0)</f>
        <v>0</v>
      </c>
      <c r="AH24" s="187">
        <f>IF((AB24+AC24)=0,0,M24/(AB24+AC24))</f>
        <v>0.17500000000000002</v>
      </c>
      <c r="AI24" s="602"/>
      <c r="AJ24" s="602"/>
    </row>
    <row r="25" spans="1:36" ht="16.5" customHeight="1">
      <c r="A25" s="112" t="s">
        <v>7</v>
      </c>
      <c r="B25" s="303" t="str">
        <f>IF(B24=Para1!$F$153,Para1!$F$107,IF(B24=Para1!$F$107,Para1!$F$148,IF(B24=Para1!$F$148,Para1!$F$109,IF(B24=Para1!$F$109,Para1!$F$118,IF(B24=Para1!$F$118,Para1!$F$173,IF(B24=Para1!$F$173,Para1!$F$176,Para1!$F$153))))))</f>
        <v>Do</v>
      </c>
      <c r="C25" s="339"/>
      <c r="D25" s="355"/>
      <c r="E25" s="355"/>
      <c r="F25" s="355"/>
      <c r="G25" s="357"/>
      <c r="H25" s="359"/>
      <c r="I25" s="355"/>
      <c r="J25" s="355"/>
      <c r="K25" s="370"/>
      <c r="L25" s="111">
        <f t="shared" si="1"/>
        <v>0</v>
      </c>
      <c r="M25" s="158">
        <f t="shared" si="2"/>
        <v>0.35000000000000003</v>
      </c>
      <c r="N25" s="45">
        <f>$N24+$L25-M25+SUM($P25:$U25)+IF(OR($W25="f",$W25="m",$W25="z",$W25="u",$W25="b",$W25="l"),$AH25,0)+IF(OR($X25="f",$X25="m",$X25="z",$X25="u",$X25="b",$X25="l"),$AH25,0)</f>
        <v>-82.166666666666657</v>
      </c>
      <c r="O25" s="342"/>
      <c r="P25" s="355"/>
      <c r="Q25" s="355"/>
      <c r="R25" s="356"/>
      <c r="S25" s="357"/>
      <c r="T25" s="357"/>
      <c r="U25" s="358"/>
      <c r="V25" s="198"/>
      <c r="W25" s="373"/>
      <c r="X25" s="599"/>
      <c r="Y25" s="200"/>
      <c r="Z25" s="69"/>
      <c r="AA25" s="187"/>
      <c r="AB25" s="360">
        <f>November!AB48</f>
        <v>1</v>
      </c>
      <c r="AC25" s="360">
        <f>November!AC48</f>
        <v>1</v>
      </c>
      <c r="AD25" s="188" t="str">
        <f>IF(VLOOKUP(A25,Para1!$B$67:$E$72,2,FALSE)="12.",VLOOKUP(A25,Para1!$B$67:$E$72,3,FALSE),"")</f>
        <v/>
      </c>
      <c r="AE25" s="540" t="str">
        <f>IF((AB25+AC25)=0,"",IF(ISNA(AD25),"",IF(AD25="","",VLOOKUP(AD25,Para1!$D$67:$G$79,3,FALSE)*(IF(AB25+AC25=1,0.5,1)))))</f>
        <v/>
      </c>
      <c r="AF25" s="540" t="str">
        <f>IF(AB25+AC25=0,"",IF(ISNA(AD26),"",IF(AD26="","",VLOOKUP(AD26,Para1!$D$67:$G$79,4,FALSE)*(IF(AB25+AC25=1,0.5,1)))))</f>
        <v/>
      </c>
      <c r="AG25" s="188">
        <f t="shared" si="3"/>
        <v>0</v>
      </c>
      <c r="AH25" s="187">
        <f t="shared" ref="AH25:AH53" si="4">IF((AB25+AC25)=0,0,M25/(AB25+AC25))</f>
        <v>0.17500000000000002</v>
      </c>
      <c r="AI25" s="602"/>
      <c r="AJ25" s="602"/>
    </row>
    <row r="26" spans="1:36" ht="16.5" customHeight="1">
      <c r="A26" s="112" t="s">
        <v>9</v>
      </c>
      <c r="B26" s="303" t="str">
        <f>IF(B25=Para1!$F$153,Para1!$F$107,IF(B25=Para1!$F$107,Para1!$F$148,IF(B25=Para1!$F$148,Para1!$F$109,IF(B25=Para1!$F$109,Para1!$F$118,IF(B25=Para1!$F$118,Para1!$F$173,IF(B25=Para1!$F$173,Para1!$F$176,Para1!$F$153))))))</f>
        <v>Fr</v>
      </c>
      <c r="C26" s="305"/>
      <c r="D26" s="355"/>
      <c r="E26" s="355"/>
      <c r="F26" s="355"/>
      <c r="G26" s="357"/>
      <c r="H26" s="359"/>
      <c r="I26" s="355"/>
      <c r="J26" s="355"/>
      <c r="K26" s="370"/>
      <c r="L26" s="111">
        <f t="shared" si="1"/>
        <v>0</v>
      </c>
      <c r="M26" s="158">
        <f t="shared" si="2"/>
        <v>0.35000000000000003</v>
      </c>
      <c r="N26" s="45">
        <f t="shared" ref="N26:N53" si="5">$N25+$L26-M26+SUM($P26:$U26)+IF(OR($W26="f",$W26="m",$W26="z",$W26="u",$W26="b",$W26="l"),$AH26,0)+IF(OR($X26="f",$X26="m",$X26="z",$X26="u",$X26="b",$X26="l"),$AH26,0)</f>
        <v>-82.516666666666652</v>
      </c>
      <c r="O26" s="343"/>
      <c r="P26" s="355"/>
      <c r="Q26" s="355"/>
      <c r="R26" s="356"/>
      <c r="S26" s="357"/>
      <c r="T26" s="357"/>
      <c r="U26" s="358"/>
      <c r="V26" s="198"/>
      <c r="W26" s="373"/>
      <c r="X26" s="599"/>
      <c r="Y26" s="200"/>
      <c r="Z26" s="69"/>
      <c r="AA26" s="187"/>
      <c r="AB26" s="360">
        <f>November!AB49</f>
        <v>1</v>
      </c>
      <c r="AC26" s="360">
        <f>November!AC49</f>
        <v>1</v>
      </c>
      <c r="AD26" s="188" t="e">
        <f>IF(VLOOKUP(A26,Para1!$B$67:$E$72,2,FALSE)="12.",VLOOKUP(A26,Para1!$B$67:$E$72,3,FALSE),"")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0.17500000000000002</v>
      </c>
      <c r="AI26" s="602"/>
      <c r="AJ26" s="602"/>
    </row>
    <row r="27" spans="1:36" s="50" customFormat="1" ht="16.5" customHeight="1">
      <c r="A27" s="112" t="s">
        <v>11</v>
      </c>
      <c r="B27" s="303" t="str">
        <f>IF(B26=Para1!$F$153,Para1!$F$107,IF(B26=Para1!$F$107,Para1!$F$148,IF(B26=Para1!$F$148,Para1!$F$109,IF(B26=Para1!$F$109,Para1!$F$118,IF(B26=Para1!$F$118,Para1!$F$173,IF(B26=Para1!$F$173,Para1!$F$176,Para1!$F$153))))))</f>
        <v>Sa</v>
      </c>
      <c r="C27" s="336"/>
      <c r="D27" s="355"/>
      <c r="E27" s="355"/>
      <c r="F27" s="355"/>
      <c r="G27" s="357"/>
      <c r="H27" s="359"/>
      <c r="I27" s="355"/>
      <c r="J27" s="355"/>
      <c r="K27" s="370"/>
      <c r="L27" s="111">
        <f t="shared" si="1"/>
        <v>0</v>
      </c>
      <c r="M27" s="158">
        <f t="shared" si="2"/>
        <v>0</v>
      </c>
      <c r="N27" s="45">
        <f t="shared" si="5"/>
        <v>-82.516666666666652</v>
      </c>
      <c r="O27" s="343"/>
      <c r="P27" s="355"/>
      <c r="Q27" s="355"/>
      <c r="R27" s="356"/>
      <c r="S27" s="357"/>
      <c r="T27" s="357"/>
      <c r="U27" s="358"/>
      <c r="V27" s="198"/>
      <c r="W27" s="374"/>
      <c r="X27" s="599"/>
      <c r="Y27" s="200"/>
      <c r="Z27" s="69"/>
      <c r="AA27" s="187"/>
      <c r="AB27" s="360">
        <f>November!AB50</f>
        <v>0</v>
      </c>
      <c r="AC27" s="360">
        <f>November!AC50</f>
        <v>0</v>
      </c>
      <c r="AD27" s="188" t="str">
        <f>IF(VLOOKUP(A27,Para1!$B$67:$E$72,2,FALSE)="12.",VLOOKUP(A27,Para1!$B$67:$E$72,3,FALSE),"")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v>
      </c>
      <c r="AI27" s="602"/>
      <c r="AJ27" s="602"/>
    </row>
    <row r="28" spans="1:36" s="50" customFormat="1" ht="16.5" customHeight="1">
      <c r="A28" s="112" t="s">
        <v>13</v>
      </c>
      <c r="B28" s="303" t="str">
        <f>IF(B27=Para1!$F$153,Para1!$F$107,IF(B27=Para1!$F$107,Para1!$F$148,IF(B27=Para1!$F$148,Para1!$F$109,IF(B27=Para1!$F$109,Para1!$F$118,IF(B27=Para1!$F$118,Para1!$F$173,IF(B27=Para1!$F$173,Para1!$F$176,Para1!$F$153))))))</f>
        <v>So</v>
      </c>
      <c r="C28" s="336"/>
      <c r="D28" s="355"/>
      <c r="E28" s="355"/>
      <c r="F28" s="355"/>
      <c r="G28" s="357"/>
      <c r="H28" s="359"/>
      <c r="I28" s="355"/>
      <c r="J28" s="355"/>
      <c r="K28" s="370"/>
      <c r="L28" s="111">
        <f t="shared" si="1"/>
        <v>0</v>
      </c>
      <c r="M28" s="158">
        <f t="shared" si="2"/>
        <v>0</v>
      </c>
      <c r="N28" s="45">
        <f t="shared" si="5"/>
        <v>-82.516666666666652</v>
      </c>
      <c r="O28" s="343"/>
      <c r="P28" s="355"/>
      <c r="Q28" s="355"/>
      <c r="R28" s="356"/>
      <c r="S28" s="357"/>
      <c r="T28" s="357"/>
      <c r="U28" s="358"/>
      <c r="V28" s="198"/>
      <c r="W28" s="374"/>
      <c r="X28" s="599"/>
      <c r="Y28" s="200"/>
      <c r="Z28" s="69"/>
      <c r="AA28" s="187"/>
      <c r="AB28" s="360">
        <f>November!AB51</f>
        <v>0</v>
      </c>
      <c r="AC28" s="360">
        <f>November!AC51</f>
        <v>0</v>
      </c>
      <c r="AD28" s="188" t="str">
        <f>IF(VLOOKUP(A28,Para1!$B$67:$E$72,2,FALSE)="12.",VLOOKUP(A28,Para1!$B$67:$E$72,3,FALSE),"")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v>
      </c>
      <c r="AI28" s="602"/>
      <c r="AJ28" s="602"/>
    </row>
    <row r="29" spans="1:36" ht="16.5" customHeight="1">
      <c r="A29" s="112" t="s">
        <v>15</v>
      </c>
      <c r="B29" s="303" t="str">
        <f>IF(B28=Para1!$F$153,Para1!$F$107,IF(B28=Para1!$F$107,Para1!$F$148,IF(B28=Para1!$F$148,Para1!$F$109,IF(B28=Para1!$F$109,Para1!$F$118,IF(B28=Para1!$F$118,Para1!$F$173,IF(B28=Para1!$F$173,Para1!$F$176,Para1!$F$153))))))</f>
        <v>Mo</v>
      </c>
      <c r="C29" s="336"/>
      <c r="D29" s="355"/>
      <c r="E29" s="355"/>
      <c r="F29" s="355"/>
      <c r="G29" s="357"/>
      <c r="H29" s="359"/>
      <c r="I29" s="355"/>
      <c r="J29" s="355"/>
      <c r="K29" s="370"/>
      <c r="L29" s="111">
        <f t="shared" si="1"/>
        <v>0</v>
      </c>
      <c r="M29" s="158">
        <f t="shared" si="2"/>
        <v>0.35000000000000003</v>
      </c>
      <c r="N29" s="45">
        <f t="shared" si="5"/>
        <v>-82.866666666666646</v>
      </c>
      <c r="O29" s="343"/>
      <c r="P29" s="355"/>
      <c r="Q29" s="355"/>
      <c r="R29" s="356"/>
      <c r="S29" s="357"/>
      <c r="T29" s="357"/>
      <c r="U29" s="358"/>
      <c r="V29" s="198"/>
      <c r="W29" s="373"/>
      <c r="X29" s="599"/>
      <c r="Y29" s="200"/>
      <c r="Z29" s="69"/>
      <c r="AA29" s="187"/>
      <c r="AB29" s="360">
        <f>November!AB52</f>
        <v>1</v>
      </c>
      <c r="AC29" s="360">
        <f>November!AC52</f>
        <v>1</v>
      </c>
      <c r="AD29" s="188" t="e">
        <f>IF(VLOOKUP(A29,Para1!$B$67:$E$72,2,FALSE)="12.",VLOOKUP(A29,Para1!$B$67:$E$72,3,FALSE),"")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0.17500000000000002</v>
      </c>
      <c r="AI29" s="602"/>
      <c r="AJ29" s="602"/>
    </row>
    <row r="30" spans="1:36" ht="16.5" customHeight="1">
      <c r="A30" s="112" t="s">
        <v>17</v>
      </c>
      <c r="B30" s="303" t="str">
        <f>IF(B29=Para1!$F$153,Para1!$F$107,IF(B29=Para1!$F$107,Para1!$F$148,IF(B29=Para1!$F$148,Para1!$F$109,IF(B29=Para1!$F$109,Para1!$F$118,IF(B29=Para1!$F$118,Para1!$F$173,IF(B29=Para1!$F$173,Para1!$F$176,Para1!$F$153))))))</f>
        <v>Di</v>
      </c>
      <c r="C30" s="336"/>
      <c r="D30" s="355"/>
      <c r="E30" s="355"/>
      <c r="F30" s="355"/>
      <c r="G30" s="357"/>
      <c r="H30" s="359"/>
      <c r="I30" s="355"/>
      <c r="J30" s="355"/>
      <c r="K30" s="370"/>
      <c r="L30" s="111">
        <f t="shared" si="1"/>
        <v>0</v>
      </c>
      <c r="M30" s="158">
        <f t="shared" si="2"/>
        <v>0.35000000000000003</v>
      </c>
      <c r="N30" s="45">
        <f t="shared" si="5"/>
        <v>-83.21666666666664</v>
      </c>
      <c r="O30" s="343"/>
      <c r="P30" s="355"/>
      <c r="Q30" s="355"/>
      <c r="R30" s="356"/>
      <c r="S30" s="357"/>
      <c r="T30" s="357"/>
      <c r="U30" s="358"/>
      <c r="V30" s="198"/>
      <c r="W30" s="373"/>
      <c r="X30" s="599"/>
      <c r="Y30" s="200"/>
      <c r="Z30" s="69"/>
      <c r="AA30" s="187"/>
      <c r="AB30" s="360">
        <f>November!AB53</f>
        <v>1</v>
      </c>
      <c r="AC30" s="360">
        <f>November!AC53</f>
        <v>1</v>
      </c>
      <c r="AD30" s="188" t="e">
        <f>IF(VLOOKUP(A30,Para1!$B$67:$E$72,2,FALSE)="12.",VLOOKUP(A30,Para1!$B$67:$E$72,3,FALSE),"")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0.17500000000000002</v>
      </c>
      <c r="AI30" s="602"/>
      <c r="AJ30" s="602"/>
    </row>
    <row r="31" spans="1:36" ht="16.5" customHeight="1">
      <c r="A31" s="112" t="s">
        <v>19</v>
      </c>
      <c r="B31" s="303" t="str">
        <f>IF(B30=Para1!$F$153,Para1!$F$107,IF(B30=Para1!$F$107,Para1!$F$148,IF(B30=Para1!$F$148,Para1!$F$109,IF(B30=Para1!$F$109,Para1!$F$118,IF(B30=Para1!$F$118,Para1!$F$173,IF(B30=Para1!$F$173,Para1!$F$176,Para1!$F$153))))))</f>
        <v>Mi</v>
      </c>
      <c r="C31" s="338"/>
      <c r="D31" s="355"/>
      <c r="E31" s="355"/>
      <c r="F31" s="355"/>
      <c r="G31" s="357"/>
      <c r="H31" s="359"/>
      <c r="I31" s="355"/>
      <c r="J31" s="355"/>
      <c r="K31" s="370"/>
      <c r="L31" s="111">
        <f t="shared" ref="L31:L54" si="6">SUM((G31-D31),(K31-H31))-SUM((F31-E31),(J31-I31))</f>
        <v>0</v>
      </c>
      <c r="M31" s="158">
        <f t="shared" si="2"/>
        <v>0.35000000000000003</v>
      </c>
      <c r="N31" s="45">
        <f t="shared" si="5"/>
        <v>-83.566666666666634</v>
      </c>
      <c r="O31" s="342"/>
      <c r="P31" s="355"/>
      <c r="Q31" s="355"/>
      <c r="R31" s="356"/>
      <c r="S31" s="357"/>
      <c r="T31" s="357"/>
      <c r="U31" s="358"/>
      <c r="V31" s="198"/>
      <c r="W31" s="373"/>
      <c r="X31" s="599"/>
      <c r="Y31" s="200"/>
      <c r="Z31" s="69"/>
      <c r="AA31" s="187"/>
      <c r="AB31" s="360">
        <f>AB24</f>
        <v>1</v>
      </c>
      <c r="AC31" s="360">
        <f>AC24</f>
        <v>1</v>
      </c>
      <c r="AD31" s="188" t="e">
        <f>IF(VLOOKUP(A31,Para1!$B$67:$E$72,2,FALSE)="12.",VLOOKUP(A31,Para1!$B$67:$E$72,3,FALSE),"")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0.17500000000000002</v>
      </c>
      <c r="AI31" s="602"/>
      <c r="AJ31" s="602"/>
    </row>
    <row r="32" spans="1:36" ht="16.5" customHeight="1">
      <c r="A32" s="112" t="s">
        <v>20</v>
      </c>
      <c r="B32" s="303" t="str">
        <f>IF(B31=Para1!$F$153,Para1!$F$107,IF(B31=Para1!$F$107,Para1!$F$148,IF(B31=Para1!$F$148,Para1!$F$109,IF(B31=Para1!$F$109,Para1!$F$118,IF(B31=Para1!$F$118,Para1!$F$173,IF(B31=Para1!$F$173,Para1!$F$176,Para1!$F$153))))))</f>
        <v>Do</v>
      </c>
      <c r="C32" s="339"/>
      <c r="D32" s="355"/>
      <c r="E32" s="355"/>
      <c r="F32" s="355"/>
      <c r="G32" s="357"/>
      <c r="H32" s="359"/>
      <c r="I32" s="355"/>
      <c r="J32" s="355"/>
      <c r="K32" s="370"/>
      <c r="L32" s="111">
        <f t="shared" si="6"/>
        <v>0</v>
      </c>
      <c r="M32" s="158">
        <f t="shared" si="2"/>
        <v>0.35000000000000003</v>
      </c>
      <c r="N32" s="45">
        <f t="shared" si="5"/>
        <v>-83.916666666666629</v>
      </c>
      <c r="O32" s="342"/>
      <c r="P32" s="355"/>
      <c r="Q32" s="355"/>
      <c r="R32" s="356"/>
      <c r="S32" s="357"/>
      <c r="T32" s="357"/>
      <c r="U32" s="358"/>
      <c r="V32" s="198"/>
      <c r="W32" s="373"/>
      <c r="X32" s="599"/>
      <c r="Y32" s="200"/>
      <c r="Z32" s="69"/>
      <c r="AA32" s="187"/>
      <c r="AB32" s="360">
        <f>AB25</f>
        <v>1</v>
      </c>
      <c r="AC32" s="360">
        <f t="shared" ref="AB32:AC37" si="7">AC25</f>
        <v>1</v>
      </c>
      <c r="AD32" s="188" t="e">
        <f>IF(VLOOKUP(A32,Para1!$B$67:$E$72,2,FALSE)="12.",VLOOKUP(A32,Para1!$B$67:$E$72,3,FALSE),"")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0.17500000000000002</v>
      </c>
      <c r="AI32" s="602"/>
      <c r="AJ32" s="602"/>
    </row>
    <row r="33" spans="1:36" ht="16.5" customHeight="1">
      <c r="A33" s="112" t="s">
        <v>21</v>
      </c>
      <c r="B33" s="303" t="str">
        <f>IF(B32=Para1!$F$153,Para1!$F$107,IF(B32=Para1!$F$107,Para1!$F$148,IF(B32=Para1!$F$148,Para1!$F$109,IF(B32=Para1!$F$109,Para1!$F$118,IF(B32=Para1!$F$118,Para1!$F$173,IF(B32=Para1!$F$173,Para1!$F$176,Para1!$F$153))))))</f>
        <v>Fr</v>
      </c>
      <c r="C33" s="305"/>
      <c r="D33" s="355"/>
      <c r="E33" s="355"/>
      <c r="F33" s="355"/>
      <c r="G33" s="357"/>
      <c r="H33" s="359"/>
      <c r="I33" s="355"/>
      <c r="J33" s="355"/>
      <c r="K33" s="370"/>
      <c r="L33" s="111">
        <f t="shared" si="6"/>
        <v>0</v>
      </c>
      <c r="M33" s="158">
        <f t="shared" si="2"/>
        <v>0.35000000000000003</v>
      </c>
      <c r="N33" s="45">
        <f t="shared" si="5"/>
        <v>-84.266666666666623</v>
      </c>
      <c r="O33" s="343"/>
      <c r="P33" s="355"/>
      <c r="Q33" s="355"/>
      <c r="R33" s="356"/>
      <c r="S33" s="357"/>
      <c r="T33" s="357"/>
      <c r="U33" s="358"/>
      <c r="V33" s="237"/>
      <c r="W33" s="373"/>
      <c r="X33" s="599"/>
      <c r="Y33" s="200"/>
      <c r="Z33" s="69"/>
      <c r="AA33" s="187"/>
      <c r="AB33" s="360">
        <f t="shared" si="7"/>
        <v>1</v>
      </c>
      <c r="AC33" s="360">
        <f t="shared" si="7"/>
        <v>1</v>
      </c>
      <c r="AD33" s="188" t="e">
        <f>IF(VLOOKUP(A33,Para1!$B$67:$E$72,2,FALSE)="12.",VLOOKUP(A33,Para1!$B$67:$E$72,3,FALSE),"")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0.17500000000000002</v>
      </c>
      <c r="AI33" s="602"/>
      <c r="AJ33" s="602"/>
    </row>
    <row r="34" spans="1:36" s="50" customFormat="1" ht="16.5" customHeight="1">
      <c r="A34" s="112" t="s">
        <v>22</v>
      </c>
      <c r="B34" s="303" t="str">
        <f>IF(B33=Para1!$F$153,Para1!$F$107,IF(B33=Para1!$F$107,Para1!$F$148,IF(B33=Para1!$F$148,Para1!$F$109,IF(B33=Para1!$F$109,Para1!$F$118,IF(B33=Para1!$F$118,Para1!$F$173,IF(B33=Para1!$F$173,Para1!$F$176,Para1!$F$153))))))</f>
        <v>Sa</v>
      </c>
      <c r="C34" s="336"/>
      <c r="D34" s="355"/>
      <c r="E34" s="355"/>
      <c r="F34" s="355"/>
      <c r="G34" s="357"/>
      <c r="H34" s="359"/>
      <c r="I34" s="355"/>
      <c r="J34" s="355"/>
      <c r="K34" s="370"/>
      <c r="L34" s="111">
        <f t="shared" si="6"/>
        <v>0</v>
      </c>
      <c r="M34" s="158">
        <f t="shared" si="2"/>
        <v>0</v>
      </c>
      <c r="N34" s="45">
        <f t="shared" si="5"/>
        <v>-84.266666666666623</v>
      </c>
      <c r="O34" s="343"/>
      <c r="P34" s="355"/>
      <c r="Q34" s="355"/>
      <c r="R34" s="356"/>
      <c r="S34" s="357"/>
      <c r="T34" s="357"/>
      <c r="U34" s="358"/>
      <c r="V34" s="198"/>
      <c r="W34" s="374"/>
      <c r="X34" s="599"/>
      <c r="Y34" s="200"/>
      <c r="Z34" s="69"/>
      <c r="AA34" s="187"/>
      <c r="AB34" s="360">
        <f t="shared" si="7"/>
        <v>0</v>
      </c>
      <c r="AC34" s="360">
        <f t="shared" si="7"/>
        <v>0</v>
      </c>
      <c r="AD34" s="188" t="e">
        <f>IF(VLOOKUP(A34,Para1!$B$67:$E$72,2,FALSE)="12.",VLOOKUP(A34,Para1!$B$67:$E$72,3,FALSE),"")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v>
      </c>
      <c r="AI34" s="602"/>
      <c r="AJ34" s="602"/>
    </row>
    <row r="35" spans="1:36" s="50" customFormat="1" ht="16.5" customHeight="1">
      <c r="A35" s="112" t="s">
        <v>23</v>
      </c>
      <c r="B35" s="303" t="str">
        <f>IF(B34=Para1!$F$153,Para1!$F$107,IF(B34=Para1!$F$107,Para1!$F$148,IF(B34=Para1!$F$148,Para1!$F$109,IF(B34=Para1!$F$109,Para1!$F$118,IF(B34=Para1!$F$118,Para1!$F$173,IF(B34=Para1!$F$173,Para1!$F$176,Para1!$F$153))))))</f>
        <v>So</v>
      </c>
      <c r="C35" s="336"/>
      <c r="D35" s="355"/>
      <c r="E35" s="355"/>
      <c r="F35" s="355"/>
      <c r="G35" s="357"/>
      <c r="H35" s="359"/>
      <c r="I35" s="355"/>
      <c r="J35" s="355"/>
      <c r="K35" s="370"/>
      <c r="L35" s="111">
        <f t="shared" si="6"/>
        <v>0</v>
      </c>
      <c r="M35" s="158">
        <f t="shared" si="2"/>
        <v>0</v>
      </c>
      <c r="N35" s="45">
        <f t="shared" si="5"/>
        <v>-84.266666666666623</v>
      </c>
      <c r="O35" s="343"/>
      <c r="P35" s="355"/>
      <c r="Q35" s="355"/>
      <c r="R35" s="356"/>
      <c r="S35" s="357"/>
      <c r="T35" s="357"/>
      <c r="U35" s="358"/>
      <c r="V35" s="198"/>
      <c r="W35" s="374"/>
      <c r="X35" s="599"/>
      <c r="Y35" s="200"/>
      <c r="Z35" s="69"/>
      <c r="AA35" s="187"/>
      <c r="AB35" s="360">
        <f t="shared" si="7"/>
        <v>0</v>
      </c>
      <c r="AC35" s="360">
        <f t="shared" si="7"/>
        <v>0</v>
      </c>
      <c r="AD35" s="188" t="e">
        <f>IF(VLOOKUP(A35,Para1!$B$67:$E$72,2,FALSE)="12.",VLOOKUP(A35,Para1!$B$67:$E$72,3,FALSE),"")</f>
        <v>#N/A</v>
      </c>
      <c r="AE35" s="540" t="str">
        <f>IF((AB35+AC35)=0,"",IF(ISNA(AD35),"",IF(AD35="","",VLOOKUP(AD35,Para1!$D$67:$G$79,3,FALSE)*(IF(AB35+AC35=1,0.5,1)))))</f>
        <v/>
      </c>
      <c r="AF35" s="540" t="str">
        <f>IF(AB35+AC35=0,"",IF(ISNA(AD36),"",IF(AD36="","",VLOOKUP(AD36,Para1!$D$67:$G$79,4,FALSE)*(IF(AB35+AC35=1,0.5,1)))))</f>
        <v/>
      </c>
      <c r="AG35" s="188">
        <f t="shared" si="3"/>
        <v>0</v>
      </c>
      <c r="AH35" s="187">
        <f t="shared" si="4"/>
        <v>0</v>
      </c>
      <c r="AI35" s="602"/>
      <c r="AJ35" s="602"/>
    </row>
    <row r="36" spans="1:36" ht="16.5" customHeight="1">
      <c r="A36" s="112" t="s">
        <v>24</v>
      </c>
      <c r="B36" s="303" t="str">
        <f>IF(B35=Para1!$F$153,Para1!$F$107,IF(B35=Para1!$F$107,Para1!$F$148,IF(B35=Para1!$F$148,Para1!$F$109,IF(B35=Para1!$F$109,Para1!$F$118,IF(B35=Para1!$F$118,Para1!$F$173,IF(B35=Para1!$F$173,Para1!$F$176,Para1!$F$153))))))</f>
        <v>Mo</v>
      </c>
      <c r="C36" s="336"/>
      <c r="D36" s="355"/>
      <c r="E36" s="355"/>
      <c r="F36" s="355"/>
      <c r="G36" s="357"/>
      <c r="H36" s="359"/>
      <c r="I36" s="355"/>
      <c r="J36" s="355"/>
      <c r="K36" s="370"/>
      <c r="L36" s="111">
        <f t="shared" si="6"/>
        <v>0</v>
      </c>
      <c r="M36" s="158">
        <f t="shared" si="2"/>
        <v>0.35000000000000003</v>
      </c>
      <c r="N36" s="45">
        <f t="shared" si="5"/>
        <v>-84.616666666666617</v>
      </c>
      <c r="O36" s="343"/>
      <c r="P36" s="355"/>
      <c r="Q36" s="355"/>
      <c r="R36" s="356"/>
      <c r="S36" s="357"/>
      <c r="T36" s="357"/>
      <c r="U36" s="358"/>
      <c r="V36" s="198"/>
      <c r="W36" s="373"/>
      <c r="X36" s="599"/>
      <c r="Y36" s="200"/>
      <c r="Z36" s="69"/>
      <c r="AA36" s="187"/>
      <c r="AB36" s="360">
        <f t="shared" si="7"/>
        <v>1</v>
      </c>
      <c r="AC36" s="360">
        <f t="shared" si="7"/>
        <v>1</v>
      </c>
      <c r="AD36" s="188" t="str">
        <f>IF(VLOOKUP(A36,Para1!$B$67:$E$72,2,FALSE)="12.",VLOOKUP(A36,Para1!$B$67:$E$72,3,FALSE),"")</f>
        <v/>
      </c>
      <c r="AE36" s="540" t="str">
        <f>IF((AB36+AC36)=0,"",IF(ISNA(AD36),"",IF(AD36="","",VLOOKUP(AD36,Para1!$D$67:$G$79,3,FALSE)*(IF(AB36+AC36=1,0.5,1)))))</f>
        <v/>
      </c>
      <c r="AF36" s="540" t="str">
        <f>IF(AB36+AC36=0,"",IF(ISNA(AD37),"",IF(AD37="","",VLOOKUP(AD37,Para1!$D$67:$G$79,4,FALSE)*(IF(AB36+AC36=1,0.5,1)))))</f>
        <v/>
      </c>
      <c r="AG36" s="188">
        <f t="shared" si="3"/>
        <v>0</v>
      </c>
      <c r="AH36" s="187">
        <f t="shared" si="4"/>
        <v>0.17500000000000002</v>
      </c>
      <c r="AI36" s="602"/>
      <c r="AJ36" s="602"/>
    </row>
    <row r="37" spans="1:36" ht="16.5" customHeight="1">
      <c r="A37" s="112" t="s">
        <v>25</v>
      </c>
      <c r="B37" s="303" t="str">
        <f>IF(B36=Para1!$F$153,Para1!$F$107,IF(B36=Para1!$F$107,Para1!$F$148,IF(B36=Para1!$F$148,Para1!$F$109,IF(B36=Para1!$F$109,Para1!$F$118,IF(B36=Para1!$F$118,Para1!$F$173,IF(B36=Para1!$F$173,Para1!$F$176,Para1!$F$153))))))</f>
        <v>Di</v>
      </c>
      <c r="C37" s="336"/>
      <c r="D37" s="355"/>
      <c r="E37" s="355"/>
      <c r="F37" s="355"/>
      <c r="G37" s="357"/>
      <c r="H37" s="359"/>
      <c r="I37" s="355"/>
      <c r="J37" s="355"/>
      <c r="K37" s="370"/>
      <c r="L37" s="111">
        <f t="shared" si="6"/>
        <v>0</v>
      </c>
      <c r="M37" s="158">
        <f t="shared" si="2"/>
        <v>0.35000000000000003</v>
      </c>
      <c r="N37" s="45">
        <f t="shared" si="5"/>
        <v>-84.966666666666612</v>
      </c>
      <c r="O37" s="343"/>
      <c r="P37" s="355"/>
      <c r="Q37" s="355"/>
      <c r="R37" s="356"/>
      <c r="S37" s="357"/>
      <c r="T37" s="357"/>
      <c r="U37" s="358"/>
      <c r="V37" s="198"/>
      <c r="W37" s="373"/>
      <c r="X37" s="599"/>
      <c r="Y37" s="200"/>
      <c r="Z37" s="69"/>
      <c r="AA37" s="187"/>
      <c r="AB37" s="360">
        <f t="shared" si="7"/>
        <v>1</v>
      </c>
      <c r="AC37" s="360">
        <f t="shared" si="7"/>
        <v>1</v>
      </c>
      <c r="AD37" s="188" t="e">
        <f>IF(VLOOKUP(A37,Para1!$B$67:$E$72,2,FALSE)="12.",VLOOKUP(A37,Para1!$B$67:$E$72,3,FALSE),"")</f>
        <v>#N/A</v>
      </c>
      <c r="AE37" s="540" t="str">
        <f>IF((AB37+AC37)=0,"",IF(ISNA(AD37),"",IF(AD37="","",VLOOKUP(AD37,Para1!$D$67:$G$79,3,FALSE)*(IF(AB37+AC37=1,0.5,1)))))</f>
        <v/>
      </c>
      <c r="AF37" s="540" t="str">
        <f>IF(AB37+AC37=0,"",IF(ISNA(AD38),"",IF(AD38="","",VLOOKUP(AD38,Para1!$D$67:$G$79,4,FALSE)*(IF(AB37+AC37=1,0.5,1)))))</f>
        <v/>
      </c>
      <c r="AG37" s="188">
        <f t="shared" si="3"/>
        <v>0</v>
      </c>
      <c r="AH37" s="187">
        <f t="shared" si="4"/>
        <v>0.17500000000000002</v>
      </c>
      <c r="AI37" s="602"/>
      <c r="AJ37" s="602"/>
    </row>
    <row r="38" spans="1:36" ht="16.5" customHeight="1">
      <c r="A38" s="112" t="s">
        <v>26</v>
      </c>
      <c r="B38" s="303" t="str">
        <f>IF(B37=Para1!$F$153,Para1!$F$107,IF(B37=Para1!$F$107,Para1!$F$148,IF(B37=Para1!$F$148,Para1!$F$109,IF(B37=Para1!$F$109,Para1!$F$118,IF(B37=Para1!$F$118,Para1!$F$173,IF(B37=Para1!$F$173,Para1!$F$176,Para1!$F$153))))))</f>
        <v>Mi</v>
      </c>
      <c r="C38" s="338"/>
      <c r="D38" s="355"/>
      <c r="E38" s="355"/>
      <c r="F38" s="355"/>
      <c r="G38" s="357"/>
      <c r="H38" s="359"/>
      <c r="I38" s="355"/>
      <c r="J38" s="355"/>
      <c r="K38" s="370"/>
      <c r="L38" s="111">
        <f t="shared" si="6"/>
        <v>0</v>
      </c>
      <c r="M38" s="158">
        <f t="shared" si="2"/>
        <v>0.35000000000000003</v>
      </c>
      <c r="N38" s="45">
        <f t="shared" si="5"/>
        <v>-85.316666666666606</v>
      </c>
      <c r="O38" s="342"/>
      <c r="P38" s="355"/>
      <c r="Q38" s="355"/>
      <c r="R38" s="356"/>
      <c r="S38" s="357"/>
      <c r="T38" s="357"/>
      <c r="U38" s="358"/>
      <c r="V38" s="198"/>
      <c r="W38" s="373"/>
      <c r="X38" s="599"/>
      <c r="Y38" s="200"/>
      <c r="Z38" s="69"/>
      <c r="AA38" s="187"/>
      <c r="AB38" s="360">
        <f>AB31</f>
        <v>1</v>
      </c>
      <c r="AC38" s="360">
        <f>AC31</f>
        <v>1</v>
      </c>
      <c r="AD38" s="188" t="e">
        <f>IF(VLOOKUP(A38,Para1!$B$67:$E$72,2,FALSE)="12.",VLOOKUP(A38,Para1!$B$67:$E$72,3,FALSE),"")</f>
        <v>#N/A</v>
      </c>
      <c r="AE38" s="540" t="str">
        <f>IF((AB38+AC38)=0,"",IF(ISNA(AD38),"",IF(AD38="","",VLOOKUP(AD38,Para1!$D$67:$G$79,3,FALSE)*(IF(AB38+AC38=1,0.5,1)))))</f>
        <v/>
      </c>
      <c r="AF38" s="540" t="str">
        <f>IF(AB38+AC38=0,"",IF(ISNA(AD39),"",IF(AD39="","",VLOOKUP(AD39,Para1!$D$67:$G$79,4,FALSE)*(IF(AB38+AC38=1,0.5,1)))))</f>
        <v/>
      </c>
      <c r="AG38" s="188">
        <f t="shared" si="3"/>
        <v>0</v>
      </c>
      <c r="AH38" s="187">
        <f t="shared" si="4"/>
        <v>0.17500000000000002</v>
      </c>
      <c r="AI38" s="602"/>
      <c r="AJ38" s="602"/>
    </row>
    <row r="39" spans="1:36" ht="16.5" customHeight="1">
      <c r="A39" s="112" t="s">
        <v>27</v>
      </c>
      <c r="B39" s="303" t="str">
        <f>IF(B38=Para1!$F$153,Para1!$F$107,IF(B38=Para1!$F$107,Para1!$F$148,IF(B38=Para1!$F$148,Para1!$F$109,IF(B38=Para1!$F$109,Para1!$F$118,IF(B38=Para1!$F$118,Para1!$F$173,IF(B38=Para1!$F$173,Para1!$F$176,Para1!$F$153))))))</f>
        <v>Do</v>
      </c>
      <c r="C39" s="339"/>
      <c r="D39" s="355"/>
      <c r="E39" s="355"/>
      <c r="F39" s="355"/>
      <c r="G39" s="357"/>
      <c r="H39" s="359"/>
      <c r="I39" s="355"/>
      <c r="J39" s="355"/>
      <c r="K39" s="370"/>
      <c r="L39" s="111">
        <f t="shared" si="6"/>
        <v>0</v>
      </c>
      <c r="M39" s="158">
        <f t="shared" si="2"/>
        <v>0.35000000000000003</v>
      </c>
      <c r="N39" s="45">
        <f t="shared" si="5"/>
        <v>-85.6666666666666</v>
      </c>
      <c r="O39" s="342"/>
      <c r="P39" s="355"/>
      <c r="Q39" s="355"/>
      <c r="R39" s="356"/>
      <c r="S39" s="357"/>
      <c r="T39" s="357"/>
      <c r="U39" s="358"/>
      <c r="V39" s="198"/>
      <c r="W39" s="373"/>
      <c r="X39" s="599"/>
      <c r="Y39" s="200"/>
      <c r="Z39" s="69"/>
      <c r="AA39" s="187"/>
      <c r="AB39" s="360">
        <f t="shared" ref="AB39:AC44" si="8">AB32</f>
        <v>1</v>
      </c>
      <c r="AC39" s="360">
        <f t="shared" si="8"/>
        <v>1</v>
      </c>
      <c r="AD39" s="188" t="e">
        <f>IF(VLOOKUP(A39,Para1!$B$67:$E$72,2,FALSE)="12.",VLOOKUP(A39,Para1!$B$67:$E$72,3,FALSE),"")</f>
        <v>#N/A</v>
      </c>
      <c r="AE39" s="540" t="str">
        <f>IF((AB39+AC39)=0,"",IF(ISNA(AD39),"",IF(AD39="","",VLOOKUP(AD39,Para1!$D$67:$G$79,3,FALSE)*(IF(AB39+AC39=1,0.5,1)))))</f>
        <v/>
      </c>
      <c r="AF39" s="540" t="str">
        <f>IF(AB39+AC39=0,"",IF(ISNA(AD40),"",IF(AD40="","",VLOOKUP(AD40,Para1!$D$67:$G$79,4,FALSE)*(IF(AB39+AC39=1,0.5,1)))))</f>
        <v/>
      </c>
      <c r="AG39" s="188">
        <f t="shared" si="3"/>
        <v>0</v>
      </c>
      <c r="AH39" s="187">
        <f t="shared" si="4"/>
        <v>0.17500000000000002</v>
      </c>
      <c r="AI39" s="602"/>
      <c r="AJ39" s="602"/>
    </row>
    <row r="40" spans="1:36" ht="16.5" customHeight="1">
      <c r="A40" s="112" t="s">
        <v>28</v>
      </c>
      <c r="B40" s="303" t="str">
        <f>IF(B39=Para1!$F$153,Para1!$F$107,IF(B39=Para1!$F$107,Para1!$F$148,IF(B39=Para1!$F$148,Para1!$F$109,IF(B39=Para1!$F$109,Para1!$F$118,IF(B39=Para1!$F$118,Para1!$F$173,IF(B39=Para1!$F$173,Para1!$F$176,Para1!$F$153))))))</f>
        <v>Fr</v>
      </c>
      <c r="C40" s="305"/>
      <c r="D40" s="355"/>
      <c r="E40" s="355"/>
      <c r="F40" s="355"/>
      <c r="G40" s="357"/>
      <c r="H40" s="359"/>
      <c r="I40" s="355"/>
      <c r="J40" s="355"/>
      <c r="K40" s="370"/>
      <c r="L40" s="111">
        <f t="shared" si="6"/>
        <v>0</v>
      </c>
      <c r="M40" s="158">
        <f t="shared" si="2"/>
        <v>0.35000000000000003</v>
      </c>
      <c r="N40" s="45">
        <f t="shared" si="5"/>
        <v>-86.016666666666595</v>
      </c>
      <c r="O40" s="343"/>
      <c r="P40" s="355"/>
      <c r="Q40" s="355"/>
      <c r="R40" s="356"/>
      <c r="S40" s="357"/>
      <c r="T40" s="357"/>
      <c r="U40" s="358"/>
      <c r="V40" s="237"/>
      <c r="W40" s="373"/>
      <c r="X40" s="599"/>
      <c r="Y40" s="200"/>
      <c r="Z40" s="69"/>
      <c r="AA40" s="187"/>
      <c r="AB40" s="360">
        <f t="shared" si="8"/>
        <v>1</v>
      </c>
      <c r="AC40" s="360">
        <f t="shared" si="8"/>
        <v>1</v>
      </c>
      <c r="AD40" s="188" t="e">
        <f>IF(VLOOKUP(A40,Para1!$B$67:$E$72,2,FALSE)="12.",VLOOKUP(A40,Para1!$B$67:$E$72,3,FALSE),"")</f>
        <v>#N/A</v>
      </c>
      <c r="AE40" s="540" t="str">
        <f>IF((AB40+AC40)=0,"",IF(ISNA(AD40),"",IF(AD40="","",VLOOKUP(AD40,Para1!$D$67:$G$79,3,FALSE)*(IF(AB40+AC40=1,0.5,1)))))</f>
        <v/>
      </c>
      <c r="AF40" s="540" t="str">
        <f>IF(AB40+AC40=0,"",IF(ISNA(AD41),"",IF(AD41="","",VLOOKUP(AD41,Para1!$D$67:$G$79,4,FALSE)*(IF(AB40+AC40=1,0.5,1)))))</f>
        <v/>
      </c>
      <c r="AG40" s="188">
        <f t="shared" si="3"/>
        <v>0</v>
      </c>
      <c r="AH40" s="187">
        <f t="shared" si="4"/>
        <v>0.17500000000000002</v>
      </c>
      <c r="AI40" s="602"/>
      <c r="AJ40" s="602"/>
    </row>
    <row r="41" spans="1:36" s="50" customFormat="1" ht="16.5" customHeight="1">
      <c r="A41" s="112" t="s">
        <v>29</v>
      </c>
      <c r="B41" s="303" t="str">
        <f>IF(B40=Para1!$F$153,Para1!$F$107,IF(B40=Para1!$F$107,Para1!$F$148,IF(B40=Para1!$F$148,Para1!$F$109,IF(B40=Para1!$F$109,Para1!$F$118,IF(B40=Para1!$F$118,Para1!$F$173,IF(B40=Para1!$F$173,Para1!$F$176,Para1!$F$153))))))</f>
        <v>Sa</v>
      </c>
      <c r="C41" s="336"/>
      <c r="D41" s="355"/>
      <c r="E41" s="355"/>
      <c r="F41" s="355"/>
      <c r="G41" s="357"/>
      <c r="H41" s="359"/>
      <c r="I41" s="355"/>
      <c r="J41" s="355"/>
      <c r="K41" s="370"/>
      <c r="L41" s="111">
        <f t="shared" si="6"/>
        <v>0</v>
      </c>
      <c r="M41" s="158">
        <f t="shared" si="2"/>
        <v>0</v>
      </c>
      <c r="N41" s="45">
        <f t="shared" si="5"/>
        <v>-86.016666666666595</v>
      </c>
      <c r="O41" s="343"/>
      <c r="P41" s="355"/>
      <c r="Q41" s="355"/>
      <c r="R41" s="356"/>
      <c r="S41" s="357"/>
      <c r="T41" s="357"/>
      <c r="U41" s="358"/>
      <c r="V41" s="198"/>
      <c r="W41" s="374"/>
      <c r="X41" s="599"/>
      <c r="Y41" s="200"/>
      <c r="Z41" s="69"/>
      <c r="AA41" s="187"/>
      <c r="AB41" s="360">
        <f t="shared" si="8"/>
        <v>0</v>
      </c>
      <c r="AC41" s="360">
        <f t="shared" si="8"/>
        <v>0</v>
      </c>
      <c r="AD41" s="188" t="e">
        <f>IF(VLOOKUP(A41,Para1!$B$67:$E$72,2,FALSE)="12.",VLOOKUP(A41,Para1!$B$67:$E$72,3,FALSE),"")</f>
        <v>#N/A</v>
      </c>
      <c r="AE41" s="540" t="str">
        <f>IF((AB41+AC41)=0,"",IF(ISNA(AD41),"",IF(AD41="","",VLOOKUP(AD41,Para1!$D$67:$G$79,3,FALSE)*(IF(AB41+AC41=1,0.5,1)))))</f>
        <v/>
      </c>
      <c r="AF41" s="540" t="str">
        <f>IF(AB41+AC41=0,"",IF(ISNA(AD42),"",IF(AD42="","",VLOOKUP(AD42,Para1!$D$67:$G$79,4,FALSE)*(IF(AB41+AC41=1,0.5,1)))))</f>
        <v/>
      </c>
      <c r="AG41" s="188">
        <f t="shared" si="3"/>
        <v>0</v>
      </c>
      <c r="AH41" s="187">
        <f t="shared" si="4"/>
        <v>0</v>
      </c>
      <c r="AI41" s="602"/>
      <c r="AJ41" s="602"/>
    </row>
    <row r="42" spans="1:36" s="50" customFormat="1" ht="16.5" customHeight="1">
      <c r="A42" s="112" t="s">
        <v>30</v>
      </c>
      <c r="B42" s="303" t="str">
        <f>IF(B41=Para1!$F$153,Para1!$F$107,IF(B41=Para1!$F$107,Para1!$F$148,IF(B41=Para1!$F$148,Para1!$F$109,IF(B41=Para1!$F$109,Para1!$F$118,IF(B41=Para1!$F$118,Para1!$F$173,IF(B41=Para1!$F$173,Para1!$F$176,Para1!$F$153))))))</f>
        <v>So</v>
      </c>
      <c r="C42" s="336"/>
      <c r="D42" s="355"/>
      <c r="E42" s="355"/>
      <c r="F42" s="355"/>
      <c r="G42" s="357"/>
      <c r="H42" s="359"/>
      <c r="I42" s="355"/>
      <c r="J42" s="355"/>
      <c r="K42" s="370"/>
      <c r="L42" s="111">
        <f t="shared" si="6"/>
        <v>0</v>
      </c>
      <c r="M42" s="158">
        <f t="shared" si="2"/>
        <v>0</v>
      </c>
      <c r="N42" s="45">
        <f t="shared" si="5"/>
        <v>-86.016666666666595</v>
      </c>
      <c r="O42" s="343"/>
      <c r="P42" s="355"/>
      <c r="Q42" s="355"/>
      <c r="R42" s="356"/>
      <c r="S42" s="357"/>
      <c r="T42" s="357"/>
      <c r="U42" s="358"/>
      <c r="V42" s="198"/>
      <c r="W42" s="374"/>
      <c r="X42" s="599"/>
      <c r="Y42" s="200"/>
      <c r="Z42" s="69"/>
      <c r="AA42" s="187"/>
      <c r="AB42" s="360">
        <f t="shared" si="8"/>
        <v>0</v>
      </c>
      <c r="AC42" s="360">
        <f t="shared" si="8"/>
        <v>0</v>
      </c>
      <c r="AD42" s="188" t="e">
        <f>IF(VLOOKUP(A42,Para1!$B$67:$E$72,2,FALSE)="12.",VLOOKUP(A42,Para1!$B$67:$E$72,3,FALSE),"")</f>
        <v>#N/A</v>
      </c>
      <c r="AE42" s="540" t="str">
        <f>IF((AB42+AC42)=0,"",IF(ISNA(AD42),"",IF(AD42="","",VLOOKUP(AD42,Para1!$D$67:$G$79,3,FALSE)*(IF(AB42+AC42=1,0.5,1)))))</f>
        <v/>
      </c>
      <c r="AF42" s="540" t="str">
        <f>IF(AB42+AC42=0,"",IF(ISNA(AD43),"",IF(AD43="","",VLOOKUP(AD43,Para1!$D$67:$G$79,4,FALSE)*(IF(AB42+AC42=1,0.5,1)))))</f>
        <v/>
      </c>
      <c r="AG42" s="188">
        <f t="shared" si="3"/>
        <v>0</v>
      </c>
      <c r="AH42" s="187">
        <f t="shared" si="4"/>
        <v>0</v>
      </c>
      <c r="AI42" s="602"/>
      <c r="AJ42" s="602"/>
    </row>
    <row r="43" spans="1:36" ht="16.5" customHeight="1">
      <c r="A43" s="112" t="s">
        <v>31</v>
      </c>
      <c r="B43" s="303" t="str">
        <f>IF(B42=Para1!$F$153,Para1!$F$107,IF(B42=Para1!$F$107,Para1!$F$148,IF(B42=Para1!$F$148,Para1!$F$109,IF(B42=Para1!$F$109,Para1!$F$118,IF(B42=Para1!$F$118,Para1!$F$173,IF(B42=Para1!$F$173,Para1!$F$176,Para1!$F$153))))))</f>
        <v>Mo</v>
      </c>
      <c r="C43" s="336"/>
      <c r="D43" s="355"/>
      <c r="E43" s="355"/>
      <c r="F43" s="355"/>
      <c r="G43" s="357"/>
      <c r="H43" s="359"/>
      <c r="I43" s="355"/>
      <c r="J43" s="355"/>
      <c r="K43" s="370"/>
      <c r="L43" s="111">
        <f t="shared" si="6"/>
        <v>0</v>
      </c>
      <c r="M43" s="158">
        <f t="shared" si="2"/>
        <v>0.35000000000000003</v>
      </c>
      <c r="N43" s="45">
        <f t="shared" si="5"/>
        <v>-86.366666666666589</v>
      </c>
      <c r="O43" s="343"/>
      <c r="P43" s="355"/>
      <c r="Q43" s="355"/>
      <c r="R43" s="356"/>
      <c r="S43" s="357"/>
      <c r="T43" s="357"/>
      <c r="U43" s="358"/>
      <c r="V43" s="198"/>
      <c r="W43" s="373"/>
      <c r="X43" s="599"/>
      <c r="Y43" s="200"/>
      <c r="Z43" s="69"/>
      <c r="AA43" s="187"/>
      <c r="AB43" s="360">
        <f t="shared" si="8"/>
        <v>1</v>
      </c>
      <c r="AC43" s="360">
        <f t="shared" si="8"/>
        <v>1</v>
      </c>
      <c r="AD43" s="188" t="e">
        <f>IF(VLOOKUP(A43,Para1!$B$67:$E$72,2,FALSE)="12.",VLOOKUP(A43,Para1!$B$67:$E$72,3,FALSE),"")</f>
        <v>#N/A</v>
      </c>
      <c r="AE43" s="540" t="str">
        <f>IF((AB43+AC43)=0,"",IF(ISNA(AD43),"",IF(AD43="","",VLOOKUP(AD43,Para1!$D$67:$G$79,3,FALSE)*(IF(AB43+AC43=1,0.5,1)))))</f>
        <v/>
      </c>
      <c r="AF43" s="540" t="str">
        <f>IF(AB43+AC43=0,"",IF(ISNA(AD44),"",IF(AD44="","",VLOOKUP(AD44,Para1!$D$67:$G$79,4,FALSE)*(IF(AB43+AC43=1,0.5,1)))))</f>
        <v/>
      </c>
      <c r="AG43" s="188">
        <f t="shared" si="3"/>
        <v>0</v>
      </c>
      <c r="AH43" s="187">
        <f t="shared" si="4"/>
        <v>0.17500000000000002</v>
      </c>
      <c r="AI43" s="602"/>
      <c r="AJ43" s="602"/>
    </row>
    <row r="44" spans="1:36" ht="16.5" customHeight="1">
      <c r="A44" s="112" t="s">
        <v>32</v>
      </c>
      <c r="B44" s="303" t="str">
        <f>IF(B43=Para1!$F$153,Para1!$F$107,IF(B43=Para1!$F$107,Para1!$F$148,IF(B43=Para1!$F$148,Para1!$F$109,IF(B43=Para1!$F$109,Para1!$F$118,IF(B43=Para1!$F$118,Para1!$F$173,IF(B43=Para1!$F$173,Para1!$F$176,Para1!$F$153))))))</f>
        <v>Di</v>
      </c>
      <c r="C44" s="336"/>
      <c r="D44" s="355"/>
      <c r="E44" s="355"/>
      <c r="F44" s="355"/>
      <c r="G44" s="357"/>
      <c r="H44" s="359"/>
      <c r="I44" s="355"/>
      <c r="J44" s="355"/>
      <c r="K44" s="370"/>
      <c r="L44" s="111">
        <f t="shared" si="6"/>
        <v>0</v>
      </c>
      <c r="M44" s="158">
        <f t="shared" si="2"/>
        <v>0.35000000000000003</v>
      </c>
      <c r="N44" s="45">
        <f t="shared" si="5"/>
        <v>-86.716666666666583</v>
      </c>
      <c r="O44" s="343"/>
      <c r="P44" s="355"/>
      <c r="Q44" s="355"/>
      <c r="R44" s="356"/>
      <c r="S44" s="357"/>
      <c r="T44" s="357"/>
      <c r="U44" s="358"/>
      <c r="V44" s="198"/>
      <c r="W44" s="373"/>
      <c r="X44" s="599"/>
      <c r="Y44" s="200"/>
      <c r="Z44" s="69"/>
      <c r="AA44" s="187"/>
      <c r="AB44" s="360">
        <f t="shared" si="8"/>
        <v>1</v>
      </c>
      <c r="AC44" s="360">
        <f t="shared" si="8"/>
        <v>1</v>
      </c>
      <c r="AD44" s="188" t="e">
        <f>IF(VLOOKUP(A44,Para1!$B$67:$E$72,2,FALSE)="12.",VLOOKUP(A44,Para1!$B$67:$E$72,3,FALSE),"")</f>
        <v>#N/A</v>
      </c>
      <c r="AE44" s="540" t="str">
        <f>IF((AB44+AC44)=0,"",IF(ISNA(AD44),"",IF(AD44="","",VLOOKUP(AD44,Para1!$D$67:$G$79,3,FALSE)*(IF(AB44+AC44=1,0.5,1)))))</f>
        <v/>
      </c>
      <c r="AF44" s="540" t="str">
        <f>IF(AB44+AC44=0,"",IF(ISNA(AD45),"",IF(AD45="","",VLOOKUP(AD45,Para1!$D$67:$G$79,4,FALSE)*(IF(AB44+AC44=1,0.5,1)))))</f>
        <v/>
      </c>
      <c r="AG44" s="188">
        <f t="shared" si="3"/>
        <v>0</v>
      </c>
      <c r="AH44" s="187">
        <f t="shared" si="4"/>
        <v>0.17500000000000002</v>
      </c>
      <c r="AI44" s="602"/>
      <c r="AJ44" s="602"/>
    </row>
    <row r="45" spans="1:36" ht="16.5" customHeight="1">
      <c r="A45" s="112" t="s">
        <v>33</v>
      </c>
      <c r="B45" s="303" t="str">
        <f>IF(B44=Para1!$F$153,Para1!$F$107,IF(B44=Para1!$F$107,Para1!$F$148,IF(B44=Para1!$F$148,Para1!$F$109,IF(B44=Para1!$F$109,Para1!$F$118,IF(B44=Para1!$F$118,Para1!$F$173,IF(B44=Para1!$F$173,Para1!$F$176,Para1!$F$153))))))</f>
        <v>Mi</v>
      </c>
      <c r="C45" s="338"/>
      <c r="D45" s="355"/>
      <c r="E45" s="355"/>
      <c r="F45" s="355"/>
      <c r="G45" s="357"/>
      <c r="H45" s="359"/>
      <c r="I45" s="355"/>
      <c r="J45" s="355"/>
      <c r="K45" s="370"/>
      <c r="L45" s="111">
        <f t="shared" si="6"/>
        <v>0</v>
      </c>
      <c r="M45" s="158">
        <f t="shared" si="2"/>
        <v>0.35000000000000003</v>
      </c>
      <c r="N45" s="45">
        <f t="shared" si="5"/>
        <v>-87.066666666666578</v>
      </c>
      <c r="O45" s="342"/>
      <c r="P45" s="355"/>
      <c r="Q45" s="355"/>
      <c r="R45" s="356"/>
      <c r="S45" s="357"/>
      <c r="T45" s="357"/>
      <c r="U45" s="358"/>
      <c r="V45" s="198"/>
      <c r="W45" s="373"/>
      <c r="X45" s="599"/>
      <c r="Y45" s="200"/>
      <c r="Z45" s="69"/>
      <c r="AA45" s="187"/>
      <c r="AB45" s="360">
        <f>AB38</f>
        <v>1</v>
      </c>
      <c r="AC45" s="360">
        <f>AC38</f>
        <v>1</v>
      </c>
      <c r="AD45" s="188" t="e">
        <f>IF(VLOOKUP(A45,Para1!$B$67:$E$72,2,FALSE)="12.",VLOOKUP(A45,Para1!$B$67:$E$72,3,FALSE),"")</f>
        <v>#N/A</v>
      </c>
      <c r="AE45" s="540" t="str">
        <f>IF((AB45+AC45)=0,"",IF(ISNA(AD45),"",IF(AD45="","",VLOOKUP(AD45,Para1!$D$67:$G$79,3,FALSE)*(IF(AB45+AC45=1,0.5,1)))))</f>
        <v/>
      </c>
      <c r="AF45" s="540" t="str">
        <f>IF(AB45+AC45=0,"",IF(ISNA(AD46),"",IF(AD46="","",VLOOKUP(AD46,Para1!$D$67:$G$79,4,FALSE)*(IF(AB45+AC45=1,0.5,1)))))</f>
        <v/>
      </c>
      <c r="AG45" s="188">
        <f t="shared" si="3"/>
        <v>0</v>
      </c>
      <c r="AH45" s="187">
        <f t="shared" si="4"/>
        <v>0.17500000000000002</v>
      </c>
      <c r="AI45" s="602"/>
      <c r="AJ45" s="602"/>
    </row>
    <row r="46" spans="1:36" ht="16.5" customHeight="1">
      <c r="A46" s="112" t="s">
        <v>34</v>
      </c>
      <c r="B46" s="303" t="str">
        <f>IF(B45=Para1!$F$153,Para1!$F$107,IF(B45=Para1!$F$107,Para1!$F$148,IF(B45=Para1!$F$148,Para1!$F$109,IF(B45=Para1!$F$109,Para1!$F$118,IF(B45=Para1!$F$118,Para1!$F$173,IF(B45=Para1!$F$173,Para1!$F$176,Para1!$F$153))))))</f>
        <v>Do</v>
      </c>
      <c r="C46" s="339"/>
      <c r="D46" s="355"/>
      <c r="E46" s="355"/>
      <c r="F46" s="355"/>
      <c r="G46" s="357"/>
      <c r="H46" s="359"/>
      <c r="I46" s="355"/>
      <c r="J46" s="355"/>
      <c r="K46" s="370"/>
      <c r="L46" s="111">
        <f t="shared" si="6"/>
        <v>0</v>
      </c>
      <c r="M46" s="158">
        <f t="shared" si="2"/>
        <v>0.35000000000000003</v>
      </c>
      <c r="N46" s="45">
        <f t="shared" si="5"/>
        <v>-87.416666666666572</v>
      </c>
      <c r="O46" s="342"/>
      <c r="P46" s="355"/>
      <c r="Q46" s="355"/>
      <c r="R46" s="356"/>
      <c r="S46" s="357"/>
      <c r="T46" s="357"/>
      <c r="U46" s="358"/>
      <c r="V46" s="198"/>
      <c r="W46" s="373"/>
      <c r="X46" s="599"/>
      <c r="Y46" s="200"/>
      <c r="Z46" s="69"/>
      <c r="AA46" s="187"/>
      <c r="AB46" s="360">
        <f t="shared" ref="AB46:AC51" si="9">AB39</f>
        <v>1</v>
      </c>
      <c r="AC46" s="360">
        <f t="shared" si="9"/>
        <v>1</v>
      </c>
      <c r="AD46" s="188" t="str">
        <f>IF(VLOOKUP(A46,Para1!$B$67:$E$72,2,FALSE)="12.",VLOOKUP(A46,Para1!$B$67:$E$72,3,FALSE),"")</f>
        <v/>
      </c>
      <c r="AE46" s="540" t="str">
        <f>IF((AB46+AC46)=0,"",IF(ISNA(AD46),"",IF(AD46="","",VLOOKUP(AD46,Para1!$D$67:$G$79,3,FALSE)*(IF(AB46+AC46=1,0.5,1)))))</f>
        <v/>
      </c>
      <c r="AF46" s="540">
        <f>IF(AB46+AC46=0,"",IF(ISNA(AD47),"",IF(AD47="","",VLOOKUP(AD47,Para1!$D$67:$G$79,4,FALSE)*(IF(AB46+AC46=1,0.5,1)))))</f>
        <v>0</v>
      </c>
      <c r="AG46" s="188">
        <f t="shared" si="3"/>
        <v>0</v>
      </c>
      <c r="AH46" s="187">
        <f t="shared" si="4"/>
        <v>0.17500000000000002</v>
      </c>
      <c r="AI46" s="602"/>
      <c r="AJ46" s="602"/>
    </row>
    <row r="47" spans="1:36" ht="16.5" customHeight="1">
      <c r="A47" s="112" t="s">
        <v>35</v>
      </c>
      <c r="B47" s="303" t="str">
        <f>IF(B46=Para1!$F$153,Para1!$F$107,IF(B46=Para1!$F$107,Para1!$F$148,IF(B46=Para1!$F$148,Para1!$F$109,IF(B46=Para1!$F$109,Para1!$F$118,IF(B46=Para1!$F$118,Para1!$F$173,IF(B46=Para1!$F$173,Para1!$F$176,Para1!$F$153))))))</f>
        <v>Fr</v>
      </c>
      <c r="C47" s="305"/>
      <c r="D47" s="355"/>
      <c r="E47" s="355"/>
      <c r="F47" s="355"/>
      <c r="G47" s="357"/>
      <c r="H47" s="131"/>
      <c r="I47" s="121"/>
      <c r="J47" s="121"/>
      <c r="K47" s="712"/>
      <c r="L47" s="111">
        <f t="shared" si="6"/>
        <v>0</v>
      </c>
      <c r="M47" s="158">
        <f>IF(AE47=0,0,IF(AB47,$AB$56,0)-IF(AF47="",0,(AF47/4800*$H$3)+(AF47/4800*$H$3)))</f>
        <v>0.17500000000000002</v>
      </c>
      <c r="N47" s="45">
        <f>$N46+$L47-M47+SUM($P47:$U47)+IF(OR($W47="f",$W47="m",$W47="z",$W47="u",$W47="b",$W47="l"),$AH47,0)</f>
        <v>-87.591666666666569</v>
      </c>
      <c r="O47" s="343"/>
      <c r="P47" s="724"/>
      <c r="Q47" s="724"/>
      <c r="R47" s="725"/>
      <c r="S47" s="726"/>
      <c r="T47" s="726"/>
      <c r="U47" s="727"/>
      <c r="V47" s="237"/>
      <c r="W47" s="373"/>
      <c r="X47" s="739"/>
      <c r="Y47" s="200"/>
      <c r="Z47" s="69"/>
      <c r="AA47" s="187"/>
      <c r="AB47" s="360">
        <f>AB40</f>
        <v>1</v>
      </c>
      <c r="AC47" s="713">
        <v>0</v>
      </c>
      <c r="AD47" s="188" t="s">
        <v>120</v>
      </c>
      <c r="AE47" s="540">
        <v>4.2</v>
      </c>
      <c r="AF47" s="540">
        <f>IF(AB47+AC47=0,"",IF(ISNA(AD48),"",IF(AD48="","",VLOOKUP(AD48,Para1!$D$67:$G$79,4,FALSE)*(IF(AB47+AC47=1,0.5,1)))))</f>
        <v>0</v>
      </c>
      <c r="AG47" s="188">
        <f t="shared" si="3"/>
        <v>0</v>
      </c>
      <c r="AH47" s="187">
        <f>M47</f>
        <v>0.17500000000000002</v>
      </c>
      <c r="AI47" s="602"/>
      <c r="AJ47" s="602"/>
    </row>
    <row r="48" spans="1:36" s="50" customFormat="1" ht="16.5" customHeight="1">
      <c r="A48" s="112" t="s">
        <v>36</v>
      </c>
      <c r="B48" s="303" t="str">
        <f>IF(B47=Para1!$F$153,Para1!$F$107,IF(B47=Para1!$F$107,Para1!$F$148,IF(B47=Para1!$F$148,Para1!$F$109,IF(B47=Para1!$F$109,Para1!$F$118,IF(B47=Para1!$F$118,Para1!$F$173,IF(B47=Para1!$F$173,Para1!$F$176,Para1!$F$153))))))</f>
        <v>Sa</v>
      </c>
      <c r="C48" s="338"/>
      <c r="D48" s="355"/>
      <c r="E48" s="355"/>
      <c r="F48" s="355"/>
      <c r="G48" s="357"/>
      <c r="H48" s="359"/>
      <c r="I48" s="355"/>
      <c r="J48" s="355"/>
      <c r="K48" s="370"/>
      <c r="L48" s="111">
        <f>SUM((G48-D48),(K48-H48))-SUM((F48-E48),(J48-I48))</f>
        <v>0</v>
      </c>
      <c r="M48" s="158">
        <f t="shared" ref="M48:M53" si="10">IF(AE48=0,0,IF(AB48,$AB$56,0)+IF(AC48,$AB$56,0)-IF(AE48="",0,(AE48/4800*$H$3)+(AE48/4800*$H$3)))-IF(AF48="",0,(AF48/4800*$H$3)+(AF48/4800*$H$3))</f>
        <v>0</v>
      </c>
      <c r="N48" s="45">
        <f t="shared" si="5"/>
        <v>-87.591666666666569</v>
      </c>
      <c r="O48" s="342"/>
      <c r="P48" s="355"/>
      <c r="Q48" s="355"/>
      <c r="R48" s="356"/>
      <c r="S48" s="357"/>
      <c r="T48" s="357"/>
      <c r="U48" s="358"/>
      <c r="V48" s="198"/>
      <c r="W48" s="374"/>
      <c r="X48" s="599"/>
      <c r="Y48" s="200"/>
      <c r="Z48" s="69"/>
      <c r="AA48" s="187"/>
      <c r="AB48" s="360">
        <v>0</v>
      </c>
      <c r="AC48" s="360">
        <v>0</v>
      </c>
      <c r="AD48" s="188" t="s">
        <v>115</v>
      </c>
      <c r="AE48" s="540" t="str">
        <f>IF((AB48+AC48)=0,"",IF(ISNA(AD48),"",IF(AD48="","",VLOOKUP(AD48,Para1!$D$67:$G$79,3,FALSE)*(IF(AB48+AC48=1,0.5,1)))))</f>
        <v/>
      </c>
      <c r="AF48" s="540" t="str">
        <f>IF(AB48+AC48=0,"",IF(ISNA(AD49),"",IF(AD49="","",VLOOKUP(AD49,Para1!$D$67:$G$79,4,FALSE)*(IF(AB48+AC48=1,0.5,1)))))</f>
        <v/>
      </c>
      <c r="AG48" s="188">
        <f t="shared" si="3"/>
        <v>0</v>
      </c>
      <c r="AH48" s="187">
        <f t="shared" si="4"/>
        <v>0</v>
      </c>
      <c r="AI48" s="602"/>
      <c r="AJ48" s="602"/>
    </row>
    <row r="49" spans="1:36" s="50" customFormat="1" ht="16.5" customHeight="1">
      <c r="A49" s="112" t="s">
        <v>37</v>
      </c>
      <c r="B49" s="303" t="str">
        <f>IF(B48=Para1!$F$153,Para1!$F$107,IF(B48=Para1!$F$107,Para1!$F$148,IF(B48=Para1!$F$148,Para1!$F$109,IF(B48=Para1!$F$109,Para1!$F$118,IF(B48=Para1!$F$118,Para1!$F$173,IF(B48=Para1!$F$173,Para1!$F$176,Para1!$F$153))))))</f>
        <v>So</v>
      </c>
      <c r="C49" s="338"/>
      <c r="D49" s="355"/>
      <c r="E49" s="355"/>
      <c r="F49" s="355"/>
      <c r="G49" s="357"/>
      <c r="H49" s="359"/>
      <c r="I49" s="355"/>
      <c r="J49" s="355"/>
      <c r="K49" s="370"/>
      <c r="L49" s="111">
        <f t="shared" si="6"/>
        <v>0</v>
      </c>
      <c r="M49" s="158">
        <f t="shared" si="10"/>
        <v>0</v>
      </c>
      <c r="N49" s="45">
        <f t="shared" si="5"/>
        <v>-87.591666666666569</v>
      </c>
      <c r="O49" s="342"/>
      <c r="P49" s="355"/>
      <c r="Q49" s="355"/>
      <c r="R49" s="356"/>
      <c r="S49" s="357"/>
      <c r="T49" s="357"/>
      <c r="U49" s="358"/>
      <c r="V49" s="198"/>
      <c r="W49" s="374"/>
      <c r="X49" s="599"/>
      <c r="Y49" s="200"/>
      <c r="Z49" s="69"/>
      <c r="AA49" s="187"/>
      <c r="AB49" s="360">
        <f t="shared" si="9"/>
        <v>0</v>
      </c>
      <c r="AC49" s="360">
        <f t="shared" si="9"/>
        <v>0</v>
      </c>
      <c r="AD49" s="188" t="s">
        <v>116</v>
      </c>
      <c r="AE49" s="540" t="str">
        <f>IF((AB49+AC49)=0,"",IF(ISNA(AD49),"",IF(AD49="","",VLOOKUP(AD49,Para1!$D$67:$G$79,3,FALSE)*(IF(AB49+AC49=1,0.5,1)))))</f>
        <v/>
      </c>
      <c r="AF49" s="540" t="str">
        <f>IF(AB49+AC49=0,"",IF(ISNA(AD50),"",IF(AD50="","",VLOOKUP(AD50,Para1!$D$67:$G$79,4,FALSE)*(IF(AB49+AC49=1,0.5,1)))))</f>
        <v/>
      </c>
      <c r="AG49" s="188">
        <f t="shared" si="3"/>
        <v>0</v>
      </c>
      <c r="AH49" s="187">
        <f t="shared" si="4"/>
        <v>0</v>
      </c>
      <c r="AI49" s="602"/>
      <c r="AJ49" s="602"/>
    </row>
    <row r="50" spans="1:36" ht="16.5" customHeight="1">
      <c r="A50" s="112" t="s">
        <v>38</v>
      </c>
      <c r="B50" s="303" t="str">
        <f>IF(B49=Para1!$F$153,Para1!$F$107,IF(B49=Para1!$F$107,Para1!$F$148,IF(B49=Para1!$F$148,Para1!$F$109,IF(B49=Para1!$F$109,Para1!$F$118,IF(B49=Para1!$F$118,Para1!$F$173,IF(B49=Para1!$F$173,Para1!$F$176,Para1!$F$153))))))</f>
        <v>Mo</v>
      </c>
      <c r="C50" s="336"/>
      <c r="D50" s="355"/>
      <c r="E50" s="355"/>
      <c r="F50" s="355"/>
      <c r="G50" s="357"/>
      <c r="H50" s="359"/>
      <c r="I50" s="355"/>
      <c r="J50" s="355"/>
      <c r="K50" s="370"/>
      <c r="L50" s="111">
        <f t="shared" si="6"/>
        <v>0</v>
      </c>
      <c r="M50" s="158">
        <f t="shared" si="10"/>
        <v>0.35000000000000003</v>
      </c>
      <c r="N50" s="45">
        <f t="shared" si="5"/>
        <v>-87.941666666666563</v>
      </c>
      <c r="O50" s="343"/>
      <c r="P50" s="355"/>
      <c r="Q50" s="355"/>
      <c r="R50" s="356"/>
      <c r="S50" s="357"/>
      <c r="T50" s="357"/>
      <c r="U50" s="358"/>
      <c r="V50" s="198"/>
      <c r="W50" s="373"/>
      <c r="X50" s="599"/>
      <c r="Y50" s="200"/>
      <c r="Z50" s="69"/>
      <c r="AA50" s="187"/>
      <c r="AB50" s="360">
        <f t="shared" si="9"/>
        <v>1</v>
      </c>
      <c r="AC50" s="360">
        <f t="shared" si="9"/>
        <v>1</v>
      </c>
      <c r="AD50" s="188" t="e">
        <f>IF(VLOOKUP(A50,Para1!$B$67:$E$72,2,FALSE)="12.",VLOOKUP(A50,Para1!$B$67:$E$72,3,FALSE),"")</f>
        <v>#N/A</v>
      </c>
      <c r="AE50" s="540" t="str">
        <f>IF((AB50+AC50)=0,"",IF(ISNA(AD50),"",IF(AD50="","",VLOOKUP(AD50,Para1!$D$67:$G$79,3,FALSE)*(IF(AB50+AC50=1,0.5,1)))))</f>
        <v/>
      </c>
      <c r="AF50" s="540" t="str">
        <f>IF(AB50+AC50=0,"",IF(ISNA(AD51),"",IF(AD51="","",VLOOKUP(AD51,Para1!$D$67:$G$79,4,FALSE)*(IF(AB50+AC50=1,0.5,1)))))</f>
        <v/>
      </c>
      <c r="AG50" s="188">
        <f t="shared" si="3"/>
        <v>0</v>
      </c>
      <c r="AH50" s="187">
        <f t="shared" si="4"/>
        <v>0.17500000000000002</v>
      </c>
      <c r="AI50" s="602"/>
      <c r="AJ50" s="602"/>
    </row>
    <row r="51" spans="1:36" ht="16.5" customHeight="1">
      <c r="A51" s="112" t="s">
        <v>39</v>
      </c>
      <c r="B51" s="303" t="str">
        <f>IF(B50=Para1!$F$153,Para1!$F$107,IF(B50=Para1!$F$107,Para1!$F$148,IF(B50=Para1!$F$148,Para1!$F$109,IF(B50=Para1!$F$109,Para1!$F$118,IF(B50=Para1!$F$118,Para1!$F$173,IF(B50=Para1!$F$173,Para1!$F$176,Para1!$F$153))))))</f>
        <v>Di</v>
      </c>
      <c r="C51" s="336"/>
      <c r="D51" s="355"/>
      <c r="E51" s="355"/>
      <c r="F51" s="355"/>
      <c r="G51" s="357"/>
      <c r="H51" s="359"/>
      <c r="I51" s="355"/>
      <c r="J51" s="355"/>
      <c r="K51" s="370"/>
      <c r="L51" s="111">
        <f t="shared" si="6"/>
        <v>0</v>
      </c>
      <c r="M51" s="158">
        <f t="shared" si="10"/>
        <v>0.35000000000000003</v>
      </c>
      <c r="N51" s="45">
        <f t="shared" si="5"/>
        <v>-88.291666666666558</v>
      </c>
      <c r="O51" s="343"/>
      <c r="P51" s="355"/>
      <c r="Q51" s="355"/>
      <c r="R51" s="356"/>
      <c r="S51" s="357"/>
      <c r="T51" s="357"/>
      <c r="U51" s="358"/>
      <c r="V51" s="198"/>
      <c r="W51" s="373"/>
      <c r="X51" s="599"/>
      <c r="Y51" s="200"/>
      <c r="Z51" s="69"/>
      <c r="AA51" s="187"/>
      <c r="AB51" s="360">
        <f t="shared" si="9"/>
        <v>1</v>
      </c>
      <c r="AC51" s="360">
        <f t="shared" si="9"/>
        <v>1</v>
      </c>
      <c r="AD51" s="188" t="e">
        <f>IF(VLOOKUP(A51,Para1!$B$67:$E$72,2,FALSE)="12.",VLOOKUP(A51,Para1!$B$67:$E$72,3,FALSE),"")</f>
        <v>#N/A</v>
      </c>
      <c r="AE51" s="540" t="str">
        <f>IF((AB51+AC51)=0,"",IF(ISNA(AD51),"",IF(AD51="","",VLOOKUP(AD51,Para1!$D$67:$G$79,3,FALSE)*(IF(AB51+AC51=1,0.5,1)))))</f>
        <v/>
      </c>
      <c r="AF51" s="540" t="str">
        <f>IF(AB51+AC51=0,"",IF(ISNA(AD52),"",IF(AD52="","",VLOOKUP(AD52,Para1!$D$67:$G$79,4,FALSE)*(IF(AB51+AC51=1,0.5,1)))))</f>
        <v/>
      </c>
      <c r="AG51" s="188">
        <f t="shared" si="3"/>
        <v>0</v>
      </c>
      <c r="AH51" s="187">
        <f t="shared" si="4"/>
        <v>0.17500000000000002</v>
      </c>
      <c r="AI51" s="602"/>
      <c r="AJ51" s="602"/>
    </row>
    <row r="52" spans="1:36" ht="16.5" customHeight="1">
      <c r="A52" s="112" t="s">
        <v>40</v>
      </c>
      <c r="B52" s="303" t="str">
        <f>IF(B51=Para1!$F$153,Para1!$F$107,IF(B51=Para1!$F$107,Para1!$F$148,IF(B51=Para1!$F$148,Para1!$F$109,IF(B51=Para1!$F$109,Para1!$F$118,IF(B51=Para1!$F$118,Para1!$F$173,IF(B51=Para1!$F$173,Para1!$F$176,Para1!$F$153))))))</f>
        <v>Mi</v>
      </c>
      <c r="C52" s="338"/>
      <c r="D52" s="355"/>
      <c r="E52" s="355"/>
      <c r="F52" s="355"/>
      <c r="G52" s="357"/>
      <c r="H52" s="359"/>
      <c r="I52" s="355"/>
      <c r="J52" s="355"/>
      <c r="K52" s="370"/>
      <c r="L52" s="111">
        <f t="shared" si="6"/>
        <v>0</v>
      </c>
      <c r="M52" s="158">
        <f t="shared" si="10"/>
        <v>0.35000000000000003</v>
      </c>
      <c r="N52" s="45">
        <f t="shared" si="5"/>
        <v>-88.641666666666552</v>
      </c>
      <c r="O52" s="342"/>
      <c r="P52" s="355"/>
      <c r="Q52" s="355"/>
      <c r="R52" s="356"/>
      <c r="S52" s="357"/>
      <c r="T52" s="357"/>
      <c r="U52" s="358"/>
      <c r="V52" s="198"/>
      <c r="W52" s="373"/>
      <c r="X52" s="599"/>
      <c r="Y52" s="200"/>
      <c r="Z52" s="69"/>
      <c r="AA52" s="187"/>
      <c r="AB52" s="360">
        <f t="shared" ref="AB52:AC54" si="11">AB45</f>
        <v>1</v>
      </c>
      <c r="AC52" s="360">
        <f t="shared" si="11"/>
        <v>1</v>
      </c>
      <c r="AD52" s="188" t="e">
        <f>IF(VLOOKUP(A52,Para1!$B$67:$E$72,2,FALSE)="12.",VLOOKUP(A52,Para1!$B$67:$E$72,3,FALSE),"")</f>
        <v>#N/A</v>
      </c>
      <c r="AE52" s="540" t="str">
        <f>IF((AB52+AC52)=0,"",IF(ISNA(AD52),"",IF(AD52="","",VLOOKUP(AD52,Para1!$D$67:$G$79,3,FALSE)*(IF(AB52+AC52=1,0.5,1)))))</f>
        <v/>
      </c>
      <c r="AF52" s="540" t="str">
        <f>IF(AB52+AC52=0,"",IF(ISNA(AD53),"",IF(AD53="","",VLOOKUP(AD53,Para1!$D$67:$G$79,4,FALSE)*(IF(AB52+AC52=1,0.5,1)))))</f>
        <v/>
      </c>
      <c r="AG52" s="188">
        <f t="shared" si="3"/>
        <v>0</v>
      </c>
      <c r="AH52" s="187">
        <f t="shared" si="4"/>
        <v>0.17500000000000002</v>
      </c>
      <c r="AI52" s="602"/>
      <c r="AJ52" s="602"/>
    </row>
    <row r="53" spans="1:36" ht="16.5" customHeight="1">
      <c r="A53" s="112" t="s">
        <v>41</v>
      </c>
      <c r="B53" s="303" t="str">
        <f>IF(B52=Para1!$F$153,Para1!$F$107,IF(B52=Para1!$F$107,Para1!$F$148,IF(B52=Para1!$F$148,Para1!$F$109,IF(B52=Para1!$F$109,Para1!$F$118,IF(B52=Para1!$F$118,Para1!$F$173,IF(B52=Para1!$F$173,Para1!$F$176,Para1!$F$153))))))</f>
        <v>Do</v>
      </c>
      <c r="C53" s="338"/>
      <c r="D53" s="355"/>
      <c r="E53" s="355"/>
      <c r="F53" s="355"/>
      <c r="G53" s="357"/>
      <c r="H53" s="359"/>
      <c r="I53" s="355"/>
      <c r="J53" s="355"/>
      <c r="K53" s="370"/>
      <c r="L53" s="111">
        <f t="shared" si="6"/>
        <v>0</v>
      </c>
      <c r="M53" s="158">
        <f t="shared" si="10"/>
        <v>0.35000000000000003</v>
      </c>
      <c r="N53" s="45">
        <f t="shared" si="5"/>
        <v>-88.991666666666546</v>
      </c>
      <c r="O53" s="342"/>
      <c r="P53" s="355"/>
      <c r="Q53" s="355"/>
      <c r="R53" s="356"/>
      <c r="S53" s="357"/>
      <c r="T53" s="357"/>
      <c r="U53" s="358"/>
      <c r="V53" s="198"/>
      <c r="W53" s="530"/>
      <c r="X53" s="599"/>
      <c r="Y53" s="200"/>
      <c r="Z53" s="69"/>
      <c r="AA53" s="187"/>
      <c r="AB53" s="361">
        <f t="shared" si="11"/>
        <v>1</v>
      </c>
      <c r="AC53" s="361">
        <f t="shared" si="11"/>
        <v>1</v>
      </c>
      <c r="AD53" s="188" t="e">
        <f>IF(VLOOKUP(A53,Para1!$B$67:$E$72,2,FALSE)="12.",VLOOKUP(A53,Para1!$B$67:$E$72,3,FALSE),"")</f>
        <v>#N/A</v>
      </c>
      <c r="AE53" s="540" t="str">
        <f>IF((AB53+AC53)=0,"",IF(ISNA(AD53),"",IF(AD53="","",VLOOKUP(AD53,Para1!$D$67:$G$79,3,FALSE)*(IF(AB53+AC53=1,0.5,1)))))</f>
        <v/>
      </c>
      <c r="AF53" s="540">
        <f>IF(AB53+AC53=0,"",IF(ISNA(AD54),"",IF(AD54="","",VLOOKUP(AD54,Para1!$D$67:$G$79,4,FALSE)*(IF(AB53+AC53=1,0.5,1)))))</f>
        <v>0</v>
      </c>
      <c r="AG53" s="188">
        <f t="shared" si="3"/>
        <v>0</v>
      </c>
      <c r="AH53" s="187">
        <f t="shared" si="4"/>
        <v>0.17500000000000002</v>
      </c>
      <c r="AI53" s="602"/>
      <c r="AJ53" s="602"/>
    </row>
    <row r="54" spans="1:36" ht="16.5" customHeight="1" thickBot="1">
      <c r="A54" s="112" t="s">
        <v>47</v>
      </c>
      <c r="B54" s="303" t="str">
        <f>IF(B53=Para1!$F$153,Para1!$F$107,IF(B53=Para1!$F$107,Para1!$F$148,IF(B53=Para1!$F$148,Para1!$F$109,IF(B53=Para1!$F$109,Para1!$F$118,IF(B53=Para1!$F$118,Para1!$F$173,IF(B53=Para1!$F$173,Para1!$F$176,Para1!$F$153))))))</f>
        <v>Fr</v>
      </c>
      <c r="C54" s="336"/>
      <c r="D54" s="355"/>
      <c r="E54" s="355"/>
      <c r="F54" s="355"/>
      <c r="G54" s="357"/>
      <c r="H54" s="131"/>
      <c r="I54" s="121"/>
      <c r="J54" s="121"/>
      <c r="K54" s="437"/>
      <c r="L54" s="116">
        <f t="shared" si="6"/>
        <v>0</v>
      </c>
      <c r="M54" s="702">
        <f>IF(AE54=0,0,IF(AB54,$AB$56,0)-IF(AF54="",0,(AF54/4800*$H$3)+(AF54/4800*$H$3)))</f>
        <v>0.17500000000000002</v>
      </c>
      <c r="N54" s="761">
        <f>$N53+$L54-M54+SUM($P54:$U54)+IF(OR($W54="f",$W54="m",$W54="z",$W54="u",$W54="b",$W54="l"),$AH54,0)</f>
        <v>-89.166666666666544</v>
      </c>
      <c r="O54" s="343"/>
      <c r="P54" s="724"/>
      <c r="Q54" s="724"/>
      <c r="R54" s="725"/>
      <c r="S54" s="726"/>
      <c r="T54" s="726"/>
      <c r="U54" s="727"/>
      <c r="V54" s="237"/>
      <c r="W54" s="530"/>
      <c r="X54" s="739"/>
      <c r="Y54" s="200"/>
      <c r="Z54" s="69"/>
      <c r="AA54" s="187"/>
      <c r="AB54" s="740">
        <f t="shared" si="11"/>
        <v>1</v>
      </c>
      <c r="AC54" s="741">
        <f t="shared" si="11"/>
        <v>0</v>
      </c>
      <c r="AD54" s="188" t="s">
        <v>117</v>
      </c>
      <c r="AE54" s="540">
        <f>IF((AB54+AC54)=0,"",IF(ISNA(AD54),"",IF(AD54="","",VLOOKUP(AD54,Para1!$D$67:$G$79,3,FALSE)*(IF(AB54+AC54=1,0.5,1)))))</f>
        <v>2.1</v>
      </c>
      <c r="AF54" s="540"/>
      <c r="AG54" s="188">
        <f t="shared" si="3"/>
        <v>0</v>
      </c>
      <c r="AH54" s="187">
        <f>M54</f>
        <v>0.17500000000000002</v>
      </c>
      <c r="AI54" s="602"/>
      <c r="AJ54" s="602"/>
    </row>
    <row r="55" spans="1:36" ht="15" thickTop="1">
      <c r="A55" s="47"/>
      <c r="B55" s="37"/>
      <c r="C55" s="16"/>
      <c r="D55" s="38"/>
      <c r="E55" s="38"/>
      <c r="F55" s="38"/>
      <c r="G55" s="38"/>
      <c r="H55" s="38"/>
      <c r="I55" s="38"/>
      <c r="J55" s="38"/>
      <c r="K55" s="464" t="str">
        <f>Para1!F184&amp;" (hh:mm)"</f>
        <v>Total (hh:mm)</v>
      </c>
      <c r="L55" s="344">
        <f>SUM(L24:L54)</f>
        <v>0</v>
      </c>
      <c r="M55" s="345">
        <f>SUM(M24:M54)</f>
        <v>7.6999999999999966</v>
      </c>
      <c r="N55" s="762"/>
      <c r="O55" s="340"/>
      <c r="P55" s="110">
        <f t="shared" ref="P55:U55" si="12">SUM(P24:P54)</f>
        <v>0</v>
      </c>
      <c r="Q55" s="110">
        <f t="shared" si="12"/>
        <v>0</v>
      </c>
      <c r="R55" s="36">
        <f t="shared" si="12"/>
        <v>0</v>
      </c>
      <c r="S55" s="36">
        <f t="shared" si="12"/>
        <v>0</v>
      </c>
      <c r="T55" s="36">
        <f t="shared" si="12"/>
        <v>0</v>
      </c>
      <c r="U55" s="44">
        <f t="shared" si="12"/>
        <v>0</v>
      </c>
      <c r="V55" s="201"/>
      <c r="W55" s="230"/>
      <c r="X55" s="203"/>
      <c r="AB55" s="884" t="str">
        <f>Para1!F177&amp;" "&amp;Para1!F171</f>
        <v>Soll Halbtag</v>
      </c>
      <c r="AC55" s="885"/>
      <c r="AD55" s="188">
        <f>SUM(AG24:AG54)</f>
        <v>0</v>
      </c>
      <c r="AE55" s="540">
        <f>SUM(AE24:AE54)</f>
        <v>6.3000000000000007</v>
      </c>
      <c r="AF55" s="540">
        <f>SUM(AF24:AF54)</f>
        <v>0</v>
      </c>
      <c r="AG55" s="188"/>
      <c r="AH55" s="188"/>
      <c r="AI55" s="602"/>
      <c r="AJ55" s="602"/>
    </row>
    <row r="56" spans="1:36" ht="15" thickBot="1">
      <c r="A56" s="48"/>
      <c r="B56" s="40"/>
      <c r="C56" s="40"/>
      <c r="D56" s="41"/>
      <c r="E56" s="41"/>
      <c r="F56" s="41"/>
      <c r="G56" s="19"/>
      <c r="H56" s="19"/>
      <c r="I56" s="19"/>
      <c r="J56" s="19"/>
      <c r="K56" s="766" t="str">
        <f>Para1!F184&amp;" ("&amp;Para1!F106&amp;")"</f>
        <v>Total (dezimal)</v>
      </c>
      <c r="L56" s="779">
        <f>L55*24</f>
        <v>0</v>
      </c>
      <c r="M56" s="780">
        <f>M55*24</f>
        <v>184.79999999999993</v>
      </c>
      <c r="N56" s="780"/>
      <c r="O56" s="773"/>
      <c r="P56" s="771">
        <f t="shared" ref="P56:U56" si="13">P55*24</f>
        <v>0</v>
      </c>
      <c r="Q56" s="770">
        <f t="shared" si="13"/>
        <v>0</v>
      </c>
      <c r="R56" s="768">
        <f t="shared" si="13"/>
        <v>0</v>
      </c>
      <c r="S56" s="768">
        <f t="shared" si="13"/>
        <v>0</v>
      </c>
      <c r="T56" s="768">
        <f t="shared" si="13"/>
        <v>0</v>
      </c>
      <c r="U56" s="768">
        <f t="shared" si="13"/>
        <v>0</v>
      </c>
      <c r="V56" s="465"/>
      <c r="W56" s="229"/>
      <c r="X56" s="195"/>
      <c r="AB56" s="882">
        <f>(C8*24/((SUM(AB24:AC46)+AB47+AB54+SUM(AB48:AC53))-AD55)/24)</f>
        <v>0.17500000000000002</v>
      </c>
      <c r="AC56" s="883"/>
      <c r="AD56" s="602"/>
      <c r="AE56" s="602"/>
      <c r="AF56" s="602"/>
      <c r="AG56" s="602"/>
      <c r="AH56" s="602"/>
      <c r="AI56" s="602"/>
      <c r="AJ56" s="602"/>
    </row>
    <row r="57" spans="1:36" ht="15" thickTop="1"/>
    <row r="58" spans="1:36">
      <c r="X58" s="130" t="str">
        <f>Para1!G2</f>
        <v>AZE v1_01 02.12.2020</v>
      </c>
      <c r="AC58" s="130"/>
    </row>
    <row r="59" spans="1:36">
      <c r="AB59" s="341"/>
    </row>
    <row r="60" spans="1:36"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row r="66" spans="11:11">
      <c r="K66" s="7"/>
    </row>
  </sheetData>
  <sheetProtection password="CC4A" sheet="1" objects="1" scenarios="1"/>
  <mergeCells count="50">
    <mergeCell ref="A60:B60"/>
    <mergeCell ref="C3:D3"/>
    <mergeCell ref="E3:G3"/>
    <mergeCell ref="C9:D9"/>
    <mergeCell ref="C10:D10"/>
    <mergeCell ref="C11:D11"/>
    <mergeCell ref="C12:D12"/>
    <mergeCell ref="D60:E60"/>
    <mergeCell ref="A14:D14"/>
    <mergeCell ref="A15:D15"/>
    <mergeCell ref="A16:D16"/>
    <mergeCell ref="A17:D17"/>
    <mergeCell ref="A18:D18"/>
    <mergeCell ref="A1:B1"/>
    <mergeCell ref="A3:B3"/>
    <mergeCell ref="N22:N23"/>
    <mergeCell ref="H1:I1"/>
    <mergeCell ref="A22:B22"/>
    <mergeCell ref="M3:N3"/>
    <mergeCell ref="L22:L23"/>
    <mergeCell ref="M22:M23"/>
    <mergeCell ref="L21:N21"/>
    <mergeCell ref="A23:B23"/>
    <mergeCell ref="D22:G22"/>
    <mergeCell ref="H22:K22"/>
    <mergeCell ref="K60:O60"/>
    <mergeCell ref="T60:X60"/>
    <mergeCell ref="C1:E1"/>
    <mergeCell ref="C7:D7"/>
    <mergeCell ref="N7:O7"/>
    <mergeCell ref="C8:D8"/>
    <mergeCell ref="N8:O8"/>
    <mergeCell ref="W22:W23"/>
    <mergeCell ref="X22:X23"/>
    <mergeCell ref="U22:U23"/>
    <mergeCell ref="T22:T23"/>
    <mergeCell ref="S22:S23"/>
    <mergeCell ref="R22:R23"/>
    <mergeCell ref="P21:U21"/>
    <mergeCell ref="P22:P23"/>
    <mergeCell ref="Q22:Q23"/>
    <mergeCell ref="AB55:AC55"/>
    <mergeCell ref="AB56:AC56"/>
    <mergeCell ref="U14:V14"/>
    <mergeCell ref="U15:V15"/>
    <mergeCell ref="W21:X21"/>
    <mergeCell ref="AB21:AC21"/>
    <mergeCell ref="AB22:AB23"/>
    <mergeCell ref="AC22:AC23"/>
    <mergeCell ref="Y21:Z21"/>
  </mergeCells>
  <phoneticPr fontId="0" type="noConversion"/>
  <conditionalFormatting sqref="N24">
    <cfRule type="expression" dxfId="16" priority="10">
      <formula>$L$24=0</formula>
    </cfRule>
  </conditionalFormatting>
  <conditionalFormatting sqref="N24:N54">
    <cfRule type="cellIs" dxfId="15" priority="9" operator="equal">
      <formula>N23-M24</formula>
    </cfRule>
  </conditionalFormatting>
  <conditionalFormatting sqref="A24:B54 L24:M54">
    <cfRule type="expression" dxfId="14" priority="8">
      <formula>$M24=0</formula>
    </cfRule>
  </conditionalFormatting>
  <conditionalFormatting sqref="D24:G54 W24:W54 AB24:AB54 AC47 AC54">
    <cfRule type="expression" dxfId="13" priority="7">
      <formula>$AB24=0</formula>
    </cfRule>
  </conditionalFormatting>
  <conditionalFormatting sqref="H24:K54 X24:X54 AC24:AC54">
    <cfRule type="expression" dxfId="12" priority="6">
      <formula>$AC24=0</formula>
    </cfRule>
  </conditionalFormatting>
  <conditionalFormatting sqref="P24:U54">
    <cfRule type="expression" dxfId="11" priority="4">
      <formula>$AB24+$AC24=1</formula>
    </cfRule>
    <cfRule type="expression" dxfId="10" priority="5">
      <formula>$AB24+$AC24=0</formula>
    </cfRule>
  </conditionalFormatting>
  <conditionalFormatting sqref="D24:K54 P24:U54 W24:X54 AB24:AC54">
    <cfRule type="expression" dxfId="9" priority="3">
      <formula>$AE24=0</formula>
    </cfRule>
  </conditionalFormatting>
  <conditionalFormatting sqref="C7:D7 Z12 P8:Q8 N8 G18 J17:J18 C8:C12">
    <cfRule type="expression" dxfId="8" priority="12">
      <formula>#REF!="Absenzenerfassung"</formula>
    </cfRule>
  </conditionalFormatting>
  <conditionalFormatting sqref="I14">
    <cfRule type="expression" dxfId="7" priority="11">
      <formula>#REF!="Absenzenerfassung"</formula>
    </cfRule>
  </conditionalFormatting>
  <pageMargins left="0.41" right="0.41" top="0.79" bottom="0.39370078740157483" header="0.28999999999999998" footer="0.15748031496062992"/>
  <pageSetup paperSize="9" scale="53"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1857DFCC-3AA0-4DCB-8AA7-2AB669AFE406}">
            <xm:f>OR('Persönliche Daten (pers. data)'!$K$5="Nein",'Persönliche Daten (pers. data)'!$K$5="no")</xm:f>
            <x14:dxf>
              <font>
                <color theme="0"/>
              </font>
              <fill>
                <patternFill patternType="none">
                  <bgColor auto="1"/>
                </patternFill>
              </fill>
              <border>
                <left/>
                <right/>
                <top/>
                <bottom/>
                <vertical/>
                <horizontal/>
              </border>
            </x14:dxf>
          </x14:cfRule>
          <xm:sqref>A14:I17 A18:E18</xm:sqref>
        </x14:conditionalFormatting>
        <x14:conditionalFormatting xmlns:xm="http://schemas.microsoft.com/office/excel/2006/main">
          <x14:cfRule type="expression" priority="1" id="{8BCE0CA6-1DE6-48AB-AA0B-3DB6136F45EC}">
            <xm:f>OR('Persönliche Daten (pers. data)'!$K$5="Nein",'Persönliche Daten (pers. data)'!$K$5="no")</xm:f>
            <x14:dxf>
              <font>
                <color theme="0"/>
              </font>
              <fill>
                <patternFill patternType="none">
                  <bgColor auto="1"/>
                </patternFill>
              </fill>
              <border>
                <left/>
                <right/>
                <top style="thin">
                  <color auto="1"/>
                </top>
                <bottom/>
                <vertical/>
                <horizontal/>
              </border>
            </x14:dxf>
          </x14:cfRule>
          <xm:sqref>L18:Q18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9">
    <pageSetUpPr fitToPage="1"/>
  </sheetPr>
  <dimension ref="B1:AH29"/>
  <sheetViews>
    <sheetView showGridLines="0" zoomScaleNormal="100" workbookViewId="0">
      <selection activeCell="H9" sqref="H9"/>
    </sheetView>
  </sheetViews>
  <sheetFormatPr baseColWidth="10" defaultRowHeight="18.75" customHeight="1"/>
  <cols>
    <col min="1" max="1" width="3.83203125" customWidth="1"/>
    <col min="2" max="2" width="10.6640625" customWidth="1"/>
    <col min="3" max="4" width="13.6640625" customWidth="1"/>
    <col min="5" max="11" width="15.6640625" customWidth="1"/>
  </cols>
  <sheetData>
    <row r="1" spans="2:16" s="64" customFormat="1" ht="10.5" customHeight="1">
      <c r="B1" s="66" t="str">
        <f>Para1!F204</f>
        <v xml:space="preserve">Vorname: </v>
      </c>
      <c r="C1" s="148">
        <f>'Jahresübersicht (Overview)'!C2</f>
        <v>0</v>
      </c>
      <c r="D1" s="144"/>
      <c r="E1" s="67" t="str">
        <f>Para1!F160</f>
        <v xml:space="preserve">Name: </v>
      </c>
      <c r="F1" s="143">
        <f>'Jahresübersicht (Overview)'!G2</f>
        <v>0</v>
      </c>
      <c r="G1" s="922" t="str">
        <f>Para1!F131</f>
        <v xml:space="preserve">Jahrgang (4-stellig): </v>
      </c>
      <c r="H1" s="922"/>
      <c r="I1" s="173">
        <f>'Jahresübersicht (Overview)'!K2</f>
        <v>0</v>
      </c>
    </row>
    <row r="2" spans="2:16" s="64" customFormat="1" ht="6" customHeight="1">
      <c r="B2" s="144"/>
      <c r="C2" s="144"/>
      <c r="D2" s="144"/>
      <c r="E2" s="144"/>
      <c r="F2" s="144"/>
      <c r="G2" s="144"/>
      <c r="H2" s="144"/>
      <c r="J2" s="144"/>
    </row>
    <row r="3" spans="2:16" s="64" customFormat="1" ht="13">
      <c r="B3" s="67" t="str">
        <f>Para1!F168</f>
        <v xml:space="preserve">Pers-Nr.: </v>
      </c>
      <c r="C3" s="149">
        <f>'Jahresübersicht (Overview)'!C4</f>
        <v>0</v>
      </c>
      <c r="D3" s="144"/>
      <c r="E3" s="67" t="str">
        <f>Para1!F111</f>
        <v xml:space="preserve">Eintrittsdatum: </v>
      </c>
      <c r="F3" s="440">
        <f>'Jahresübersicht (Overview)'!G4</f>
        <v>0</v>
      </c>
      <c r="G3" s="118"/>
      <c r="H3" s="461">
        <f>'Persönliche Daten (pers. data)'!O8</f>
        <v>100</v>
      </c>
      <c r="I3" s="73"/>
      <c r="J3" s="144"/>
    </row>
    <row r="4" spans="2:16" s="64" customFormat="1" ht="13">
      <c r="B4" s="144"/>
      <c r="C4" s="144"/>
      <c r="D4" s="144"/>
      <c r="E4" s="144"/>
      <c r="F4" s="144"/>
      <c r="G4" s="144"/>
      <c r="H4" s="144"/>
      <c r="I4" s="441"/>
      <c r="J4" s="441"/>
      <c r="K4" s="442"/>
    </row>
    <row r="5" spans="2:16" s="64" customFormat="1" ht="16">
      <c r="B5" s="923" t="str">
        <f>Para1!F210&amp;" per 31.12."&amp;Para1!C2&amp;""</f>
        <v>Zeitkennzahlen per 31.12.2021</v>
      </c>
      <c r="C5" s="923"/>
      <c r="D5" s="923"/>
      <c r="M5" s="73"/>
    </row>
    <row r="6" spans="2:16" s="64" customFormat="1" ht="12.75" customHeight="1">
      <c r="B6" s="924" t="str">
        <f>Para1!J223</f>
        <v>Hier können Sie die "Zeitkennzahlen per 31.12." zum Erfassen im Zeitmanagement-Tool direkt ablesen.</v>
      </c>
      <c r="C6" s="925"/>
      <c r="D6" s="925"/>
      <c r="E6" s="925"/>
      <c r="F6" s="925"/>
      <c r="G6" s="925"/>
      <c r="H6" s="925"/>
      <c r="I6" s="925"/>
      <c r="J6" s="925"/>
      <c r="K6" s="925"/>
      <c r="M6" s="73"/>
    </row>
    <row r="7" spans="2:16" s="64" customFormat="1" ht="14" thickBot="1">
      <c r="B7" s="924" t="str">
        <f>Para1!J224</f>
        <v>Bei der Erfassung von dezimalen Werten ("Industriestunden") können im Zeitmanagement-Tool geringe Rundungsdifferenzen auftreten.</v>
      </c>
      <c r="C7" s="925"/>
      <c r="D7" s="925"/>
      <c r="E7" s="925"/>
      <c r="F7" s="925"/>
      <c r="G7" s="925"/>
      <c r="H7" s="925"/>
      <c r="I7" s="925"/>
      <c r="J7" s="925"/>
      <c r="K7" s="925"/>
      <c r="M7" s="73"/>
      <c r="P7" s="73"/>
    </row>
    <row r="8" spans="2:16" s="64" customFormat="1" ht="14" thickTop="1">
      <c r="B8" s="169"/>
      <c r="C8" s="170"/>
      <c r="D8" s="170"/>
      <c r="E8" s="929" t="str">
        <f>" Ø "&amp;Para1!F96&amp;" (Jan. - Dez.): "&amp;'Persönliche Daten (pers. data)'!O8&amp;"%"</f>
        <v xml:space="preserve"> Ø Beschäftigungsgrad (Jan. - Dez.): 100%</v>
      </c>
      <c r="F8" s="930"/>
      <c r="G8" s="931"/>
      <c r="H8" s="929" t="str">
        <f>Para1!J216</f>
        <v>Aufteilung in mehrere Teilanstellungen (hh:mm)</v>
      </c>
      <c r="I8" s="930"/>
      <c r="J8" s="930"/>
      <c r="K8" s="932"/>
      <c r="L8" s="442"/>
      <c r="M8" s="73"/>
      <c r="P8" s="73"/>
    </row>
    <row r="9" spans="2:16" s="64" customFormat="1" ht="13">
      <c r="B9" s="171"/>
      <c r="C9" s="172"/>
      <c r="D9" s="172"/>
      <c r="E9" s="174"/>
      <c r="F9" s="175" t="s">
        <v>95</v>
      </c>
      <c r="G9" s="790" t="str">
        <f>Para1!F106</f>
        <v>dezimal</v>
      </c>
      <c r="H9" s="184">
        <v>0</v>
      </c>
      <c r="I9" s="184">
        <v>0</v>
      </c>
      <c r="J9" s="184">
        <v>0</v>
      </c>
      <c r="K9" s="185">
        <v>0</v>
      </c>
      <c r="L9" s="917" t="str">
        <f>IF(SUM(H9:K9)=0,"",IF($H$3=(SUM(H9:K9)*100),"",Para1!J225))</f>
        <v/>
      </c>
      <c r="M9" s="918"/>
      <c r="N9" s="918"/>
      <c r="O9" s="918"/>
      <c r="P9" s="73"/>
    </row>
    <row r="10" spans="2:16" ht="18.75" customHeight="1">
      <c r="B10" s="913" t="str">
        <f>Para1!F209&amp;" "&amp;Para1!F174&amp;" (+/−)"</f>
        <v>Zeit Saldo (+/−)</v>
      </c>
      <c r="C10" s="914"/>
      <c r="D10" s="914"/>
      <c r="E10" s="176"/>
      <c r="F10" s="177">
        <f>Dezember!C12</f>
        <v>-89.166666666666671</v>
      </c>
      <c r="G10" s="781">
        <f>F10*24</f>
        <v>-2140</v>
      </c>
      <c r="H10" s="651" t="str">
        <f>IF($F10&lt;&gt;0,IF(H$9&lt;&gt;0,H$9/$H$3*$F10*100,"-"),"-")</f>
        <v>-</v>
      </c>
      <c r="I10" s="651" t="str">
        <f>IF($F10&lt;&gt;0,IF(I$9&lt;&gt;0,I$9/$H$3*$F10*100,"-"),"-")</f>
        <v>-</v>
      </c>
      <c r="J10" s="651" t="str">
        <f t="shared" ref="J10:K11" si="0">IF($F10&lt;&gt;0,IF(J$9&lt;&gt;0,J$9/$H$3*$F10*100,"-"),"-")</f>
        <v>-</v>
      </c>
      <c r="K10" s="652" t="str">
        <f>IF($F10&lt;&gt;0,IF(K$9&lt;&gt;0,K$9/$H$3*$F10*100,"-"),"-")</f>
        <v>-</v>
      </c>
      <c r="L10" s="919"/>
      <c r="M10" s="918"/>
      <c r="N10" s="918"/>
      <c r="O10" s="918"/>
      <c r="P10" s="151"/>
    </row>
    <row r="11" spans="2:16" ht="18.75" customHeight="1">
      <c r="B11" s="911" t="str">
        <f>Para1!F115&amp;" "&amp;Para1!F174</f>
        <v>Ferien Saldo</v>
      </c>
      <c r="C11" s="912"/>
      <c r="D11" s="912"/>
      <c r="E11" s="178"/>
      <c r="F11" s="179" t="e">
        <f>Dezember!I11</f>
        <v>#N/A</v>
      </c>
      <c r="G11" s="782" t="e">
        <f t="shared" ref="G11:G24" si="1">F11*24</f>
        <v>#N/A</v>
      </c>
      <c r="H11" s="653" t="e">
        <f>IF($F11&lt;&gt;0,IF(H$9&lt;&gt;0,H$9/$H$3*$F11*100,"-"),"-")</f>
        <v>#N/A</v>
      </c>
      <c r="I11" s="653" t="e">
        <f t="shared" ref="I11" si="2">IF($F11&lt;&gt;0,IF(I$9&lt;&gt;0,I$9/$H$3*$F11*100,"-"),"-")</f>
        <v>#N/A</v>
      </c>
      <c r="J11" s="653" t="e">
        <f t="shared" si="0"/>
        <v>#N/A</v>
      </c>
      <c r="K11" s="654" t="e">
        <f t="shared" si="0"/>
        <v>#N/A</v>
      </c>
      <c r="L11" s="920"/>
      <c r="M11" s="921"/>
      <c r="N11" s="921"/>
      <c r="O11" s="921"/>
      <c r="P11" s="151"/>
    </row>
    <row r="12" spans="2:16" ht="18.75" customHeight="1">
      <c r="B12" s="926" t="str">
        <f>Para1!F142&amp;" "&amp;Para1!F174</f>
        <v>Langzeitkonto Saldo</v>
      </c>
      <c r="C12" s="927"/>
      <c r="D12" s="927"/>
      <c r="E12" s="180"/>
      <c r="F12" s="181">
        <f>Dezember!I17</f>
        <v>0</v>
      </c>
      <c r="G12" s="784">
        <f t="shared" si="1"/>
        <v>0</v>
      </c>
      <c r="H12" s="655" t="str">
        <f t="shared" ref="H12:K24" si="3">IF($F12&lt;&gt;0,IF(H$9&lt;&gt;0,H$9/$H$3*$F12*100,"-"),"-")</f>
        <v>-</v>
      </c>
      <c r="I12" s="655" t="str">
        <f t="shared" si="3"/>
        <v>-</v>
      </c>
      <c r="J12" s="655" t="str">
        <f t="shared" si="3"/>
        <v>-</v>
      </c>
      <c r="K12" s="656" t="str">
        <f t="shared" si="3"/>
        <v>-</v>
      </c>
      <c r="M12" s="151"/>
      <c r="P12" s="151"/>
    </row>
    <row r="13" spans="2:16" ht="18.75" customHeight="1">
      <c r="B13" s="928" t="str">
        <f>Para1!F102&amp;" "&amp;Para1!F119&amp;" "&amp;Para1!F182</f>
        <v>bezogene freie Tage</v>
      </c>
      <c r="C13" s="912"/>
      <c r="D13" s="912"/>
      <c r="E13" s="178"/>
      <c r="F13" s="179">
        <f>SUM('Jahresübersicht (Overview)'!C26:N26)+SUM('Jahresübersicht (Overview)'!C34:N34)+SUM('Jahresübersicht (Overview)'!C40:N40)</f>
        <v>0</v>
      </c>
      <c r="G13" s="782">
        <f t="shared" si="1"/>
        <v>0</v>
      </c>
      <c r="H13" s="653" t="str">
        <f t="shared" si="3"/>
        <v>-</v>
      </c>
      <c r="I13" s="653" t="str">
        <f t="shared" si="3"/>
        <v>-</v>
      </c>
      <c r="J13" s="653" t="str">
        <f t="shared" si="3"/>
        <v>-</v>
      </c>
      <c r="K13" s="654" t="str">
        <f t="shared" si="3"/>
        <v>-</v>
      </c>
      <c r="M13" s="151"/>
    </row>
    <row r="14" spans="2:16" ht="18.75" customHeight="1">
      <c r="B14" s="913" t="str">
        <f>Para1!F149</f>
        <v>Militär/Zivilsch./Zivildienst</v>
      </c>
      <c r="C14" s="914"/>
      <c r="D14" s="914"/>
      <c r="E14" s="176"/>
      <c r="F14" s="177">
        <f>Dezember!Y17</f>
        <v>0</v>
      </c>
      <c r="G14" s="781">
        <f t="shared" si="1"/>
        <v>0</v>
      </c>
      <c r="H14" s="651" t="str">
        <f t="shared" si="3"/>
        <v>-</v>
      </c>
      <c r="I14" s="651" t="str">
        <f t="shared" si="3"/>
        <v>-</v>
      </c>
      <c r="J14" s="651" t="str">
        <f t="shared" si="3"/>
        <v>-</v>
      </c>
      <c r="K14" s="652" t="str">
        <f t="shared" si="3"/>
        <v>-</v>
      </c>
    </row>
    <row r="15" spans="2:16" ht="18.75" customHeight="1">
      <c r="B15" s="911" t="str">
        <f>Para1!F139</f>
        <v>Krankheit</v>
      </c>
      <c r="C15" s="912"/>
      <c r="D15" s="912"/>
      <c r="E15" s="178"/>
      <c r="F15" s="179">
        <f>Dezember!Y8</f>
        <v>0</v>
      </c>
      <c r="G15" s="782">
        <f t="shared" si="1"/>
        <v>0</v>
      </c>
      <c r="H15" s="653" t="str">
        <f t="shared" si="3"/>
        <v>-</v>
      </c>
      <c r="I15" s="653" t="str">
        <f t="shared" si="3"/>
        <v>-</v>
      </c>
      <c r="J15" s="653" t="str">
        <f t="shared" si="3"/>
        <v>-</v>
      </c>
      <c r="K15" s="654" t="str">
        <f t="shared" si="3"/>
        <v>-</v>
      </c>
    </row>
    <row r="16" spans="2:16" ht="18.75" customHeight="1">
      <c r="B16" s="913" t="str">
        <f>Para1!F196&amp;" "&amp;Para1!F98</f>
        <v>Unfall betriebsbedingt</v>
      </c>
      <c r="C16" s="914"/>
      <c r="D16" s="914"/>
      <c r="E16" s="176"/>
      <c r="F16" s="177">
        <f>Dezember!Y9</f>
        <v>0</v>
      </c>
      <c r="G16" s="781">
        <f t="shared" si="1"/>
        <v>0</v>
      </c>
      <c r="H16" s="651" t="str">
        <f t="shared" si="3"/>
        <v>-</v>
      </c>
      <c r="I16" s="651" t="str">
        <f t="shared" si="3"/>
        <v>-</v>
      </c>
      <c r="J16" s="651" t="str">
        <f t="shared" si="3"/>
        <v>-</v>
      </c>
      <c r="K16" s="652" t="str">
        <f t="shared" si="3"/>
        <v>-</v>
      </c>
    </row>
    <row r="17" spans="2:34" ht="18.75" customHeight="1">
      <c r="B17" s="911" t="str">
        <f>Para1!F196&amp;" "&amp;Para1!F163&amp;" "&amp;Para1!F98</f>
        <v>Unfall nicht betriebsbedingt</v>
      </c>
      <c r="C17" s="912"/>
      <c r="D17" s="912"/>
      <c r="E17" s="178"/>
      <c r="F17" s="179">
        <f>Dezember!Y10</f>
        <v>0</v>
      </c>
      <c r="G17" s="782">
        <f t="shared" si="1"/>
        <v>0</v>
      </c>
      <c r="H17" s="653" t="str">
        <f t="shared" si="3"/>
        <v>-</v>
      </c>
      <c r="I17" s="653" t="str">
        <f t="shared" si="3"/>
        <v>-</v>
      </c>
      <c r="J17" s="653" t="str">
        <f t="shared" si="3"/>
        <v>-</v>
      </c>
      <c r="K17" s="654" t="str">
        <f t="shared" si="3"/>
        <v>-</v>
      </c>
    </row>
    <row r="18" spans="2:34" ht="18.75" customHeight="1">
      <c r="B18" s="913" t="str">
        <f>Para1!F157</f>
        <v>Mutter- und Vaterschaftsurlaub</v>
      </c>
      <c r="C18" s="914"/>
      <c r="D18" s="914"/>
      <c r="E18" s="176"/>
      <c r="F18" s="177">
        <f>Dezember!Y16</f>
        <v>0</v>
      </c>
      <c r="G18" s="781">
        <f t="shared" si="1"/>
        <v>0</v>
      </c>
      <c r="H18" s="651" t="str">
        <f t="shared" si="3"/>
        <v>-</v>
      </c>
      <c r="I18" s="651" t="str">
        <f t="shared" si="3"/>
        <v>-</v>
      </c>
      <c r="J18" s="651" t="str">
        <f t="shared" si="3"/>
        <v>-</v>
      </c>
      <c r="K18" s="652" t="str">
        <f t="shared" si="3"/>
        <v>-</v>
      </c>
    </row>
    <row r="19" spans="2:34" ht="18.75" customHeight="1">
      <c r="B19" s="911" t="str">
        <f>Para1!F140</f>
        <v>Kurzurlaub</v>
      </c>
      <c r="C19" s="912"/>
      <c r="D19" s="912"/>
      <c r="E19" s="178"/>
      <c r="F19" s="179">
        <f>Dezember!Y11+Dezember!Y14</f>
        <v>0</v>
      </c>
      <c r="G19" s="782">
        <f t="shared" si="1"/>
        <v>0</v>
      </c>
      <c r="H19" s="653" t="str">
        <f t="shared" si="3"/>
        <v>-</v>
      </c>
      <c r="I19" s="653" t="str">
        <f t="shared" si="3"/>
        <v>-</v>
      </c>
      <c r="J19" s="653" t="str">
        <f t="shared" si="3"/>
        <v>-</v>
      </c>
      <c r="K19" s="654" t="str">
        <f t="shared" si="3"/>
        <v>-</v>
      </c>
    </row>
    <row r="20" spans="2:34" ht="18.75" customHeight="1">
      <c r="B20" s="913" t="str">
        <f>Para1!F194&amp;" "&amp;Para1!F198</f>
        <v>unbezahlt Urlaub</v>
      </c>
      <c r="C20" s="914"/>
      <c r="D20" s="914"/>
      <c r="E20" s="176"/>
      <c r="F20" s="177">
        <f>Dezember!Y15</f>
        <v>0</v>
      </c>
      <c r="G20" s="781">
        <f t="shared" si="1"/>
        <v>0</v>
      </c>
      <c r="H20" s="651" t="str">
        <f t="shared" si="3"/>
        <v>-</v>
      </c>
      <c r="I20" s="651" t="str">
        <f t="shared" si="3"/>
        <v>-</v>
      </c>
      <c r="J20" s="651" t="str">
        <f t="shared" si="3"/>
        <v>-</v>
      </c>
      <c r="K20" s="652" t="str">
        <f t="shared" si="3"/>
        <v>-</v>
      </c>
    </row>
    <row r="21" spans="2:34" ht="18.75" customHeight="1">
      <c r="B21" s="911" t="str">
        <f>Para1!F206</f>
        <v>Weiterbildung auf Arbeitszeit</v>
      </c>
      <c r="C21" s="912"/>
      <c r="D21" s="912"/>
      <c r="E21" s="178"/>
      <c r="F21" s="179">
        <f>Dezember!Y12</f>
        <v>0</v>
      </c>
      <c r="G21" s="782">
        <f t="shared" si="1"/>
        <v>0</v>
      </c>
      <c r="H21" s="653" t="str">
        <f t="shared" si="3"/>
        <v>-</v>
      </c>
      <c r="I21" s="653" t="str">
        <f t="shared" si="3"/>
        <v>-</v>
      </c>
      <c r="J21" s="653" t="str">
        <f t="shared" si="3"/>
        <v>-</v>
      </c>
      <c r="K21" s="654" t="str">
        <f t="shared" si="3"/>
        <v>-</v>
      </c>
    </row>
    <row r="22" spans="2:34" ht="18.75" customHeight="1">
      <c r="B22" s="913" t="str">
        <f>Para1!F165</f>
        <v>Öffentliches Amt</v>
      </c>
      <c r="C22" s="914"/>
      <c r="D22" s="914"/>
      <c r="E22" s="176"/>
      <c r="F22" s="177">
        <f>Dezember!Y13</f>
        <v>0</v>
      </c>
      <c r="G22" s="781">
        <f t="shared" si="1"/>
        <v>0</v>
      </c>
      <c r="H22" s="651" t="str">
        <f t="shared" si="3"/>
        <v>-</v>
      </c>
      <c r="I22" s="651" t="str">
        <f t="shared" si="3"/>
        <v>-</v>
      </c>
      <c r="J22" s="651" t="str">
        <f t="shared" si="3"/>
        <v>-</v>
      </c>
      <c r="K22" s="652" t="str">
        <f t="shared" si="3"/>
        <v>-</v>
      </c>
    </row>
    <row r="23" spans="2:34" ht="18.75" customHeight="1">
      <c r="B23" s="911" t="str">
        <f>Para1!F117</f>
        <v>Ferienkürzung</v>
      </c>
      <c r="C23" s="912"/>
      <c r="D23" s="912"/>
      <c r="E23" s="178"/>
      <c r="F23" s="179">
        <f>SUM('Jahresübersicht (Overview)'!C27:N27)</f>
        <v>0</v>
      </c>
      <c r="G23" s="782">
        <f t="shared" ref="G23" si="4">F23*24</f>
        <v>0</v>
      </c>
      <c r="H23" s="653" t="str">
        <f t="shared" si="3"/>
        <v>-</v>
      </c>
      <c r="I23" s="653" t="str">
        <f t="shared" si="3"/>
        <v>-</v>
      </c>
      <c r="J23" s="653" t="str">
        <f t="shared" si="3"/>
        <v>-</v>
      </c>
      <c r="K23" s="654" t="str">
        <f t="shared" si="3"/>
        <v>-</v>
      </c>
    </row>
    <row r="24" spans="2:34" ht="18.75" customHeight="1" thickBot="1">
      <c r="B24" s="915" t="str">
        <f>Para1!F133</f>
        <v>JAZ-Kompensation</v>
      </c>
      <c r="C24" s="916"/>
      <c r="D24" s="916"/>
      <c r="E24" s="182"/>
      <c r="F24" s="183">
        <f>Dezember!Q8</f>
        <v>0</v>
      </c>
      <c r="G24" s="783">
        <f t="shared" si="1"/>
        <v>0</v>
      </c>
      <c r="H24" s="657" t="str">
        <f t="shared" si="3"/>
        <v>-</v>
      </c>
      <c r="I24" s="657" t="str">
        <f t="shared" si="3"/>
        <v>-</v>
      </c>
      <c r="J24" s="657" t="str">
        <f t="shared" si="3"/>
        <v>-</v>
      </c>
      <c r="K24" s="658" t="str">
        <f t="shared" si="3"/>
        <v>-</v>
      </c>
    </row>
    <row r="25" spans="2:34" ht="18.75" customHeight="1" thickTop="1">
      <c r="K25" s="130" t="str">
        <f>Para1!G2</f>
        <v>AZE v1_01 02.12.2020</v>
      </c>
    </row>
    <row r="27" spans="2:34" ht="18.75" customHeight="1">
      <c r="B27" s="153" t="str">
        <f>Para1!F104</f>
        <v>Datum</v>
      </c>
      <c r="C27" s="147"/>
      <c r="E27" s="152" t="str">
        <f>Para1!F197&amp;" "&amp;Para1!F152</f>
        <v>Unterschrift Mitarbeiter/In</v>
      </c>
      <c r="F27" s="135"/>
      <c r="G27" s="432"/>
      <c r="I27" s="24" t="str">
        <f>Para1!F197&amp;" "&amp;Para1!F199</f>
        <v>Unterschrift Vorgesetzter</v>
      </c>
      <c r="J27" s="135"/>
      <c r="K27" s="433"/>
      <c r="L27" s="132"/>
      <c r="M27" s="132"/>
      <c r="N27" s="42"/>
      <c r="O27" s="151"/>
      <c r="P27" s="138"/>
      <c r="Q27" s="138"/>
      <c r="R27" s="138"/>
      <c r="S27" s="138"/>
      <c r="T27" s="138"/>
      <c r="U27" s="138"/>
      <c r="V27" s="151"/>
      <c r="W27" s="11"/>
      <c r="X27" s="11"/>
      <c r="Y27" s="11"/>
      <c r="Z27" s="11"/>
      <c r="AA27" s="11"/>
      <c r="AB27" s="11"/>
      <c r="AC27" s="11"/>
      <c r="AD27" s="42"/>
      <c r="AE27" s="138"/>
      <c r="AF27" s="138"/>
      <c r="AG27" s="138"/>
      <c r="AH27" s="151"/>
    </row>
    <row r="29" spans="2:34" ht="18.75" customHeight="1">
      <c r="C29" s="150"/>
      <c r="D29" s="186"/>
    </row>
  </sheetData>
  <sheetProtection password="CC4A" sheet="1" objects="1" scenarios="1"/>
  <mergeCells count="22">
    <mergeCell ref="L9:O11"/>
    <mergeCell ref="G1:H1"/>
    <mergeCell ref="B5:D5"/>
    <mergeCell ref="B18:D18"/>
    <mergeCell ref="B6:K6"/>
    <mergeCell ref="B10:D10"/>
    <mergeCell ref="B11:D11"/>
    <mergeCell ref="B12:D12"/>
    <mergeCell ref="B13:D13"/>
    <mergeCell ref="B14:D14"/>
    <mergeCell ref="B15:D15"/>
    <mergeCell ref="B16:D16"/>
    <mergeCell ref="B17:D17"/>
    <mergeCell ref="E8:G8"/>
    <mergeCell ref="H8:K8"/>
    <mergeCell ref="B7:K7"/>
    <mergeCell ref="B19:D19"/>
    <mergeCell ref="B20:D20"/>
    <mergeCell ref="B21:D21"/>
    <mergeCell ref="B22:D22"/>
    <mergeCell ref="B24:D24"/>
    <mergeCell ref="B23:D23"/>
  </mergeCells>
  <conditionalFormatting sqref="H10:K24 F10:F16 F18:F24">
    <cfRule type="cellIs" dxfId="4" priority="4" stopIfTrue="1" operator="lessThan">
      <formula>0</formula>
    </cfRule>
  </conditionalFormatting>
  <pageMargins left="0.78740157499999996" right="0.78740157499999996" top="0.984251969" bottom="0.984251969" header="0.4921259845" footer="0.4921259845"/>
  <pageSetup paperSize="9" scale="86" fitToHeight="0" orientation="landscape" r:id="rId1"/>
  <headerFooter alignWithMargins="0">
    <oddHeader>&amp;C&amp;"Arial,Fett Kursiv"&amp;16Zeiterfassung -  &amp;A</oddHeader>
    <oddFooter>&amp;L&amp;Z&amp;F</oddFooter>
  </headerFooter>
  <cellWatches>
    <cellWatch r="Y26"/>
    <cellWatch r="M25"/>
    <cellWatch r="U29"/>
    <cellWatch r="Y86"/>
    <cellWatch r="Y56"/>
    <cellWatch r="Y41"/>
    <cellWatch r="Y71"/>
    <cellWatch r="Y11"/>
    <cellWatch r="Y116"/>
    <cellWatch r="Y101"/>
    <cellWatch r="M40"/>
    <cellWatch r="U44"/>
    <cellWatch r="Y131"/>
    <cellWatch r="M55"/>
    <cellWatch r="U59"/>
    <cellWatch r="Z26"/>
    <cellWatch r="N25"/>
    <cellWatch r="V29"/>
    <cellWatch r="Z56"/>
    <cellWatch r="Z86"/>
    <cellWatch r="Z71"/>
    <cellWatch r="Z41"/>
    <cellWatch r="Y24"/>
    <cellWatch r="M23"/>
    <cellWatch r="Y65"/>
    <cellWatch r="U27"/>
    <cellWatch r="Y110"/>
    <cellWatch r="Y95"/>
    <cellWatch r="Y38"/>
    <cellWatch r="Y52"/>
    <cellWatch r="Y80"/>
    <cellWatch r="Y90"/>
    <cellWatch r="Y75"/>
    <cellWatch r="Y120"/>
    <cellWatch r="Y105"/>
    <cellWatch r="Z90"/>
    <cellWatch r="Z75"/>
    <cellWatch r="Y135"/>
    <cellWatch r="Y114"/>
    <cellWatch r="Y99"/>
    <cellWatch r="Y84"/>
    <cellWatch r="Y58"/>
    <cellWatch r="Y92"/>
    <cellWatch r="Y77"/>
    <cellWatch r="M57"/>
    <cellWatch r="U61"/>
    <cellWatch r="Y137"/>
    <cellWatch r="Y27"/>
    <cellWatch r="Y78"/>
    <cellWatch r="U30"/>
    <cellWatch r="Y123"/>
    <cellWatch r="Y108"/>
    <cellWatch r="Y42"/>
    <cellWatch r="Y59"/>
    <cellWatch r="Y93"/>
    <cellWatch r="Y28"/>
    <cellWatch r="M27"/>
    <cellWatch r="Y60"/>
    <cellWatch r="U31"/>
    <cellWatch r="Y94"/>
    <cellWatch r="Y79"/>
    <cellWatch r="Y43"/>
    <cellWatch r="Z28"/>
    <cellWatch r="N27"/>
    <cellWatch r="V31"/>
    <cellWatch r="Z60"/>
    <cellWatch r="Z94"/>
    <cellWatch r="Z79"/>
    <cellWatch r="Z43"/>
    <cellWatch r="Y66"/>
    <cellWatch r="Y100"/>
    <cellWatch r="Y85"/>
    <cellWatch r="Y130"/>
    <cellWatch r="Y115"/>
    <cellWatch r="AA47"/>
    <cellWatch r="M46"/>
    <cellWatch r="W50"/>
    <cellWatch r="AA90"/>
    <cellWatch r="AA120"/>
    <cellWatch r="AA75"/>
    <cellWatch r="Y122"/>
    <cellWatch r="Y107"/>
    <cellWatch r="Z92"/>
    <cellWatch r="Z77"/>
    <cellWatch r="Y139"/>
    <cellWatch r="Y125"/>
    <cellWatch r="Y96"/>
    <cellWatch r="Y81"/>
    <cellWatch r="Z96"/>
    <cellWatch r="Z81"/>
    <cellWatch r="Y72"/>
    <cellWatch r="Y102"/>
    <cellWatch r="Y87"/>
    <cellWatch r="Y132"/>
    <cellWatch r="Y117"/>
    <cellWatch r="AA92"/>
    <cellWatch r="AA122"/>
    <cellWatch r="AA77"/>
  </cellWatches>
  <extLst>
    <ext xmlns:x14="http://schemas.microsoft.com/office/spreadsheetml/2009/9/main" uri="{78C0D931-6437-407d-A8EE-F0AAD7539E65}">
      <x14:conditionalFormattings>
        <x14:conditionalFormatting xmlns:xm="http://schemas.microsoft.com/office/excel/2006/main">
          <x14:cfRule type="expression" priority="2" id="{A89F2DE1-0827-46BA-AA2F-1B96E6978905}">
            <xm:f>OR('Persönliche Daten (pers. data)'!$K$5="Nein",'Persönliche Daten (pers. data)'!$K$5="no")</xm:f>
            <x14:dxf>
              <font>
                <color theme="0" tint="-4.9989318521683403E-2"/>
              </font>
              <fill>
                <patternFill>
                  <bgColor theme="0" tint="-4.9989318521683403E-2"/>
                </patternFill>
              </fill>
            </x14:dxf>
          </x14:cfRule>
          <xm:sqref>B12:K12</xm:sqref>
        </x14:conditionalFormatting>
        <x14:conditionalFormatting xmlns:xm="http://schemas.microsoft.com/office/excel/2006/main">
          <x14:cfRule type="expression" priority="1" id="{6B2CF662-E7FF-469E-9D53-1B9B1452B1B0}">
            <xm:f>OR('Persönliche Daten (pers. data)'!$K$5="Nein",'Persönliche Daten (pers. data)'!$K$5="no")</xm:f>
            <x14:dxf>
              <font>
                <color theme="0" tint="-4.9989318521683403E-2"/>
              </font>
            </x14:dxf>
          </x14:cfRule>
          <xm:sqref>G12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20">
    <pageSetUpPr fitToPage="1"/>
  </sheetPr>
  <dimension ref="A1:S60"/>
  <sheetViews>
    <sheetView showGridLines="0" zoomScale="75" zoomScaleNormal="75" workbookViewId="0">
      <selection activeCell="H51" sqref="H51"/>
    </sheetView>
  </sheetViews>
  <sheetFormatPr baseColWidth="10" defaultRowHeight="13"/>
  <cols>
    <col min="1" max="1" width="7" customWidth="1"/>
    <col min="2" max="2" width="14.6640625" customWidth="1"/>
    <col min="3" max="3" width="14.5" style="5" customWidth="1"/>
    <col min="4" max="5" width="13.6640625" customWidth="1"/>
    <col min="6" max="6" width="14.6640625" customWidth="1"/>
    <col min="7" max="7" width="14.5" customWidth="1"/>
    <col min="10" max="11" width="14.6640625" customWidth="1"/>
  </cols>
  <sheetData>
    <row r="1" spans="2:17" s="3" customFormat="1" ht="36.75" customHeight="1">
      <c r="B1" s="51" t="str">
        <f>Para1!F192</f>
        <v>Umrechnungstools</v>
      </c>
      <c r="D1" s="4"/>
      <c r="H1" s="75"/>
      <c r="I1" s="75"/>
      <c r="J1" s="75"/>
      <c r="K1" s="75"/>
      <c r="L1" s="75"/>
      <c r="M1" s="75"/>
      <c r="N1" s="75"/>
      <c r="O1" s="75"/>
      <c r="P1" s="75"/>
      <c r="Q1" s="75"/>
    </row>
    <row r="2" spans="2:17" s="3" customFormat="1" ht="18">
      <c r="B2" s="51" t="str">
        <f>Para1!F150&amp;" in "&amp;Para1!F124</f>
        <v>Minuten in Hundertstel</v>
      </c>
      <c r="D2" s="4"/>
      <c r="F2" s="51" t="str">
        <f>Para1!F124&amp;" in "&amp;Para1!F150</f>
        <v>Hundertstel in Minuten</v>
      </c>
      <c r="H2" s="75"/>
      <c r="I2" s="75"/>
      <c r="J2" s="75"/>
      <c r="K2" s="75"/>
      <c r="L2" s="75"/>
      <c r="M2" s="75"/>
      <c r="N2" s="75"/>
      <c r="O2" s="75"/>
      <c r="P2" s="75"/>
      <c r="Q2" s="75"/>
    </row>
    <row r="3" spans="2:17" ht="4.5" customHeight="1" thickBot="1">
      <c r="C3"/>
      <c r="D3" s="5"/>
      <c r="H3" s="72"/>
      <c r="I3" s="72"/>
      <c r="J3" s="72"/>
      <c r="K3" s="72"/>
      <c r="L3" s="72"/>
      <c r="M3" s="72"/>
      <c r="N3" s="72"/>
      <c r="O3" s="72"/>
      <c r="P3" s="72"/>
      <c r="Q3" s="72"/>
    </row>
    <row r="4" spans="2:17" ht="20.25" customHeight="1" thickTop="1">
      <c r="B4" s="82" t="str">
        <f>Para1!F150</f>
        <v>Minuten</v>
      </c>
      <c r="C4" s="83" t="str">
        <f>Para1!F124</f>
        <v>Hundertstel</v>
      </c>
      <c r="D4" s="5"/>
      <c r="F4" s="82" t="str">
        <f>Para1!F124</f>
        <v>Hundertstel</v>
      </c>
      <c r="G4" s="83" t="str">
        <f>Para1!F150</f>
        <v>Minuten</v>
      </c>
      <c r="H4" s="72"/>
      <c r="I4" s="72"/>
      <c r="J4" s="72"/>
      <c r="K4" s="72"/>
      <c r="L4" s="72"/>
      <c r="M4" s="72"/>
      <c r="N4" s="72"/>
      <c r="O4" s="72"/>
      <c r="P4" s="72"/>
      <c r="Q4" s="72"/>
    </row>
    <row r="5" spans="2:17" ht="5.25" customHeight="1">
      <c r="B5" s="84"/>
      <c r="C5" s="85"/>
      <c r="D5" s="5"/>
      <c r="F5" s="84"/>
      <c r="G5" s="85"/>
      <c r="H5" s="72"/>
      <c r="I5" s="72"/>
      <c r="J5" s="72"/>
      <c r="K5" s="72"/>
      <c r="L5" s="72"/>
      <c r="M5" s="72"/>
      <c r="N5" s="72"/>
      <c r="O5" s="72"/>
      <c r="P5" s="72"/>
      <c r="Q5" s="72"/>
    </row>
    <row r="6" spans="2:17" ht="17" thickBot="1">
      <c r="B6" s="86">
        <v>60</v>
      </c>
      <c r="C6" s="87">
        <f>ROUND(B6*10/600,2)</f>
        <v>1</v>
      </c>
      <c r="D6" s="5"/>
      <c r="F6" s="86">
        <v>1</v>
      </c>
      <c r="G6" s="87">
        <f>ROUND(F6/10*600,2)</f>
        <v>60</v>
      </c>
      <c r="H6" s="72"/>
      <c r="I6" s="72"/>
      <c r="J6" s="72"/>
      <c r="K6" s="72"/>
      <c r="L6" s="72"/>
      <c r="M6" s="72"/>
      <c r="N6" s="72"/>
      <c r="O6" s="72"/>
      <c r="P6" s="72"/>
      <c r="Q6" s="72"/>
    </row>
    <row r="7" spans="2:17" ht="14" thickTop="1">
      <c r="C7"/>
      <c r="H7" s="72"/>
      <c r="I7" s="72"/>
      <c r="J7" s="72"/>
      <c r="K7" s="72"/>
      <c r="L7" s="72"/>
      <c r="M7" s="72"/>
      <c r="N7" s="72"/>
      <c r="O7" s="72"/>
      <c r="P7" s="72"/>
      <c r="Q7" s="72"/>
    </row>
    <row r="8" spans="2:17">
      <c r="C8"/>
      <c r="H8" s="72"/>
      <c r="I8" s="72"/>
      <c r="J8" s="72"/>
      <c r="K8" s="72"/>
      <c r="L8" s="72"/>
      <c r="M8" s="72"/>
      <c r="N8" s="72"/>
      <c r="O8" s="72"/>
      <c r="P8" s="72"/>
      <c r="Q8" s="72"/>
    </row>
    <row r="9" spans="2:17" ht="18">
      <c r="B9" s="51" t="str">
        <f>Para1!F180&amp;" ("&amp;Para1!F106&amp;") in "&amp;Para1!F180&amp;" (hh:mm)"</f>
        <v>Stunden (dezimal) in Stunden (hh:mm)</v>
      </c>
      <c r="C9" s="3"/>
      <c r="D9" s="4"/>
      <c r="E9" s="3"/>
      <c r="F9" s="51" t="str">
        <f>Para1!F180&amp;" (hh:mm) in "&amp;Para1!F180&amp;" ("&amp;Para1!F106&amp;")"</f>
        <v>Stunden (hh:mm) in Stunden (dezimal)</v>
      </c>
      <c r="G9" s="3"/>
      <c r="H9" s="72"/>
      <c r="I9" s="72"/>
      <c r="J9" s="72"/>
      <c r="K9" s="72"/>
      <c r="L9" s="72"/>
      <c r="M9" s="72"/>
      <c r="N9" s="72"/>
      <c r="O9" s="72"/>
      <c r="P9" s="72"/>
      <c r="Q9" s="72"/>
    </row>
    <row r="10" spans="2:17" ht="4.5" customHeight="1" thickBot="1">
      <c r="C10"/>
      <c r="D10" s="5"/>
      <c r="H10" s="72"/>
      <c r="I10" s="72"/>
      <c r="J10" s="72"/>
      <c r="K10" s="72"/>
      <c r="L10" s="72"/>
      <c r="M10" s="72"/>
      <c r="N10" s="72"/>
      <c r="O10" s="72"/>
      <c r="P10" s="72"/>
      <c r="Q10" s="72"/>
    </row>
    <row r="11" spans="2:17" ht="17" thickTop="1">
      <c r="B11" s="82" t="str">
        <f>Para1!F106</f>
        <v>dezimal</v>
      </c>
      <c r="C11" s="83" t="s">
        <v>95</v>
      </c>
      <c r="D11" s="5"/>
      <c r="F11" s="82" t="s">
        <v>95</v>
      </c>
      <c r="G11" s="83" t="str">
        <f>Para1!F106</f>
        <v>dezimal</v>
      </c>
      <c r="H11" s="72"/>
      <c r="I11" s="72"/>
      <c r="J11" s="72"/>
      <c r="K11" s="72"/>
      <c r="L11" s="72"/>
      <c r="M11" s="72"/>
      <c r="N11" s="72"/>
      <c r="O11" s="72"/>
      <c r="P11" s="72"/>
      <c r="Q11" s="72"/>
    </row>
    <row r="12" spans="2:17" ht="4.5" customHeight="1">
      <c r="B12" s="84"/>
      <c r="C12" s="85"/>
      <c r="D12" s="5"/>
      <c r="F12" s="84"/>
      <c r="G12" s="85"/>
      <c r="H12" s="72"/>
      <c r="I12" s="72"/>
      <c r="J12" s="72"/>
      <c r="K12" s="72"/>
      <c r="L12" s="72"/>
      <c r="M12" s="72"/>
      <c r="N12" s="72"/>
      <c r="O12" s="72"/>
      <c r="P12" s="72"/>
      <c r="Q12" s="72"/>
    </row>
    <row r="13" spans="2:17" ht="17" thickBot="1">
      <c r="B13" s="86">
        <v>8.4</v>
      </c>
      <c r="C13" s="88">
        <f>B13/24</f>
        <v>0.35000000000000003</v>
      </c>
      <c r="D13" s="5"/>
      <c r="F13" s="89">
        <v>0.21319444444444444</v>
      </c>
      <c r="G13" s="87">
        <f>F13*24</f>
        <v>5.1166666666666663</v>
      </c>
      <c r="H13" s="72"/>
      <c r="I13" s="72"/>
      <c r="J13" s="72"/>
      <c r="K13" s="72"/>
      <c r="L13" s="72"/>
      <c r="M13" s="72"/>
      <c r="N13" s="72"/>
      <c r="O13" s="72"/>
      <c r="P13" s="72"/>
      <c r="Q13" s="72"/>
    </row>
    <row r="14" spans="2:17" ht="14" thickTop="1">
      <c r="C14"/>
      <c r="H14" s="72"/>
      <c r="I14" s="72"/>
      <c r="J14" s="72"/>
      <c r="K14" s="72"/>
      <c r="L14" s="72"/>
      <c r="M14" s="72"/>
      <c r="N14" s="72"/>
      <c r="O14" s="72"/>
      <c r="P14" s="72"/>
      <c r="Q14" s="72"/>
    </row>
    <row r="15" spans="2:17">
      <c r="C15"/>
      <c r="H15" s="72"/>
      <c r="I15" s="72"/>
      <c r="J15" s="72"/>
      <c r="K15" s="72"/>
      <c r="L15" s="72"/>
      <c r="M15" s="72"/>
      <c r="N15" s="72"/>
      <c r="O15" s="72"/>
      <c r="P15" s="72"/>
      <c r="Q15" s="72"/>
    </row>
    <row r="16" spans="2:17" ht="18">
      <c r="B16" s="51" t="str">
        <f>Para1!F182&amp;" ("&amp;Para1!F106&amp;") in "&amp;Para1!F180&amp;" ("&amp;Para1!F106&amp;")"</f>
        <v>Tage (dezimal) in Stunden (dezimal)</v>
      </c>
      <c r="C16"/>
      <c r="D16" s="5"/>
      <c r="F16" s="51" t="str">
        <f>Para1!F180&amp;" ("&amp;Para1!F106&amp;") in "&amp;Para1!F182&amp;" ("&amp;Para1!F106&amp;")"</f>
        <v>Stunden (dezimal) in Tage (dezimal)</v>
      </c>
      <c r="H16" s="72"/>
      <c r="I16" s="72"/>
      <c r="J16" s="72"/>
      <c r="K16" s="72"/>
      <c r="L16" s="72"/>
      <c r="M16" s="72"/>
      <c r="N16" s="72"/>
      <c r="O16" s="72"/>
      <c r="P16" s="72"/>
      <c r="Q16" s="72"/>
    </row>
    <row r="17" spans="2:19">
      <c r="B17" s="462" t="s">
        <v>254</v>
      </c>
      <c r="C17" s="151"/>
      <c r="D17" s="70"/>
      <c r="E17" s="151"/>
      <c r="F17" s="462" t="s">
        <v>255</v>
      </c>
      <c r="H17" s="72"/>
      <c r="I17" s="72"/>
      <c r="J17" s="72"/>
      <c r="K17" s="72"/>
      <c r="L17" s="72"/>
      <c r="M17" s="72"/>
      <c r="N17" s="72"/>
      <c r="O17" s="72"/>
      <c r="P17" s="72"/>
      <c r="Q17" s="72"/>
    </row>
    <row r="18" spans="2:19" ht="4.5" customHeight="1" thickBot="1">
      <c r="C18"/>
      <c r="D18" s="5"/>
      <c r="H18" s="72"/>
      <c r="I18" s="72"/>
      <c r="J18" s="72"/>
      <c r="K18" s="72"/>
      <c r="L18" s="72"/>
      <c r="M18" s="72"/>
      <c r="N18" s="72"/>
      <c r="O18" s="72"/>
      <c r="P18" s="72"/>
      <c r="Q18" s="72"/>
    </row>
    <row r="19" spans="2:19" ht="17" thickTop="1">
      <c r="B19" s="82" t="str">
        <f>Para1!F182</f>
        <v>Tage</v>
      </c>
      <c r="C19" s="83" t="str">
        <f>Para1!F180</f>
        <v>Stunden</v>
      </c>
      <c r="F19" s="82" t="str">
        <f>Para1!F180</f>
        <v>Stunden</v>
      </c>
      <c r="G19" s="83" t="str">
        <f>Para1!F182</f>
        <v>Tage</v>
      </c>
      <c r="H19" s="72"/>
      <c r="I19" s="72"/>
      <c r="J19" s="72"/>
      <c r="K19" s="72"/>
      <c r="L19" s="72"/>
      <c r="M19" s="72"/>
      <c r="N19" s="72"/>
      <c r="O19" s="72"/>
      <c r="P19" s="72"/>
      <c r="Q19" s="72"/>
    </row>
    <row r="20" spans="2:19" ht="4.5" customHeight="1">
      <c r="B20" s="84"/>
      <c r="C20" s="85"/>
      <c r="F20" s="84"/>
      <c r="G20" s="85"/>
      <c r="H20" s="72"/>
      <c r="I20" s="72"/>
      <c r="J20" s="72"/>
      <c r="K20" s="72"/>
      <c r="L20" s="72"/>
      <c r="M20" s="72"/>
      <c r="N20" s="72"/>
      <c r="O20" s="72"/>
      <c r="P20" s="72"/>
      <c r="Q20" s="72"/>
    </row>
    <row r="21" spans="2:19" ht="17" thickBot="1">
      <c r="B21" s="86">
        <v>1</v>
      </c>
      <c r="C21" s="87">
        <f>ROUND(B21*8.4,2)</f>
        <v>8.4</v>
      </c>
      <c r="F21" s="86">
        <v>8.4</v>
      </c>
      <c r="G21" s="87">
        <f>ROUND(F21/8.4,2)</f>
        <v>1</v>
      </c>
      <c r="H21" s="72"/>
      <c r="I21" s="72"/>
      <c r="J21" s="72"/>
      <c r="K21" s="72"/>
      <c r="L21" s="72"/>
      <c r="M21" s="72"/>
      <c r="N21" s="72"/>
      <c r="O21" s="72"/>
      <c r="P21" s="72"/>
      <c r="Q21" s="72"/>
    </row>
    <row r="22" spans="2:19" ht="14" thickTop="1">
      <c r="C22"/>
      <c r="H22" s="72"/>
      <c r="I22" s="72"/>
      <c r="J22" s="72"/>
      <c r="K22" s="72"/>
      <c r="L22" s="72"/>
      <c r="M22" s="72"/>
      <c r="N22" s="72"/>
      <c r="O22" s="72"/>
      <c r="P22" s="72"/>
      <c r="Q22" s="72"/>
    </row>
    <row r="23" spans="2:19">
      <c r="C23"/>
      <c r="H23" s="72"/>
      <c r="I23" s="72"/>
      <c r="J23" s="72"/>
      <c r="K23" s="72"/>
      <c r="L23" s="72"/>
      <c r="M23" s="72"/>
      <c r="N23" s="72"/>
      <c r="O23" s="72"/>
      <c r="P23" s="72"/>
      <c r="Q23" s="72"/>
    </row>
    <row r="24" spans="2:19" ht="18">
      <c r="B24" s="51" t="str">
        <f>Para1!F182&amp;" ("&amp;Para1!F106&amp;") in "&amp;Para1!F180&amp;" (hh:mm)"</f>
        <v>Tage (dezimal) in Stunden (hh:mm)</v>
      </c>
      <c r="C24"/>
      <c r="D24" s="5"/>
      <c r="F24" s="51" t="str">
        <f>Para1!F180&amp;" (hh:mm) in "&amp;Para1!F182&amp;" ("&amp;Para1!F106&amp;")"</f>
        <v>Stunden (hh:mm) in Tage (dezimal)</v>
      </c>
      <c r="H24" s="72"/>
      <c r="I24" s="72"/>
      <c r="J24" s="76"/>
      <c r="K24" s="73"/>
      <c r="L24" s="73"/>
      <c r="M24" s="73"/>
      <c r="N24" s="72"/>
      <c r="O24" s="72"/>
      <c r="P24" s="72"/>
      <c r="Q24" s="72"/>
    </row>
    <row r="25" spans="2:19">
      <c r="B25" s="457" t="s">
        <v>256</v>
      </c>
      <c r="C25"/>
      <c r="D25" s="5"/>
      <c r="F25" s="457" t="s">
        <v>257</v>
      </c>
      <c r="H25" s="72"/>
      <c r="I25" s="72"/>
      <c r="J25" s="73"/>
      <c r="K25" s="73"/>
      <c r="L25" s="73"/>
      <c r="M25" s="73"/>
      <c r="N25" s="72"/>
      <c r="O25" s="72"/>
      <c r="P25" s="72"/>
      <c r="Q25" s="72"/>
    </row>
    <row r="26" spans="2:19" ht="4.5" customHeight="1" thickBot="1">
      <c r="C26"/>
      <c r="D26" s="5"/>
      <c r="H26" s="72"/>
      <c r="I26" s="72"/>
      <c r="J26" s="73"/>
      <c r="K26" s="73"/>
      <c r="L26" s="73"/>
      <c r="M26" s="73"/>
      <c r="N26" s="72"/>
      <c r="O26" s="72"/>
      <c r="P26" s="72"/>
      <c r="Q26" s="72"/>
    </row>
    <row r="27" spans="2:19" ht="17" thickTop="1">
      <c r="B27" s="82" t="str">
        <f>Para1!F182</f>
        <v>Tage</v>
      </c>
      <c r="C27" s="83" t="str">
        <f>Para1!F180</f>
        <v>Stunden</v>
      </c>
      <c r="F27" s="82" t="str">
        <f>Para1!F180</f>
        <v>Stunden</v>
      </c>
      <c r="G27" s="83" t="str">
        <f>Para1!F182</f>
        <v>Tage</v>
      </c>
      <c r="H27" s="72"/>
      <c r="I27" s="72"/>
      <c r="J27" s="77"/>
      <c r="K27" s="77"/>
      <c r="L27" s="73"/>
      <c r="M27" s="73"/>
      <c r="N27" s="72"/>
      <c r="O27" s="72"/>
      <c r="P27" s="72"/>
      <c r="Q27" s="72"/>
    </row>
    <row r="28" spans="2:19" ht="4.5" customHeight="1">
      <c r="B28" s="84"/>
      <c r="C28" s="85"/>
      <c r="F28" s="84"/>
      <c r="G28" s="85"/>
      <c r="H28" s="72"/>
      <c r="I28" s="72"/>
      <c r="J28" s="78"/>
      <c r="K28" s="78"/>
      <c r="L28" s="73"/>
      <c r="M28" s="73"/>
      <c r="N28" s="72"/>
      <c r="O28" s="72"/>
      <c r="P28" s="72"/>
      <c r="Q28" s="72"/>
    </row>
    <row r="29" spans="2:19" ht="17" thickBot="1">
      <c r="B29" s="86">
        <v>1</v>
      </c>
      <c r="C29" s="88">
        <f>D29*B29</f>
        <v>0.35</v>
      </c>
      <c r="D29" s="52">
        <v>0.35</v>
      </c>
      <c r="F29" s="89">
        <v>0.35000000000000003</v>
      </c>
      <c r="G29" s="87">
        <f>F29/H29</f>
        <v>1.0000000000000002</v>
      </c>
      <c r="H29" s="79">
        <v>0.35</v>
      </c>
      <c r="I29" s="72"/>
      <c r="J29" s="71"/>
      <c r="K29" s="80"/>
      <c r="L29" s="73"/>
      <c r="M29" s="73"/>
      <c r="N29" s="72"/>
      <c r="O29" s="72"/>
      <c r="P29" s="72"/>
      <c r="Q29" s="72"/>
    </row>
    <row r="30" spans="2:19" ht="14" thickTop="1">
      <c r="C30"/>
      <c r="H30" s="72"/>
      <c r="I30" s="72"/>
      <c r="J30" s="73"/>
      <c r="K30" s="73"/>
      <c r="L30" s="73"/>
      <c r="M30" s="73"/>
      <c r="N30" s="72"/>
      <c r="O30" s="72"/>
      <c r="P30" s="72"/>
      <c r="Q30" s="72"/>
    </row>
    <row r="31" spans="2:19">
      <c r="C31"/>
      <c r="H31" s="72"/>
      <c r="I31" s="72"/>
      <c r="J31" s="73"/>
      <c r="K31" s="73"/>
      <c r="L31" s="73"/>
      <c r="M31" s="73"/>
      <c r="N31" s="72"/>
      <c r="O31" s="72"/>
      <c r="P31" s="72"/>
      <c r="Q31" s="72"/>
    </row>
    <row r="32" spans="2:19" ht="18">
      <c r="B32" s="51" t="str">
        <f>Para1!F97&amp;" "&amp;Para1!F110&amp;" "&amp;Para1!F183&amp;" "&amp;Para1!J220</f>
        <v>Berechnung durchschnittliches Tagessoll bei variabler Teilzeitarbeit</v>
      </c>
      <c r="C32"/>
      <c r="E32" s="151"/>
      <c r="F32" s="151"/>
      <c r="G32" s="151"/>
      <c r="H32" s="228"/>
      <c r="I32" s="72"/>
      <c r="J32" s="73"/>
      <c r="K32" s="73"/>
      <c r="L32" s="73"/>
      <c r="M32" s="73"/>
      <c r="N32" s="72"/>
      <c r="O32" s="72"/>
      <c r="P32" s="72"/>
      <c r="Q32" s="72"/>
      <c r="R32" s="72"/>
      <c r="S32" s="72"/>
    </row>
    <row r="33" spans="1:19">
      <c r="B33" s="322" t="s">
        <v>289</v>
      </c>
      <c r="C33"/>
      <c r="E33" s="151"/>
      <c r="F33" s="151"/>
      <c r="G33" s="151"/>
      <c r="H33" s="228"/>
      <c r="I33" s="72"/>
      <c r="J33" s="73"/>
      <c r="K33" s="73"/>
      <c r="L33" s="73"/>
      <c r="M33" s="73"/>
      <c r="N33" s="72"/>
      <c r="O33" s="72"/>
      <c r="P33" s="72"/>
      <c r="Q33" s="72"/>
      <c r="R33" s="72"/>
      <c r="S33" s="72"/>
    </row>
    <row r="34" spans="1:19" ht="4.5" customHeight="1" thickBot="1">
      <c r="C34"/>
      <c r="H34" s="72"/>
      <c r="I34" s="72"/>
      <c r="J34" s="73"/>
      <c r="K34" s="73"/>
      <c r="L34" s="73"/>
      <c r="M34" s="73"/>
      <c r="N34" s="72"/>
      <c r="O34" s="72"/>
      <c r="P34" s="72"/>
      <c r="Q34" s="72"/>
      <c r="R34" s="72"/>
      <c r="S34" s="72"/>
    </row>
    <row r="35" spans="1:19" ht="17" thickTop="1">
      <c r="B35" s="577" t="s">
        <v>87</v>
      </c>
      <c r="C35" s="933" t="str">
        <f>Para1!F183</f>
        <v>Tagessoll</v>
      </c>
      <c r="D35" s="934"/>
      <c r="H35" s="72"/>
      <c r="I35" s="72"/>
      <c r="J35" s="73"/>
      <c r="K35" s="73"/>
      <c r="L35" s="73"/>
      <c r="M35" s="73"/>
      <c r="N35" s="72"/>
      <c r="O35" s="72"/>
      <c r="P35" s="72"/>
      <c r="Q35" s="72"/>
      <c r="R35" s="72"/>
      <c r="S35" s="72"/>
    </row>
    <row r="36" spans="1:19" ht="4.5" customHeight="1">
      <c r="B36" s="578"/>
      <c r="C36" s="580"/>
      <c r="D36" s="581"/>
      <c r="H36" s="72"/>
      <c r="I36" s="72"/>
      <c r="J36" s="73"/>
      <c r="K36" s="73"/>
      <c r="L36" s="73"/>
      <c r="M36" s="73"/>
      <c r="N36" s="72"/>
      <c r="O36" s="72"/>
      <c r="P36" s="72"/>
      <c r="Q36" s="72"/>
      <c r="R36" s="72"/>
      <c r="S36" s="72"/>
    </row>
    <row r="37" spans="1:19" ht="17" thickBot="1">
      <c r="B37" s="579">
        <v>100</v>
      </c>
      <c r="C37" s="935">
        <f>8.4*(0+B37/100)/24</f>
        <v>0.35000000000000003</v>
      </c>
      <c r="D37" s="936"/>
      <c r="H37" s="72"/>
      <c r="I37" s="72"/>
      <c r="J37" s="73"/>
      <c r="K37" s="73"/>
      <c r="L37" s="73"/>
      <c r="M37" s="73"/>
      <c r="N37" s="72"/>
      <c r="O37" s="72"/>
      <c r="P37" s="72"/>
      <c r="Q37" s="72"/>
      <c r="R37" s="72"/>
      <c r="S37" s="72"/>
    </row>
    <row r="38" spans="1:19" ht="13.5" customHeight="1" thickTop="1">
      <c r="A38" s="72"/>
      <c r="B38" s="71"/>
      <c r="C38" s="90"/>
      <c r="D38" s="72"/>
      <c r="E38" s="72"/>
      <c r="F38" s="72"/>
      <c r="G38" s="72"/>
      <c r="H38" s="72"/>
      <c r="I38" s="72"/>
      <c r="J38" s="73"/>
      <c r="K38" s="73"/>
      <c r="L38" s="73"/>
      <c r="M38" s="73"/>
      <c r="N38" s="72"/>
      <c r="O38" s="72"/>
      <c r="P38" s="72"/>
      <c r="Q38" s="72"/>
      <c r="R38" s="72"/>
      <c r="S38" s="72"/>
    </row>
    <row r="39" spans="1:19" ht="16">
      <c r="A39" s="72"/>
      <c r="B39" s="71"/>
      <c r="C39" s="90"/>
      <c r="D39" s="72"/>
      <c r="E39" s="72"/>
      <c r="F39" s="72"/>
      <c r="G39" s="72"/>
      <c r="H39" s="72"/>
      <c r="I39" s="72"/>
      <c r="J39" s="73"/>
      <c r="K39" s="73"/>
      <c r="L39" s="73"/>
      <c r="M39" s="74"/>
      <c r="N39" s="72"/>
      <c r="O39" s="72"/>
      <c r="P39" s="72"/>
      <c r="Q39" s="72"/>
      <c r="R39" s="72"/>
      <c r="S39" s="72"/>
    </row>
    <row r="40" spans="1:19" ht="19" thickBot="1">
      <c r="A40" s="72"/>
      <c r="B40" s="91" t="str">
        <f>Para1!F97&amp;" "&amp;Para1!F110&amp;" "&amp;Para1!F183&amp;" "&amp;Para1!J219</f>
        <v>Berechnung durchschnittliches Tagessoll bei fixer Teilzeitarbeit</v>
      </c>
      <c r="C40" s="90"/>
      <c r="D40" s="72"/>
      <c r="E40" s="228"/>
      <c r="F40" s="228"/>
      <c r="G40" s="228"/>
      <c r="H40" s="228"/>
      <c r="I40" s="72"/>
      <c r="J40" s="73"/>
      <c r="K40" s="73"/>
      <c r="L40" s="73"/>
      <c r="M40" s="73"/>
      <c r="N40" s="72"/>
      <c r="O40" s="72"/>
      <c r="P40" s="72"/>
      <c r="Q40" s="72"/>
      <c r="R40" s="72"/>
      <c r="S40" s="72"/>
    </row>
    <row r="41" spans="1:19" ht="17" thickTop="1">
      <c r="A41" s="72"/>
      <c r="B41" s="92" t="str">
        <f>Para1!F89&amp;" "&amp;Para1!F171&amp;" "&amp;Para1!F170&amp;" "&amp;Para1!F208</f>
        <v>Anzahl Halbtag pro Woche</v>
      </c>
      <c r="C41" s="543"/>
      <c r="D41" s="93"/>
      <c r="E41" s="93"/>
      <c r="F41" s="94">
        <v>10</v>
      </c>
      <c r="G41" s="95"/>
      <c r="H41" s="72"/>
      <c r="I41" s="72"/>
      <c r="J41" s="70"/>
      <c r="K41" s="70"/>
      <c r="L41" s="70"/>
      <c r="M41" s="70"/>
    </row>
    <row r="42" spans="1:19" ht="16">
      <c r="A42" s="72"/>
      <c r="B42" s="96" t="str">
        <f>Para1!F96&amp;" in % "</f>
        <v xml:space="preserve">Beschäftigungsgrad in % </v>
      </c>
      <c r="C42" s="80"/>
      <c r="D42" s="64"/>
      <c r="E42" s="64"/>
      <c r="F42" s="97">
        <v>100</v>
      </c>
      <c r="G42" s="98"/>
      <c r="H42" s="72"/>
      <c r="I42" s="72"/>
      <c r="J42" s="70"/>
      <c r="K42" s="70"/>
      <c r="L42" s="70"/>
      <c r="M42" s="70"/>
    </row>
    <row r="43" spans="1:19" ht="17" thickBot="1">
      <c r="A43" s="72"/>
      <c r="B43" s="96" t="str">
        <f>Para1!F110&amp;" "&amp;Para1!F171&amp;"-"&amp;Para1!F177</f>
        <v>durchschnittliches Halbtag-Soll</v>
      </c>
      <c r="C43" s="80"/>
      <c r="D43" s="64"/>
      <c r="E43" s="64"/>
      <c r="F43" s="99"/>
      <c r="G43" s="100">
        <f>42/100*F42/F41/24</f>
        <v>0.17500000000000002</v>
      </c>
      <c r="H43" s="72"/>
      <c r="I43" s="72"/>
      <c r="J43" s="70"/>
      <c r="K43" s="70"/>
      <c r="L43" s="70"/>
      <c r="M43" s="70"/>
    </row>
    <row r="44" spans="1:19" ht="17" thickTop="1">
      <c r="A44" s="72"/>
      <c r="B44" s="542"/>
      <c r="C44" s="543"/>
      <c r="D44" s="544"/>
      <c r="E44" s="544"/>
      <c r="F44" s="545"/>
      <c r="G44" s="546"/>
      <c r="H44" s="72"/>
      <c r="I44" s="72"/>
      <c r="J44" s="151"/>
    </row>
    <row r="45" spans="1:19" ht="16">
      <c r="A45" s="72"/>
      <c r="B45" s="71"/>
      <c r="C45" s="90"/>
      <c r="D45" s="72"/>
      <c r="E45" s="72"/>
      <c r="F45" s="72"/>
      <c r="G45" s="72"/>
      <c r="H45" s="72"/>
      <c r="I45" s="72"/>
      <c r="J45" s="151"/>
    </row>
    <row r="46" spans="1:19" ht="16">
      <c r="A46" s="72"/>
      <c r="B46" s="71"/>
      <c r="C46" s="90"/>
      <c r="D46" s="72"/>
      <c r="E46" s="72"/>
      <c r="F46" s="72"/>
      <c r="G46" s="72"/>
      <c r="H46" s="72"/>
      <c r="I46" s="72"/>
      <c r="J46" s="151"/>
    </row>
    <row r="47" spans="1:19" ht="19" thickBot="1">
      <c r="B47" s="63" t="str">
        <f>Para1!F191&amp;" "&amp;Para1!J221</f>
        <v>Umrechnung bei Wechsel der Anstellung mitten im Monat</v>
      </c>
      <c r="C47" s="151"/>
      <c r="D47" s="151"/>
      <c r="E47" s="151"/>
      <c r="F47" s="151"/>
      <c r="G47" s="151"/>
      <c r="H47" s="72"/>
      <c r="I47" s="72"/>
      <c r="J47" s="151"/>
    </row>
    <row r="48" spans="1:19" ht="17" thickTop="1">
      <c r="B48" s="568" t="str">
        <f>Para1!F89&amp;" "&amp;Para1!F92&amp;" "&amp;Para1!F125&amp;" "&amp;Para1!F154&amp;": "&amp;Para1!F184</f>
        <v>Anzahl Arbeitstage im Monat: Total</v>
      </c>
      <c r="C48" s="570"/>
      <c r="D48" s="570"/>
      <c r="E48" s="101"/>
      <c r="F48" s="142">
        <v>21</v>
      </c>
      <c r="G48" s="102"/>
      <c r="H48" s="72"/>
      <c r="I48" s="72"/>
      <c r="J48" s="151"/>
    </row>
    <row r="49" spans="1:10" ht="16">
      <c r="B49" s="569" t="str">
        <f>Para1!F89&amp;" "&amp;Para1!F211&amp;" "&amp;Para1!F92&amp;": "&amp;Para1!F86</f>
        <v>Anzahl zu leistende Arbeitstage: alt / neu</v>
      </c>
      <c r="C49" s="567"/>
      <c r="D49" s="567"/>
      <c r="E49" s="5"/>
      <c r="F49" s="61">
        <v>10</v>
      </c>
      <c r="G49" s="105">
        <v>11</v>
      </c>
      <c r="J49" s="151"/>
    </row>
    <row r="50" spans="1:10" ht="16">
      <c r="B50" s="103" t="str">
        <f>Para1!F96&amp;" in % "&amp;Para1!F86</f>
        <v>Beschäftigungsgrad in % alt / neu</v>
      </c>
      <c r="C50" s="104"/>
      <c r="D50" s="104"/>
      <c r="E50" s="5"/>
      <c r="F50" s="62">
        <v>1</v>
      </c>
      <c r="G50" s="106">
        <v>0.5</v>
      </c>
      <c r="J50" s="151"/>
    </row>
    <row r="51" spans="1:10" ht="17" thickBot="1">
      <c r="B51" s="566" t="str">
        <f>Para1!F96&amp;" "&amp;Para1!F154&amp;" "&amp;Para1!F151&amp;" "&amp;Para1!F205</f>
        <v>Beschäftigungsgrad Monat mit Wechsel</v>
      </c>
      <c r="C51" s="572"/>
      <c r="D51" s="572"/>
      <c r="E51" s="107"/>
      <c r="F51" s="108"/>
      <c r="G51" s="109">
        <f>IF(F48="","",(F49/F48*F50)+(G49/F48*G50))</f>
        <v>0.73809523809523814</v>
      </c>
      <c r="J51" s="151"/>
    </row>
    <row r="52" spans="1:10" ht="17" thickTop="1">
      <c r="A52" s="72"/>
      <c r="B52" s="71"/>
      <c r="C52" s="90"/>
      <c r="D52" s="72"/>
      <c r="E52" s="72"/>
      <c r="F52" s="72"/>
      <c r="G52" s="72"/>
      <c r="H52" s="72"/>
      <c r="I52" s="72"/>
      <c r="J52" s="151"/>
    </row>
    <row r="53" spans="1:10" ht="16">
      <c r="A53" s="72"/>
      <c r="B53" s="71"/>
      <c r="C53" s="90"/>
      <c r="D53" s="72"/>
      <c r="E53" s="72"/>
      <c r="F53" s="72"/>
      <c r="G53" s="72"/>
      <c r="H53" s="72"/>
      <c r="I53" s="72"/>
      <c r="J53" s="151"/>
    </row>
    <row r="54" spans="1:10" ht="19" thickBot="1">
      <c r="B54" s="63" t="str">
        <f>Para1!F191&amp;" "&amp;Para1!J218</f>
        <v>Umrechnung bei Anstellungsbeginn mitten im Monat</v>
      </c>
      <c r="C54" s="151"/>
      <c r="D54" s="151"/>
      <c r="E54" s="151"/>
      <c r="F54" s="151"/>
      <c r="G54" s="151"/>
      <c r="H54" s="72"/>
      <c r="I54" s="72"/>
      <c r="J54" s="151"/>
    </row>
    <row r="55" spans="1:10" ht="17" thickTop="1">
      <c r="B55" s="568" t="str">
        <f>Para1!F89&amp;" "&amp;Para1!F92&amp;": "&amp;Para1!F184</f>
        <v>Anzahl Arbeitstage: Total</v>
      </c>
      <c r="C55" s="570"/>
      <c r="D55" s="570"/>
      <c r="E55" s="101"/>
      <c r="F55" s="129">
        <v>21</v>
      </c>
      <c r="H55" s="72"/>
      <c r="I55" s="72"/>
      <c r="J55" s="151"/>
    </row>
    <row r="56" spans="1:10" ht="16">
      <c r="B56" s="569" t="str">
        <f>Para1!F89&amp;" "&amp;Para1!F211&amp;" "&amp;Para1!F92</f>
        <v>Anzahl zu leistende Arbeitstage</v>
      </c>
      <c r="C56" s="567"/>
      <c r="D56" s="567"/>
      <c r="E56" s="5"/>
      <c r="F56" s="105">
        <v>11</v>
      </c>
      <c r="J56" s="151"/>
    </row>
    <row r="57" spans="1:10" ht="16">
      <c r="B57" s="103" t="str">
        <f>Para1!F96&amp;" in %"</f>
        <v>Beschäftigungsgrad in %</v>
      </c>
      <c r="C57" s="104"/>
      <c r="D57" s="104"/>
      <c r="E57" s="5"/>
      <c r="F57" s="106">
        <v>1</v>
      </c>
      <c r="J57" s="151"/>
    </row>
    <row r="58" spans="1:10" ht="17" thickBot="1">
      <c r="B58" s="566" t="str">
        <f>Para1!F96&amp;" - "&amp;Para1!F112</f>
        <v>Beschäftigungsgrad - Eintrittsmonat</v>
      </c>
      <c r="C58" s="572"/>
      <c r="D58" s="572"/>
      <c r="E58" s="107"/>
      <c r="F58" s="109">
        <f>IF(F55="","",(F56/F55*F57))</f>
        <v>0.52380952380952384</v>
      </c>
      <c r="J58" s="151"/>
    </row>
    <row r="59" spans="1:10" ht="14" thickTop="1">
      <c r="C59"/>
      <c r="J59" s="151"/>
    </row>
    <row r="60" spans="1:10">
      <c r="J60" s="151"/>
    </row>
  </sheetData>
  <sheetProtection password="CC4A" sheet="1" objects="1" scenarios="1"/>
  <mergeCells count="2">
    <mergeCell ref="C35:D35"/>
    <mergeCell ref="C37:D37"/>
  </mergeCells>
  <phoneticPr fontId="0" type="noConversion"/>
  <pageMargins left="0.78740157499999996" right="0.78740157499999996" top="0.984251969" bottom="0.984251969" header="0.4921259845" footer="0.4921259845"/>
  <pageSetup paperSize="9" scale="75" orientation="portrait" r:id="rId1"/>
  <headerFooter alignWithMargins="0">
    <oddHeader>&amp;C&amp;"Arial,Fett Kursiv"&amp;16Zeiterfassung -  &amp;A</oddHeader>
    <oddFooter>&amp;L&amp;Z&amp;F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7">
    <pageSetUpPr fitToPage="1"/>
  </sheetPr>
  <dimension ref="A2:AD331"/>
  <sheetViews>
    <sheetView showGridLines="0" zoomScaleNormal="100" workbookViewId="0">
      <selection activeCell="C2" sqref="C2"/>
    </sheetView>
  </sheetViews>
  <sheetFormatPr baseColWidth="10" defaultRowHeight="13"/>
  <cols>
    <col min="1" max="1" width="5.5" customWidth="1"/>
    <col min="2" max="14" width="11.5" customWidth="1"/>
  </cols>
  <sheetData>
    <row r="2" spans="2:17">
      <c r="B2" s="120" t="s">
        <v>51</v>
      </c>
      <c r="C2" s="216">
        <v>2021</v>
      </c>
      <c r="D2" s="120"/>
      <c r="E2" s="960" t="s">
        <v>111</v>
      </c>
      <c r="F2" s="960"/>
      <c r="G2" s="961" t="s">
        <v>514</v>
      </c>
      <c r="H2" s="962"/>
      <c r="O2" s="1003"/>
      <c r="P2" s="1003"/>
      <c r="Q2" s="5"/>
    </row>
    <row r="3" spans="2:17">
      <c r="B3" s="120" t="s">
        <v>48</v>
      </c>
      <c r="C3" s="463">
        <f>C2-'Jahresübersicht (Overview)'!K2</f>
        <v>2021</v>
      </c>
    </row>
    <row r="4" spans="2:17">
      <c r="B4" s="1"/>
      <c r="C4" s="965" t="s">
        <v>54</v>
      </c>
      <c r="D4" s="963"/>
      <c r="E4" s="964"/>
      <c r="F4" s="963" t="s">
        <v>98</v>
      </c>
      <c r="G4" s="963"/>
      <c r="H4" s="963"/>
      <c r="I4" s="963" t="s">
        <v>99</v>
      </c>
      <c r="J4" s="963"/>
      <c r="K4" s="964"/>
    </row>
    <row r="5" spans="2:17" ht="28">
      <c r="B5" s="136" t="s">
        <v>48</v>
      </c>
      <c r="C5" s="136" t="s">
        <v>49</v>
      </c>
      <c r="D5" s="136" t="s">
        <v>50</v>
      </c>
      <c r="E5" s="136" t="s">
        <v>69</v>
      </c>
      <c r="F5" s="136" t="s">
        <v>49</v>
      </c>
      <c r="G5" s="136" t="s">
        <v>50</v>
      </c>
      <c r="H5" s="136" t="s">
        <v>68</v>
      </c>
      <c r="I5" s="136" t="s">
        <v>49</v>
      </c>
      <c r="J5" s="136" t="s">
        <v>50</v>
      </c>
      <c r="K5" s="136" t="s">
        <v>68</v>
      </c>
    </row>
    <row r="6" spans="2:17">
      <c r="B6" s="137">
        <v>15</v>
      </c>
      <c r="C6" s="137">
        <v>28</v>
      </c>
      <c r="D6" s="137">
        <v>28</v>
      </c>
      <c r="E6" s="137">
        <v>32</v>
      </c>
      <c r="F6" s="137">
        <f t="shared" ref="F6:F37" si="0">C6*8.4</f>
        <v>235.20000000000002</v>
      </c>
      <c r="G6" s="137">
        <f t="shared" ref="G6:G37" si="1">D6*8.4</f>
        <v>235.20000000000002</v>
      </c>
      <c r="H6" s="137">
        <f t="shared" ref="H6:H37" si="2">E6*8.4</f>
        <v>268.8</v>
      </c>
      <c r="I6" s="146">
        <f t="shared" ref="I6:I37" si="3">F6/24</f>
        <v>9.8000000000000007</v>
      </c>
      <c r="J6" s="146">
        <f t="shared" ref="J6:J37" si="4">G6/24</f>
        <v>9.8000000000000007</v>
      </c>
      <c r="K6" s="146">
        <f t="shared" ref="K6:K37" si="5">H6/24</f>
        <v>11.200000000000001</v>
      </c>
    </row>
    <row r="7" spans="2:17">
      <c r="B7" s="137">
        <v>16</v>
      </c>
      <c r="C7" s="137">
        <v>28</v>
      </c>
      <c r="D7" s="137">
        <v>28</v>
      </c>
      <c r="E7" s="137">
        <v>32</v>
      </c>
      <c r="F7" s="137">
        <f t="shared" si="0"/>
        <v>235.20000000000002</v>
      </c>
      <c r="G7" s="137">
        <f t="shared" si="1"/>
        <v>235.20000000000002</v>
      </c>
      <c r="H7" s="137">
        <f t="shared" si="2"/>
        <v>268.8</v>
      </c>
      <c r="I7" s="146">
        <f t="shared" si="3"/>
        <v>9.8000000000000007</v>
      </c>
      <c r="J7" s="146">
        <f t="shared" si="4"/>
        <v>9.8000000000000007</v>
      </c>
      <c r="K7" s="146">
        <f t="shared" si="5"/>
        <v>11.200000000000001</v>
      </c>
    </row>
    <row r="8" spans="2:17">
      <c r="B8" s="137">
        <v>17</v>
      </c>
      <c r="C8" s="137">
        <v>28</v>
      </c>
      <c r="D8" s="137">
        <v>28</v>
      </c>
      <c r="E8" s="137">
        <v>32</v>
      </c>
      <c r="F8" s="137">
        <f t="shared" si="0"/>
        <v>235.20000000000002</v>
      </c>
      <c r="G8" s="137">
        <f t="shared" si="1"/>
        <v>235.20000000000002</v>
      </c>
      <c r="H8" s="137">
        <f t="shared" si="2"/>
        <v>268.8</v>
      </c>
      <c r="I8" s="146">
        <f t="shared" si="3"/>
        <v>9.8000000000000007</v>
      </c>
      <c r="J8" s="146">
        <f t="shared" si="4"/>
        <v>9.8000000000000007</v>
      </c>
      <c r="K8" s="146">
        <f t="shared" si="5"/>
        <v>11.200000000000001</v>
      </c>
    </row>
    <row r="9" spans="2:17">
      <c r="B9" s="137">
        <v>18</v>
      </c>
      <c r="C9" s="137">
        <v>28</v>
      </c>
      <c r="D9" s="137">
        <v>28</v>
      </c>
      <c r="E9" s="137">
        <v>32</v>
      </c>
      <c r="F9" s="137">
        <f t="shared" si="0"/>
        <v>235.20000000000002</v>
      </c>
      <c r="G9" s="137">
        <f t="shared" si="1"/>
        <v>235.20000000000002</v>
      </c>
      <c r="H9" s="137">
        <f t="shared" si="2"/>
        <v>268.8</v>
      </c>
      <c r="I9" s="146">
        <f t="shared" si="3"/>
        <v>9.8000000000000007</v>
      </c>
      <c r="J9" s="146">
        <f t="shared" si="4"/>
        <v>9.8000000000000007</v>
      </c>
      <c r="K9" s="146">
        <f t="shared" si="5"/>
        <v>11.200000000000001</v>
      </c>
    </row>
    <row r="10" spans="2:17">
      <c r="B10" s="137">
        <v>19</v>
      </c>
      <c r="C10" s="137">
        <v>28</v>
      </c>
      <c r="D10" s="137">
        <v>28</v>
      </c>
      <c r="E10" s="137">
        <v>32</v>
      </c>
      <c r="F10" s="137">
        <f t="shared" si="0"/>
        <v>235.20000000000002</v>
      </c>
      <c r="G10" s="137">
        <f t="shared" si="1"/>
        <v>235.20000000000002</v>
      </c>
      <c r="H10" s="137">
        <f t="shared" si="2"/>
        <v>268.8</v>
      </c>
      <c r="I10" s="146">
        <f t="shared" si="3"/>
        <v>9.8000000000000007</v>
      </c>
      <c r="J10" s="146">
        <f t="shared" si="4"/>
        <v>9.8000000000000007</v>
      </c>
      <c r="K10" s="146">
        <f t="shared" si="5"/>
        <v>11.200000000000001</v>
      </c>
    </row>
    <row r="11" spans="2:17">
      <c r="B11" s="137">
        <v>20</v>
      </c>
      <c r="C11" s="137">
        <v>28</v>
      </c>
      <c r="D11" s="137">
        <v>28</v>
      </c>
      <c r="E11" s="137">
        <v>32</v>
      </c>
      <c r="F11" s="137">
        <f t="shared" si="0"/>
        <v>235.20000000000002</v>
      </c>
      <c r="G11" s="137">
        <f t="shared" si="1"/>
        <v>235.20000000000002</v>
      </c>
      <c r="H11" s="137">
        <f t="shared" si="2"/>
        <v>268.8</v>
      </c>
      <c r="I11" s="146">
        <f t="shared" si="3"/>
        <v>9.8000000000000007</v>
      </c>
      <c r="J11" s="146">
        <f t="shared" si="4"/>
        <v>9.8000000000000007</v>
      </c>
      <c r="K11" s="146">
        <f t="shared" si="5"/>
        <v>11.200000000000001</v>
      </c>
    </row>
    <row r="12" spans="2:17">
      <c r="B12" s="137">
        <v>21</v>
      </c>
      <c r="C12" s="137">
        <v>25</v>
      </c>
      <c r="D12" s="137">
        <v>25</v>
      </c>
      <c r="E12" s="137">
        <v>32</v>
      </c>
      <c r="F12" s="137">
        <f t="shared" si="0"/>
        <v>210</v>
      </c>
      <c r="G12" s="137">
        <f t="shared" si="1"/>
        <v>210</v>
      </c>
      <c r="H12" s="137">
        <f t="shared" si="2"/>
        <v>268.8</v>
      </c>
      <c r="I12" s="146">
        <f t="shared" si="3"/>
        <v>8.75</v>
      </c>
      <c r="J12" s="146">
        <f t="shared" si="4"/>
        <v>8.75</v>
      </c>
      <c r="K12" s="146">
        <f t="shared" si="5"/>
        <v>11.200000000000001</v>
      </c>
    </row>
    <row r="13" spans="2:17">
      <c r="B13" s="137">
        <v>22</v>
      </c>
      <c r="C13" s="137">
        <v>25</v>
      </c>
      <c r="D13" s="137">
        <v>25</v>
      </c>
      <c r="E13" s="137">
        <v>32</v>
      </c>
      <c r="F13" s="137">
        <f t="shared" si="0"/>
        <v>210</v>
      </c>
      <c r="G13" s="137">
        <f t="shared" si="1"/>
        <v>210</v>
      </c>
      <c r="H13" s="137">
        <f t="shared" si="2"/>
        <v>268.8</v>
      </c>
      <c r="I13" s="146">
        <f t="shared" si="3"/>
        <v>8.75</v>
      </c>
      <c r="J13" s="146">
        <f t="shared" si="4"/>
        <v>8.75</v>
      </c>
      <c r="K13" s="146">
        <f t="shared" si="5"/>
        <v>11.200000000000001</v>
      </c>
    </row>
    <row r="14" spans="2:17">
      <c r="B14" s="137">
        <v>23</v>
      </c>
      <c r="C14" s="137">
        <v>25</v>
      </c>
      <c r="D14" s="137">
        <v>25</v>
      </c>
      <c r="E14" s="137">
        <v>32</v>
      </c>
      <c r="F14" s="137">
        <f t="shared" si="0"/>
        <v>210</v>
      </c>
      <c r="G14" s="137">
        <f t="shared" si="1"/>
        <v>210</v>
      </c>
      <c r="H14" s="137">
        <f t="shared" si="2"/>
        <v>268.8</v>
      </c>
      <c r="I14" s="146">
        <f t="shared" si="3"/>
        <v>8.75</v>
      </c>
      <c r="J14" s="146">
        <f t="shared" si="4"/>
        <v>8.75</v>
      </c>
      <c r="K14" s="146">
        <f t="shared" si="5"/>
        <v>11.200000000000001</v>
      </c>
    </row>
    <row r="15" spans="2:17">
      <c r="B15" s="137">
        <v>24</v>
      </c>
      <c r="C15" s="137">
        <v>25</v>
      </c>
      <c r="D15" s="137">
        <v>25</v>
      </c>
      <c r="E15" s="137">
        <v>32</v>
      </c>
      <c r="F15" s="137">
        <f t="shared" si="0"/>
        <v>210</v>
      </c>
      <c r="G15" s="137">
        <f t="shared" si="1"/>
        <v>210</v>
      </c>
      <c r="H15" s="137">
        <f t="shared" si="2"/>
        <v>268.8</v>
      </c>
      <c r="I15" s="146">
        <f t="shared" si="3"/>
        <v>8.75</v>
      </c>
      <c r="J15" s="146">
        <f t="shared" si="4"/>
        <v>8.75</v>
      </c>
      <c r="K15" s="146">
        <f t="shared" si="5"/>
        <v>11.200000000000001</v>
      </c>
    </row>
    <row r="16" spans="2:17">
      <c r="B16" s="137">
        <v>25</v>
      </c>
      <c r="C16" s="137">
        <v>25</v>
      </c>
      <c r="D16" s="137">
        <v>25</v>
      </c>
      <c r="E16" s="137">
        <v>32</v>
      </c>
      <c r="F16" s="137">
        <f t="shared" si="0"/>
        <v>210</v>
      </c>
      <c r="G16" s="137">
        <f t="shared" si="1"/>
        <v>210</v>
      </c>
      <c r="H16" s="137">
        <f t="shared" si="2"/>
        <v>268.8</v>
      </c>
      <c r="I16" s="146">
        <f t="shared" si="3"/>
        <v>8.75</v>
      </c>
      <c r="J16" s="146">
        <f t="shared" si="4"/>
        <v>8.75</v>
      </c>
      <c r="K16" s="146">
        <f t="shared" si="5"/>
        <v>11.200000000000001</v>
      </c>
    </row>
    <row r="17" spans="2:11">
      <c r="B17" s="137">
        <v>26</v>
      </c>
      <c r="C17" s="137">
        <v>25</v>
      </c>
      <c r="D17" s="137">
        <v>25</v>
      </c>
      <c r="E17" s="137">
        <v>32</v>
      </c>
      <c r="F17" s="137">
        <f t="shared" si="0"/>
        <v>210</v>
      </c>
      <c r="G17" s="137">
        <f t="shared" si="1"/>
        <v>210</v>
      </c>
      <c r="H17" s="137">
        <f t="shared" si="2"/>
        <v>268.8</v>
      </c>
      <c r="I17" s="146">
        <f t="shared" si="3"/>
        <v>8.75</v>
      </c>
      <c r="J17" s="146">
        <f t="shared" si="4"/>
        <v>8.75</v>
      </c>
      <c r="K17" s="146">
        <f t="shared" si="5"/>
        <v>11.200000000000001</v>
      </c>
    </row>
    <row r="18" spans="2:11">
      <c r="B18" s="137">
        <v>27</v>
      </c>
      <c r="C18" s="137">
        <v>25</v>
      </c>
      <c r="D18" s="137">
        <v>25</v>
      </c>
      <c r="E18" s="137">
        <v>32</v>
      </c>
      <c r="F18" s="137">
        <f t="shared" si="0"/>
        <v>210</v>
      </c>
      <c r="G18" s="137">
        <f t="shared" si="1"/>
        <v>210</v>
      </c>
      <c r="H18" s="137">
        <f t="shared" si="2"/>
        <v>268.8</v>
      </c>
      <c r="I18" s="146">
        <f t="shared" si="3"/>
        <v>8.75</v>
      </c>
      <c r="J18" s="146">
        <f t="shared" si="4"/>
        <v>8.75</v>
      </c>
      <c r="K18" s="146">
        <f t="shared" si="5"/>
        <v>11.200000000000001</v>
      </c>
    </row>
    <row r="19" spans="2:11">
      <c r="B19" s="137">
        <v>28</v>
      </c>
      <c r="C19" s="137">
        <v>25</v>
      </c>
      <c r="D19" s="137">
        <v>25</v>
      </c>
      <c r="E19" s="137">
        <v>32</v>
      </c>
      <c r="F19" s="137">
        <f t="shared" si="0"/>
        <v>210</v>
      </c>
      <c r="G19" s="137">
        <f t="shared" si="1"/>
        <v>210</v>
      </c>
      <c r="H19" s="137">
        <f t="shared" si="2"/>
        <v>268.8</v>
      </c>
      <c r="I19" s="146">
        <f t="shared" si="3"/>
        <v>8.75</v>
      </c>
      <c r="J19" s="146">
        <f t="shared" si="4"/>
        <v>8.75</v>
      </c>
      <c r="K19" s="146">
        <f t="shared" si="5"/>
        <v>11.200000000000001</v>
      </c>
    </row>
    <row r="20" spans="2:11">
      <c r="B20" s="137">
        <v>29</v>
      </c>
      <c r="C20" s="137">
        <v>25</v>
      </c>
      <c r="D20" s="137">
        <v>25</v>
      </c>
      <c r="E20" s="137">
        <v>32</v>
      </c>
      <c r="F20" s="137">
        <f t="shared" si="0"/>
        <v>210</v>
      </c>
      <c r="G20" s="137">
        <f t="shared" si="1"/>
        <v>210</v>
      </c>
      <c r="H20" s="137">
        <f t="shared" si="2"/>
        <v>268.8</v>
      </c>
      <c r="I20" s="146">
        <f t="shared" si="3"/>
        <v>8.75</v>
      </c>
      <c r="J20" s="146">
        <f t="shared" si="4"/>
        <v>8.75</v>
      </c>
      <c r="K20" s="146">
        <f t="shared" si="5"/>
        <v>11.200000000000001</v>
      </c>
    </row>
    <row r="21" spans="2:11">
      <c r="B21" s="137">
        <v>30</v>
      </c>
      <c r="C21" s="137">
        <v>25</v>
      </c>
      <c r="D21" s="137">
        <v>25</v>
      </c>
      <c r="E21" s="137">
        <v>32</v>
      </c>
      <c r="F21" s="137">
        <f t="shared" si="0"/>
        <v>210</v>
      </c>
      <c r="G21" s="137">
        <f t="shared" si="1"/>
        <v>210</v>
      </c>
      <c r="H21" s="137">
        <f t="shared" si="2"/>
        <v>268.8</v>
      </c>
      <c r="I21" s="146">
        <f t="shared" si="3"/>
        <v>8.75</v>
      </c>
      <c r="J21" s="146">
        <f t="shared" si="4"/>
        <v>8.75</v>
      </c>
      <c r="K21" s="146">
        <f t="shared" si="5"/>
        <v>11.200000000000001</v>
      </c>
    </row>
    <row r="22" spans="2:11">
      <c r="B22" s="137">
        <v>31</v>
      </c>
      <c r="C22" s="137">
        <v>25</v>
      </c>
      <c r="D22" s="137">
        <v>25</v>
      </c>
      <c r="E22" s="137">
        <v>32</v>
      </c>
      <c r="F22" s="137">
        <f t="shared" si="0"/>
        <v>210</v>
      </c>
      <c r="G22" s="137">
        <f t="shared" si="1"/>
        <v>210</v>
      </c>
      <c r="H22" s="137">
        <f t="shared" si="2"/>
        <v>268.8</v>
      </c>
      <c r="I22" s="146">
        <f t="shared" si="3"/>
        <v>8.75</v>
      </c>
      <c r="J22" s="146">
        <f t="shared" si="4"/>
        <v>8.75</v>
      </c>
      <c r="K22" s="146">
        <f t="shared" si="5"/>
        <v>11.200000000000001</v>
      </c>
    </row>
    <row r="23" spans="2:11">
      <c r="B23" s="137">
        <v>32</v>
      </c>
      <c r="C23" s="137">
        <v>25</v>
      </c>
      <c r="D23" s="137">
        <v>25</v>
      </c>
      <c r="E23" s="137">
        <v>32</v>
      </c>
      <c r="F23" s="137">
        <f t="shared" si="0"/>
        <v>210</v>
      </c>
      <c r="G23" s="137">
        <f t="shared" si="1"/>
        <v>210</v>
      </c>
      <c r="H23" s="137">
        <f t="shared" si="2"/>
        <v>268.8</v>
      </c>
      <c r="I23" s="146">
        <f t="shared" si="3"/>
        <v>8.75</v>
      </c>
      <c r="J23" s="146">
        <f t="shared" si="4"/>
        <v>8.75</v>
      </c>
      <c r="K23" s="146">
        <f t="shared" si="5"/>
        <v>11.200000000000001</v>
      </c>
    </row>
    <row r="24" spans="2:11">
      <c r="B24" s="137">
        <v>33</v>
      </c>
      <c r="C24" s="137">
        <v>25</v>
      </c>
      <c r="D24" s="137">
        <v>25</v>
      </c>
      <c r="E24" s="137">
        <v>32</v>
      </c>
      <c r="F24" s="137">
        <f t="shared" si="0"/>
        <v>210</v>
      </c>
      <c r="G24" s="137">
        <f t="shared" si="1"/>
        <v>210</v>
      </c>
      <c r="H24" s="137">
        <f t="shared" si="2"/>
        <v>268.8</v>
      </c>
      <c r="I24" s="146">
        <f t="shared" si="3"/>
        <v>8.75</v>
      </c>
      <c r="J24" s="146">
        <f t="shared" si="4"/>
        <v>8.75</v>
      </c>
      <c r="K24" s="146">
        <f t="shared" si="5"/>
        <v>11.200000000000001</v>
      </c>
    </row>
    <row r="25" spans="2:11">
      <c r="B25" s="137">
        <v>34</v>
      </c>
      <c r="C25" s="137">
        <v>25</v>
      </c>
      <c r="D25" s="137">
        <v>25</v>
      </c>
      <c r="E25" s="137">
        <v>32</v>
      </c>
      <c r="F25" s="137">
        <f t="shared" si="0"/>
        <v>210</v>
      </c>
      <c r="G25" s="137">
        <f t="shared" si="1"/>
        <v>210</v>
      </c>
      <c r="H25" s="137">
        <f t="shared" si="2"/>
        <v>268.8</v>
      </c>
      <c r="I25" s="146">
        <f t="shared" si="3"/>
        <v>8.75</v>
      </c>
      <c r="J25" s="146">
        <f t="shared" si="4"/>
        <v>8.75</v>
      </c>
      <c r="K25" s="146">
        <f t="shared" si="5"/>
        <v>11.200000000000001</v>
      </c>
    </row>
    <row r="26" spans="2:11">
      <c r="B26" s="137">
        <v>35</v>
      </c>
      <c r="C26" s="137">
        <v>25</v>
      </c>
      <c r="D26" s="137">
        <v>25</v>
      </c>
      <c r="E26" s="137">
        <v>32</v>
      </c>
      <c r="F26" s="137">
        <f t="shared" si="0"/>
        <v>210</v>
      </c>
      <c r="G26" s="137">
        <f t="shared" si="1"/>
        <v>210</v>
      </c>
      <c r="H26" s="137">
        <f t="shared" si="2"/>
        <v>268.8</v>
      </c>
      <c r="I26" s="146">
        <f t="shared" si="3"/>
        <v>8.75</v>
      </c>
      <c r="J26" s="146">
        <f t="shared" si="4"/>
        <v>8.75</v>
      </c>
      <c r="K26" s="146">
        <f t="shared" si="5"/>
        <v>11.200000000000001</v>
      </c>
    </row>
    <row r="27" spans="2:11">
      <c r="B27" s="137">
        <v>36</v>
      </c>
      <c r="C27" s="137">
        <v>25</v>
      </c>
      <c r="D27" s="137">
        <v>25</v>
      </c>
      <c r="E27" s="137">
        <v>32</v>
      </c>
      <c r="F27" s="137">
        <f t="shared" si="0"/>
        <v>210</v>
      </c>
      <c r="G27" s="137">
        <f t="shared" si="1"/>
        <v>210</v>
      </c>
      <c r="H27" s="137">
        <f t="shared" si="2"/>
        <v>268.8</v>
      </c>
      <c r="I27" s="146">
        <f t="shared" si="3"/>
        <v>8.75</v>
      </c>
      <c r="J27" s="146">
        <f t="shared" si="4"/>
        <v>8.75</v>
      </c>
      <c r="K27" s="146">
        <f t="shared" si="5"/>
        <v>11.200000000000001</v>
      </c>
    </row>
    <row r="28" spans="2:11">
      <c r="B28" s="137">
        <v>37</v>
      </c>
      <c r="C28" s="137">
        <v>25</v>
      </c>
      <c r="D28" s="137">
        <v>25</v>
      </c>
      <c r="E28" s="137">
        <v>32</v>
      </c>
      <c r="F28" s="137">
        <f t="shared" si="0"/>
        <v>210</v>
      </c>
      <c r="G28" s="137">
        <f t="shared" si="1"/>
        <v>210</v>
      </c>
      <c r="H28" s="137">
        <f t="shared" si="2"/>
        <v>268.8</v>
      </c>
      <c r="I28" s="146">
        <f t="shared" si="3"/>
        <v>8.75</v>
      </c>
      <c r="J28" s="146">
        <f t="shared" si="4"/>
        <v>8.75</v>
      </c>
      <c r="K28" s="146">
        <f t="shared" si="5"/>
        <v>11.200000000000001</v>
      </c>
    </row>
    <row r="29" spans="2:11">
      <c r="B29" s="137">
        <v>38</v>
      </c>
      <c r="C29" s="137">
        <v>25</v>
      </c>
      <c r="D29" s="137">
        <v>25</v>
      </c>
      <c r="E29" s="137">
        <v>32</v>
      </c>
      <c r="F29" s="137">
        <f t="shared" si="0"/>
        <v>210</v>
      </c>
      <c r="G29" s="137">
        <f t="shared" si="1"/>
        <v>210</v>
      </c>
      <c r="H29" s="137">
        <f t="shared" si="2"/>
        <v>268.8</v>
      </c>
      <c r="I29" s="146">
        <f t="shared" si="3"/>
        <v>8.75</v>
      </c>
      <c r="J29" s="146">
        <f t="shared" si="4"/>
        <v>8.75</v>
      </c>
      <c r="K29" s="146">
        <f t="shared" si="5"/>
        <v>11.200000000000001</v>
      </c>
    </row>
    <row r="30" spans="2:11">
      <c r="B30" s="137">
        <v>39</v>
      </c>
      <c r="C30" s="137">
        <v>25</v>
      </c>
      <c r="D30" s="137">
        <v>25</v>
      </c>
      <c r="E30" s="137">
        <v>32</v>
      </c>
      <c r="F30" s="137">
        <f t="shared" si="0"/>
        <v>210</v>
      </c>
      <c r="G30" s="137">
        <f t="shared" si="1"/>
        <v>210</v>
      </c>
      <c r="H30" s="137">
        <f t="shared" si="2"/>
        <v>268.8</v>
      </c>
      <c r="I30" s="146">
        <f t="shared" si="3"/>
        <v>8.75</v>
      </c>
      <c r="J30" s="146">
        <f t="shared" si="4"/>
        <v>8.75</v>
      </c>
      <c r="K30" s="146">
        <f t="shared" si="5"/>
        <v>11.200000000000001</v>
      </c>
    </row>
    <row r="31" spans="2:11">
      <c r="B31" s="137">
        <v>40</v>
      </c>
      <c r="C31" s="137">
        <v>25</v>
      </c>
      <c r="D31" s="137">
        <v>25</v>
      </c>
      <c r="E31" s="137">
        <v>32</v>
      </c>
      <c r="F31" s="137">
        <f t="shared" si="0"/>
        <v>210</v>
      </c>
      <c r="G31" s="137">
        <f t="shared" si="1"/>
        <v>210</v>
      </c>
      <c r="H31" s="137">
        <f t="shared" si="2"/>
        <v>268.8</v>
      </c>
      <c r="I31" s="146">
        <f t="shared" si="3"/>
        <v>8.75</v>
      </c>
      <c r="J31" s="146">
        <f t="shared" si="4"/>
        <v>8.75</v>
      </c>
      <c r="K31" s="146">
        <f t="shared" si="5"/>
        <v>11.200000000000001</v>
      </c>
    </row>
    <row r="32" spans="2:11">
      <c r="B32" s="137">
        <v>41</v>
      </c>
      <c r="C32" s="137">
        <v>25</v>
      </c>
      <c r="D32" s="137">
        <v>25</v>
      </c>
      <c r="E32" s="137">
        <v>32</v>
      </c>
      <c r="F32" s="137">
        <f t="shared" si="0"/>
        <v>210</v>
      </c>
      <c r="G32" s="137">
        <f t="shared" si="1"/>
        <v>210</v>
      </c>
      <c r="H32" s="137">
        <f t="shared" si="2"/>
        <v>268.8</v>
      </c>
      <c r="I32" s="146">
        <f t="shared" si="3"/>
        <v>8.75</v>
      </c>
      <c r="J32" s="146">
        <f t="shared" si="4"/>
        <v>8.75</v>
      </c>
      <c r="K32" s="146">
        <f t="shared" si="5"/>
        <v>11.200000000000001</v>
      </c>
    </row>
    <row r="33" spans="2:11">
      <c r="B33" s="137">
        <v>42</v>
      </c>
      <c r="C33" s="137">
        <v>25</v>
      </c>
      <c r="D33" s="137">
        <v>25</v>
      </c>
      <c r="E33" s="137">
        <v>32</v>
      </c>
      <c r="F33" s="137">
        <f t="shared" si="0"/>
        <v>210</v>
      </c>
      <c r="G33" s="137">
        <f t="shared" si="1"/>
        <v>210</v>
      </c>
      <c r="H33" s="137">
        <f t="shared" si="2"/>
        <v>268.8</v>
      </c>
      <c r="I33" s="146">
        <f t="shared" si="3"/>
        <v>8.75</v>
      </c>
      <c r="J33" s="146">
        <f t="shared" si="4"/>
        <v>8.75</v>
      </c>
      <c r="K33" s="146">
        <f t="shared" si="5"/>
        <v>11.200000000000001</v>
      </c>
    </row>
    <row r="34" spans="2:11">
      <c r="B34" s="137">
        <v>43</v>
      </c>
      <c r="C34" s="137">
        <v>25</v>
      </c>
      <c r="D34" s="137">
        <v>25</v>
      </c>
      <c r="E34" s="137">
        <v>32</v>
      </c>
      <c r="F34" s="137">
        <f t="shared" si="0"/>
        <v>210</v>
      </c>
      <c r="G34" s="137">
        <f t="shared" si="1"/>
        <v>210</v>
      </c>
      <c r="H34" s="137">
        <f t="shared" si="2"/>
        <v>268.8</v>
      </c>
      <c r="I34" s="146">
        <f t="shared" si="3"/>
        <v>8.75</v>
      </c>
      <c r="J34" s="146">
        <f t="shared" si="4"/>
        <v>8.75</v>
      </c>
      <c r="K34" s="146">
        <f t="shared" si="5"/>
        <v>11.200000000000001</v>
      </c>
    </row>
    <row r="35" spans="2:11">
      <c r="B35" s="137">
        <v>44</v>
      </c>
      <c r="C35" s="137">
        <v>25</v>
      </c>
      <c r="D35" s="137">
        <v>25</v>
      </c>
      <c r="E35" s="137">
        <v>32</v>
      </c>
      <c r="F35" s="137">
        <f t="shared" si="0"/>
        <v>210</v>
      </c>
      <c r="G35" s="137">
        <f t="shared" si="1"/>
        <v>210</v>
      </c>
      <c r="H35" s="137">
        <f t="shared" si="2"/>
        <v>268.8</v>
      </c>
      <c r="I35" s="146">
        <f t="shared" si="3"/>
        <v>8.75</v>
      </c>
      <c r="J35" s="146">
        <f t="shared" si="4"/>
        <v>8.75</v>
      </c>
      <c r="K35" s="146">
        <f t="shared" si="5"/>
        <v>11.200000000000001</v>
      </c>
    </row>
    <row r="36" spans="2:11">
      <c r="B36" s="137">
        <v>45</v>
      </c>
      <c r="C36" s="137">
        <v>25</v>
      </c>
      <c r="D36" s="137">
        <v>28</v>
      </c>
      <c r="E36" s="137">
        <v>32</v>
      </c>
      <c r="F36" s="137">
        <f t="shared" si="0"/>
        <v>210</v>
      </c>
      <c r="G36" s="137">
        <f t="shared" si="1"/>
        <v>235.20000000000002</v>
      </c>
      <c r="H36" s="137">
        <f t="shared" si="2"/>
        <v>268.8</v>
      </c>
      <c r="I36" s="146">
        <f t="shared" si="3"/>
        <v>8.75</v>
      </c>
      <c r="J36" s="146">
        <f t="shared" si="4"/>
        <v>9.8000000000000007</v>
      </c>
      <c r="K36" s="146">
        <f t="shared" si="5"/>
        <v>11.200000000000001</v>
      </c>
    </row>
    <row r="37" spans="2:11">
      <c r="B37" s="137">
        <v>46</v>
      </c>
      <c r="C37" s="137">
        <v>25</v>
      </c>
      <c r="D37" s="137">
        <v>28</v>
      </c>
      <c r="E37" s="137">
        <v>32</v>
      </c>
      <c r="F37" s="137">
        <f t="shared" si="0"/>
        <v>210</v>
      </c>
      <c r="G37" s="137">
        <f t="shared" si="1"/>
        <v>235.20000000000002</v>
      </c>
      <c r="H37" s="137">
        <f t="shared" si="2"/>
        <v>268.8</v>
      </c>
      <c r="I37" s="146">
        <f t="shared" si="3"/>
        <v>8.75</v>
      </c>
      <c r="J37" s="146">
        <f t="shared" si="4"/>
        <v>9.8000000000000007</v>
      </c>
      <c r="K37" s="146">
        <f t="shared" si="5"/>
        <v>11.200000000000001</v>
      </c>
    </row>
    <row r="38" spans="2:11">
      <c r="B38" s="137">
        <v>47</v>
      </c>
      <c r="C38" s="137">
        <v>25</v>
      </c>
      <c r="D38" s="137">
        <v>28</v>
      </c>
      <c r="E38" s="137">
        <v>32</v>
      </c>
      <c r="F38" s="137">
        <f t="shared" ref="F38:F56" si="6">C38*8.4</f>
        <v>210</v>
      </c>
      <c r="G38" s="137">
        <f t="shared" ref="G38:G56" si="7">D38*8.4</f>
        <v>235.20000000000002</v>
      </c>
      <c r="H38" s="137">
        <f t="shared" ref="H38:H56" si="8">E38*8.4</f>
        <v>268.8</v>
      </c>
      <c r="I38" s="146">
        <f t="shared" ref="I38:I56" si="9">F38/24</f>
        <v>8.75</v>
      </c>
      <c r="J38" s="146">
        <f t="shared" ref="J38:J56" si="10">G38/24</f>
        <v>9.8000000000000007</v>
      </c>
      <c r="K38" s="146">
        <f t="shared" ref="K38:K56" si="11">H38/24</f>
        <v>11.200000000000001</v>
      </c>
    </row>
    <row r="39" spans="2:11">
      <c r="B39" s="137">
        <v>48</v>
      </c>
      <c r="C39" s="137">
        <v>25</v>
      </c>
      <c r="D39" s="137">
        <v>28</v>
      </c>
      <c r="E39" s="137">
        <v>32</v>
      </c>
      <c r="F39" s="137">
        <f t="shared" si="6"/>
        <v>210</v>
      </c>
      <c r="G39" s="137">
        <f t="shared" si="7"/>
        <v>235.20000000000002</v>
      </c>
      <c r="H39" s="137">
        <f t="shared" si="8"/>
        <v>268.8</v>
      </c>
      <c r="I39" s="146">
        <f t="shared" si="9"/>
        <v>8.75</v>
      </c>
      <c r="J39" s="146">
        <f t="shared" si="10"/>
        <v>9.8000000000000007</v>
      </c>
      <c r="K39" s="146">
        <f t="shared" si="11"/>
        <v>11.200000000000001</v>
      </c>
    </row>
    <row r="40" spans="2:11">
      <c r="B40" s="137">
        <v>49</v>
      </c>
      <c r="C40" s="137">
        <v>25</v>
      </c>
      <c r="D40" s="137">
        <v>28</v>
      </c>
      <c r="E40" s="137">
        <v>32</v>
      </c>
      <c r="F40" s="137">
        <f t="shared" si="6"/>
        <v>210</v>
      </c>
      <c r="G40" s="137">
        <f t="shared" si="7"/>
        <v>235.20000000000002</v>
      </c>
      <c r="H40" s="137">
        <f t="shared" si="8"/>
        <v>268.8</v>
      </c>
      <c r="I40" s="146">
        <f t="shared" si="9"/>
        <v>8.75</v>
      </c>
      <c r="J40" s="146">
        <f t="shared" si="10"/>
        <v>9.8000000000000007</v>
      </c>
      <c r="K40" s="146">
        <f t="shared" si="11"/>
        <v>11.200000000000001</v>
      </c>
    </row>
    <row r="41" spans="2:11">
      <c r="B41" s="137">
        <v>50</v>
      </c>
      <c r="C41" s="137">
        <v>28</v>
      </c>
      <c r="D41" s="137">
        <v>28</v>
      </c>
      <c r="E41" s="137">
        <v>32</v>
      </c>
      <c r="F41" s="137">
        <f t="shared" si="6"/>
        <v>235.20000000000002</v>
      </c>
      <c r="G41" s="137">
        <f t="shared" si="7"/>
        <v>235.20000000000002</v>
      </c>
      <c r="H41" s="137">
        <f t="shared" si="8"/>
        <v>268.8</v>
      </c>
      <c r="I41" s="146">
        <f t="shared" si="9"/>
        <v>9.8000000000000007</v>
      </c>
      <c r="J41" s="146">
        <f t="shared" si="10"/>
        <v>9.8000000000000007</v>
      </c>
      <c r="K41" s="146">
        <f t="shared" si="11"/>
        <v>11.200000000000001</v>
      </c>
    </row>
    <row r="42" spans="2:11">
      <c r="B42" s="137">
        <v>51</v>
      </c>
      <c r="C42" s="137">
        <v>28</v>
      </c>
      <c r="D42" s="137">
        <v>28</v>
      </c>
      <c r="E42" s="137">
        <v>32</v>
      </c>
      <c r="F42" s="137">
        <f t="shared" si="6"/>
        <v>235.20000000000002</v>
      </c>
      <c r="G42" s="137">
        <f t="shared" si="7"/>
        <v>235.20000000000002</v>
      </c>
      <c r="H42" s="137">
        <f t="shared" si="8"/>
        <v>268.8</v>
      </c>
      <c r="I42" s="146">
        <f t="shared" si="9"/>
        <v>9.8000000000000007</v>
      </c>
      <c r="J42" s="146">
        <f t="shared" si="10"/>
        <v>9.8000000000000007</v>
      </c>
      <c r="K42" s="146">
        <f t="shared" si="11"/>
        <v>11.200000000000001</v>
      </c>
    </row>
    <row r="43" spans="2:11">
      <c r="B43" s="137">
        <v>52</v>
      </c>
      <c r="C43" s="137">
        <v>28</v>
      </c>
      <c r="D43" s="137">
        <v>28</v>
      </c>
      <c r="E43" s="137">
        <v>32</v>
      </c>
      <c r="F43" s="137">
        <f t="shared" si="6"/>
        <v>235.20000000000002</v>
      </c>
      <c r="G43" s="137">
        <f t="shared" si="7"/>
        <v>235.20000000000002</v>
      </c>
      <c r="H43" s="137">
        <f t="shared" si="8"/>
        <v>268.8</v>
      </c>
      <c r="I43" s="146">
        <f t="shared" si="9"/>
        <v>9.8000000000000007</v>
      </c>
      <c r="J43" s="146">
        <f t="shared" si="10"/>
        <v>9.8000000000000007</v>
      </c>
      <c r="K43" s="146">
        <f t="shared" si="11"/>
        <v>11.200000000000001</v>
      </c>
    </row>
    <row r="44" spans="2:11">
      <c r="B44" s="137">
        <v>53</v>
      </c>
      <c r="C44" s="137">
        <v>28</v>
      </c>
      <c r="D44" s="137">
        <v>28</v>
      </c>
      <c r="E44" s="137">
        <v>32</v>
      </c>
      <c r="F44" s="137">
        <f t="shared" si="6"/>
        <v>235.20000000000002</v>
      </c>
      <c r="G44" s="137">
        <f t="shared" si="7"/>
        <v>235.20000000000002</v>
      </c>
      <c r="H44" s="137">
        <f t="shared" si="8"/>
        <v>268.8</v>
      </c>
      <c r="I44" s="146">
        <f t="shared" si="9"/>
        <v>9.8000000000000007</v>
      </c>
      <c r="J44" s="146">
        <f t="shared" si="10"/>
        <v>9.8000000000000007</v>
      </c>
      <c r="K44" s="146">
        <f t="shared" si="11"/>
        <v>11.200000000000001</v>
      </c>
    </row>
    <row r="45" spans="2:11">
      <c r="B45" s="137">
        <v>54</v>
      </c>
      <c r="C45" s="137">
        <v>28</v>
      </c>
      <c r="D45" s="137">
        <v>28</v>
      </c>
      <c r="E45" s="137">
        <v>32</v>
      </c>
      <c r="F45" s="137">
        <f t="shared" si="6"/>
        <v>235.20000000000002</v>
      </c>
      <c r="G45" s="137">
        <f t="shared" si="7"/>
        <v>235.20000000000002</v>
      </c>
      <c r="H45" s="137">
        <f t="shared" si="8"/>
        <v>268.8</v>
      </c>
      <c r="I45" s="146">
        <f t="shared" si="9"/>
        <v>9.8000000000000007</v>
      </c>
      <c r="J45" s="146">
        <f t="shared" si="10"/>
        <v>9.8000000000000007</v>
      </c>
      <c r="K45" s="146">
        <f t="shared" si="11"/>
        <v>11.200000000000001</v>
      </c>
    </row>
    <row r="46" spans="2:11">
      <c r="B46" s="137">
        <v>55</v>
      </c>
      <c r="C46" s="137">
        <v>28</v>
      </c>
      <c r="D46" s="137">
        <v>33</v>
      </c>
      <c r="E46" s="137">
        <v>32</v>
      </c>
      <c r="F46" s="137">
        <f t="shared" si="6"/>
        <v>235.20000000000002</v>
      </c>
      <c r="G46" s="137">
        <f t="shared" si="7"/>
        <v>277.2</v>
      </c>
      <c r="H46" s="137">
        <f t="shared" si="8"/>
        <v>268.8</v>
      </c>
      <c r="I46" s="146">
        <f t="shared" si="9"/>
        <v>9.8000000000000007</v>
      </c>
      <c r="J46" s="146">
        <f t="shared" si="10"/>
        <v>11.549999999999999</v>
      </c>
      <c r="K46" s="146">
        <f t="shared" si="11"/>
        <v>11.200000000000001</v>
      </c>
    </row>
    <row r="47" spans="2:11">
      <c r="B47" s="137">
        <v>56</v>
      </c>
      <c r="C47" s="137">
        <v>28</v>
      </c>
      <c r="D47" s="137">
        <v>33</v>
      </c>
      <c r="E47" s="137">
        <v>32</v>
      </c>
      <c r="F47" s="137">
        <f t="shared" si="6"/>
        <v>235.20000000000002</v>
      </c>
      <c r="G47" s="137">
        <f t="shared" si="7"/>
        <v>277.2</v>
      </c>
      <c r="H47" s="137">
        <f t="shared" si="8"/>
        <v>268.8</v>
      </c>
      <c r="I47" s="146">
        <f t="shared" si="9"/>
        <v>9.8000000000000007</v>
      </c>
      <c r="J47" s="146">
        <f t="shared" si="10"/>
        <v>11.549999999999999</v>
      </c>
      <c r="K47" s="146">
        <f t="shared" si="11"/>
        <v>11.200000000000001</v>
      </c>
    </row>
    <row r="48" spans="2:11">
      <c r="B48" s="137">
        <v>57</v>
      </c>
      <c r="C48" s="137">
        <v>28</v>
      </c>
      <c r="D48" s="137">
        <v>33</v>
      </c>
      <c r="E48" s="137">
        <v>32</v>
      </c>
      <c r="F48" s="137">
        <f t="shared" si="6"/>
        <v>235.20000000000002</v>
      </c>
      <c r="G48" s="137">
        <f t="shared" si="7"/>
        <v>277.2</v>
      </c>
      <c r="H48" s="137">
        <f t="shared" si="8"/>
        <v>268.8</v>
      </c>
      <c r="I48" s="146">
        <f t="shared" si="9"/>
        <v>9.8000000000000007</v>
      </c>
      <c r="J48" s="146">
        <f t="shared" si="10"/>
        <v>11.549999999999999</v>
      </c>
      <c r="K48" s="146">
        <f t="shared" si="11"/>
        <v>11.200000000000001</v>
      </c>
    </row>
    <row r="49" spans="2:30">
      <c r="B49" s="137">
        <v>58</v>
      </c>
      <c r="C49" s="137">
        <v>28</v>
      </c>
      <c r="D49" s="137">
        <v>33</v>
      </c>
      <c r="E49" s="137">
        <v>32</v>
      </c>
      <c r="F49" s="137">
        <f t="shared" si="6"/>
        <v>235.20000000000002</v>
      </c>
      <c r="G49" s="137">
        <f t="shared" si="7"/>
        <v>277.2</v>
      </c>
      <c r="H49" s="137">
        <f t="shared" si="8"/>
        <v>268.8</v>
      </c>
      <c r="I49" s="146">
        <f t="shared" si="9"/>
        <v>9.8000000000000007</v>
      </c>
      <c r="J49" s="146">
        <f t="shared" si="10"/>
        <v>11.549999999999999</v>
      </c>
      <c r="K49" s="146">
        <f t="shared" si="11"/>
        <v>11.200000000000001</v>
      </c>
    </row>
    <row r="50" spans="2:30">
      <c r="B50" s="137">
        <v>59</v>
      </c>
      <c r="C50" s="137">
        <v>28</v>
      </c>
      <c r="D50" s="137">
        <v>33</v>
      </c>
      <c r="E50" s="137">
        <v>32</v>
      </c>
      <c r="F50" s="137">
        <f t="shared" si="6"/>
        <v>235.20000000000002</v>
      </c>
      <c r="G50" s="137">
        <f t="shared" si="7"/>
        <v>277.2</v>
      </c>
      <c r="H50" s="137">
        <f t="shared" si="8"/>
        <v>268.8</v>
      </c>
      <c r="I50" s="146">
        <f t="shared" si="9"/>
        <v>9.8000000000000007</v>
      </c>
      <c r="J50" s="146">
        <f t="shared" si="10"/>
        <v>11.549999999999999</v>
      </c>
      <c r="K50" s="146">
        <f t="shared" si="11"/>
        <v>11.200000000000001</v>
      </c>
    </row>
    <row r="51" spans="2:30">
      <c r="B51" s="137">
        <v>60</v>
      </c>
      <c r="C51" s="137">
        <v>33</v>
      </c>
      <c r="D51" s="137">
        <v>33</v>
      </c>
      <c r="E51" s="137">
        <v>32</v>
      </c>
      <c r="F51" s="137">
        <f t="shared" si="6"/>
        <v>277.2</v>
      </c>
      <c r="G51" s="137">
        <f t="shared" si="7"/>
        <v>277.2</v>
      </c>
      <c r="H51" s="137">
        <f t="shared" si="8"/>
        <v>268.8</v>
      </c>
      <c r="I51" s="146">
        <f t="shared" si="9"/>
        <v>11.549999999999999</v>
      </c>
      <c r="J51" s="146">
        <f t="shared" si="10"/>
        <v>11.549999999999999</v>
      </c>
      <c r="K51" s="146">
        <f t="shared" si="11"/>
        <v>11.200000000000001</v>
      </c>
    </row>
    <row r="52" spans="2:30">
      <c r="B52" s="137">
        <v>61</v>
      </c>
      <c r="C52" s="137">
        <v>33</v>
      </c>
      <c r="D52" s="137">
        <v>33</v>
      </c>
      <c r="E52" s="137">
        <v>32</v>
      </c>
      <c r="F52" s="137">
        <f t="shared" si="6"/>
        <v>277.2</v>
      </c>
      <c r="G52" s="137">
        <f t="shared" si="7"/>
        <v>277.2</v>
      </c>
      <c r="H52" s="137">
        <f t="shared" si="8"/>
        <v>268.8</v>
      </c>
      <c r="I52" s="146">
        <f t="shared" si="9"/>
        <v>11.549999999999999</v>
      </c>
      <c r="J52" s="146">
        <f t="shared" si="10"/>
        <v>11.549999999999999</v>
      </c>
      <c r="K52" s="146">
        <f t="shared" si="11"/>
        <v>11.200000000000001</v>
      </c>
    </row>
    <row r="53" spans="2:30">
      <c r="B53" s="137">
        <v>62</v>
      </c>
      <c r="C53" s="137">
        <v>33</v>
      </c>
      <c r="D53" s="137">
        <v>33</v>
      </c>
      <c r="E53" s="137">
        <v>32</v>
      </c>
      <c r="F53" s="137">
        <f t="shared" si="6"/>
        <v>277.2</v>
      </c>
      <c r="G53" s="137">
        <f t="shared" si="7"/>
        <v>277.2</v>
      </c>
      <c r="H53" s="137">
        <f t="shared" si="8"/>
        <v>268.8</v>
      </c>
      <c r="I53" s="146">
        <f t="shared" si="9"/>
        <v>11.549999999999999</v>
      </c>
      <c r="J53" s="146">
        <f t="shared" si="10"/>
        <v>11.549999999999999</v>
      </c>
      <c r="K53" s="146">
        <f t="shared" si="11"/>
        <v>11.200000000000001</v>
      </c>
    </row>
    <row r="54" spans="2:30">
      <c r="B54" s="137">
        <v>63</v>
      </c>
      <c r="C54" s="137">
        <v>33</v>
      </c>
      <c r="D54" s="137">
        <v>33</v>
      </c>
      <c r="E54" s="137">
        <v>32</v>
      </c>
      <c r="F54" s="137">
        <f t="shared" si="6"/>
        <v>277.2</v>
      </c>
      <c r="G54" s="137">
        <f t="shared" si="7"/>
        <v>277.2</v>
      </c>
      <c r="H54" s="137">
        <f t="shared" si="8"/>
        <v>268.8</v>
      </c>
      <c r="I54" s="146">
        <f t="shared" si="9"/>
        <v>11.549999999999999</v>
      </c>
      <c r="J54" s="146">
        <f t="shared" si="10"/>
        <v>11.549999999999999</v>
      </c>
      <c r="K54" s="146">
        <f t="shared" si="11"/>
        <v>11.200000000000001</v>
      </c>
    </row>
    <row r="55" spans="2:30">
      <c r="B55" s="137">
        <v>64</v>
      </c>
      <c r="C55" s="137">
        <v>33</v>
      </c>
      <c r="D55" s="137">
        <v>33</v>
      </c>
      <c r="E55" s="137">
        <v>32</v>
      </c>
      <c r="F55" s="137">
        <f t="shared" si="6"/>
        <v>277.2</v>
      </c>
      <c r="G55" s="137">
        <f t="shared" si="7"/>
        <v>277.2</v>
      </c>
      <c r="H55" s="137">
        <f t="shared" si="8"/>
        <v>268.8</v>
      </c>
      <c r="I55" s="146">
        <f t="shared" si="9"/>
        <v>11.549999999999999</v>
      </c>
      <c r="J55" s="146">
        <f t="shared" si="10"/>
        <v>11.549999999999999</v>
      </c>
      <c r="K55" s="146">
        <f t="shared" si="11"/>
        <v>11.200000000000001</v>
      </c>
    </row>
    <row r="56" spans="2:30">
      <c r="B56" s="137">
        <v>65</v>
      </c>
      <c r="C56" s="137">
        <v>33</v>
      </c>
      <c r="D56" s="137">
        <v>33</v>
      </c>
      <c r="E56" s="137">
        <v>32</v>
      </c>
      <c r="F56" s="137">
        <f t="shared" si="6"/>
        <v>277.2</v>
      </c>
      <c r="G56" s="137">
        <f t="shared" si="7"/>
        <v>277.2</v>
      </c>
      <c r="H56" s="137">
        <f t="shared" si="8"/>
        <v>268.8</v>
      </c>
      <c r="I56" s="146">
        <f t="shared" si="9"/>
        <v>11.549999999999999</v>
      </c>
      <c r="J56" s="146">
        <f t="shared" si="10"/>
        <v>11.549999999999999</v>
      </c>
      <c r="K56" s="146">
        <f t="shared" si="11"/>
        <v>11.200000000000001</v>
      </c>
    </row>
    <row r="59" spans="2:30">
      <c r="B59" s="224" t="s">
        <v>109</v>
      </c>
      <c r="C59" s="207"/>
      <c r="D59" s="208"/>
      <c r="E59" s="207"/>
      <c r="F59" s="208"/>
      <c r="G59" s="207"/>
      <c r="H59" s="208"/>
      <c r="I59" s="207"/>
      <c r="J59" s="208"/>
      <c r="K59" s="207"/>
      <c r="L59" s="207"/>
      <c r="M59" s="209"/>
    </row>
    <row r="60" spans="2:30">
      <c r="B60" s="206" t="s">
        <v>80</v>
      </c>
      <c r="C60" s="217">
        <v>168</v>
      </c>
      <c r="D60" s="206" t="s">
        <v>81</v>
      </c>
      <c r="E60" s="217">
        <v>168</v>
      </c>
      <c r="F60" s="206" t="s">
        <v>56</v>
      </c>
      <c r="G60" s="217">
        <v>193.2</v>
      </c>
      <c r="H60" s="206" t="s">
        <v>57</v>
      </c>
      <c r="I60" s="217">
        <v>167</v>
      </c>
      <c r="J60" s="206" t="s">
        <v>58</v>
      </c>
      <c r="K60" s="217">
        <v>158.6</v>
      </c>
      <c r="L60" s="206" t="s">
        <v>59</v>
      </c>
      <c r="M60" s="217">
        <v>184.8</v>
      </c>
    </row>
    <row r="61" spans="2:30">
      <c r="B61" s="206" t="s">
        <v>60</v>
      </c>
      <c r="C61" s="217">
        <v>184.8</v>
      </c>
      <c r="D61" s="206" t="s">
        <v>61</v>
      </c>
      <c r="E61" s="217">
        <v>184.8</v>
      </c>
      <c r="F61" s="206" t="s">
        <v>62</v>
      </c>
      <c r="G61" s="217">
        <v>184.8</v>
      </c>
      <c r="H61" s="206" t="s">
        <v>63</v>
      </c>
      <c r="I61" s="217">
        <v>176.4</v>
      </c>
      <c r="J61" s="206" t="s">
        <v>64</v>
      </c>
      <c r="K61" s="217">
        <v>184.8</v>
      </c>
      <c r="L61" s="206" t="s">
        <v>65</v>
      </c>
      <c r="M61" s="217">
        <v>184.8</v>
      </c>
      <c r="O61" s="1003"/>
      <c r="P61" s="1003"/>
      <c r="Q61" s="5"/>
    </row>
    <row r="62" spans="2:30">
      <c r="O62" s="5"/>
      <c r="P62" s="5"/>
      <c r="Q62" s="5"/>
    </row>
    <row r="63" spans="2:30">
      <c r="B63" s="966" t="s">
        <v>110</v>
      </c>
      <c r="C63" s="966"/>
      <c r="D63" s="966"/>
      <c r="E63" s="218" t="s">
        <v>6</v>
      </c>
      <c r="F63" s="219"/>
      <c r="G63" s="426" t="str">
        <f>IF(Information!D8="Deutsch",Para1!$E$63,VLOOKUP(Para1!$E$63,Para1!$B$83:$G$206,3,FALSE))</f>
        <v>Fr</v>
      </c>
      <c r="H63" s="220"/>
      <c r="I63" s="220"/>
      <c r="J63" s="220"/>
      <c r="K63" s="5"/>
      <c r="L63" s="5"/>
      <c r="M63" s="5"/>
      <c r="N63" s="247"/>
      <c r="O63" s="247"/>
      <c r="P63" s="247"/>
      <c r="Q63" s="247"/>
      <c r="R63" s="247"/>
      <c r="S63" s="247"/>
      <c r="T63" s="247"/>
      <c r="U63" s="247"/>
      <c r="V63" s="247"/>
      <c r="W63" s="247"/>
      <c r="X63" s="247"/>
      <c r="Y63" s="247"/>
      <c r="Z63" s="247"/>
      <c r="AA63" s="247"/>
      <c r="AB63" s="247"/>
      <c r="AC63" s="247"/>
      <c r="AD63" s="247"/>
    </row>
    <row r="64" spans="2:30">
      <c r="B64" s="214"/>
      <c r="C64" s="5"/>
      <c r="D64" s="214"/>
      <c r="E64" s="5"/>
      <c r="F64" s="5"/>
      <c r="G64" s="5"/>
      <c r="H64" s="5"/>
      <c r="I64" s="5"/>
      <c r="J64" s="5"/>
      <c r="K64" s="5"/>
      <c r="L64" s="5"/>
      <c r="M64" s="5"/>
      <c r="N64" s="247"/>
      <c r="O64" s="247"/>
      <c r="P64" s="247"/>
      <c r="Q64" s="247"/>
      <c r="R64" s="247"/>
      <c r="S64" s="247"/>
      <c r="T64" s="247"/>
      <c r="U64" s="247"/>
      <c r="V64" s="247"/>
      <c r="W64" s="247"/>
      <c r="X64" s="247"/>
      <c r="Y64" s="247"/>
      <c r="Z64" s="247"/>
      <c r="AA64" s="247"/>
      <c r="AB64" s="247"/>
      <c r="AC64" s="247"/>
      <c r="AD64" s="247"/>
    </row>
    <row r="65" spans="2:30">
      <c r="B65" s="967" t="s">
        <v>112</v>
      </c>
      <c r="C65" s="967"/>
      <c r="D65" s="967"/>
      <c r="E65" s="967"/>
      <c r="F65" s="967"/>
      <c r="G65" s="967"/>
      <c r="H65" s="967"/>
      <c r="I65" s="967"/>
      <c r="J65" s="967"/>
      <c r="K65" s="967"/>
      <c r="L65" s="967"/>
      <c r="M65" s="967"/>
      <c r="N65" s="247"/>
      <c r="O65" s="248"/>
      <c r="P65" s="247"/>
      <c r="Q65" s="249"/>
      <c r="R65" s="247"/>
      <c r="S65" s="247"/>
      <c r="T65" s="247"/>
      <c r="U65" s="247"/>
      <c r="V65" s="247"/>
      <c r="W65" s="247"/>
      <c r="X65" s="247"/>
      <c r="Y65" s="247"/>
      <c r="Z65" s="247"/>
      <c r="AA65" s="247"/>
      <c r="AB65" s="247"/>
      <c r="AC65" s="247"/>
      <c r="AD65" s="247"/>
    </row>
    <row r="66" spans="2:30">
      <c r="B66" s="243" t="s">
        <v>128</v>
      </c>
      <c r="C66" s="243" t="s">
        <v>55</v>
      </c>
      <c r="D66" s="207"/>
      <c r="E66" s="245"/>
      <c r="F66" s="244" t="s">
        <v>131</v>
      </c>
      <c r="G66" s="246" t="s">
        <v>130</v>
      </c>
      <c r="H66" s="968" t="s">
        <v>121</v>
      </c>
      <c r="I66" s="969"/>
      <c r="J66" s="969"/>
      <c r="K66" s="969"/>
      <c r="L66" s="969"/>
      <c r="M66" s="970"/>
      <c r="N66" s="247"/>
      <c r="T66" s="247"/>
      <c r="U66" s="247"/>
      <c r="V66" s="247"/>
      <c r="W66" s="247"/>
      <c r="X66" s="247"/>
      <c r="Y66" s="247"/>
      <c r="Z66" s="247"/>
      <c r="AA66" s="247"/>
      <c r="AB66" s="247"/>
      <c r="AC66" s="247"/>
      <c r="AD66" s="247"/>
    </row>
    <row r="67" spans="2:30">
      <c r="B67" s="354" t="s">
        <v>7</v>
      </c>
      <c r="C67" s="354" t="s">
        <v>11</v>
      </c>
      <c r="D67" s="971" t="s">
        <v>122</v>
      </c>
      <c r="E67" s="972"/>
      <c r="F67" s="244">
        <v>0</v>
      </c>
      <c r="G67" s="263">
        <v>1</v>
      </c>
      <c r="N67" s="247"/>
      <c r="U67" s="247"/>
      <c r="V67" s="247"/>
      <c r="W67" s="247"/>
      <c r="X67" s="247"/>
      <c r="Y67" s="247"/>
      <c r="Z67" s="247"/>
      <c r="AA67" s="247"/>
      <c r="AB67" s="247"/>
      <c r="AC67" s="247"/>
      <c r="AD67" s="247"/>
    </row>
    <row r="68" spans="2:30">
      <c r="B68" s="354" t="s">
        <v>11</v>
      </c>
      <c r="C68" s="354" t="s">
        <v>11</v>
      </c>
      <c r="D68" s="314" t="s">
        <v>123</v>
      </c>
      <c r="E68" s="315"/>
      <c r="F68" s="264"/>
      <c r="G68" s="265"/>
      <c r="N68" s="252"/>
      <c r="U68" s="312"/>
      <c r="V68" s="250"/>
      <c r="W68" s="987"/>
      <c r="X68" s="988"/>
      <c r="Y68" s="247"/>
      <c r="Z68" s="247"/>
      <c r="AA68" s="247"/>
      <c r="AB68" s="247"/>
      <c r="AC68" s="247"/>
      <c r="AD68" s="247"/>
    </row>
    <row r="69" spans="2:30">
      <c r="B69" s="354" t="s">
        <v>13</v>
      </c>
      <c r="C69" s="354" t="s">
        <v>11</v>
      </c>
      <c r="D69" s="314" t="s">
        <v>124</v>
      </c>
      <c r="E69" s="315"/>
      <c r="F69" s="262">
        <v>0</v>
      </c>
      <c r="G69" s="317"/>
      <c r="I69" s="1000" t="s">
        <v>472</v>
      </c>
      <c r="J69" s="1001"/>
      <c r="K69" s="1001"/>
      <c r="L69" s="1001"/>
      <c r="M69" s="1002"/>
      <c r="U69" s="312"/>
      <c r="V69" s="250"/>
      <c r="W69" s="987"/>
      <c r="X69" s="988"/>
      <c r="Y69" s="247"/>
      <c r="Z69" s="247"/>
      <c r="AA69" s="247"/>
      <c r="AB69" s="247"/>
      <c r="AC69" s="247"/>
      <c r="AD69" s="247"/>
    </row>
    <row r="70" spans="2:30">
      <c r="B70" s="354" t="s">
        <v>24</v>
      </c>
      <c r="C70" s="354" t="s">
        <v>13</v>
      </c>
      <c r="D70" s="314" t="s">
        <v>127</v>
      </c>
      <c r="E70" s="315"/>
      <c r="F70" s="244">
        <v>0</v>
      </c>
      <c r="G70" s="263">
        <v>1</v>
      </c>
      <c r="N70" s="252"/>
      <c r="U70" s="312"/>
      <c r="V70" s="250"/>
      <c r="W70" s="987"/>
      <c r="X70" s="988"/>
      <c r="Y70" s="247"/>
      <c r="Z70" s="247"/>
      <c r="AA70" s="247"/>
      <c r="AB70" s="247"/>
      <c r="AC70" s="247"/>
      <c r="AD70" s="247"/>
    </row>
    <row r="71" spans="2:30">
      <c r="B71" s="354" t="s">
        <v>34</v>
      </c>
      <c r="C71" s="354" t="s">
        <v>13</v>
      </c>
      <c r="D71" s="314" t="s">
        <v>125</v>
      </c>
      <c r="E71" s="318"/>
      <c r="F71" s="264"/>
      <c r="G71" s="265"/>
      <c r="N71" s="252"/>
      <c r="U71" s="251"/>
      <c r="V71" s="251"/>
      <c r="W71" s="251"/>
      <c r="X71" s="251"/>
      <c r="Y71" s="247"/>
      <c r="Z71" s="247"/>
      <c r="AA71" s="247"/>
      <c r="AB71" s="247"/>
      <c r="AC71" s="247"/>
      <c r="AD71" s="247"/>
    </row>
    <row r="72" spans="2:30">
      <c r="B72" s="354" t="s">
        <v>35</v>
      </c>
      <c r="C72" s="354" t="s">
        <v>13</v>
      </c>
      <c r="D72" s="314" t="s">
        <v>126</v>
      </c>
      <c r="E72" s="318"/>
      <c r="F72" s="244">
        <v>0</v>
      </c>
      <c r="G72" s="316"/>
      <c r="N72" s="252"/>
      <c r="U72" s="247"/>
      <c r="V72" s="247"/>
      <c r="W72" s="247"/>
      <c r="X72" s="247"/>
      <c r="Y72" s="247"/>
      <c r="Z72" s="247"/>
      <c r="AA72" s="247"/>
      <c r="AB72" s="247"/>
      <c r="AC72" s="247"/>
      <c r="AD72" s="247"/>
    </row>
    <row r="73" spans="2:30">
      <c r="B73" s="313" t="s">
        <v>5</v>
      </c>
      <c r="C73" s="313" t="s">
        <v>5</v>
      </c>
      <c r="D73" s="973" t="s">
        <v>114</v>
      </c>
      <c r="E73" s="973"/>
      <c r="F73" s="313" t="s">
        <v>139</v>
      </c>
      <c r="G73" s="316"/>
      <c r="H73" s="967" t="s">
        <v>113</v>
      </c>
      <c r="I73" s="967"/>
      <c r="J73" s="967"/>
      <c r="K73" s="967"/>
      <c r="L73" s="967"/>
      <c r="M73" s="967"/>
      <c r="N73" s="252"/>
      <c r="T73" s="247"/>
      <c r="U73" s="247"/>
      <c r="V73" s="247"/>
      <c r="W73" s="247"/>
      <c r="X73" s="247"/>
      <c r="Y73" s="247"/>
      <c r="Z73" s="247"/>
      <c r="AA73" s="247"/>
      <c r="AB73" s="247"/>
      <c r="AC73" s="247"/>
      <c r="AD73" s="247"/>
    </row>
    <row r="74" spans="2:30">
      <c r="B74" s="313" t="s">
        <v>7</v>
      </c>
      <c r="C74" s="313" t="s">
        <v>5</v>
      </c>
      <c r="D74" s="973" t="s">
        <v>118</v>
      </c>
      <c r="E74" s="973"/>
      <c r="F74" s="313" t="s">
        <v>139</v>
      </c>
      <c r="G74" s="316"/>
      <c r="H74" s="350"/>
      <c r="I74" s="350"/>
      <c r="J74" s="349"/>
      <c r="K74" s="349"/>
      <c r="L74" s="352"/>
      <c r="M74" s="348"/>
      <c r="N74" s="252"/>
      <c r="T74" s="247"/>
      <c r="U74" s="247"/>
      <c r="V74" s="247"/>
      <c r="W74" s="247"/>
      <c r="X74" s="247"/>
      <c r="Y74" s="247"/>
      <c r="Z74" s="247"/>
      <c r="AA74" s="247"/>
      <c r="AB74" s="247"/>
      <c r="AC74" s="247"/>
      <c r="AD74" s="247"/>
    </row>
    <row r="75" spans="2:30">
      <c r="B75" s="313" t="s">
        <v>5</v>
      </c>
      <c r="C75" s="313" t="s">
        <v>19</v>
      </c>
      <c r="D75" s="973" t="s">
        <v>119</v>
      </c>
      <c r="E75" s="973"/>
      <c r="F75" s="313" t="s">
        <v>139</v>
      </c>
      <c r="G75" s="316" t="s">
        <v>150</v>
      </c>
      <c r="H75" s="350"/>
      <c r="I75" s="350"/>
      <c r="J75" s="349"/>
      <c r="K75" s="349"/>
      <c r="L75" s="352"/>
      <c r="M75" s="348"/>
      <c r="N75" s="252"/>
      <c r="T75" s="247"/>
      <c r="U75" s="247"/>
      <c r="V75" s="247"/>
      <c r="W75" s="247"/>
      <c r="X75" s="247"/>
      <c r="Y75" s="247"/>
      <c r="Z75" s="247"/>
      <c r="AA75" s="247"/>
      <c r="AB75" s="247"/>
      <c r="AC75" s="247"/>
      <c r="AD75" s="247"/>
    </row>
    <row r="76" spans="2:30">
      <c r="B76" s="313" t="s">
        <v>35</v>
      </c>
      <c r="C76" s="313" t="s">
        <v>23</v>
      </c>
      <c r="D76" s="973" t="s">
        <v>120</v>
      </c>
      <c r="E76" s="973"/>
      <c r="F76" s="313" t="s">
        <v>151</v>
      </c>
      <c r="G76" s="316"/>
      <c r="H76" s="350"/>
      <c r="I76" s="350"/>
      <c r="J76" s="349"/>
      <c r="K76" s="349"/>
      <c r="L76" s="352"/>
      <c r="M76" s="348"/>
      <c r="N76" s="252"/>
      <c r="T76" s="247"/>
      <c r="U76" s="247"/>
      <c r="V76" s="247"/>
      <c r="AB76" s="247"/>
      <c r="AC76" s="247"/>
      <c r="AD76" s="247"/>
    </row>
    <row r="77" spans="2:30">
      <c r="B77" s="313" t="s">
        <v>36</v>
      </c>
      <c r="C77" s="313" t="s">
        <v>23</v>
      </c>
      <c r="D77" s="973" t="s">
        <v>115</v>
      </c>
      <c r="E77" s="973"/>
      <c r="F77" s="313" t="s">
        <v>139</v>
      </c>
      <c r="G77" s="317"/>
      <c r="H77" s="350"/>
      <c r="I77" s="350"/>
      <c r="J77" s="349"/>
      <c r="K77" s="349"/>
      <c r="L77" s="352"/>
      <c r="M77" s="348"/>
      <c r="N77" s="388"/>
      <c r="O77" s="5"/>
      <c r="P77" s="5"/>
      <c r="T77" s="247"/>
      <c r="U77" s="247"/>
      <c r="V77" s="247"/>
      <c r="AB77" s="247"/>
      <c r="AC77" s="247"/>
      <c r="AD77" s="247"/>
    </row>
    <row r="78" spans="2:30">
      <c r="B78" s="313" t="s">
        <v>37</v>
      </c>
      <c r="C78" s="313" t="s">
        <v>23</v>
      </c>
      <c r="D78" s="973" t="s">
        <v>116</v>
      </c>
      <c r="E78" s="973"/>
      <c r="F78" s="313" t="s">
        <v>139</v>
      </c>
      <c r="G78" s="317"/>
      <c r="H78" s="350"/>
      <c r="I78" s="350"/>
      <c r="J78" s="349"/>
      <c r="K78" s="349"/>
      <c r="L78" s="352"/>
      <c r="M78" s="348"/>
      <c r="N78" s="388"/>
      <c r="O78" s="5"/>
      <c r="P78" s="5"/>
      <c r="T78" s="247"/>
      <c r="U78" s="247"/>
      <c r="V78" s="247"/>
      <c r="AB78" s="247"/>
      <c r="AC78" s="247"/>
      <c r="AD78" s="247"/>
    </row>
    <row r="79" spans="2:30">
      <c r="B79" s="313" t="s">
        <v>47</v>
      </c>
      <c r="C79" s="313" t="s">
        <v>23</v>
      </c>
      <c r="D79" s="973" t="s">
        <v>117</v>
      </c>
      <c r="E79" s="973"/>
      <c r="F79" s="262">
        <v>4.2</v>
      </c>
      <c r="G79" s="317"/>
      <c r="H79" s="350"/>
      <c r="L79" s="352"/>
      <c r="M79" s="348"/>
      <c r="N79" s="388"/>
      <c r="O79" s="989" t="s">
        <v>309</v>
      </c>
      <c r="P79" s="990"/>
      <c r="Q79" s="584" t="s">
        <v>312</v>
      </c>
      <c r="T79" s="247"/>
      <c r="U79" s="247"/>
      <c r="V79" s="247"/>
      <c r="AB79" s="247"/>
      <c r="AC79" s="247"/>
      <c r="AD79" s="247"/>
    </row>
    <row r="80" spans="2:30">
      <c r="B80" s="348"/>
      <c r="C80" s="348"/>
      <c r="D80" s="349"/>
      <c r="E80" s="349"/>
      <c r="F80" s="381"/>
      <c r="G80" s="382"/>
      <c r="H80" s="350"/>
      <c r="I80" s="350"/>
      <c r="J80" s="349"/>
      <c r="K80" s="349"/>
      <c r="L80" s="352"/>
      <c r="M80" s="348"/>
      <c r="N80" s="388"/>
      <c r="O80" s="5"/>
      <c r="P80" s="5"/>
      <c r="T80" s="247"/>
      <c r="U80" s="247"/>
      <c r="V80" s="247"/>
      <c r="AB80" s="247"/>
      <c r="AC80" s="247"/>
      <c r="AD80" s="247"/>
    </row>
    <row r="81" spans="2:30">
      <c r="B81" s="547" t="s">
        <v>277</v>
      </c>
      <c r="C81" s="548"/>
      <c r="D81" s="458"/>
      <c r="E81" s="458"/>
      <c r="F81" s="549"/>
      <c r="G81" s="353"/>
      <c r="H81" s="350"/>
      <c r="I81" s="350"/>
      <c r="J81" s="349"/>
      <c r="K81" s="349"/>
      <c r="L81" s="352"/>
      <c r="M81" s="348"/>
      <c r="N81" s="388"/>
      <c r="O81" s="5"/>
      <c r="P81" s="5"/>
      <c r="T81" s="247"/>
      <c r="U81" s="247"/>
      <c r="V81" s="247"/>
      <c r="AB81" s="247"/>
      <c r="AC81" s="247"/>
      <c r="AD81" s="247"/>
    </row>
    <row r="82" spans="2:30">
      <c r="B82" s="414" t="s">
        <v>129</v>
      </c>
      <c r="C82" s="415"/>
      <c r="D82" s="406" t="s">
        <v>152</v>
      </c>
      <c r="E82" s="407"/>
      <c r="F82" s="418" t="s">
        <v>169</v>
      </c>
      <c r="G82" s="353"/>
      <c r="H82" s="350"/>
      <c r="I82" s="350"/>
      <c r="J82" s="349"/>
      <c r="K82" s="349"/>
      <c r="L82" s="352"/>
      <c r="M82" s="348"/>
      <c r="N82" s="388"/>
      <c r="O82" s="5"/>
      <c r="P82" s="5"/>
      <c r="T82" s="247"/>
      <c r="U82" s="247"/>
      <c r="V82" s="247"/>
      <c r="AB82" s="247"/>
      <c r="AC82" s="247"/>
      <c r="AD82" s="247"/>
    </row>
    <row r="83" spans="2:30">
      <c r="B83" s="403" t="s">
        <v>101</v>
      </c>
      <c r="C83" s="384"/>
      <c r="D83" s="383" t="s">
        <v>154</v>
      </c>
      <c r="E83" s="384"/>
      <c r="F83" s="416" t="str">
        <f>IF(Information!$D$8="Deutsch",B83,D83)</f>
        <v>Absenzen</v>
      </c>
      <c r="G83" s="417"/>
      <c r="H83" s="350"/>
      <c r="I83" s="350"/>
      <c r="J83" s="349"/>
      <c r="K83" s="349"/>
      <c r="L83" s="352"/>
      <c r="M83" s="348"/>
      <c r="N83" s="388"/>
      <c r="O83" s="5"/>
      <c r="P83" s="5"/>
      <c r="T83" s="247"/>
      <c r="U83" s="247"/>
      <c r="V83" s="247"/>
      <c r="AB83" s="247"/>
      <c r="AC83" s="247"/>
      <c r="AD83" s="247"/>
    </row>
    <row r="84" spans="2:30">
      <c r="B84" s="422" t="s">
        <v>182</v>
      </c>
      <c r="C84" s="384"/>
      <c r="D84" s="383" t="s">
        <v>212</v>
      </c>
      <c r="E84" s="384"/>
      <c r="F84" s="416" t="str">
        <f>IF(Information!$D$8="Deutsch",B84,D84)</f>
        <v>akt. Mt.</v>
      </c>
      <c r="G84" s="417"/>
      <c r="H84" s="350"/>
      <c r="J84" s="349"/>
      <c r="K84" s="349"/>
      <c r="L84" s="352"/>
      <c r="M84" s="348"/>
      <c r="N84" s="388"/>
      <c r="O84" s="5"/>
      <c r="P84" s="5"/>
      <c r="T84" s="247"/>
      <c r="U84" s="247"/>
      <c r="V84" s="247"/>
      <c r="AB84" s="247"/>
      <c r="AC84" s="247"/>
      <c r="AD84" s="247"/>
    </row>
    <row r="85" spans="2:30">
      <c r="B85" s="403" t="s">
        <v>57</v>
      </c>
      <c r="C85" s="384"/>
      <c r="D85" s="383" t="s">
        <v>57</v>
      </c>
      <c r="E85" s="384"/>
      <c r="F85" s="416" t="str">
        <f>IF(Information!$D$8="Deutsch",B85,D85)</f>
        <v>April</v>
      </c>
      <c r="G85" s="391"/>
      <c r="H85" s="350"/>
      <c r="I85" s="350"/>
      <c r="J85" s="349"/>
      <c r="K85" s="349"/>
      <c r="L85" s="352"/>
      <c r="M85" s="348"/>
      <c r="N85" s="388"/>
      <c r="O85" s="396"/>
      <c r="P85" s="385"/>
      <c r="T85" s="247"/>
      <c r="U85" s="247"/>
      <c r="V85" s="247"/>
      <c r="AB85" s="247"/>
      <c r="AC85" s="247"/>
      <c r="AD85" s="247"/>
    </row>
    <row r="86" spans="2:30">
      <c r="B86" s="403" t="s">
        <v>268</v>
      </c>
      <c r="C86" s="384"/>
      <c r="D86" s="383" t="s">
        <v>269</v>
      </c>
      <c r="E86" s="384"/>
      <c r="F86" s="416" t="str">
        <f>IF(Information!$D$8="Deutsch",B86,D86)</f>
        <v>alt / neu</v>
      </c>
      <c r="G86" s="391"/>
      <c r="H86" s="350"/>
      <c r="I86" s="350"/>
      <c r="J86" s="349"/>
      <c r="K86" s="349"/>
      <c r="L86" s="352"/>
      <c r="M86" s="348"/>
      <c r="N86" s="388"/>
      <c r="O86" s="396"/>
      <c r="P86" s="385"/>
      <c r="T86" s="247"/>
      <c r="U86" s="247"/>
      <c r="V86" s="247"/>
      <c r="AB86" s="247"/>
      <c r="AC86" s="247"/>
      <c r="AD86" s="247"/>
    </row>
    <row r="87" spans="2:30">
      <c r="B87" s="576" t="s">
        <v>329</v>
      </c>
      <c r="C87" s="384"/>
      <c r="D87" s="744" t="s">
        <v>328</v>
      </c>
      <c r="E87" s="384"/>
      <c r="F87" s="416" t="str">
        <f>IF(Information!$D$8="Deutsch",B87,D87)</f>
        <v>Änderung</v>
      </c>
      <c r="G87" s="391"/>
      <c r="H87" s="350"/>
      <c r="I87" s="350"/>
      <c r="J87" s="349"/>
      <c r="K87" s="349"/>
      <c r="L87" s="352"/>
      <c r="M87" s="348"/>
      <c r="N87" s="388"/>
      <c r="O87" s="396"/>
      <c r="P87" s="385"/>
      <c r="T87" s="247"/>
      <c r="U87" s="247"/>
      <c r="V87" s="247"/>
      <c r="AB87" s="247"/>
      <c r="AC87" s="247"/>
      <c r="AD87" s="247"/>
    </row>
    <row r="88" spans="2:30">
      <c r="B88" s="403" t="s">
        <v>203</v>
      </c>
      <c r="C88" s="384"/>
      <c r="D88" s="744" t="s">
        <v>240</v>
      </c>
      <c r="E88" s="384"/>
      <c r="F88" s="416" t="str">
        <f>IF(Information!$D$8="Deutsch",B88,D88)</f>
        <v>Anfang</v>
      </c>
      <c r="G88" s="391"/>
      <c r="H88" s="350"/>
      <c r="I88" s="350"/>
      <c r="K88" s="349"/>
      <c r="L88" s="352"/>
      <c r="M88" s="348"/>
      <c r="N88" s="388"/>
      <c r="O88" s="396"/>
      <c r="P88" s="385"/>
      <c r="T88" s="247"/>
      <c r="U88" s="247"/>
      <c r="V88" s="247"/>
      <c r="AB88" s="247"/>
      <c r="AC88" s="247"/>
      <c r="AD88" s="247"/>
    </row>
    <row r="89" spans="2:30">
      <c r="B89" s="403" t="s">
        <v>288</v>
      </c>
      <c r="C89" s="384"/>
      <c r="D89" s="744" t="s">
        <v>290</v>
      </c>
      <c r="E89" s="384"/>
      <c r="F89" s="416" t="str">
        <f>IF(Information!$D$8="Deutsch",B89,D89)</f>
        <v>Anzahl</v>
      </c>
      <c r="G89" s="391"/>
      <c r="H89" s="350"/>
      <c r="I89" s="350"/>
      <c r="K89" s="349"/>
      <c r="L89" s="352"/>
      <c r="M89" s="348"/>
      <c r="N89" s="388"/>
      <c r="O89" s="396"/>
      <c r="P89" s="385"/>
      <c r="T89" s="247"/>
      <c r="U89" s="247"/>
      <c r="V89" s="247"/>
      <c r="AB89" s="247"/>
      <c r="AC89" s="247"/>
      <c r="AD89" s="247"/>
    </row>
    <row r="90" spans="2:30">
      <c r="B90" s="412" t="s">
        <v>82</v>
      </c>
      <c r="C90" s="384"/>
      <c r="D90" s="744" t="s">
        <v>395</v>
      </c>
      <c r="E90" s="384"/>
      <c r="F90" s="416" t="str">
        <f>IF(Information!$D$8="Deutsch",B90,D90)</f>
        <v>Arbeitsmuster</v>
      </c>
      <c r="G90" s="391"/>
      <c r="H90" s="427"/>
      <c r="I90" s="350"/>
      <c r="K90" s="349"/>
      <c r="L90" s="352"/>
      <c r="M90" s="348"/>
      <c r="N90" s="388"/>
      <c r="O90" s="396"/>
      <c r="P90" s="385"/>
      <c r="T90" s="247"/>
      <c r="U90" s="247"/>
      <c r="V90" s="247"/>
      <c r="AB90" s="247"/>
      <c r="AC90" s="247"/>
      <c r="AD90" s="247"/>
    </row>
    <row r="91" spans="2:30">
      <c r="B91" s="412" t="s">
        <v>82</v>
      </c>
      <c r="C91" s="384"/>
      <c r="D91" s="744" t="s">
        <v>400</v>
      </c>
      <c r="E91" s="384"/>
      <c r="F91" s="416" t="str">
        <f>IF(Information!$D$8="Deutsch",B91,D91)</f>
        <v>Arbeitsmuster</v>
      </c>
      <c r="G91" s="391"/>
      <c r="H91" s="427"/>
      <c r="I91" s="350"/>
      <c r="K91" s="349"/>
      <c r="L91" s="352"/>
      <c r="M91" s="348"/>
      <c r="N91" s="388"/>
      <c r="O91" s="396"/>
      <c r="P91" s="385"/>
      <c r="T91" s="247"/>
      <c r="U91" s="247"/>
      <c r="V91" s="247"/>
      <c r="AB91" s="247"/>
      <c r="AC91" s="247"/>
      <c r="AD91" s="247"/>
    </row>
    <row r="92" spans="2:30">
      <c r="B92" s="421" t="s">
        <v>305</v>
      </c>
      <c r="C92" s="384"/>
      <c r="D92" s="744" t="s">
        <v>308</v>
      </c>
      <c r="E92" s="384"/>
      <c r="F92" s="416" t="str">
        <f>IF(Information!$D$8="Deutsch",B92,D92)</f>
        <v>Arbeitstage</v>
      </c>
      <c r="G92" s="391"/>
      <c r="H92" s="350"/>
      <c r="I92" s="350"/>
      <c r="K92" s="349"/>
      <c r="L92" s="352"/>
      <c r="M92" s="348"/>
      <c r="N92" s="388"/>
      <c r="O92" s="396"/>
      <c r="P92" s="385"/>
      <c r="T92" s="247"/>
      <c r="U92" s="247"/>
      <c r="V92" s="247"/>
      <c r="AB92" s="247"/>
      <c r="AC92" s="247"/>
      <c r="AD92" s="247"/>
    </row>
    <row r="93" spans="2:30">
      <c r="B93" s="403" t="s">
        <v>77</v>
      </c>
      <c r="C93" s="384"/>
      <c r="D93" s="744" t="s">
        <v>394</v>
      </c>
      <c r="E93" s="384"/>
      <c r="F93" s="416" t="str">
        <f>IF(Information!$D$8="Deutsch",B93,D93)</f>
        <v>Arbeitszeit</v>
      </c>
      <c r="G93" s="417"/>
      <c r="H93" s="350"/>
      <c r="I93" s="350"/>
      <c r="J93" s="349"/>
      <c r="K93" s="349"/>
      <c r="L93" s="352"/>
      <c r="M93" s="348"/>
      <c r="N93" s="388"/>
      <c r="O93" s="5"/>
      <c r="P93" s="5"/>
      <c r="T93" s="247"/>
      <c r="U93" s="247"/>
      <c r="V93" s="247"/>
      <c r="AB93" s="247"/>
      <c r="AC93" s="247"/>
      <c r="AD93" s="247"/>
    </row>
    <row r="94" spans="2:30">
      <c r="B94" s="403" t="s">
        <v>61</v>
      </c>
      <c r="C94" s="408"/>
      <c r="D94" s="744" t="s">
        <v>61</v>
      </c>
      <c r="E94" s="384"/>
      <c r="F94" s="416" t="str">
        <f>IF(Information!$D$8="Deutsch",B94,D94)</f>
        <v>August</v>
      </c>
      <c r="G94" s="417"/>
      <c r="H94" s="350"/>
      <c r="I94" s="350"/>
      <c r="J94" s="349"/>
      <c r="K94" s="349"/>
      <c r="L94" s="352"/>
      <c r="M94" s="348"/>
      <c r="N94" s="388"/>
      <c r="O94" s="386"/>
      <c r="P94" s="386"/>
      <c r="T94" s="247"/>
      <c r="U94" s="247"/>
      <c r="V94" s="247"/>
      <c r="W94" s="247"/>
      <c r="X94" s="247"/>
      <c r="Y94" s="247"/>
      <c r="Z94" s="247"/>
      <c r="AA94" s="247"/>
      <c r="AB94" s="247"/>
      <c r="AC94" s="247"/>
      <c r="AD94" s="247"/>
    </row>
    <row r="95" spans="2:30">
      <c r="B95" s="403" t="s">
        <v>171</v>
      </c>
      <c r="C95" s="408"/>
      <c r="D95" s="744" t="s">
        <v>172</v>
      </c>
      <c r="E95" s="384"/>
      <c r="F95" s="416" t="str">
        <f>IF(Information!$D$8="Deutsch",B95,D95)</f>
        <v xml:space="preserve">Bemerkungen: </v>
      </c>
      <c r="G95" s="417"/>
      <c r="H95" s="350"/>
      <c r="I95" s="350"/>
      <c r="J95" s="349"/>
      <c r="K95" s="349"/>
      <c r="L95" s="352"/>
      <c r="M95" s="348"/>
      <c r="N95" s="388"/>
      <c r="O95" s="386"/>
      <c r="P95" s="386"/>
      <c r="T95" s="247"/>
      <c r="U95" s="247"/>
      <c r="V95" s="247"/>
      <c r="W95" s="247"/>
      <c r="X95" s="247"/>
      <c r="Y95" s="247"/>
      <c r="Z95" s="247"/>
      <c r="AA95" s="247"/>
      <c r="AB95" s="247"/>
      <c r="AC95" s="247"/>
      <c r="AD95" s="247"/>
    </row>
    <row r="96" spans="2:30">
      <c r="B96" s="404" t="s">
        <v>167</v>
      </c>
      <c r="C96" s="408"/>
      <c r="D96" s="744" t="s">
        <v>168</v>
      </c>
      <c r="E96" s="384"/>
      <c r="F96" s="416" t="str">
        <f>IF(Information!$D$8="Deutsch",B96,D96)</f>
        <v>Beschäftigungsgrad</v>
      </c>
      <c r="G96" s="417"/>
      <c r="H96" s="350"/>
      <c r="I96" s="350"/>
      <c r="J96" s="349"/>
      <c r="K96" s="349"/>
      <c r="L96" s="352"/>
      <c r="M96" s="348"/>
      <c r="N96" s="389"/>
      <c r="O96" s="70"/>
      <c r="P96" s="387"/>
      <c r="T96" s="247"/>
      <c r="U96" s="247"/>
      <c r="V96" s="247"/>
      <c r="W96" s="247"/>
      <c r="X96" s="247"/>
      <c r="Y96" s="247"/>
      <c r="Z96" s="247"/>
      <c r="AA96" s="247"/>
      <c r="AB96" s="247"/>
      <c r="AC96" s="247"/>
      <c r="AD96" s="247"/>
    </row>
    <row r="97" spans="2:30">
      <c r="B97" s="404" t="s">
        <v>272</v>
      </c>
      <c r="C97" s="408"/>
      <c r="D97" s="744" t="s">
        <v>273</v>
      </c>
      <c r="E97" s="384"/>
      <c r="F97" s="416" t="str">
        <f>IF(Information!$D$8="Deutsch",B97,D97)</f>
        <v>Berechnung</v>
      </c>
      <c r="G97" s="417"/>
      <c r="H97" s="350"/>
      <c r="I97" s="350"/>
      <c r="J97" s="349"/>
      <c r="K97" s="349"/>
      <c r="L97" s="352"/>
      <c r="M97" s="348"/>
      <c r="N97" s="389"/>
      <c r="O97" s="70"/>
      <c r="P97" s="387"/>
      <c r="T97" s="247"/>
      <c r="U97" s="247"/>
      <c r="V97" s="247"/>
      <c r="W97" s="247"/>
      <c r="X97" s="247"/>
      <c r="Y97" s="247"/>
      <c r="Z97" s="247"/>
      <c r="AA97" s="247"/>
      <c r="AB97" s="247"/>
      <c r="AC97" s="247"/>
      <c r="AD97" s="247"/>
    </row>
    <row r="98" spans="2:30">
      <c r="B98" s="404" t="s">
        <v>194</v>
      </c>
      <c r="C98" s="408"/>
      <c r="D98" s="744" t="s">
        <v>195</v>
      </c>
      <c r="E98" s="384"/>
      <c r="F98" s="416" t="str">
        <f>IF(Information!$D$8="Deutsch",B98,D98)</f>
        <v>betriebsbedingt</v>
      </c>
      <c r="G98" s="417"/>
      <c r="H98" s="427"/>
      <c r="I98" s="350"/>
      <c r="J98" s="349"/>
      <c r="K98" s="349"/>
      <c r="L98" s="352"/>
      <c r="M98" s="348"/>
      <c r="N98" s="389"/>
      <c r="O98" s="70"/>
      <c r="P98" s="387"/>
      <c r="T98" s="247"/>
      <c r="U98" s="247"/>
      <c r="V98" s="247"/>
      <c r="W98" s="247"/>
      <c r="X98" s="247"/>
      <c r="Y98" s="247"/>
      <c r="Z98" s="247"/>
      <c r="AA98" s="247"/>
      <c r="AB98" s="247"/>
      <c r="AC98" s="247"/>
      <c r="AD98" s="247"/>
    </row>
    <row r="99" spans="2:30">
      <c r="B99" s="404" t="s">
        <v>224</v>
      </c>
      <c r="C99" s="408"/>
      <c r="D99" s="744" t="s">
        <v>221</v>
      </c>
      <c r="E99" s="384"/>
      <c r="F99" s="416" t="str">
        <f>IF(Information!$D$8="Deutsch",B99,D99)</f>
        <v>betr.</v>
      </c>
      <c r="G99" s="417"/>
      <c r="H99" s="427"/>
      <c r="I99" s="350"/>
      <c r="J99" s="349"/>
      <c r="K99" s="349"/>
      <c r="L99" s="352"/>
      <c r="M99" s="348"/>
      <c r="N99" s="389"/>
      <c r="O99" s="70"/>
      <c r="P99" s="387"/>
      <c r="T99" s="247"/>
      <c r="U99" s="247"/>
      <c r="V99" s="247"/>
      <c r="W99" s="247"/>
      <c r="X99" s="247"/>
      <c r="Y99" s="247"/>
      <c r="Z99" s="247"/>
      <c r="AA99" s="247"/>
      <c r="AB99" s="247"/>
      <c r="AC99" s="247"/>
      <c r="AD99" s="247"/>
    </row>
    <row r="100" spans="2:30">
      <c r="B100" s="404" t="s">
        <v>189</v>
      </c>
      <c r="C100" s="408"/>
      <c r="D100" s="744" t="s">
        <v>190</v>
      </c>
      <c r="E100" s="384"/>
      <c r="F100" s="416" t="str">
        <f>IF(Information!$D$8="Deutsch",B100,D100)</f>
        <v>bezahlt</v>
      </c>
      <c r="G100" s="417"/>
      <c r="H100" s="350"/>
      <c r="I100" s="350"/>
      <c r="J100" s="349"/>
      <c r="K100" s="349"/>
      <c r="L100" s="352"/>
      <c r="M100" s="348"/>
      <c r="N100" s="389"/>
      <c r="O100" s="70"/>
      <c r="P100" s="387"/>
      <c r="T100" s="247"/>
      <c r="U100" s="247"/>
      <c r="V100" s="247"/>
      <c r="W100" s="247"/>
      <c r="X100" s="247"/>
      <c r="Y100" s="247"/>
      <c r="Z100" s="247"/>
      <c r="AA100" s="247"/>
      <c r="AB100" s="247"/>
      <c r="AC100" s="247"/>
      <c r="AD100" s="247"/>
    </row>
    <row r="101" spans="2:30">
      <c r="B101" s="403" t="s">
        <v>153</v>
      </c>
      <c r="C101" s="408"/>
      <c r="D101" s="744" t="s">
        <v>166</v>
      </c>
      <c r="E101" s="384"/>
      <c r="F101" s="416" t="str">
        <f>IF(Information!$D$8="Deutsch",B101,D101)</f>
        <v>Bezug akt. Monat</v>
      </c>
      <c r="G101" s="417"/>
      <c r="H101" s="350"/>
      <c r="I101" s="350"/>
      <c r="J101" s="349"/>
      <c r="K101" s="349"/>
      <c r="L101" s="443"/>
      <c r="M101" s="348"/>
      <c r="N101" s="389"/>
      <c r="O101" s="395"/>
      <c r="P101" s="395"/>
      <c r="T101" s="247"/>
      <c r="U101" s="247"/>
      <c r="V101" s="247"/>
      <c r="W101" s="247"/>
      <c r="X101" s="247"/>
      <c r="Y101" s="247"/>
      <c r="Z101" s="247"/>
      <c r="AA101" s="247"/>
      <c r="AB101" s="247"/>
      <c r="AC101" s="247"/>
      <c r="AD101" s="247"/>
    </row>
    <row r="102" spans="2:30">
      <c r="B102" s="600" t="s">
        <v>342</v>
      </c>
      <c r="C102" s="601"/>
      <c r="D102" s="744" t="s">
        <v>343</v>
      </c>
      <c r="E102" s="384"/>
      <c r="F102" s="416" t="str">
        <f>IF(Information!$D$8="Deutsch",B102,D102)</f>
        <v>bezogene</v>
      </c>
      <c r="G102" s="417"/>
      <c r="H102" s="350"/>
      <c r="I102" s="350"/>
      <c r="J102" s="349"/>
      <c r="K102" s="349"/>
      <c r="L102" s="443"/>
      <c r="M102" s="348"/>
      <c r="N102" s="389"/>
      <c r="O102" s="395"/>
      <c r="P102" s="395"/>
      <c r="T102" s="247"/>
      <c r="U102" s="247"/>
      <c r="V102" s="247"/>
      <c r="W102" s="247"/>
      <c r="X102" s="247"/>
      <c r="Y102" s="247"/>
      <c r="Z102" s="247"/>
      <c r="AA102" s="247"/>
      <c r="AB102" s="247"/>
      <c r="AC102" s="247"/>
      <c r="AD102" s="247"/>
    </row>
    <row r="103" spans="2:30">
      <c r="B103" s="403" t="s">
        <v>249</v>
      </c>
      <c r="C103" s="408"/>
      <c r="D103" s="744" t="s">
        <v>250</v>
      </c>
      <c r="E103" s="384"/>
      <c r="F103" s="416" t="str">
        <f>IF(Information!$D$8="Deutsch",B103,D103)</f>
        <v>Buchstaben</v>
      </c>
      <c r="G103" s="417"/>
      <c r="H103" s="350"/>
      <c r="I103" s="350"/>
      <c r="J103" s="349"/>
      <c r="K103" s="349"/>
      <c r="L103" s="352"/>
      <c r="M103" s="348"/>
      <c r="N103" s="389"/>
      <c r="O103" s="395"/>
      <c r="P103" s="395"/>
      <c r="T103" s="247"/>
      <c r="U103" s="247"/>
      <c r="V103" s="247"/>
      <c r="W103" s="247"/>
      <c r="X103" s="247"/>
      <c r="Y103" s="247"/>
      <c r="Z103" s="247"/>
      <c r="AA103" s="247"/>
      <c r="AB103" s="247"/>
      <c r="AC103" s="247"/>
      <c r="AD103" s="247"/>
    </row>
    <row r="104" spans="2:30">
      <c r="B104" s="403" t="s">
        <v>2</v>
      </c>
      <c r="C104" s="408"/>
      <c r="D104" s="744" t="s">
        <v>156</v>
      </c>
      <c r="E104" s="384"/>
      <c r="F104" s="416" t="str">
        <f>IF(Information!$D$8="Deutsch",B104,D104)</f>
        <v>Datum</v>
      </c>
      <c r="G104" s="417"/>
      <c r="H104" s="350"/>
      <c r="I104" s="350"/>
      <c r="J104" s="349"/>
      <c r="K104" s="349"/>
      <c r="L104" s="352"/>
      <c r="M104" s="348"/>
      <c r="N104" s="389"/>
      <c r="O104" s="395"/>
      <c r="P104" s="395"/>
      <c r="T104" s="247"/>
      <c r="U104" s="247"/>
      <c r="V104" s="247"/>
      <c r="W104" s="247"/>
      <c r="X104" s="247"/>
      <c r="Y104" s="247"/>
      <c r="Z104" s="247"/>
      <c r="AA104" s="247"/>
      <c r="AB104" s="247"/>
      <c r="AC104" s="247"/>
      <c r="AD104" s="247"/>
    </row>
    <row r="105" spans="2:30">
      <c r="B105" s="403" t="s">
        <v>65</v>
      </c>
      <c r="C105" s="405"/>
      <c r="D105" s="744" t="s">
        <v>450</v>
      </c>
      <c r="E105" s="384"/>
      <c r="F105" s="416" t="str">
        <f>IF(Information!$D$8="Deutsch",B105,D105)</f>
        <v>Dezember</v>
      </c>
      <c r="G105" s="417"/>
      <c r="H105" s="350"/>
      <c r="I105" s="350"/>
      <c r="J105" s="349"/>
      <c r="K105" s="349"/>
      <c r="L105" s="443"/>
      <c r="M105" s="348"/>
      <c r="N105" s="389"/>
      <c r="O105" s="387"/>
      <c r="P105" s="387"/>
      <c r="T105" s="247"/>
      <c r="U105" s="247"/>
      <c r="V105" s="247"/>
      <c r="W105" s="247"/>
      <c r="X105" s="247"/>
      <c r="Y105" s="247"/>
      <c r="Z105" s="247"/>
      <c r="AA105" s="247"/>
      <c r="AB105" s="247"/>
      <c r="AC105" s="247"/>
      <c r="AD105" s="247"/>
    </row>
    <row r="106" spans="2:30">
      <c r="B106" s="403" t="s">
        <v>94</v>
      </c>
      <c r="C106" s="405"/>
      <c r="D106" s="744" t="s">
        <v>245</v>
      </c>
      <c r="E106" s="384"/>
      <c r="F106" s="416" t="str">
        <f>IF(Information!$D$8="Deutsch",B106,D106)</f>
        <v>dezimal</v>
      </c>
      <c r="G106" s="417"/>
      <c r="H106" s="350"/>
      <c r="I106" s="350"/>
      <c r="J106" s="349"/>
      <c r="K106" s="349"/>
      <c r="L106" s="443"/>
      <c r="M106" s="348"/>
      <c r="N106" s="389"/>
      <c r="O106" s="387"/>
      <c r="P106" s="387"/>
      <c r="T106" s="247"/>
      <c r="U106" s="247"/>
      <c r="V106" s="247"/>
      <c r="W106" s="247"/>
      <c r="X106" s="247"/>
      <c r="Y106" s="247"/>
      <c r="Z106" s="247"/>
      <c r="AA106" s="247"/>
      <c r="AB106" s="247"/>
      <c r="AC106" s="247"/>
      <c r="AD106" s="247"/>
    </row>
    <row r="107" spans="2:30">
      <c r="B107" s="420" t="s">
        <v>14</v>
      </c>
      <c r="D107" s="744" t="s">
        <v>207</v>
      </c>
      <c r="E107" s="384"/>
      <c r="F107" s="416" t="str">
        <f>IF(Information!$D$8="Deutsch",B107,D107)</f>
        <v>Di</v>
      </c>
      <c r="G107" s="417"/>
      <c r="H107" s="350"/>
      <c r="I107" s="350"/>
      <c r="J107" s="349"/>
      <c r="K107" s="349"/>
      <c r="L107" s="352"/>
      <c r="M107" s="348"/>
      <c r="N107" s="389"/>
      <c r="O107" s="387"/>
      <c r="P107" s="387"/>
      <c r="T107" s="247"/>
      <c r="U107" s="247"/>
      <c r="V107" s="247"/>
      <c r="W107" s="247"/>
      <c r="X107" s="247"/>
      <c r="Y107" s="247"/>
      <c r="Z107" s="247"/>
      <c r="AA107" s="247"/>
      <c r="AB107" s="247"/>
      <c r="AC107" s="247"/>
      <c r="AD107" s="247"/>
    </row>
    <row r="108" spans="2:30">
      <c r="B108" s="403" t="s">
        <v>201</v>
      </c>
      <c r="C108" s="405"/>
      <c r="D108" s="744" t="s">
        <v>202</v>
      </c>
      <c r="E108" s="384"/>
      <c r="F108" s="416" t="str">
        <f>IF(Information!$D$8="Deutsch",B108,D108)</f>
        <v>Differenz</v>
      </c>
      <c r="G108" s="417"/>
      <c r="H108" s="350"/>
      <c r="I108" s="350"/>
      <c r="J108" s="349"/>
      <c r="K108" s="349"/>
      <c r="L108" s="352"/>
      <c r="M108" s="348"/>
      <c r="N108" s="389"/>
      <c r="O108" s="387"/>
      <c r="P108" s="387"/>
      <c r="T108" s="247"/>
      <c r="U108" s="247"/>
      <c r="V108" s="247"/>
      <c r="W108" s="247"/>
      <c r="X108" s="247"/>
      <c r="Y108" s="247"/>
      <c r="Z108" s="247"/>
      <c r="AA108" s="247"/>
      <c r="AB108" s="247"/>
      <c r="AC108" s="247"/>
      <c r="AD108" s="247"/>
    </row>
    <row r="109" spans="2:30">
      <c r="B109" s="423" t="s">
        <v>18</v>
      </c>
      <c r="C109" s="413"/>
      <c r="D109" s="744" t="s">
        <v>208</v>
      </c>
      <c r="E109" s="384"/>
      <c r="F109" s="416" t="str">
        <f>IF(Information!$D$8="Deutsch",B109,D109)</f>
        <v>Do</v>
      </c>
      <c r="G109" s="417"/>
      <c r="H109" s="350"/>
      <c r="I109" s="350"/>
      <c r="J109" s="349"/>
      <c r="L109" s="349"/>
      <c r="M109" s="348"/>
      <c r="N109" s="389"/>
      <c r="O109" s="387"/>
      <c r="P109" s="387"/>
      <c r="T109" s="247"/>
      <c r="U109" s="247"/>
      <c r="V109" s="247"/>
      <c r="W109" s="247"/>
      <c r="X109" s="247"/>
      <c r="Y109" s="247"/>
      <c r="Z109" s="247"/>
      <c r="AA109" s="247"/>
      <c r="AB109" s="247"/>
      <c r="AC109" s="247"/>
      <c r="AD109" s="247"/>
    </row>
    <row r="110" spans="2:30">
      <c r="B110" s="420" t="s">
        <v>270</v>
      </c>
      <c r="D110" s="744" t="s">
        <v>271</v>
      </c>
      <c r="E110" s="384"/>
      <c r="F110" s="416" t="str">
        <f>IF(Information!$D$8="Deutsch",B110,D110)</f>
        <v>durchschnittliches</v>
      </c>
      <c r="G110" s="417"/>
      <c r="H110" s="350"/>
      <c r="I110" s="350"/>
      <c r="J110" s="349"/>
      <c r="L110" s="349"/>
      <c r="M110" s="348"/>
      <c r="N110" s="389"/>
      <c r="O110" s="387"/>
      <c r="P110" s="387"/>
      <c r="T110" s="247"/>
      <c r="U110" s="247"/>
      <c r="V110" s="247"/>
      <c r="W110" s="247"/>
      <c r="X110" s="247"/>
      <c r="Y110" s="247"/>
      <c r="Z110" s="247"/>
      <c r="AA110" s="247"/>
      <c r="AB110" s="247"/>
      <c r="AC110" s="247"/>
      <c r="AD110" s="247"/>
    </row>
    <row r="111" spans="2:30">
      <c r="B111" s="403" t="s">
        <v>44</v>
      </c>
      <c r="C111" s="384"/>
      <c r="D111" s="744" t="s">
        <v>173</v>
      </c>
      <c r="E111" s="384"/>
      <c r="F111" s="416" t="str">
        <f>IF(Information!$D$8="Deutsch",B111,D111)</f>
        <v xml:space="preserve">Eintrittsdatum: </v>
      </c>
      <c r="G111" s="417"/>
      <c r="H111" s="350"/>
      <c r="I111" s="350"/>
      <c r="J111" s="349"/>
      <c r="L111" s="349"/>
      <c r="M111" s="348"/>
      <c r="N111" s="389"/>
      <c r="O111" s="390"/>
      <c r="P111" s="387"/>
      <c r="T111" s="247"/>
      <c r="U111" s="247"/>
      <c r="V111" s="247"/>
      <c r="W111" s="247"/>
      <c r="X111" s="247"/>
      <c r="Y111" s="247"/>
      <c r="Z111" s="247"/>
      <c r="AA111" s="247"/>
      <c r="AB111" s="247"/>
      <c r="AC111" s="247"/>
      <c r="AD111" s="247"/>
    </row>
    <row r="112" spans="2:30">
      <c r="B112" s="559" t="s">
        <v>291</v>
      </c>
      <c r="C112" s="384"/>
      <c r="D112" s="744" t="s">
        <v>292</v>
      </c>
      <c r="E112" s="384"/>
      <c r="F112" s="416" t="str">
        <f>IF(Information!$D$8="Deutsch",B112,D112)</f>
        <v>Eintrittsmonat</v>
      </c>
      <c r="G112" s="417"/>
      <c r="H112" s="350"/>
      <c r="I112" s="350"/>
      <c r="J112" s="349"/>
      <c r="L112" s="349"/>
      <c r="M112" s="348"/>
      <c r="N112" s="389"/>
      <c r="O112" s="390"/>
      <c r="P112" s="387"/>
      <c r="T112" s="247"/>
      <c r="U112" s="247"/>
      <c r="V112" s="247"/>
      <c r="W112" s="247"/>
      <c r="X112" s="247"/>
      <c r="Y112" s="247"/>
      <c r="Z112" s="247"/>
      <c r="AA112" s="247"/>
      <c r="AB112" s="247"/>
      <c r="AC112" s="247"/>
      <c r="AD112" s="247"/>
    </row>
    <row r="113" spans="2:30">
      <c r="B113" s="403" t="s">
        <v>204</v>
      </c>
      <c r="C113" s="384"/>
      <c r="D113" s="744" t="s">
        <v>241</v>
      </c>
      <c r="E113" s="384"/>
      <c r="F113" s="416" t="str">
        <f>IF(Information!$D$8="Deutsch",B113,D113)</f>
        <v>Ende</v>
      </c>
      <c r="G113" s="417"/>
      <c r="H113" s="350"/>
      <c r="I113" s="350"/>
      <c r="J113" s="349"/>
      <c r="L113" s="349"/>
      <c r="M113" s="348"/>
      <c r="N113" s="389"/>
      <c r="O113" s="390"/>
      <c r="P113" s="387"/>
      <c r="T113" s="247"/>
      <c r="U113" s="247"/>
      <c r="V113" s="247"/>
      <c r="W113" s="247"/>
      <c r="X113" s="247"/>
      <c r="Y113" s="247"/>
      <c r="Z113" s="247"/>
      <c r="AA113" s="247"/>
      <c r="AB113" s="247"/>
      <c r="AC113" s="247"/>
      <c r="AD113" s="247"/>
    </row>
    <row r="114" spans="2:30">
      <c r="B114" s="403" t="s">
        <v>81</v>
      </c>
      <c r="C114" s="384"/>
      <c r="D114" s="744" t="s">
        <v>444</v>
      </c>
      <c r="E114" s="384"/>
      <c r="F114" s="416" t="str">
        <f>IF(Information!$D$8="Deutsch",B114,D114)</f>
        <v>Februar</v>
      </c>
      <c r="G114" s="417"/>
      <c r="H114" s="350"/>
      <c r="J114" s="349"/>
      <c r="L114" s="349"/>
      <c r="M114" s="348"/>
      <c r="N114" s="389"/>
      <c r="O114" s="387"/>
      <c r="P114" s="387"/>
      <c r="T114" s="247"/>
      <c r="U114" s="247"/>
      <c r="V114" s="247"/>
      <c r="W114" s="247"/>
      <c r="X114" s="247"/>
      <c r="Y114" s="247"/>
      <c r="Z114" s="247"/>
      <c r="AA114" s="247"/>
      <c r="AB114" s="247"/>
      <c r="AC114" s="247"/>
      <c r="AD114" s="247"/>
    </row>
    <row r="115" spans="2:30">
      <c r="B115" s="403" t="s">
        <v>105</v>
      </c>
      <c r="C115" s="408"/>
      <c r="D115" s="744" t="s">
        <v>393</v>
      </c>
      <c r="E115" s="384"/>
      <c r="F115" s="416" t="str">
        <f>IF(Information!$D$8="Deutsch",B115,D115)</f>
        <v>Ferien</v>
      </c>
      <c r="G115" s="417"/>
      <c r="H115" s="350"/>
      <c r="I115" s="350"/>
      <c r="J115" s="349"/>
      <c r="L115" s="349"/>
      <c r="M115" s="348"/>
      <c r="N115" s="389"/>
      <c r="O115" s="387"/>
      <c r="P115" s="387"/>
      <c r="T115" s="247"/>
      <c r="U115" s="247"/>
      <c r="V115" s="247"/>
      <c r="W115" s="247"/>
      <c r="X115" s="247"/>
      <c r="Y115" s="247"/>
      <c r="Z115" s="247"/>
      <c r="AA115" s="247"/>
      <c r="AB115" s="247"/>
      <c r="AC115" s="247"/>
      <c r="AD115" s="247"/>
    </row>
    <row r="116" spans="2:30">
      <c r="B116" s="403" t="s">
        <v>215</v>
      </c>
      <c r="C116" s="408"/>
      <c r="D116" s="744" t="s">
        <v>398</v>
      </c>
      <c r="E116" s="384"/>
      <c r="F116" s="416" t="str">
        <f>IF(Information!$D$8="Deutsch",B116,D116)</f>
        <v>Ferienbezug</v>
      </c>
      <c r="G116" s="417"/>
      <c r="H116" s="350"/>
      <c r="I116" s="350"/>
      <c r="J116" s="349"/>
      <c r="L116" s="349"/>
      <c r="M116" s="348"/>
      <c r="N116" s="389"/>
      <c r="O116" s="387"/>
      <c r="P116" s="387"/>
      <c r="T116" s="247"/>
      <c r="U116" s="247"/>
      <c r="V116" s="247"/>
      <c r="W116" s="247"/>
      <c r="X116" s="247"/>
      <c r="Y116" s="247"/>
      <c r="Z116" s="247"/>
      <c r="AA116" s="247"/>
      <c r="AB116" s="247"/>
      <c r="AC116" s="247"/>
      <c r="AD116" s="247"/>
    </row>
    <row r="117" spans="2:30">
      <c r="B117" s="403" t="s">
        <v>149</v>
      </c>
      <c r="C117" s="384"/>
      <c r="D117" s="744" t="s">
        <v>397</v>
      </c>
      <c r="E117" s="384"/>
      <c r="F117" s="416" t="str">
        <f>IF(Information!$D$8="Deutsch",B117,D117)</f>
        <v>Ferienkürzung</v>
      </c>
      <c r="G117" s="417"/>
      <c r="H117" s="350"/>
      <c r="I117" s="350"/>
      <c r="J117" s="349"/>
      <c r="L117" s="349"/>
      <c r="M117" s="348"/>
      <c r="N117" s="389"/>
      <c r="O117" s="70"/>
      <c r="P117" s="387"/>
      <c r="T117" s="247"/>
      <c r="U117" s="247"/>
      <c r="V117" s="247"/>
      <c r="W117" s="247"/>
      <c r="X117" s="247"/>
      <c r="Y117" s="247"/>
      <c r="Z117" s="247"/>
      <c r="AA117" s="247"/>
      <c r="AB117" s="247"/>
      <c r="AC117" s="247"/>
      <c r="AD117" s="247"/>
    </row>
    <row r="118" spans="2:30">
      <c r="B118" s="423" t="s">
        <v>6</v>
      </c>
      <c r="C118" s="413"/>
      <c r="D118" s="744" t="s">
        <v>209</v>
      </c>
      <c r="E118" s="384"/>
      <c r="F118" s="416" t="str">
        <f>IF(Information!$D$8="Deutsch",B118,D118)</f>
        <v>Fr</v>
      </c>
      <c r="G118" s="417"/>
      <c r="H118" s="350"/>
      <c r="I118" s="350"/>
      <c r="J118" s="349"/>
      <c r="L118" s="349"/>
      <c r="M118" s="348"/>
      <c r="N118" s="389"/>
      <c r="O118" s="70"/>
      <c r="P118" s="387"/>
      <c r="T118" s="247"/>
      <c r="U118" s="247"/>
      <c r="V118" s="247"/>
      <c r="W118" s="247"/>
      <c r="X118" s="247"/>
      <c r="Y118" s="247"/>
      <c r="Z118" s="247"/>
      <c r="AA118" s="247"/>
      <c r="AB118" s="247"/>
      <c r="AC118" s="247"/>
      <c r="AD118" s="247"/>
    </row>
    <row r="119" spans="2:30">
      <c r="B119" s="423" t="s">
        <v>266</v>
      </c>
      <c r="C119" s="413"/>
      <c r="D119" s="744" t="s">
        <v>267</v>
      </c>
      <c r="E119" s="384"/>
      <c r="F119" s="416" t="str">
        <f>IF(Information!$D$8="Deutsch",B119,D119)</f>
        <v>freie</v>
      </c>
      <c r="G119" s="417"/>
      <c r="H119" s="350"/>
      <c r="I119" s="350"/>
      <c r="J119" s="349"/>
      <c r="L119" s="349"/>
      <c r="M119" s="348"/>
      <c r="N119" s="389"/>
      <c r="O119" s="70"/>
      <c r="P119" s="387"/>
      <c r="T119" s="247"/>
      <c r="U119" s="247"/>
      <c r="V119" s="247"/>
      <c r="W119" s="247"/>
      <c r="X119" s="247"/>
      <c r="Y119" s="247"/>
      <c r="Z119" s="247"/>
      <c r="AA119" s="247"/>
      <c r="AB119" s="247"/>
      <c r="AC119" s="247"/>
      <c r="AD119" s="247"/>
    </row>
    <row r="120" spans="2:30">
      <c r="B120" s="420" t="s">
        <v>251</v>
      </c>
      <c r="D120" s="744" t="s">
        <v>252</v>
      </c>
      <c r="E120" s="384"/>
      <c r="F120" s="416" t="str">
        <f>IF(Information!$D$8="Deutsch",B120,D120)</f>
        <v>für</v>
      </c>
      <c r="G120" s="417"/>
      <c r="H120" s="350"/>
      <c r="I120" s="350"/>
      <c r="J120" s="349"/>
      <c r="L120" s="349"/>
      <c r="M120" s="348"/>
      <c r="N120" s="389"/>
      <c r="O120" s="70"/>
      <c r="P120" s="387"/>
      <c r="T120" s="247"/>
      <c r="U120" s="247"/>
      <c r="V120" s="247"/>
      <c r="W120" s="247"/>
      <c r="X120" s="247"/>
      <c r="Y120" s="247"/>
      <c r="Z120" s="247"/>
      <c r="AA120" s="247"/>
      <c r="AB120" s="247"/>
      <c r="AC120" s="247"/>
      <c r="AD120" s="247"/>
    </row>
    <row r="121" spans="2:30">
      <c r="B121" s="404" t="s">
        <v>67</v>
      </c>
      <c r="C121" s="384"/>
      <c r="D121" s="744" t="s">
        <v>391</v>
      </c>
      <c r="E121" s="384"/>
      <c r="F121" s="416" t="str">
        <f>IF(Information!$D$8="Deutsch",B121,D121)</f>
        <v>Gehaltsklasse</v>
      </c>
      <c r="G121" s="417"/>
      <c r="H121" s="350"/>
      <c r="I121" s="350"/>
      <c r="J121" s="349"/>
      <c r="L121" s="349"/>
      <c r="M121" s="348"/>
      <c r="N121" s="389"/>
      <c r="O121" s="70"/>
      <c r="P121" s="387"/>
      <c r="T121" s="247"/>
      <c r="U121" s="247"/>
      <c r="V121" s="247"/>
      <c r="W121" s="247"/>
      <c r="X121" s="247"/>
      <c r="Y121" s="247"/>
      <c r="Z121" s="247"/>
      <c r="AA121" s="247"/>
      <c r="AB121" s="247"/>
      <c r="AC121" s="247"/>
      <c r="AD121" s="247"/>
    </row>
    <row r="122" spans="2:30">
      <c r="B122" s="404" t="s">
        <v>4</v>
      </c>
      <c r="C122" s="384"/>
      <c r="D122" s="744" t="s">
        <v>198</v>
      </c>
      <c r="E122" s="384"/>
      <c r="F122" s="416" t="str">
        <f>IF(Information!$D$8="Deutsch",B122,D122)</f>
        <v>Gehen</v>
      </c>
      <c r="G122" s="417"/>
      <c r="H122" s="350"/>
      <c r="J122" s="349"/>
      <c r="L122" s="349"/>
      <c r="M122" s="348"/>
      <c r="N122" s="389"/>
      <c r="O122" s="70"/>
      <c r="P122" s="387"/>
      <c r="T122" s="247"/>
      <c r="U122" s="247"/>
      <c r="V122" s="247"/>
      <c r="W122" s="247"/>
      <c r="X122" s="247"/>
      <c r="Y122" s="247"/>
      <c r="Z122" s="247"/>
      <c r="AA122" s="247"/>
      <c r="AB122" s="247"/>
      <c r="AC122" s="247"/>
      <c r="AD122" s="247"/>
    </row>
    <row r="123" spans="2:30">
      <c r="B123" s="403" t="s">
        <v>232</v>
      </c>
      <c r="C123" s="384"/>
      <c r="D123" s="423" t="s">
        <v>233</v>
      </c>
      <c r="E123" s="384"/>
      <c r="F123" s="416" t="str">
        <f>IF(Information!$D$8="Deutsch",B123,D123)</f>
        <v>geleistete</v>
      </c>
      <c r="G123" s="417"/>
      <c r="H123" s="350"/>
      <c r="I123" s="350"/>
      <c r="J123" s="349"/>
      <c r="L123" s="349"/>
      <c r="M123" s="348"/>
      <c r="N123" s="389"/>
      <c r="O123" s="70"/>
      <c r="P123" s="387"/>
      <c r="T123" s="247"/>
      <c r="U123" s="247"/>
      <c r="V123" s="247"/>
      <c r="W123" s="247"/>
      <c r="X123" s="247"/>
      <c r="Y123" s="247"/>
      <c r="Z123" s="247"/>
      <c r="AA123" s="247"/>
      <c r="AB123" s="247"/>
      <c r="AC123" s="247"/>
      <c r="AD123" s="247"/>
    </row>
    <row r="124" spans="2:30">
      <c r="B124" s="403" t="s">
        <v>72</v>
      </c>
      <c r="C124" s="384"/>
      <c r="D124" s="423" t="s">
        <v>443</v>
      </c>
      <c r="E124" s="384"/>
      <c r="F124" s="416" t="str">
        <f>IF(Information!$D$8="Deutsch",B124,D124)</f>
        <v>Hundertstel</v>
      </c>
      <c r="G124" s="417"/>
      <c r="H124" s="350"/>
      <c r="I124" s="350"/>
      <c r="J124" s="349"/>
      <c r="L124" s="349"/>
      <c r="M124" s="348"/>
      <c r="N124" s="389"/>
      <c r="O124" s="70"/>
      <c r="P124" s="387"/>
      <c r="T124" s="247"/>
      <c r="U124" s="247"/>
      <c r="V124" s="247"/>
      <c r="W124" s="247"/>
      <c r="X124" s="247"/>
      <c r="Y124" s="247"/>
      <c r="Z124" s="247"/>
      <c r="AA124" s="247"/>
      <c r="AB124" s="247"/>
      <c r="AC124" s="247"/>
      <c r="AD124" s="247"/>
    </row>
    <row r="125" spans="2:30">
      <c r="B125" s="559" t="s">
        <v>306</v>
      </c>
      <c r="C125" s="384"/>
      <c r="D125" s="423" t="s">
        <v>307</v>
      </c>
      <c r="E125" s="384"/>
      <c r="F125" s="416" t="str">
        <f>IF(Information!$D$8="Deutsch",B125,D125)</f>
        <v>im</v>
      </c>
      <c r="G125" s="417"/>
      <c r="H125" s="350"/>
      <c r="I125" s="350"/>
      <c r="J125" s="349"/>
      <c r="L125" s="349"/>
      <c r="M125" s="348"/>
      <c r="N125" s="389"/>
      <c r="O125" s="70"/>
      <c r="P125" s="387"/>
      <c r="T125" s="247"/>
      <c r="U125" s="247"/>
      <c r="V125" s="247"/>
      <c r="W125" s="247"/>
      <c r="X125" s="247"/>
      <c r="Y125" s="247"/>
      <c r="Z125" s="247"/>
      <c r="AA125" s="247"/>
      <c r="AB125" s="247"/>
      <c r="AC125" s="247"/>
      <c r="AD125" s="247"/>
    </row>
    <row r="126" spans="2:30">
      <c r="B126" s="403" t="s">
        <v>217</v>
      </c>
      <c r="C126" s="384"/>
      <c r="D126" s="423" t="s">
        <v>218</v>
      </c>
      <c r="E126" s="384"/>
      <c r="F126" s="416" t="str">
        <f>IF(Information!$D$8="Deutsch",B126,D126)</f>
        <v>inkl.</v>
      </c>
      <c r="G126" s="417"/>
      <c r="H126" s="350"/>
      <c r="I126" s="350"/>
      <c r="J126" s="349"/>
      <c r="L126" s="349"/>
      <c r="M126" s="348"/>
      <c r="N126" s="389"/>
      <c r="O126" s="70"/>
      <c r="P126" s="387"/>
      <c r="T126" s="247"/>
      <c r="U126" s="247"/>
      <c r="V126" s="247"/>
      <c r="W126" s="247"/>
      <c r="X126" s="247"/>
      <c r="Y126" s="247"/>
      <c r="Z126" s="247"/>
      <c r="AA126" s="247"/>
      <c r="AB126" s="247"/>
      <c r="AC126" s="247"/>
      <c r="AD126" s="247"/>
    </row>
    <row r="127" spans="2:30">
      <c r="B127" s="403" t="s">
        <v>70</v>
      </c>
      <c r="C127" s="384"/>
      <c r="D127" s="423" t="s">
        <v>243</v>
      </c>
      <c r="E127" s="384"/>
      <c r="F127" s="416" t="str">
        <f>IF(Information!$D$8="Deutsch",B127,D127)</f>
        <v>Ist</v>
      </c>
      <c r="G127" s="417"/>
      <c r="H127" s="350"/>
      <c r="I127" s="350"/>
      <c r="J127" s="349"/>
      <c r="L127" s="349"/>
      <c r="M127" s="348"/>
      <c r="N127" s="389"/>
      <c r="O127" s="70"/>
      <c r="P127" s="387"/>
      <c r="T127" s="247"/>
      <c r="U127" s="247"/>
      <c r="V127" s="247"/>
      <c r="W127" s="247"/>
      <c r="X127" s="247"/>
      <c r="Y127" s="247"/>
      <c r="Z127" s="247"/>
      <c r="AA127" s="247"/>
      <c r="AB127" s="247"/>
      <c r="AC127" s="247"/>
      <c r="AD127" s="247"/>
    </row>
    <row r="128" spans="2:30">
      <c r="B128" s="618" t="s">
        <v>349</v>
      </c>
      <c r="C128" s="384"/>
      <c r="D128" s="423" t="s">
        <v>352</v>
      </c>
      <c r="E128" s="384"/>
      <c r="F128" s="416" t="str">
        <f>IF(Information!$D$8="Deutsch",B128,D128)</f>
        <v>Ja</v>
      </c>
      <c r="G128" s="417"/>
      <c r="H128" s="350"/>
      <c r="I128" s="350"/>
      <c r="J128" s="349"/>
      <c r="L128" s="349"/>
      <c r="M128" s="348"/>
      <c r="N128" s="389"/>
      <c r="O128" s="70"/>
      <c r="P128" s="387"/>
      <c r="T128" s="247"/>
      <c r="U128" s="247"/>
      <c r="V128" s="247"/>
      <c r="W128" s="247"/>
      <c r="X128" s="247"/>
      <c r="Y128" s="247"/>
      <c r="Z128" s="247"/>
      <c r="AA128" s="247"/>
      <c r="AB128" s="247"/>
      <c r="AC128" s="247"/>
      <c r="AD128" s="247"/>
    </row>
    <row r="129" spans="2:30">
      <c r="B129" s="403" t="s">
        <v>174</v>
      </c>
      <c r="C129" s="384"/>
      <c r="D129" s="744" t="s">
        <v>178</v>
      </c>
      <c r="E129" s="384"/>
      <c r="F129" s="416" t="str">
        <f>IF(Information!$D$8="Deutsch",B129,D129)</f>
        <v xml:space="preserve">Jahr: </v>
      </c>
      <c r="G129" s="417"/>
      <c r="H129" s="350"/>
      <c r="J129" s="349"/>
      <c r="L129" s="349"/>
      <c r="M129" s="348"/>
      <c r="N129" s="389"/>
      <c r="O129" s="70"/>
      <c r="P129" s="387"/>
      <c r="T129" s="247"/>
      <c r="U129" s="247"/>
      <c r="V129" s="247"/>
      <c r="W129" s="247"/>
      <c r="X129" s="247"/>
      <c r="Y129" s="247"/>
      <c r="Z129" s="247"/>
      <c r="AA129" s="247"/>
      <c r="AB129" s="247"/>
      <c r="AC129" s="247"/>
      <c r="AD129" s="247"/>
    </row>
    <row r="130" spans="2:30">
      <c r="B130" s="403" t="s">
        <v>92</v>
      </c>
      <c r="C130" s="384"/>
      <c r="D130" s="744" t="s">
        <v>258</v>
      </c>
      <c r="E130" s="384"/>
      <c r="F130" s="416" t="str">
        <f>IF(Information!$D$8="Deutsch",B130,D130)</f>
        <v>Jahresübersicht</v>
      </c>
      <c r="G130" s="417"/>
      <c r="H130" s="350"/>
      <c r="J130" s="349"/>
      <c r="L130" s="349"/>
      <c r="M130" s="348"/>
      <c r="N130" s="389"/>
      <c r="O130" s="70"/>
      <c r="P130" s="387"/>
      <c r="T130" s="247"/>
      <c r="U130" s="247"/>
      <c r="V130" s="247"/>
      <c r="W130" s="247"/>
      <c r="X130" s="247"/>
      <c r="Y130" s="247"/>
      <c r="Z130" s="247"/>
      <c r="AA130" s="247"/>
      <c r="AB130" s="247"/>
      <c r="AC130" s="247"/>
      <c r="AD130" s="247"/>
    </row>
    <row r="131" spans="2:30">
      <c r="B131" s="403" t="s">
        <v>138</v>
      </c>
      <c r="C131" s="384"/>
      <c r="D131" s="744" t="s">
        <v>177</v>
      </c>
      <c r="E131" s="384"/>
      <c r="F131" s="416" t="str">
        <f>IF(Information!$D$8="Deutsch",B131,D131)</f>
        <v xml:space="preserve">Jahrgang (4-stellig): </v>
      </c>
      <c r="G131" s="417"/>
      <c r="H131" s="350"/>
      <c r="I131" s="350"/>
      <c r="J131" s="349"/>
      <c r="L131" s="349"/>
      <c r="M131" s="348"/>
      <c r="N131" s="389"/>
      <c r="O131" s="70"/>
      <c r="P131" s="387"/>
      <c r="T131" s="247"/>
      <c r="U131" s="247"/>
      <c r="V131" s="247"/>
      <c r="W131" s="247"/>
      <c r="X131" s="247"/>
      <c r="Y131" s="247"/>
      <c r="Z131" s="247"/>
      <c r="AA131" s="247"/>
      <c r="AB131" s="247"/>
      <c r="AC131" s="247"/>
      <c r="AD131" s="247"/>
    </row>
    <row r="132" spans="2:30">
      <c r="B132" s="403" t="s">
        <v>80</v>
      </c>
      <c r="C132" s="384"/>
      <c r="D132" s="744" t="s">
        <v>451</v>
      </c>
      <c r="E132" s="384"/>
      <c r="F132" s="416" t="str">
        <f>IF(Information!$D$8="Deutsch",B132,D132)</f>
        <v>Januar</v>
      </c>
      <c r="G132" s="417"/>
      <c r="H132" s="350"/>
      <c r="I132" s="350"/>
      <c r="J132" s="349"/>
      <c r="L132" s="349"/>
      <c r="M132" s="348"/>
      <c r="N132" s="389"/>
      <c r="O132" s="70"/>
      <c r="P132" s="387"/>
      <c r="T132" s="247"/>
      <c r="U132" s="247"/>
      <c r="V132" s="247"/>
      <c r="W132" s="247"/>
      <c r="X132" s="247"/>
      <c r="Y132" s="247"/>
      <c r="Z132" s="247"/>
      <c r="AA132" s="247"/>
      <c r="AB132" s="247"/>
      <c r="AC132" s="247"/>
      <c r="AD132" s="247"/>
    </row>
    <row r="133" spans="2:30">
      <c r="B133" s="403" t="s">
        <v>75</v>
      </c>
      <c r="C133" s="384"/>
      <c r="D133" s="744" t="s">
        <v>234</v>
      </c>
      <c r="E133" s="384"/>
      <c r="F133" s="416" t="str">
        <f>IF(Information!$D$8="Deutsch",B133,D133)</f>
        <v>JAZ-Kompensation</v>
      </c>
      <c r="G133" s="417"/>
      <c r="H133" s="350"/>
      <c r="I133" s="350"/>
      <c r="J133" s="349"/>
      <c r="L133" s="349"/>
      <c r="M133" s="348"/>
      <c r="N133" s="389"/>
      <c r="O133" s="70"/>
      <c r="P133" s="387"/>
      <c r="T133" s="247"/>
      <c r="U133" s="247"/>
      <c r="V133" s="247"/>
      <c r="W133" s="247"/>
      <c r="X133" s="247"/>
      <c r="Y133" s="247"/>
      <c r="Z133" s="247"/>
      <c r="AA133" s="247"/>
      <c r="AB133" s="247"/>
      <c r="AC133" s="247"/>
      <c r="AD133" s="247"/>
    </row>
    <row r="134" spans="2:30">
      <c r="B134" s="403" t="s">
        <v>60</v>
      </c>
      <c r="C134" s="384"/>
      <c r="D134" s="744" t="s">
        <v>445</v>
      </c>
      <c r="E134" s="384"/>
      <c r="F134" s="416" t="str">
        <f>IF(Information!$D$8="Deutsch",B134,D134)</f>
        <v>Juli</v>
      </c>
      <c r="G134" s="417"/>
      <c r="H134" s="350"/>
      <c r="I134" s="247"/>
      <c r="J134" s="247"/>
      <c r="L134" s="247"/>
      <c r="M134" s="247"/>
      <c r="N134" s="389"/>
      <c r="O134" s="70"/>
      <c r="P134" s="387"/>
      <c r="T134" s="247"/>
      <c r="U134" s="247"/>
      <c r="V134" s="247"/>
      <c r="W134" s="247"/>
      <c r="X134" s="247"/>
      <c r="Y134" s="247"/>
      <c r="Z134" s="247"/>
      <c r="AA134" s="247"/>
      <c r="AB134" s="247"/>
      <c r="AC134" s="247"/>
      <c r="AD134" s="247"/>
    </row>
    <row r="135" spans="2:30">
      <c r="B135" s="403" t="s">
        <v>59</v>
      </c>
      <c r="C135" s="384"/>
      <c r="D135" s="744" t="s">
        <v>446</v>
      </c>
      <c r="E135" s="384"/>
      <c r="F135" s="416" t="str">
        <f>IF(Information!$D$8="Deutsch",B135,D135)</f>
        <v>Juni</v>
      </c>
      <c r="G135" s="417"/>
      <c r="H135" s="350"/>
      <c r="I135" s="247"/>
      <c r="L135" s="247"/>
      <c r="M135" s="247"/>
      <c r="N135" s="389"/>
      <c r="O135" s="394"/>
      <c r="P135" s="387"/>
      <c r="T135" s="247"/>
      <c r="U135" s="247"/>
      <c r="V135" s="247"/>
      <c r="W135" s="247"/>
      <c r="X135" s="247"/>
      <c r="Y135" s="247"/>
      <c r="Z135" s="247"/>
      <c r="AA135" s="247"/>
      <c r="AB135" s="247"/>
      <c r="AC135" s="247"/>
      <c r="AD135" s="247"/>
    </row>
    <row r="136" spans="2:30">
      <c r="B136" s="403" t="s">
        <v>74</v>
      </c>
      <c r="C136" s="405"/>
      <c r="D136" s="744" t="s">
        <v>181</v>
      </c>
      <c r="E136" s="384"/>
      <c r="F136" s="416" t="str">
        <f>IF(Information!$D$8="Deutsch",B136,D136)</f>
        <v>Kompensation</v>
      </c>
      <c r="G136" s="417"/>
      <c r="H136" s="350"/>
      <c r="I136" s="247"/>
      <c r="J136" s="247"/>
      <c r="L136" s="247"/>
      <c r="M136" s="247"/>
      <c r="N136" s="389"/>
      <c r="O136" s="70"/>
      <c r="P136" s="387"/>
      <c r="T136" s="247"/>
      <c r="U136" s="247"/>
      <c r="V136" s="247"/>
      <c r="W136" s="247"/>
      <c r="X136" s="247"/>
      <c r="Y136" s="247"/>
      <c r="Z136" s="247"/>
      <c r="AA136" s="247"/>
      <c r="AB136" s="247"/>
      <c r="AC136" s="247"/>
      <c r="AD136" s="247"/>
    </row>
    <row r="137" spans="2:30">
      <c r="B137" s="403" t="s">
        <v>3</v>
      </c>
      <c r="C137" s="405"/>
      <c r="D137" s="744" t="s">
        <v>199</v>
      </c>
      <c r="E137" s="384"/>
      <c r="F137" s="416" t="str">
        <f>IF(Information!$D$8="Deutsch",B137,D137)</f>
        <v>Kommen</v>
      </c>
      <c r="G137" s="417"/>
      <c r="H137" s="350"/>
      <c r="I137" s="247"/>
      <c r="J137" s="247"/>
      <c r="L137" s="247"/>
      <c r="M137" s="247"/>
      <c r="N137" s="389"/>
      <c r="O137" s="70"/>
      <c r="P137" s="387"/>
      <c r="T137" s="247"/>
      <c r="U137" s="247"/>
      <c r="V137" s="247"/>
      <c r="W137" s="247"/>
      <c r="X137" s="247"/>
      <c r="Y137" s="247"/>
      <c r="Z137" s="247"/>
      <c r="AA137" s="247"/>
      <c r="AB137" s="247"/>
      <c r="AC137" s="247"/>
      <c r="AD137" s="247"/>
    </row>
    <row r="138" spans="2:30">
      <c r="B138" s="403" t="s">
        <v>86</v>
      </c>
      <c r="C138" s="405"/>
      <c r="D138" s="744" t="s">
        <v>155</v>
      </c>
      <c r="E138" s="384"/>
      <c r="F138" s="416" t="str">
        <f>IF(Information!$D$8="Deutsch",B138,D138)</f>
        <v>Kommentar</v>
      </c>
      <c r="G138" s="417"/>
      <c r="H138" s="350"/>
      <c r="I138" s="247"/>
      <c r="J138" s="247"/>
      <c r="L138" s="247"/>
      <c r="M138" s="247"/>
      <c r="N138" s="389"/>
      <c r="O138" s="70"/>
      <c r="P138" s="387"/>
      <c r="T138" s="247"/>
      <c r="U138" s="247"/>
      <c r="V138" s="247"/>
      <c r="W138" s="247"/>
      <c r="X138" s="247"/>
      <c r="Y138" s="247"/>
      <c r="Z138" s="247"/>
      <c r="AA138" s="247"/>
      <c r="AB138" s="247"/>
      <c r="AC138" s="247"/>
      <c r="AD138" s="247"/>
    </row>
    <row r="139" spans="2:30">
      <c r="B139" s="403" t="s">
        <v>73</v>
      </c>
      <c r="C139" s="384"/>
      <c r="D139" s="744" t="s">
        <v>157</v>
      </c>
      <c r="E139" s="384"/>
      <c r="F139" s="416" t="str">
        <f>IF(Information!$D$8="Deutsch",B139,D139)</f>
        <v>Krankheit</v>
      </c>
      <c r="G139" s="417"/>
      <c r="H139" s="350"/>
      <c r="I139" s="247"/>
      <c r="L139" s="247"/>
      <c r="M139" s="247"/>
      <c r="N139" s="389"/>
      <c r="O139" s="394"/>
      <c r="P139" s="387"/>
      <c r="T139" s="247"/>
      <c r="U139" s="247"/>
      <c r="V139" s="247"/>
      <c r="W139" s="247"/>
      <c r="X139" s="247"/>
    </row>
    <row r="140" spans="2:30">
      <c r="B140" s="403" t="s">
        <v>89</v>
      </c>
      <c r="C140" s="384"/>
      <c r="D140" s="744" t="s">
        <v>158</v>
      </c>
      <c r="E140" s="384"/>
      <c r="F140" s="416" t="str">
        <f>IF(Information!$D$8="Deutsch",B140,D140)</f>
        <v>Kurzurlaub</v>
      </c>
      <c r="G140" s="417"/>
      <c r="H140" s="427"/>
      <c r="I140" s="247"/>
      <c r="J140" s="247"/>
      <c r="L140" s="247"/>
      <c r="M140" s="247"/>
      <c r="N140" s="389"/>
      <c r="O140" s="70"/>
      <c r="P140" s="387"/>
      <c r="T140" s="247"/>
      <c r="U140" s="247"/>
      <c r="V140" s="247"/>
      <c r="W140" s="247"/>
      <c r="X140" s="247"/>
    </row>
    <row r="141" spans="2:30">
      <c r="B141" s="403" t="s">
        <v>184</v>
      </c>
      <c r="C141" s="384"/>
      <c r="D141" s="744" t="s">
        <v>158</v>
      </c>
      <c r="E141" s="384"/>
      <c r="F141" s="416" t="str">
        <f>IF(Information!$D$8="Deutsch",B141,D141)</f>
        <v>Kurz- urlaub</v>
      </c>
      <c r="G141" s="417"/>
      <c r="H141" s="427"/>
      <c r="I141" s="247"/>
      <c r="J141" s="247"/>
      <c r="L141" s="247"/>
      <c r="M141" s="247"/>
      <c r="N141" s="389"/>
      <c r="O141" s="70"/>
      <c r="P141" s="387"/>
      <c r="T141" s="247"/>
      <c r="U141" s="247"/>
      <c r="V141" s="247"/>
      <c r="W141" s="247"/>
      <c r="X141" s="247"/>
    </row>
    <row r="142" spans="2:30">
      <c r="B142" s="403" t="s">
        <v>84</v>
      </c>
      <c r="C142" s="384"/>
      <c r="D142" s="744" t="s">
        <v>459</v>
      </c>
      <c r="E142" s="384"/>
      <c r="F142" s="416" t="str">
        <f>IF(Information!$D$8="Deutsch",B142,D142)</f>
        <v>Langzeitkonto</v>
      </c>
      <c r="G142" s="417"/>
      <c r="H142" s="427"/>
      <c r="I142" s="247"/>
      <c r="J142" s="247"/>
      <c r="L142" s="247"/>
      <c r="M142" s="247"/>
      <c r="N142" s="389"/>
      <c r="O142" s="390"/>
      <c r="P142" s="387"/>
      <c r="T142" s="247"/>
      <c r="U142" s="247"/>
      <c r="V142" s="247"/>
      <c r="W142" s="247"/>
      <c r="X142" s="247"/>
    </row>
    <row r="143" spans="2:30">
      <c r="B143" s="693" t="s">
        <v>84</v>
      </c>
      <c r="C143" s="384"/>
      <c r="D143" s="744" t="s">
        <v>459</v>
      </c>
      <c r="E143" s="384"/>
      <c r="F143" s="416" t="str">
        <f>IF(Information!$D$8="Deutsch",B143,D143)</f>
        <v>Langzeitkonto</v>
      </c>
      <c r="G143" s="417"/>
      <c r="H143" s="427"/>
      <c r="I143" s="247"/>
      <c r="J143" s="247"/>
      <c r="L143" s="247"/>
      <c r="M143" s="247"/>
      <c r="N143" s="389"/>
      <c r="O143" s="390"/>
      <c r="P143" s="387"/>
      <c r="T143" s="247"/>
      <c r="U143" s="247"/>
      <c r="V143" s="247"/>
      <c r="W143" s="247"/>
      <c r="X143" s="247"/>
    </row>
    <row r="144" spans="2:30">
      <c r="B144" s="403" t="s">
        <v>141</v>
      </c>
      <c r="C144" s="384"/>
      <c r="D144" s="744" t="s">
        <v>460</v>
      </c>
      <c r="E144" s="384"/>
      <c r="F144" s="416" t="str">
        <f>IF(Information!$D$8="Deutsch",B144,D144)</f>
        <v>Langzeitkontoguthaben</v>
      </c>
      <c r="G144" s="417"/>
      <c r="H144" s="350"/>
      <c r="I144" s="247"/>
      <c r="J144" s="247"/>
      <c r="L144" s="247"/>
      <c r="M144" s="247"/>
      <c r="N144" s="389"/>
      <c r="O144" s="387"/>
      <c r="P144" s="387"/>
      <c r="T144" s="247"/>
      <c r="U144" s="247"/>
      <c r="V144" s="247"/>
      <c r="W144" s="247"/>
      <c r="X144" s="247"/>
    </row>
    <row r="145" spans="2:24">
      <c r="B145" s="403" t="s">
        <v>216</v>
      </c>
      <c r="C145" s="384"/>
      <c r="D145" s="744" t="s">
        <v>235</v>
      </c>
      <c r="E145" s="384"/>
      <c r="F145" s="416" t="str">
        <f>IF(Information!$D$8="Deutsch",B145,D145)</f>
        <v>LZK-Bezug</v>
      </c>
      <c r="G145" s="417"/>
      <c r="H145" s="350"/>
      <c r="I145" s="247"/>
      <c r="J145" s="247"/>
      <c r="L145" s="247"/>
      <c r="M145" s="247"/>
      <c r="N145" s="389"/>
      <c r="O145" s="387"/>
      <c r="P145" s="387"/>
      <c r="T145" s="247"/>
      <c r="U145" s="247"/>
      <c r="V145" s="247"/>
      <c r="W145" s="247"/>
      <c r="X145" s="247"/>
    </row>
    <row r="146" spans="2:24">
      <c r="B146" s="403" t="s">
        <v>58</v>
      </c>
      <c r="C146" s="384"/>
      <c r="D146" s="744" t="s">
        <v>447</v>
      </c>
      <c r="E146" s="413"/>
      <c r="F146" s="416" t="str">
        <f>IF(Information!$D$8="Deutsch",B146,D146)</f>
        <v>Mai</v>
      </c>
      <c r="G146" s="417"/>
      <c r="H146" s="350"/>
      <c r="I146" s="247"/>
      <c r="J146" s="247"/>
      <c r="L146" s="247"/>
      <c r="M146" s="247"/>
      <c r="N146" s="389"/>
      <c r="O146" s="70"/>
      <c r="P146" s="387"/>
      <c r="T146" s="247"/>
      <c r="U146" s="247"/>
      <c r="V146" s="247"/>
      <c r="W146" s="247"/>
      <c r="X146" s="247"/>
    </row>
    <row r="147" spans="2:24">
      <c r="B147" s="403" t="s">
        <v>56</v>
      </c>
      <c r="C147" s="384"/>
      <c r="D147" s="744" t="s">
        <v>448</v>
      </c>
      <c r="E147" s="384"/>
      <c r="F147" s="416" t="str">
        <f>IF(Information!$D$8="Deutsch",B147,D147)</f>
        <v>März</v>
      </c>
      <c r="G147" s="417"/>
      <c r="H147" s="350"/>
      <c r="I147" s="247"/>
      <c r="J147" s="247"/>
      <c r="K147" s="247"/>
      <c r="L147" s="247"/>
      <c r="M147" s="247"/>
      <c r="N147" s="389"/>
      <c r="O147" s="387"/>
      <c r="P147" s="387"/>
      <c r="T147" s="247"/>
      <c r="U147" s="247"/>
      <c r="V147" s="247"/>
      <c r="W147" s="247"/>
      <c r="X147" s="247"/>
    </row>
    <row r="148" spans="2:24">
      <c r="B148" s="420" t="s">
        <v>16</v>
      </c>
      <c r="C148" s="384"/>
      <c r="D148" s="744" t="s">
        <v>213</v>
      </c>
      <c r="E148" s="384"/>
      <c r="F148" s="416" t="str">
        <f>IF(Information!$D$8="Deutsch",B148,D148)</f>
        <v>Mi</v>
      </c>
      <c r="G148" s="417"/>
      <c r="H148" s="350"/>
      <c r="I148" s="247"/>
      <c r="J148" s="247"/>
      <c r="K148" s="247"/>
      <c r="L148" s="247"/>
      <c r="M148" s="247"/>
      <c r="N148" s="389"/>
      <c r="O148" s="387"/>
      <c r="P148" s="387"/>
      <c r="T148" s="247"/>
      <c r="U148" s="247"/>
      <c r="V148" s="247"/>
      <c r="W148" s="247"/>
      <c r="X148" s="247"/>
    </row>
    <row r="149" spans="2:24">
      <c r="B149" s="403" t="s">
        <v>142</v>
      </c>
      <c r="C149" s="384"/>
      <c r="D149" s="744" t="s">
        <v>179</v>
      </c>
      <c r="E149" s="384"/>
      <c r="F149" s="416" t="str">
        <f>IF(Information!$D$8="Deutsch",B149,D149)</f>
        <v>Militär/Zivilsch./Zivildienst</v>
      </c>
      <c r="G149" s="417"/>
      <c r="H149" s="350"/>
      <c r="I149" s="247"/>
      <c r="J149" s="247"/>
      <c r="K149" s="247"/>
      <c r="L149" s="247"/>
      <c r="M149" s="247"/>
      <c r="N149" s="247"/>
      <c r="O149" s="247"/>
      <c r="P149" s="387"/>
      <c r="T149" s="247"/>
      <c r="U149" s="247"/>
      <c r="V149" s="247"/>
      <c r="W149" s="247"/>
      <c r="X149" s="247"/>
    </row>
    <row r="150" spans="2:24">
      <c r="B150" s="403" t="s">
        <v>52</v>
      </c>
      <c r="C150" s="384"/>
      <c r="D150" s="744" t="s">
        <v>247</v>
      </c>
      <c r="E150" s="384"/>
      <c r="F150" s="416" t="str">
        <f>IF(Information!$D$8="Deutsch",B150,D150)</f>
        <v>Minuten</v>
      </c>
      <c r="G150" s="417"/>
      <c r="H150" s="350"/>
      <c r="I150" s="247"/>
      <c r="J150" s="247"/>
      <c r="K150" s="247"/>
      <c r="L150" s="247"/>
      <c r="M150" s="247"/>
      <c r="N150" s="247"/>
      <c r="O150" s="247"/>
      <c r="P150" s="387"/>
      <c r="T150" s="247"/>
      <c r="U150" s="247"/>
      <c r="V150" s="247"/>
      <c r="W150" s="247"/>
      <c r="X150" s="247"/>
    </row>
    <row r="151" spans="2:24">
      <c r="B151" s="559" t="s">
        <v>293</v>
      </c>
      <c r="C151" s="384"/>
      <c r="D151" s="744" t="s">
        <v>294</v>
      </c>
      <c r="E151" s="384"/>
      <c r="F151" s="416" t="str">
        <f>IF(Information!$D$8="Deutsch",B151,D151)</f>
        <v>mit</v>
      </c>
      <c r="G151" s="417"/>
      <c r="H151" s="350"/>
      <c r="I151" s="247"/>
      <c r="J151" s="247"/>
      <c r="K151" s="247"/>
      <c r="L151" s="247"/>
      <c r="M151" s="247"/>
      <c r="N151" s="247"/>
      <c r="O151" s="247"/>
      <c r="P151" s="387"/>
      <c r="T151" s="247"/>
      <c r="U151" s="247"/>
      <c r="V151" s="247"/>
      <c r="W151" s="247"/>
      <c r="X151" s="247"/>
    </row>
    <row r="152" spans="2:24">
      <c r="B152" s="403" t="s">
        <v>230</v>
      </c>
      <c r="C152" s="384"/>
      <c r="D152" s="744" t="s">
        <v>231</v>
      </c>
      <c r="E152" s="384"/>
      <c r="F152" s="416" t="str">
        <f>IF(Information!$D$8="Deutsch",B152,D152)</f>
        <v>Mitarbeiter/In</v>
      </c>
      <c r="G152" s="417"/>
      <c r="H152" s="350"/>
      <c r="I152" s="350"/>
      <c r="J152" s="247"/>
      <c r="L152" s="247"/>
      <c r="M152" s="247"/>
      <c r="N152" s="247"/>
      <c r="O152" s="247"/>
      <c r="P152" s="387"/>
      <c r="T152" s="247"/>
      <c r="V152" s="247"/>
      <c r="W152" s="247"/>
      <c r="X152" s="247"/>
    </row>
    <row r="153" spans="2:24">
      <c r="B153" s="420" t="s">
        <v>12</v>
      </c>
      <c r="C153" s="384"/>
      <c r="D153" s="744" t="s">
        <v>210</v>
      </c>
      <c r="E153" s="384"/>
      <c r="F153" s="416" t="str">
        <f>IF(Information!$D$8="Deutsch",B153,D153)</f>
        <v>Mo</v>
      </c>
      <c r="G153" s="417"/>
      <c r="H153" s="350"/>
      <c r="I153" s="247"/>
      <c r="J153" s="247"/>
      <c r="K153" s="247"/>
      <c r="L153" s="247"/>
      <c r="M153" s="247"/>
      <c r="N153" s="247"/>
      <c r="O153" s="247"/>
      <c r="P153" s="387"/>
      <c r="T153" s="247"/>
      <c r="U153" s="247"/>
      <c r="V153" s="247"/>
      <c r="W153" s="247"/>
      <c r="X153" s="247"/>
    </row>
    <row r="154" spans="2:24">
      <c r="B154" s="403" t="s">
        <v>55</v>
      </c>
      <c r="C154" s="384"/>
      <c r="D154" s="744" t="s">
        <v>159</v>
      </c>
      <c r="E154" s="384"/>
      <c r="F154" s="416" t="str">
        <f>IF(Information!$D$8="Deutsch",B154,D154)</f>
        <v>Monat</v>
      </c>
      <c r="G154" s="417"/>
      <c r="H154" s="350"/>
      <c r="I154" s="350"/>
      <c r="J154" s="247"/>
      <c r="L154" s="247"/>
      <c r="M154" s="247"/>
      <c r="N154" s="247"/>
      <c r="O154" s="247"/>
      <c r="P154" s="387"/>
    </row>
    <row r="155" spans="2:24">
      <c r="B155" s="576" t="s">
        <v>146</v>
      </c>
      <c r="C155" s="384"/>
      <c r="D155" s="744" t="s">
        <v>313</v>
      </c>
      <c r="E155" s="384"/>
      <c r="F155" s="416" t="str">
        <f>IF(Information!$D$8="Deutsch",B155,D155)</f>
        <v>Monatsblätter</v>
      </c>
      <c r="G155" s="417"/>
      <c r="H155" s="350"/>
      <c r="I155" s="350"/>
      <c r="J155" s="247"/>
      <c r="L155" s="247"/>
      <c r="M155" s="247"/>
      <c r="N155" s="247"/>
      <c r="O155" s="247"/>
      <c r="P155" s="387"/>
    </row>
    <row r="156" spans="2:24">
      <c r="B156" s="403" t="s">
        <v>66</v>
      </c>
      <c r="C156" s="384"/>
      <c r="D156" s="744" t="s">
        <v>244</v>
      </c>
      <c r="E156" s="384"/>
      <c r="F156" s="416" t="str">
        <f>IF(Information!$D$8="Deutsch",B156,D156)</f>
        <v>Monatssoll gem. BG</v>
      </c>
      <c r="G156" s="417"/>
      <c r="H156" s="350"/>
      <c r="I156" s="350"/>
      <c r="L156" s="247"/>
      <c r="M156" s="247"/>
      <c r="N156" s="247"/>
      <c r="O156" s="247"/>
      <c r="P156" s="387"/>
      <c r="T156" s="247"/>
      <c r="U156" s="247"/>
      <c r="V156" s="247"/>
      <c r="W156" s="247"/>
      <c r="X156" s="247"/>
    </row>
    <row r="157" spans="2:24">
      <c r="B157" s="403" t="s">
        <v>499</v>
      </c>
      <c r="C157" s="384"/>
      <c r="D157" s="744" t="s">
        <v>500</v>
      </c>
      <c r="E157" s="384"/>
      <c r="F157" s="416" t="str">
        <f>IF(Information!$D$8="Deutsch",B157,D157)</f>
        <v>Mutter- und Vaterschaftsurlaub</v>
      </c>
      <c r="G157" s="417"/>
      <c r="H157" s="350"/>
      <c r="I157" s="350"/>
      <c r="L157" s="247"/>
      <c r="M157" s="247"/>
      <c r="N157" s="247"/>
      <c r="O157" s="247"/>
      <c r="P157" s="387"/>
      <c r="T157" s="247"/>
      <c r="V157" s="247"/>
      <c r="W157" s="247"/>
      <c r="X157" s="247"/>
    </row>
    <row r="158" spans="2:24">
      <c r="B158" s="403" t="s">
        <v>1</v>
      </c>
      <c r="C158" s="384"/>
      <c r="D158" s="744" t="s">
        <v>200</v>
      </c>
      <c r="E158" s="384"/>
      <c r="F158" s="416" t="str">
        <f>IF(Information!$D$8="Deutsch",B158,D158)</f>
        <v>Nachmittag</v>
      </c>
      <c r="G158" s="417"/>
      <c r="H158" s="427"/>
      <c r="I158" s="350"/>
      <c r="J158" s="247"/>
      <c r="K158" s="247"/>
      <c r="L158" s="247"/>
      <c r="M158" s="247"/>
      <c r="N158" s="247"/>
      <c r="O158" s="247"/>
      <c r="P158" s="387"/>
      <c r="T158" s="247"/>
      <c r="V158" s="247"/>
      <c r="W158" s="247"/>
      <c r="X158" s="247"/>
    </row>
    <row r="159" spans="2:24">
      <c r="B159" s="403" t="s">
        <v>107</v>
      </c>
      <c r="C159" s="384"/>
      <c r="D159" s="744" t="s">
        <v>220</v>
      </c>
      <c r="E159" s="384"/>
      <c r="F159" s="416" t="str">
        <f>IF(Information!$D$8="Deutsch",B159,D159)</f>
        <v>Nach- mittag</v>
      </c>
      <c r="G159" s="417"/>
      <c r="H159" s="427"/>
      <c r="I159" s="350"/>
      <c r="J159" s="247"/>
      <c r="K159" s="247"/>
      <c r="L159" s="247"/>
      <c r="M159" s="247"/>
      <c r="N159" s="247"/>
      <c r="O159" s="247"/>
      <c r="P159" s="387"/>
      <c r="T159" s="247"/>
      <c r="V159" s="247"/>
      <c r="W159" s="247"/>
      <c r="X159" s="247"/>
    </row>
    <row r="160" spans="2:24">
      <c r="B160" s="403" t="s">
        <v>43</v>
      </c>
      <c r="C160" s="384"/>
      <c r="D160" s="744" t="s">
        <v>176</v>
      </c>
      <c r="E160" s="384"/>
      <c r="F160" s="416" t="str">
        <f>IF(Information!$D$8="Deutsch",B160,D160)</f>
        <v xml:space="preserve">Name: </v>
      </c>
      <c r="G160" s="417"/>
      <c r="H160" s="350"/>
      <c r="I160" s="350"/>
      <c r="J160" s="247"/>
      <c r="L160" s="247"/>
      <c r="M160" s="247"/>
      <c r="N160" s="247"/>
      <c r="O160" s="247"/>
      <c r="P160" s="387"/>
      <c r="T160" s="247"/>
      <c r="V160" s="247"/>
      <c r="W160" s="247"/>
      <c r="X160" s="247"/>
    </row>
    <row r="161" spans="2:30">
      <c r="B161" s="618" t="s">
        <v>350</v>
      </c>
      <c r="C161" s="384"/>
      <c r="D161" s="744" t="s">
        <v>353</v>
      </c>
      <c r="E161" s="384"/>
      <c r="F161" s="416" t="str">
        <f>IF(Information!$D$8="Deutsch",B161,D161)</f>
        <v>Nein</v>
      </c>
      <c r="G161" s="417"/>
      <c r="H161" s="350"/>
      <c r="I161" s="350"/>
      <c r="J161" s="247"/>
      <c r="L161" s="247"/>
      <c r="M161" s="247"/>
      <c r="N161" s="247"/>
      <c r="O161" s="247"/>
      <c r="P161" s="387"/>
      <c r="T161" s="247"/>
      <c r="V161" s="247"/>
      <c r="W161" s="247"/>
      <c r="X161" s="247"/>
    </row>
    <row r="162" spans="2:30">
      <c r="B162" s="576" t="s">
        <v>316</v>
      </c>
      <c r="C162" s="384"/>
      <c r="D162" s="744" t="s">
        <v>325</v>
      </c>
      <c r="E162" s="384"/>
      <c r="F162" s="416" t="str">
        <f>IF(Information!$D$8="Deutsch",B162,D162)</f>
        <v>NEU</v>
      </c>
      <c r="G162" s="417"/>
      <c r="H162" s="350"/>
      <c r="I162" s="350"/>
      <c r="J162" s="247"/>
      <c r="L162" s="247"/>
      <c r="M162" s="247"/>
      <c r="N162" s="247"/>
      <c r="O162" s="247"/>
      <c r="P162" s="387"/>
      <c r="T162" s="247"/>
      <c r="V162" s="247"/>
      <c r="W162" s="247"/>
      <c r="X162" s="247"/>
    </row>
    <row r="163" spans="2:30">
      <c r="B163" s="403" t="s">
        <v>196</v>
      </c>
      <c r="C163" s="384"/>
      <c r="D163" s="744" t="s">
        <v>197</v>
      </c>
      <c r="E163" s="384"/>
      <c r="F163" s="416" t="str">
        <f>IF(Information!$D$8="Deutsch",B163,D163)</f>
        <v>nicht</v>
      </c>
      <c r="G163" s="417"/>
      <c r="H163" s="350"/>
      <c r="I163" s="350"/>
      <c r="J163" s="70"/>
      <c r="L163" s="247"/>
      <c r="M163" s="247"/>
      <c r="N163" s="247"/>
      <c r="O163" s="247"/>
      <c r="P163" s="387"/>
      <c r="T163" s="247"/>
      <c r="V163" s="247"/>
      <c r="W163" s="247"/>
      <c r="X163" s="247"/>
    </row>
    <row r="164" spans="2:30">
      <c r="B164" s="403" t="s">
        <v>64</v>
      </c>
      <c r="C164" s="384"/>
      <c r="D164" s="744" t="s">
        <v>64</v>
      </c>
      <c r="E164" s="384"/>
      <c r="F164" s="416" t="str">
        <f>IF(Information!$D$8="Deutsch",B164,D164)</f>
        <v>November</v>
      </c>
      <c r="G164" s="417"/>
      <c r="H164" s="350"/>
      <c r="I164" s="350"/>
      <c r="J164" s="70"/>
      <c r="K164" s="387"/>
      <c r="M164" s="247"/>
      <c r="N164" s="247"/>
      <c r="O164" s="247"/>
      <c r="T164" s="247"/>
      <c r="V164" s="247"/>
      <c r="W164" s="247"/>
      <c r="X164" s="247"/>
    </row>
    <row r="165" spans="2:30">
      <c r="B165" s="403" t="s">
        <v>78</v>
      </c>
      <c r="C165" s="384"/>
      <c r="D165" s="744" t="s">
        <v>160</v>
      </c>
      <c r="E165" s="384"/>
      <c r="F165" s="416" t="str">
        <f>IF(Information!$D$8="Deutsch",B165,D165)</f>
        <v>Öffentliches Amt</v>
      </c>
      <c r="G165" s="417"/>
      <c r="H165" s="427"/>
      <c r="I165" s="350"/>
      <c r="J165" s="247"/>
      <c r="M165" s="247"/>
      <c r="N165" s="247"/>
      <c r="O165" s="247"/>
      <c r="T165" s="247"/>
      <c r="U165" s="247"/>
      <c r="V165" s="247"/>
      <c r="W165" s="247"/>
      <c r="X165" s="247"/>
    </row>
    <row r="166" spans="2:30">
      <c r="B166" s="403" t="s">
        <v>219</v>
      </c>
      <c r="C166" s="384"/>
      <c r="D166" s="744" t="s">
        <v>160</v>
      </c>
      <c r="E166" s="384"/>
      <c r="F166" s="416" t="str">
        <f>IF(Information!$D$8="Deutsch",B166,D166)</f>
        <v>Öffentl. Amt</v>
      </c>
      <c r="G166" s="417"/>
      <c r="H166" s="427"/>
      <c r="I166" s="350"/>
      <c r="J166" s="247"/>
      <c r="M166" s="247"/>
      <c r="N166" s="247"/>
      <c r="O166" s="247"/>
      <c r="T166" s="247"/>
      <c r="U166" s="247"/>
      <c r="V166" s="247"/>
      <c r="W166" s="247"/>
      <c r="X166" s="247"/>
    </row>
    <row r="167" spans="2:30">
      <c r="B167" s="403" t="s">
        <v>63</v>
      </c>
      <c r="C167" s="384"/>
      <c r="D167" s="744" t="s">
        <v>449</v>
      </c>
      <c r="E167" s="384"/>
      <c r="F167" s="416" t="str">
        <f>IF(Information!$D$8="Deutsch",B167,D167)</f>
        <v>Oktober</v>
      </c>
      <c r="G167" s="417"/>
      <c r="H167" s="350"/>
      <c r="I167" s="350"/>
      <c r="T167" s="247"/>
      <c r="U167" s="247"/>
      <c r="V167" s="247"/>
      <c r="W167" s="247"/>
      <c r="X167" s="247"/>
    </row>
    <row r="168" spans="2:30">
      <c r="B168" s="404" t="s">
        <v>45</v>
      </c>
      <c r="C168" s="384"/>
      <c r="D168" s="744" t="s">
        <v>175</v>
      </c>
      <c r="E168" s="384"/>
      <c r="F168" s="416" t="str">
        <f>IF(Information!$D$8="Deutsch",B168,D168)</f>
        <v xml:space="preserve">Pers-Nr.: </v>
      </c>
      <c r="G168" s="417"/>
      <c r="H168" s="350"/>
      <c r="I168" s="350"/>
      <c r="J168" s="247"/>
      <c r="M168" s="247"/>
      <c r="N168" s="247"/>
      <c r="O168" s="247"/>
      <c r="T168" s="247"/>
      <c r="U168" s="247"/>
      <c r="V168" s="247"/>
      <c r="W168" s="247"/>
      <c r="X168" s="247"/>
      <c r="Y168" s="247"/>
      <c r="Z168" s="247"/>
      <c r="AA168" s="247"/>
      <c r="AB168" s="247"/>
      <c r="AC168" s="247"/>
      <c r="AD168" s="247"/>
    </row>
    <row r="169" spans="2:30">
      <c r="B169" s="409" t="s">
        <v>136</v>
      </c>
      <c r="C169" s="384"/>
      <c r="D169" s="744" t="s">
        <v>236</v>
      </c>
      <c r="E169" s="384"/>
      <c r="F169" s="416" t="str">
        <f>IF(Information!$D$8="Deutsch",B169,D169)</f>
        <v>Persönliche Daten</v>
      </c>
      <c r="G169" s="391"/>
      <c r="H169" s="350"/>
      <c r="I169" s="350"/>
      <c r="J169" s="247"/>
      <c r="M169" s="247"/>
      <c r="N169" s="247"/>
      <c r="O169" s="247"/>
      <c r="T169" s="247"/>
      <c r="U169" s="247"/>
      <c r="V169" s="247"/>
      <c r="W169" s="247"/>
      <c r="X169" s="247"/>
      <c r="Y169" s="247"/>
      <c r="Z169" s="247"/>
      <c r="AA169" s="247"/>
      <c r="AB169" s="247"/>
      <c r="AC169" s="247"/>
      <c r="AD169" s="247"/>
    </row>
    <row r="170" spans="2:30">
      <c r="B170" s="409" t="s">
        <v>299</v>
      </c>
      <c r="C170" s="384"/>
      <c r="D170" s="744" t="s">
        <v>300</v>
      </c>
      <c r="E170" s="384"/>
      <c r="F170" s="416" t="str">
        <f>IF(Information!$D$8="Deutsch",B170,D170)</f>
        <v>pro</v>
      </c>
      <c r="G170" s="391"/>
      <c r="H170" s="350"/>
      <c r="I170" s="350"/>
      <c r="J170" s="247"/>
      <c r="M170" s="247"/>
      <c r="N170" s="247"/>
      <c r="O170" s="247"/>
      <c r="T170" s="247"/>
      <c r="U170" s="247"/>
      <c r="V170" s="247"/>
      <c r="W170" s="247"/>
      <c r="X170" s="247"/>
      <c r="Y170" s="247"/>
      <c r="Z170" s="247"/>
      <c r="AA170" s="247"/>
      <c r="AB170" s="247"/>
      <c r="AC170" s="247"/>
      <c r="AD170" s="247"/>
    </row>
    <row r="171" spans="2:30">
      <c r="B171" s="409" t="s">
        <v>297</v>
      </c>
      <c r="C171" s="384"/>
      <c r="D171" s="744" t="s">
        <v>298</v>
      </c>
      <c r="E171" s="384"/>
      <c r="F171" s="416" t="str">
        <f>IF(Information!$D$8="Deutsch",B171,D171)</f>
        <v>Halbtag</v>
      </c>
      <c r="G171" s="391"/>
      <c r="H171" s="350"/>
      <c r="I171" s="350"/>
      <c r="J171" s="247"/>
      <c r="M171" s="247"/>
      <c r="N171" s="247"/>
      <c r="O171" s="247"/>
      <c r="T171" s="247"/>
      <c r="U171" s="247"/>
      <c r="V171" s="247"/>
      <c r="W171" s="247"/>
      <c r="X171" s="247"/>
      <c r="Y171" s="247"/>
      <c r="Z171" s="247"/>
      <c r="AA171" s="247"/>
      <c r="AB171" s="247"/>
      <c r="AC171" s="247"/>
      <c r="AD171" s="247"/>
    </row>
    <row r="172" spans="2:30">
      <c r="B172" s="403" t="s">
        <v>62</v>
      </c>
      <c r="C172" s="384"/>
      <c r="D172" s="744" t="s">
        <v>62</v>
      </c>
      <c r="E172" s="384"/>
      <c r="F172" s="416" t="str">
        <f>IF(Information!$D$8="Deutsch",B172,D172)</f>
        <v>September</v>
      </c>
      <c r="G172" s="417"/>
      <c r="H172" s="350"/>
      <c r="I172" s="350"/>
      <c r="J172" s="247"/>
      <c r="M172" s="247"/>
      <c r="N172" s="247"/>
      <c r="O172" s="247"/>
      <c r="T172" s="247"/>
      <c r="U172" s="247"/>
      <c r="V172" s="247"/>
      <c r="W172" s="247"/>
      <c r="X172" s="247"/>
      <c r="Y172" s="247"/>
      <c r="Z172" s="247"/>
      <c r="AA172" s="247"/>
      <c r="AB172" s="247"/>
      <c r="AC172" s="247"/>
      <c r="AD172" s="247"/>
    </row>
    <row r="173" spans="2:30">
      <c r="B173" s="420" t="s">
        <v>8</v>
      </c>
      <c r="C173" s="384"/>
      <c r="D173" s="744" t="s">
        <v>205</v>
      </c>
      <c r="E173" s="384"/>
      <c r="F173" s="416" t="str">
        <f>IF(Information!$D$8="Deutsch",B173,D173)</f>
        <v>Sa</v>
      </c>
      <c r="G173" s="417"/>
      <c r="H173" s="350"/>
      <c r="I173" s="350"/>
      <c r="J173" s="247"/>
      <c r="L173" s="5"/>
      <c r="M173" s="350"/>
      <c r="N173" s="349"/>
      <c r="O173" s="349"/>
      <c r="Q173" s="348"/>
      <c r="T173" s="247"/>
      <c r="U173" s="247"/>
      <c r="V173" s="247"/>
      <c r="W173" s="247"/>
      <c r="X173" s="247"/>
      <c r="Y173" s="247"/>
      <c r="Z173" s="247"/>
      <c r="AA173" s="247"/>
      <c r="AB173" s="247"/>
      <c r="AC173" s="247"/>
      <c r="AD173" s="247"/>
    </row>
    <row r="174" spans="2:30">
      <c r="B174" s="403" t="s">
        <v>180</v>
      </c>
      <c r="C174" s="384"/>
      <c r="D174" s="744" t="s">
        <v>453</v>
      </c>
      <c r="E174" s="384"/>
      <c r="F174" s="416" t="str">
        <f>IF(Information!$D$8="Deutsch",B174,D174)</f>
        <v>Saldo</v>
      </c>
      <c r="G174" s="417"/>
      <c r="H174" s="350"/>
      <c r="I174" s="350"/>
      <c r="J174" s="247"/>
      <c r="K174" s="70"/>
      <c r="L174" s="387"/>
      <c r="M174" s="247"/>
      <c r="N174" s="247"/>
      <c r="O174" s="247"/>
      <c r="T174" s="247"/>
      <c r="U174" s="247"/>
      <c r="V174" s="247"/>
      <c r="W174" s="247"/>
      <c r="X174" s="247"/>
      <c r="Y174" s="247"/>
      <c r="Z174" s="247"/>
      <c r="AA174" s="247"/>
      <c r="AB174" s="247"/>
      <c r="AC174" s="247"/>
      <c r="AD174" s="247"/>
    </row>
    <row r="175" spans="2:30">
      <c r="B175" s="403" t="s">
        <v>83</v>
      </c>
      <c r="C175" s="384"/>
      <c r="D175" s="744" t="s">
        <v>161</v>
      </c>
      <c r="E175" s="384"/>
      <c r="F175" s="416" t="str">
        <f>IF(Information!$D$8="Deutsch",B175,D175)</f>
        <v>Saldo bis Dato</v>
      </c>
      <c r="G175" s="417"/>
      <c r="H175" s="350"/>
      <c r="I175" s="350"/>
      <c r="J175" s="247"/>
      <c r="K175" s="70"/>
      <c r="M175" s="247"/>
      <c r="N175" s="247"/>
      <c r="O175" s="247"/>
      <c r="P175" s="387"/>
      <c r="T175" s="247"/>
      <c r="U175" s="247"/>
      <c r="V175" s="247"/>
      <c r="W175" s="247"/>
      <c r="X175" s="247"/>
      <c r="Y175" s="247"/>
      <c r="Z175" s="247"/>
      <c r="AA175" s="247"/>
      <c r="AB175" s="247"/>
      <c r="AC175" s="247"/>
      <c r="AD175" s="247"/>
    </row>
    <row r="176" spans="2:30">
      <c r="B176" s="423" t="s">
        <v>10</v>
      </c>
      <c r="C176" s="384"/>
      <c r="D176" s="744" t="s">
        <v>206</v>
      </c>
      <c r="E176" s="384"/>
      <c r="F176" s="416" t="str">
        <f>IF(Information!$D$8="Deutsch",B176,D176)</f>
        <v>So</v>
      </c>
      <c r="G176" s="417"/>
      <c r="H176" s="350"/>
      <c r="I176" s="350"/>
      <c r="J176" s="247"/>
      <c r="K176" s="70"/>
      <c r="M176" s="247"/>
      <c r="N176" s="247"/>
      <c r="O176" s="247"/>
      <c r="P176" s="387"/>
      <c r="T176" s="247"/>
      <c r="U176" s="247"/>
      <c r="V176" s="247"/>
      <c r="W176" s="247"/>
      <c r="X176" s="247"/>
      <c r="Y176" s="247"/>
      <c r="Z176" s="247"/>
      <c r="AA176" s="247"/>
      <c r="AB176" s="247"/>
      <c r="AC176" s="247"/>
      <c r="AD176" s="247"/>
    </row>
    <row r="177" spans="2:30">
      <c r="B177" s="403" t="s">
        <v>71</v>
      </c>
      <c r="C177" s="384"/>
      <c r="D177" s="744" t="s">
        <v>237</v>
      </c>
      <c r="E177" s="384"/>
      <c r="F177" s="416" t="str">
        <f>IF(Information!$D$8="Deutsch",B177,D177)</f>
        <v>Soll</v>
      </c>
      <c r="G177" s="417"/>
      <c r="H177" s="350"/>
      <c r="I177" s="350"/>
      <c r="J177" s="247"/>
      <c r="K177" s="70"/>
      <c r="M177" s="247"/>
      <c r="N177" s="247"/>
      <c r="O177" s="247"/>
      <c r="P177" s="387"/>
      <c r="T177" s="247"/>
      <c r="U177" s="247"/>
      <c r="V177" s="247"/>
      <c r="W177" s="247"/>
      <c r="X177" s="247"/>
      <c r="Y177" s="247"/>
      <c r="Z177" s="247"/>
      <c r="AA177" s="247"/>
      <c r="AB177" s="247"/>
      <c r="AC177" s="247"/>
      <c r="AD177" s="247"/>
    </row>
    <row r="178" spans="2:30">
      <c r="B178" s="687" t="s">
        <v>385</v>
      </c>
      <c r="C178" s="384"/>
      <c r="D178" s="744" t="s">
        <v>386</v>
      </c>
      <c r="E178" s="384"/>
      <c r="F178" s="416" t="str">
        <f>IF(Information!$D$8="Deutsch",B178,D178)</f>
        <v>Speisung</v>
      </c>
      <c r="G178" s="417"/>
      <c r="H178" s="350"/>
      <c r="I178" s="350"/>
      <c r="J178" s="247"/>
      <c r="K178" s="70"/>
      <c r="M178" s="247"/>
      <c r="N178" s="247"/>
      <c r="O178" s="247"/>
      <c r="P178" s="387"/>
      <c r="T178" s="247"/>
      <c r="U178" s="247"/>
      <c r="V178" s="247"/>
      <c r="W178" s="247"/>
      <c r="X178" s="247"/>
      <c r="Y178" s="247"/>
      <c r="Z178" s="247"/>
      <c r="AA178" s="247"/>
      <c r="AB178" s="247"/>
      <c r="AC178" s="247"/>
      <c r="AD178" s="247"/>
    </row>
    <row r="179" spans="2:30">
      <c r="B179" s="403" t="s">
        <v>140</v>
      </c>
      <c r="C179" s="384"/>
      <c r="D179" s="744" t="s">
        <v>238</v>
      </c>
      <c r="E179" s="384"/>
      <c r="F179" s="416" t="str">
        <f>IF(Information!$D$8="Deutsch",B179,D179)</f>
        <v>Speisung per 01.01.</v>
      </c>
      <c r="G179" s="417"/>
      <c r="H179" s="350"/>
      <c r="I179" s="350"/>
      <c r="J179" s="247"/>
      <c r="K179" s="387"/>
      <c r="M179" s="247"/>
      <c r="N179" s="247"/>
      <c r="O179" s="247"/>
      <c r="P179" s="387"/>
      <c r="T179" s="247"/>
      <c r="U179" s="247"/>
      <c r="V179" s="247"/>
      <c r="W179" s="247"/>
      <c r="X179" s="247"/>
      <c r="Y179" s="247"/>
      <c r="Z179" s="247"/>
      <c r="AA179" s="247"/>
      <c r="AB179" s="247"/>
      <c r="AC179" s="247"/>
      <c r="AD179" s="247"/>
    </row>
    <row r="180" spans="2:30">
      <c r="B180" s="403" t="s">
        <v>53</v>
      </c>
      <c r="C180" s="384"/>
      <c r="D180" s="744" t="s">
        <v>191</v>
      </c>
      <c r="E180" s="384"/>
      <c r="F180" s="416" t="str">
        <f>IF(Information!$D$8="Deutsch",B180,D180)</f>
        <v>Stunden</v>
      </c>
      <c r="G180" s="417"/>
      <c r="H180" s="350"/>
      <c r="I180" s="350"/>
      <c r="J180" s="247"/>
      <c r="K180" s="70"/>
      <c r="M180" s="247"/>
      <c r="N180" s="247"/>
      <c r="O180" s="247"/>
      <c r="P180" s="387"/>
      <c r="T180" s="247"/>
      <c r="U180" s="247"/>
      <c r="V180" s="247"/>
      <c r="W180" s="247"/>
      <c r="X180" s="247"/>
      <c r="Y180" s="247"/>
      <c r="Z180" s="247"/>
      <c r="AA180" s="247"/>
      <c r="AB180" s="247"/>
      <c r="AC180" s="247"/>
      <c r="AD180" s="247"/>
    </row>
    <row r="181" spans="2:30">
      <c r="B181" s="403" t="s">
        <v>102</v>
      </c>
      <c r="C181" s="384"/>
      <c r="D181" s="744" t="s">
        <v>239</v>
      </c>
      <c r="E181" s="384"/>
      <c r="F181" s="416" t="str">
        <f>IF(Information!$D$8="Deutsch",B181,D181)</f>
        <v>Summe bis Dato</v>
      </c>
      <c r="G181" s="417"/>
      <c r="H181" s="350"/>
      <c r="I181" s="350"/>
      <c r="J181" s="247"/>
      <c r="K181" s="70"/>
      <c r="M181" s="247"/>
      <c r="N181" s="247"/>
      <c r="O181" s="247"/>
      <c r="P181" s="387"/>
      <c r="T181" s="247"/>
      <c r="U181" s="247"/>
      <c r="V181" s="247"/>
      <c r="W181" s="247"/>
      <c r="X181" s="247"/>
      <c r="Y181" s="247"/>
      <c r="Z181" s="247"/>
      <c r="AA181" s="247"/>
      <c r="AB181" s="247"/>
      <c r="AC181" s="247"/>
      <c r="AD181" s="247"/>
    </row>
    <row r="182" spans="2:30">
      <c r="B182" s="403" t="s">
        <v>54</v>
      </c>
      <c r="C182" s="384"/>
      <c r="D182" s="744" t="s">
        <v>192</v>
      </c>
      <c r="E182" s="384"/>
      <c r="F182" s="416" t="str">
        <f>IF(Information!$D$8="Deutsch",B182,D182)</f>
        <v>Tage</v>
      </c>
      <c r="G182" s="417"/>
      <c r="H182" s="350"/>
      <c r="I182" s="350"/>
      <c r="J182" s="247"/>
      <c r="K182" s="70"/>
      <c r="M182" s="247"/>
      <c r="N182" s="247"/>
      <c r="O182" s="247"/>
      <c r="P182" s="387"/>
      <c r="T182" s="247"/>
      <c r="U182" s="247"/>
      <c r="V182" s="247"/>
      <c r="W182" s="247"/>
      <c r="X182" s="247"/>
      <c r="Y182" s="247"/>
      <c r="Z182" s="247"/>
      <c r="AA182" s="247"/>
      <c r="AB182" s="247"/>
      <c r="AC182" s="247"/>
      <c r="AD182" s="247"/>
    </row>
    <row r="183" spans="2:30">
      <c r="B183" s="403" t="s">
        <v>88</v>
      </c>
      <c r="C183" s="384"/>
      <c r="D183" s="744" t="s">
        <v>274</v>
      </c>
      <c r="E183" s="384"/>
      <c r="F183" s="416" t="str">
        <f>IF(Information!$D$8="Deutsch",B183,D183)</f>
        <v>Tagessoll</v>
      </c>
      <c r="G183" s="417"/>
      <c r="H183" s="350"/>
      <c r="I183" s="350"/>
      <c r="J183" s="247"/>
      <c r="K183" s="70"/>
      <c r="M183" s="247"/>
      <c r="N183" s="247"/>
      <c r="O183" s="247"/>
      <c r="P183" s="387"/>
      <c r="T183" s="247"/>
      <c r="U183" s="247"/>
      <c r="V183" s="247"/>
      <c r="W183" s="247"/>
      <c r="X183" s="247"/>
      <c r="Y183" s="247"/>
      <c r="Z183" s="247"/>
      <c r="AA183" s="247"/>
      <c r="AB183" s="247"/>
      <c r="AC183" s="247"/>
      <c r="AD183" s="247"/>
    </row>
    <row r="184" spans="2:30">
      <c r="B184" s="403" t="s">
        <v>46</v>
      </c>
      <c r="C184" s="384"/>
      <c r="D184" s="744" t="s">
        <v>162</v>
      </c>
      <c r="E184" s="384"/>
      <c r="F184" s="416" t="str">
        <f>IF(Information!$D$8="Deutsch",B184,D184)</f>
        <v>Total</v>
      </c>
      <c r="G184" s="417"/>
      <c r="H184" s="350"/>
      <c r="I184" s="350"/>
      <c r="J184" s="247"/>
      <c r="K184" s="70"/>
      <c r="L184" s="387"/>
      <c r="M184" s="247"/>
      <c r="N184" s="247"/>
      <c r="O184" s="247"/>
      <c r="P184" s="387"/>
      <c r="T184" s="247"/>
      <c r="U184" s="247"/>
      <c r="V184" s="247"/>
      <c r="W184" s="247"/>
      <c r="X184" s="247"/>
      <c r="Y184" s="247"/>
      <c r="Z184" s="247"/>
      <c r="AA184" s="247"/>
      <c r="AB184" s="247"/>
      <c r="AC184" s="247"/>
      <c r="AD184" s="247"/>
    </row>
    <row r="185" spans="2:30">
      <c r="B185" s="403" t="s">
        <v>442</v>
      </c>
      <c r="C185" s="410"/>
      <c r="D185" s="744" t="s">
        <v>399</v>
      </c>
      <c r="E185" s="384"/>
      <c r="F185" s="416" t="str">
        <f>IF(Information!$D$8="Deutsch",B185,D185)</f>
        <v>Ferienguthaben</v>
      </c>
      <c r="G185" s="417"/>
      <c r="H185" s="350"/>
      <c r="I185" s="350"/>
      <c r="K185" s="349"/>
      <c r="L185" s="352"/>
      <c r="M185" s="348"/>
      <c r="N185" s="389"/>
      <c r="O185" s="70"/>
      <c r="P185" s="387"/>
      <c r="T185" s="247"/>
      <c r="U185" s="247"/>
      <c r="V185" s="247"/>
      <c r="W185" s="247"/>
      <c r="X185" s="247"/>
      <c r="Y185" s="247"/>
      <c r="Z185" s="247"/>
      <c r="AA185" s="247"/>
      <c r="AB185" s="247"/>
      <c r="AC185" s="247"/>
      <c r="AD185" s="247"/>
    </row>
    <row r="186" spans="2:30">
      <c r="B186" s="403" t="s">
        <v>137</v>
      </c>
      <c r="C186" s="410"/>
      <c r="D186" s="744" t="s">
        <v>392</v>
      </c>
      <c r="E186" s="384"/>
      <c r="F186" s="416" t="str">
        <f>IF(Information!$D$8="Deutsch",B186,D186)</f>
        <v>Treueprämie</v>
      </c>
      <c r="G186" s="417"/>
      <c r="H186" s="350"/>
      <c r="I186" s="350"/>
      <c r="J186" s="349"/>
      <c r="K186" s="349"/>
      <c r="L186" s="352"/>
      <c r="M186" s="348"/>
      <c r="N186" s="389"/>
      <c r="O186" s="70"/>
      <c r="P186" s="387"/>
      <c r="T186" s="247"/>
      <c r="U186" s="247"/>
      <c r="V186" s="247"/>
      <c r="W186" s="247"/>
      <c r="X186" s="247"/>
      <c r="Y186" s="247"/>
      <c r="Z186" s="247"/>
      <c r="AA186" s="247"/>
      <c r="AB186" s="247"/>
      <c r="AC186" s="247"/>
      <c r="AD186" s="247"/>
    </row>
    <row r="187" spans="2:30">
      <c r="B187" s="743" t="s">
        <v>388</v>
      </c>
      <c r="C187" s="410"/>
      <c r="D187" s="744" t="s">
        <v>387</v>
      </c>
      <c r="E187" s="745"/>
      <c r="F187" s="416" t="str">
        <f>IF(Information!$D$8="Deutsch",B187,D187)</f>
        <v>Übertrag in das nächste Jahr</v>
      </c>
      <c r="G187" s="417"/>
      <c r="H187" s="350"/>
      <c r="I187" s="350"/>
      <c r="J187" s="349"/>
      <c r="K187" s="349"/>
      <c r="L187" s="352"/>
      <c r="M187" s="348"/>
      <c r="N187" s="389"/>
      <c r="O187" s="70"/>
      <c r="P187" s="387"/>
      <c r="T187" s="247"/>
      <c r="U187" s="247"/>
      <c r="V187" s="247"/>
      <c r="W187" s="247"/>
      <c r="X187" s="247"/>
      <c r="Y187" s="247"/>
      <c r="Z187" s="247"/>
      <c r="AA187" s="247"/>
      <c r="AB187" s="247"/>
      <c r="AC187" s="247"/>
      <c r="AD187" s="247"/>
    </row>
    <row r="188" spans="2:30">
      <c r="B188" s="403" t="s">
        <v>85</v>
      </c>
      <c r="C188" s="410"/>
      <c r="D188" s="744" t="s">
        <v>164</v>
      </c>
      <c r="E188" s="384"/>
      <c r="F188" s="416" t="str">
        <f>IF(Information!$D$8="Deutsch",B188,D188)</f>
        <v>Übertrag Vorjahr</v>
      </c>
      <c r="G188" s="417"/>
      <c r="H188" s="427"/>
      <c r="I188" s="350"/>
      <c r="J188" s="349"/>
      <c r="K188" s="349"/>
      <c r="L188" s="352"/>
      <c r="M188" s="348"/>
      <c r="N188" s="389"/>
      <c r="O188" s="70"/>
      <c r="P188" s="387"/>
      <c r="T188" s="247"/>
      <c r="U188" s="247"/>
      <c r="V188" s="247"/>
      <c r="W188" s="247"/>
      <c r="X188" s="247"/>
      <c r="Y188" s="247"/>
      <c r="Z188" s="247"/>
      <c r="AA188" s="247"/>
      <c r="AB188" s="247"/>
      <c r="AC188" s="247"/>
      <c r="AD188" s="247"/>
    </row>
    <row r="189" spans="2:30">
      <c r="B189" s="403" t="s">
        <v>223</v>
      </c>
      <c r="C189" s="410"/>
      <c r="D189" s="744" t="s">
        <v>225</v>
      </c>
      <c r="E189" s="384"/>
      <c r="F189" s="416" t="str">
        <f>IF(Information!$D$8="Deutsch",B189,D189)</f>
        <v>Übertr. Vorjahr</v>
      </c>
      <c r="G189" s="417"/>
      <c r="H189" s="427"/>
      <c r="I189" s="350"/>
      <c r="J189" s="349"/>
      <c r="K189" s="349"/>
      <c r="L189" s="352"/>
      <c r="M189" s="348"/>
      <c r="N189" s="389"/>
      <c r="O189" s="70"/>
      <c r="P189" s="387"/>
      <c r="T189" s="247"/>
      <c r="U189" s="247"/>
      <c r="V189" s="247"/>
      <c r="W189" s="247"/>
      <c r="X189" s="247"/>
      <c r="Y189" s="247"/>
      <c r="Z189" s="247"/>
      <c r="AA189" s="247"/>
      <c r="AB189" s="247"/>
      <c r="AC189" s="247"/>
      <c r="AD189" s="247"/>
    </row>
    <row r="190" spans="2:30">
      <c r="B190" s="710" t="s">
        <v>432</v>
      </c>
      <c r="C190" s="410"/>
      <c r="D190" s="744" t="s">
        <v>433</v>
      </c>
      <c r="E190" s="711"/>
      <c r="F190" s="416" t="str">
        <f>IF(Information!$D$8="Deutsch",B190,D190)</f>
        <v>Übertrag Vormnt</v>
      </c>
      <c r="G190" s="417"/>
      <c r="H190" s="350"/>
      <c r="I190" s="350"/>
      <c r="J190" s="349"/>
      <c r="K190" s="349"/>
      <c r="L190" s="352"/>
      <c r="M190" s="348"/>
      <c r="N190" s="389"/>
      <c r="O190" s="70"/>
      <c r="P190" s="387"/>
      <c r="T190" s="247"/>
      <c r="U190" s="247"/>
      <c r="V190" s="247"/>
      <c r="W190" s="247"/>
      <c r="X190" s="247"/>
      <c r="Y190" s="247"/>
      <c r="Z190" s="247"/>
      <c r="AA190" s="247"/>
      <c r="AB190" s="247"/>
      <c r="AC190" s="247"/>
      <c r="AD190" s="247"/>
    </row>
    <row r="191" spans="2:30">
      <c r="B191" s="403" t="s">
        <v>275</v>
      </c>
      <c r="D191" s="409" t="s">
        <v>276</v>
      </c>
      <c r="E191" s="384"/>
      <c r="F191" s="416" t="str">
        <f>IF(Information!$D$8="Deutsch",B191,D191)</f>
        <v>Umrechnung</v>
      </c>
      <c r="G191" s="417"/>
      <c r="H191" s="350"/>
      <c r="I191" s="350"/>
      <c r="J191" s="349"/>
      <c r="K191" s="349"/>
      <c r="L191" s="352"/>
      <c r="M191" s="348"/>
      <c r="N191" s="389"/>
      <c r="O191" s="70"/>
      <c r="P191" s="387"/>
      <c r="T191" s="247"/>
      <c r="U191" s="247"/>
      <c r="V191" s="247"/>
      <c r="W191" s="247"/>
      <c r="X191" s="247"/>
      <c r="Y191" s="247"/>
      <c r="Z191" s="247"/>
      <c r="AA191" s="247"/>
      <c r="AB191" s="247"/>
      <c r="AC191" s="247"/>
      <c r="AD191" s="247"/>
    </row>
    <row r="192" spans="2:30">
      <c r="B192" s="403" t="s">
        <v>79</v>
      </c>
      <c r="C192" s="410"/>
      <c r="D192" s="744" t="s">
        <v>246</v>
      </c>
      <c r="E192" s="384"/>
      <c r="F192" s="416" t="str">
        <f>IF(Information!$D$8="Deutsch",B192,D192)</f>
        <v>Umrechnungstools</v>
      </c>
      <c r="G192" s="417"/>
      <c r="H192" s="350"/>
      <c r="I192" s="350"/>
      <c r="J192" s="349"/>
      <c r="K192" s="349"/>
      <c r="L192" s="352"/>
      <c r="M192" s="348"/>
      <c r="N192" s="389"/>
      <c r="O192" s="70"/>
      <c r="P192" s="387"/>
      <c r="T192" s="247"/>
      <c r="U192" s="247"/>
      <c r="V192" s="247"/>
      <c r="W192" s="247"/>
      <c r="X192" s="247"/>
      <c r="Y192" s="247"/>
      <c r="Z192" s="247"/>
      <c r="AA192" s="247"/>
      <c r="AB192" s="247"/>
      <c r="AC192" s="247"/>
      <c r="AD192" s="247"/>
    </row>
    <row r="193" spans="2:30">
      <c r="B193" s="403" t="s">
        <v>76</v>
      </c>
      <c r="C193" s="410"/>
      <c r="D193" s="744" t="s">
        <v>165</v>
      </c>
      <c r="E193" s="384"/>
      <c r="F193" s="416" t="str">
        <f>IF(Information!$D$8="Deutsch",B193,D193)</f>
        <v>unbedingt ausfüllen!</v>
      </c>
      <c r="G193" s="417"/>
      <c r="H193" s="350"/>
      <c r="I193" s="350"/>
      <c r="J193" s="349"/>
      <c r="K193" s="349"/>
      <c r="L193" s="352"/>
      <c r="M193" s="348"/>
      <c r="N193" s="389"/>
      <c r="O193" s="70"/>
      <c r="P193" s="387"/>
      <c r="T193" s="247"/>
      <c r="U193" s="247"/>
      <c r="V193" s="247"/>
      <c r="W193" s="247"/>
      <c r="X193" s="247"/>
      <c r="Y193" s="247"/>
      <c r="Z193" s="247"/>
      <c r="AA193" s="247"/>
      <c r="AB193" s="247"/>
      <c r="AC193" s="247"/>
      <c r="AD193" s="247"/>
    </row>
    <row r="194" spans="2:30">
      <c r="B194" s="403" t="s">
        <v>185</v>
      </c>
      <c r="C194" s="410"/>
      <c r="D194" s="744" t="s">
        <v>193</v>
      </c>
      <c r="E194" s="384"/>
      <c r="F194" s="416" t="str">
        <f>IF(Information!$D$8="Deutsch",B194,D194)</f>
        <v>unbezahlt</v>
      </c>
      <c r="G194" s="417"/>
      <c r="H194" s="350"/>
      <c r="I194" s="350"/>
      <c r="J194" s="349"/>
      <c r="K194" s="349"/>
      <c r="L194" s="352"/>
      <c r="M194" s="348"/>
      <c r="N194" s="389"/>
      <c r="O194" s="70"/>
      <c r="P194" s="387"/>
      <c r="T194" s="247"/>
      <c r="U194" s="247"/>
      <c r="V194" s="247"/>
      <c r="W194" s="247"/>
      <c r="X194" s="247"/>
      <c r="Y194" s="247"/>
      <c r="Z194" s="247"/>
      <c r="AA194" s="247"/>
      <c r="AB194" s="247"/>
      <c r="AC194" s="247"/>
      <c r="AD194" s="247"/>
    </row>
    <row r="195" spans="2:30">
      <c r="B195" s="697" t="s">
        <v>418</v>
      </c>
      <c r="C195" s="410"/>
      <c r="D195" s="744" t="s">
        <v>419</v>
      </c>
      <c r="E195" s="699"/>
      <c r="F195" s="416" t="str">
        <f>IF(Information!$D$8="Deutsch",B195,D195)</f>
        <v>und</v>
      </c>
      <c r="G195" s="417"/>
      <c r="H195" s="350"/>
      <c r="I195" s="350"/>
      <c r="J195" s="349"/>
      <c r="K195" s="349"/>
      <c r="L195" s="352"/>
      <c r="M195" s="348"/>
      <c r="N195" s="389"/>
      <c r="O195" s="70"/>
      <c r="P195" s="387"/>
      <c r="T195" s="247"/>
      <c r="U195" s="247"/>
      <c r="V195" s="247"/>
      <c r="W195" s="247"/>
      <c r="X195" s="247"/>
      <c r="Y195" s="247"/>
      <c r="Z195" s="247"/>
      <c r="AA195" s="247"/>
      <c r="AB195" s="247"/>
      <c r="AC195" s="247"/>
      <c r="AD195" s="247"/>
    </row>
    <row r="196" spans="2:30">
      <c r="B196" s="403" t="s">
        <v>214</v>
      </c>
      <c r="C196" s="410"/>
      <c r="D196" s="744" t="s">
        <v>187</v>
      </c>
      <c r="E196" s="384"/>
      <c r="F196" s="416" t="str">
        <f>IF(Information!$D$8="Deutsch",B196,D196)</f>
        <v>Unfall</v>
      </c>
      <c r="G196" s="417"/>
      <c r="H196" s="350"/>
      <c r="I196" s="350"/>
      <c r="J196" s="349"/>
      <c r="K196" s="349"/>
      <c r="L196" s="352"/>
      <c r="M196" s="348"/>
      <c r="N196" s="389"/>
      <c r="O196" s="70"/>
      <c r="P196" s="387"/>
      <c r="T196" s="247"/>
      <c r="U196" s="247"/>
      <c r="V196" s="247"/>
      <c r="W196" s="247"/>
      <c r="X196" s="247"/>
      <c r="Y196" s="247"/>
      <c r="Z196" s="247"/>
      <c r="AA196" s="247"/>
      <c r="AB196" s="247"/>
      <c r="AC196" s="247"/>
      <c r="AD196" s="247"/>
    </row>
    <row r="197" spans="2:30">
      <c r="B197" s="403" t="s">
        <v>229</v>
      </c>
      <c r="C197" s="405"/>
      <c r="D197" s="744" t="s">
        <v>228</v>
      </c>
      <c r="E197" s="384"/>
      <c r="F197" s="416" t="str">
        <f>IF(Information!$D$8="Deutsch",B197,D197)</f>
        <v>Unterschrift</v>
      </c>
      <c r="G197" s="417"/>
      <c r="H197" s="350"/>
      <c r="I197" s="350"/>
      <c r="J197" s="349"/>
      <c r="K197" s="349"/>
      <c r="L197" s="352"/>
      <c r="M197" s="348"/>
      <c r="N197" s="389"/>
      <c r="O197" s="70"/>
      <c r="P197" s="387"/>
      <c r="T197" s="247"/>
      <c r="U197" s="247"/>
      <c r="V197" s="247"/>
      <c r="W197" s="247"/>
      <c r="X197" s="247"/>
      <c r="Y197" s="247"/>
      <c r="Z197" s="247"/>
      <c r="AA197" s="247"/>
      <c r="AB197" s="247"/>
      <c r="AC197" s="247"/>
      <c r="AD197" s="247"/>
    </row>
    <row r="198" spans="2:30">
      <c r="B198" s="403" t="s">
        <v>186</v>
      </c>
      <c r="C198" s="405"/>
      <c r="D198" s="744" t="s">
        <v>188</v>
      </c>
      <c r="E198" s="384"/>
      <c r="F198" s="416" t="str">
        <f>IF(Information!$D$8="Deutsch",B198,D198)</f>
        <v>Urlaub</v>
      </c>
      <c r="G198" s="417"/>
      <c r="H198" s="350"/>
      <c r="I198" s="350"/>
      <c r="J198" s="349"/>
      <c r="K198" s="349"/>
      <c r="L198" s="352"/>
      <c r="M198" s="348"/>
      <c r="N198" s="389"/>
      <c r="O198" s="70"/>
      <c r="P198" s="387"/>
      <c r="T198" s="247"/>
      <c r="U198" s="247"/>
      <c r="V198" s="247"/>
      <c r="W198" s="247"/>
      <c r="X198" s="247"/>
      <c r="Y198" s="247"/>
      <c r="Z198" s="247"/>
      <c r="AA198" s="247"/>
      <c r="AB198" s="247"/>
      <c r="AC198" s="247"/>
      <c r="AD198" s="247"/>
    </row>
    <row r="199" spans="2:30">
      <c r="B199" s="403" t="s">
        <v>226</v>
      </c>
      <c r="C199" s="405"/>
      <c r="D199" s="744" t="s">
        <v>227</v>
      </c>
      <c r="E199" s="384"/>
      <c r="F199" s="416" t="str">
        <f>IF(Information!$D$8="Deutsch",B199,D199)</f>
        <v>Vorgesetzter</v>
      </c>
      <c r="G199" s="417"/>
      <c r="H199" s="350"/>
      <c r="I199" s="350"/>
      <c r="J199" s="349"/>
      <c r="K199" s="349"/>
      <c r="L199" s="352"/>
      <c r="M199" s="348"/>
      <c r="N199" s="389"/>
      <c r="O199" s="70"/>
      <c r="P199" s="387"/>
      <c r="T199" s="247"/>
      <c r="U199" s="247"/>
      <c r="V199" s="247"/>
      <c r="W199" s="247"/>
      <c r="X199" s="247"/>
      <c r="Y199" s="247"/>
      <c r="Z199" s="247"/>
      <c r="AA199" s="247"/>
      <c r="AB199" s="247"/>
      <c r="AC199" s="247"/>
      <c r="AD199" s="247"/>
    </row>
    <row r="200" spans="2:30">
      <c r="B200" s="693" t="s">
        <v>412</v>
      </c>
      <c r="C200" s="405"/>
      <c r="D200" s="349" t="s">
        <v>413</v>
      </c>
      <c r="E200" s="402"/>
      <c r="F200" s="416" t="str">
        <f>IF(Information!$D$8="Deutsch",B200,D200)</f>
        <v>vorhanden</v>
      </c>
      <c r="G200" s="417"/>
      <c r="H200" s="350"/>
      <c r="I200" s="350"/>
      <c r="J200" s="349"/>
      <c r="K200" s="349"/>
      <c r="L200" s="352"/>
      <c r="M200" s="348"/>
      <c r="N200" s="389"/>
      <c r="O200" s="70"/>
      <c r="P200" s="387"/>
      <c r="T200" s="247"/>
      <c r="U200" s="247"/>
      <c r="V200" s="247"/>
      <c r="W200" s="247"/>
      <c r="X200" s="247"/>
      <c r="Y200" s="247"/>
      <c r="Z200" s="247"/>
      <c r="AA200" s="247"/>
      <c r="AB200" s="247"/>
      <c r="AC200" s="247"/>
      <c r="AD200" s="247"/>
    </row>
    <row r="201" spans="2:30">
      <c r="B201" s="421" t="s">
        <v>0</v>
      </c>
      <c r="C201" s="384"/>
      <c r="D201" s="749" t="s">
        <v>452</v>
      </c>
      <c r="E201" s="384"/>
      <c r="F201" s="416" t="str">
        <f>IF(Information!$D$8="Deutsch",B201,D201)</f>
        <v>Vormittag</v>
      </c>
      <c r="G201" s="417"/>
      <c r="H201" s="427"/>
      <c r="I201" s="350"/>
      <c r="J201" s="349"/>
      <c r="K201" s="349"/>
      <c r="L201" s="352"/>
      <c r="M201" s="348"/>
      <c r="N201" s="389"/>
      <c r="T201" s="247"/>
      <c r="U201" s="247"/>
      <c r="V201" s="247"/>
      <c r="W201" s="247"/>
      <c r="X201" s="247"/>
      <c r="Y201" s="247"/>
      <c r="Z201" s="247"/>
      <c r="AA201" s="247"/>
      <c r="AB201" s="247"/>
      <c r="AC201" s="247"/>
      <c r="AD201" s="247"/>
    </row>
    <row r="202" spans="2:30">
      <c r="B202" s="421" t="s">
        <v>108</v>
      </c>
      <c r="C202" s="402"/>
      <c r="D202" s="749" t="s">
        <v>452</v>
      </c>
      <c r="E202" s="402"/>
      <c r="F202" s="416" t="str">
        <f>IF(Information!$D$8="Deutsch",B202,D202)</f>
        <v>Vor- mittag</v>
      </c>
      <c r="G202" s="417"/>
      <c r="H202" s="427"/>
      <c r="I202" s="350"/>
      <c r="J202" s="349"/>
      <c r="K202" s="349"/>
      <c r="L202" s="352"/>
      <c r="M202" s="348"/>
      <c r="N202" s="389"/>
      <c r="T202" s="247"/>
      <c r="U202" s="247"/>
      <c r="V202" s="247"/>
      <c r="W202" s="247"/>
      <c r="X202" s="247"/>
      <c r="Y202" s="247"/>
      <c r="Z202" s="247"/>
      <c r="AA202" s="247"/>
      <c r="AB202" s="247"/>
      <c r="AC202" s="247"/>
      <c r="AD202" s="247"/>
    </row>
    <row r="203" spans="2:30">
      <c r="B203" s="401" t="s">
        <v>183</v>
      </c>
      <c r="C203" s="402"/>
      <c r="D203" s="750" t="s">
        <v>211</v>
      </c>
      <c r="E203" s="402"/>
      <c r="F203" s="416" t="str">
        <f>IF(Information!$D$8="Deutsch",B203,D203)</f>
        <v>VorMt(e)</v>
      </c>
      <c r="G203" s="417"/>
      <c r="H203" s="350"/>
      <c r="I203" s="350"/>
      <c r="J203" s="349"/>
      <c r="K203" s="349"/>
      <c r="L203" s="352"/>
      <c r="M203" s="348"/>
      <c r="N203" s="389"/>
      <c r="T203" s="247"/>
      <c r="U203" s="247"/>
      <c r="V203" s="247"/>
      <c r="W203" s="247"/>
      <c r="X203" s="247"/>
      <c r="Y203" s="247"/>
      <c r="Z203" s="247"/>
      <c r="AA203" s="247"/>
      <c r="AB203" s="247"/>
      <c r="AC203" s="247"/>
      <c r="AD203" s="247"/>
    </row>
    <row r="204" spans="2:30">
      <c r="B204" s="411" t="s">
        <v>42</v>
      </c>
      <c r="C204" s="384"/>
      <c r="D204" s="744" t="s">
        <v>170</v>
      </c>
      <c r="E204" s="384"/>
      <c r="F204" s="416" t="str">
        <f>IF(Information!$D$8="Deutsch",B204,D204)</f>
        <v xml:space="preserve">Vorname: </v>
      </c>
      <c r="G204" s="417"/>
      <c r="H204" s="350"/>
      <c r="I204" s="350"/>
      <c r="J204" s="349"/>
      <c r="K204" s="349"/>
      <c r="L204" s="352"/>
      <c r="M204" s="348"/>
      <c r="N204" s="389"/>
      <c r="T204" s="247"/>
      <c r="U204" s="247"/>
      <c r="V204" s="247"/>
      <c r="W204" s="247"/>
      <c r="X204" s="247"/>
      <c r="Y204" s="247"/>
      <c r="Z204" s="247"/>
      <c r="AA204" s="247"/>
      <c r="AB204" s="247"/>
      <c r="AC204" s="247"/>
      <c r="AD204" s="247"/>
    </row>
    <row r="205" spans="2:30">
      <c r="B205" s="411" t="s">
        <v>295</v>
      </c>
      <c r="C205" s="384"/>
      <c r="D205" s="744" t="s">
        <v>296</v>
      </c>
      <c r="E205" s="384"/>
      <c r="F205" s="416" t="str">
        <f>IF(Information!$D$8="Deutsch",B205,D205)</f>
        <v>Wechsel</v>
      </c>
      <c r="G205" s="417"/>
      <c r="H205" s="350"/>
      <c r="I205" s="350"/>
      <c r="J205" s="349"/>
      <c r="K205" s="349"/>
      <c r="L205" s="352"/>
      <c r="M205" s="348"/>
      <c r="N205" s="389"/>
      <c r="T205" s="247"/>
      <c r="U205" s="247"/>
      <c r="V205" s="247"/>
      <c r="W205" s="247"/>
      <c r="X205" s="247"/>
      <c r="Y205" s="247"/>
      <c r="Z205" s="247"/>
      <c r="AA205" s="247"/>
      <c r="AB205" s="247"/>
      <c r="AC205" s="247"/>
      <c r="AD205" s="247"/>
    </row>
    <row r="206" spans="2:30">
      <c r="B206" s="403" t="s">
        <v>90</v>
      </c>
      <c r="C206" s="384"/>
      <c r="D206" s="744" t="s">
        <v>163</v>
      </c>
      <c r="E206" s="413"/>
      <c r="F206" s="416" t="str">
        <f>IF(Information!$D$8="Deutsch",B206,D206)</f>
        <v>Weiterbildung auf Arbeitszeit</v>
      </c>
      <c r="G206" s="417"/>
      <c r="H206" s="427"/>
      <c r="I206" s="350"/>
      <c r="J206" s="349"/>
      <c r="K206" s="349"/>
      <c r="L206" s="352"/>
      <c r="M206" s="348"/>
      <c r="N206" s="389"/>
      <c r="T206" s="247"/>
      <c r="U206" s="247"/>
      <c r="V206" s="247"/>
      <c r="W206" s="247"/>
      <c r="X206" s="247"/>
      <c r="Y206" s="247"/>
      <c r="Z206" s="247"/>
      <c r="AA206" s="247"/>
      <c r="AB206" s="247"/>
      <c r="AC206" s="247"/>
      <c r="AD206" s="247"/>
    </row>
    <row r="207" spans="2:30">
      <c r="B207" s="401" t="s">
        <v>222</v>
      </c>
      <c r="C207" s="428"/>
      <c r="D207" s="744" t="s">
        <v>163</v>
      </c>
      <c r="E207" s="428"/>
      <c r="F207" s="416" t="str">
        <f>IF(Information!$D$8="Deutsch",B207,D207)</f>
        <v>Weiter- bildung</v>
      </c>
      <c r="G207" s="429"/>
      <c r="H207" s="427"/>
      <c r="I207" s="350"/>
      <c r="J207" s="349"/>
      <c r="K207" s="349"/>
      <c r="L207" s="352"/>
      <c r="M207" s="348"/>
      <c r="N207" s="389"/>
      <c r="T207" s="247"/>
      <c r="U207" s="247"/>
      <c r="V207" s="247"/>
      <c r="W207" s="247"/>
      <c r="X207" s="247"/>
      <c r="Y207" s="247"/>
      <c r="Z207" s="247"/>
      <c r="AA207" s="247"/>
      <c r="AB207" s="247"/>
      <c r="AC207" s="247"/>
      <c r="AD207" s="247"/>
    </row>
    <row r="208" spans="2:30">
      <c r="B208" s="401" t="s">
        <v>301</v>
      </c>
      <c r="C208" s="428"/>
      <c r="D208" s="744" t="s">
        <v>302</v>
      </c>
      <c r="E208" s="428"/>
      <c r="F208" s="416" t="str">
        <f>IF(Information!$D$8="Deutsch",B208,D208)</f>
        <v>Woche</v>
      </c>
      <c r="G208" s="429"/>
      <c r="H208" s="350"/>
      <c r="I208" s="350"/>
      <c r="J208" s="349"/>
      <c r="K208" s="349"/>
      <c r="L208" s="352"/>
      <c r="M208" s="348"/>
      <c r="N208" s="389"/>
      <c r="T208" s="247"/>
      <c r="U208" s="247"/>
      <c r="V208" s="247"/>
      <c r="W208" s="247"/>
      <c r="X208" s="247"/>
      <c r="Y208" s="247"/>
      <c r="Z208" s="247"/>
      <c r="AA208" s="247"/>
      <c r="AB208" s="247"/>
      <c r="AC208" s="247"/>
      <c r="AD208" s="247"/>
    </row>
    <row r="209" spans="2:30">
      <c r="B209" s="401" t="s">
        <v>265</v>
      </c>
      <c r="C209" s="428"/>
      <c r="D209" s="744" t="s">
        <v>264</v>
      </c>
      <c r="E209" s="428"/>
      <c r="F209" s="416" t="str">
        <f>IF(Information!$D$8="Deutsch",B209,D209)</f>
        <v>Zeit</v>
      </c>
      <c r="G209" s="429"/>
      <c r="H209" s="350"/>
      <c r="I209" s="350"/>
      <c r="J209" s="349"/>
      <c r="K209" s="349"/>
      <c r="L209" s="352"/>
      <c r="M209" s="348"/>
      <c r="N209" s="389"/>
      <c r="T209" s="247"/>
      <c r="U209" s="247"/>
      <c r="V209" s="247"/>
      <c r="W209" s="247"/>
      <c r="X209" s="247"/>
      <c r="Y209" s="247"/>
      <c r="Z209" s="247"/>
      <c r="AA209" s="247"/>
      <c r="AB209" s="247"/>
      <c r="AC209" s="247"/>
      <c r="AD209" s="247"/>
    </row>
    <row r="210" spans="2:30">
      <c r="B210" s="403" t="s">
        <v>93</v>
      </c>
      <c r="C210" s="458"/>
      <c r="D210" s="744" t="s">
        <v>253</v>
      </c>
      <c r="E210" s="384"/>
      <c r="F210" s="416" t="str">
        <f>IF(Information!$D$8="Deutsch",B210,D210)</f>
        <v>Zeitkennzahlen</v>
      </c>
      <c r="G210" s="459"/>
      <c r="H210" s="350"/>
      <c r="I210" s="350"/>
      <c r="J210" s="349"/>
      <c r="K210" s="349"/>
      <c r="M210" s="348"/>
      <c r="N210" s="389"/>
      <c r="T210" s="247"/>
      <c r="U210" s="247"/>
      <c r="V210" s="247"/>
      <c r="W210" s="247"/>
      <c r="X210" s="247"/>
      <c r="Y210" s="247"/>
      <c r="Z210" s="247"/>
      <c r="AA210" s="247"/>
      <c r="AB210" s="247"/>
      <c r="AC210" s="247"/>
      <c r="AD210" s="247"/>
    </row>
    <row r="211" spans="2:30">
      <c r="B211" s="559" t="s">
        <v>303</v>
      </c>
      <c r="C211" s="458"/>
      <c r="D211" s="744" t="s">
        <v>304</v>
      </c>
      <c r="E211" s="384"/>
      <c r="F211" s="416" t="str">
        <f>IF(Information!$D$8="Deutsch",B211,D211)</f>
        <v>zu leistende</v>
      </c>
      <c r="G211" s="459"/>
      <c r="H211" s="350"/>
      <c r="I211" s="350"/>
      <c r="J211" s="349"/>
      <c r="K211" s="349"/>
      <c r="M211" s="348"/>
      <c r="N211" s="389"/>
      <c r="T211" s="247"/>
      <c r="U211" s="247"/>
      <c r="V211" s="247"/>
      <c r="W211" s="247"/>
      <c r="X211" s="247"/>
      <c r="Y211" s="247"/>
      <c r="Z211" s="247"/>
      <c r="AA211" s="247"/>
      <c r="AB211" s="247"/>
      <c r="AC211" s="247"/>
      <c r="AD211" s="247"/>
    </row>
    <row r="212" spans="2:30">
      <c r="B212" s="387"/>
      <c r="C212" s="349"/>
      <c r="D212" s="349"/>
      <c r="E212" s="349"/>
      <c r="F212" s="551"/>
      <c r="G212" s="351"/>
      <c r="H212" s="350"/>
      <c r="I212" s="350"/>
      <c r="J212" s="349"/>
      <c r="K212" s="349"/>
      <c r="L212" s="352"/>
      <c r="M212" s="348"/>
      <c r="N212" s="389"/>
      <c r="T212" s="247"/>
      <c r="U212" s="247"/>
      <c r="V212" s="247"/>
      <c r="W212" s="247"/>
      <c r="X212" s="247"/>
      <c r="Y212" s="247"/>
      <c r="Z212" s="247"/>
      <c r="AA212" s="247"/>
      <c r="AB212" s="247"/>
      <c r="AC212" s="247"/>
      <c r="AD212" s="247"/>
    </row>
    <row r="213" spans="2:30">
      <c r="B213" s="974" t="s">
        <v>278</v>
      </c>
      <c r="C213" s="974"/>
      <c r="D213" s="974"/>
      <c r="E213" s="974"/>
      <c r="F213" s="974"/>
      <c r="G213" s="974"/>
      <c r="H213" s="974"/>
      <c r="I213" s="974"/>
      <c r="J213" s="974"/>
      <c r="K213" s="974"/>
      <c r="L213" s="974"/>
      <c r="M213" s="974"/>
      <c r="N213" s="389"/>
      <c r="T213" s="247"/>
      <c r="U213" s="247"/>
      <c r="V213" s="247"/>
      <c r="W213" s="247"/>
      <c r="X213" s="247"/>
      <c r="Y213" s="247"/>
      <c r="Z213" s="247"/>
      <c r="AA213" s="247"/>
      <c r="AB213" s="247"/>
      <c r="AC213" s="247"/>
      <c r="AD213" s="247"/>
    </row>
    <row r="214" spans="2:30">
      <c r="B214" s="1007" t="s">
        <v>129</v>
      </c>
      <c r="C214" s="1007"/>
      <c r="D214" s="1007"/>
      <c r="E214" s="1007"/>
      <c r="F214" s="1009" t="s">
        <v>152</v>
      </c>
      <c r="G214" s="1009"/>
      <c r="H214" s="1009"/>
      <c r="I214" s="1009"/>
      <c r="J214" s="993" t="s">
        <v>169</v>
      </c>
      <c r="K214" s="993"/>
      <c r="L214" s="993"/>
      <c r="M214" s="993"/>
      <c r="N214" s="389"/>
      <c r="T214" s="247"/>
      <c r="U214" s="247"/>
      <c r="V214" s="247"/>
      <c r="W214" s="247"/>
      <c r="X214" s="247"/>
      <c r="Y214" s="247"/>
      <c r="Z214" s="247"/>
      <c r="AA214" s="247"/>
      <c r="AB214" s="247"/>
      <c r="AC214" s="247"/>
      <c r="AD214" s="247"/>
    </row>
    <row r="215" spans="2:30">
      <c r="B215" s="994" t="s">
        <v>414</v>
      </c>
      <c r="C215" s="995"/>
      <c r="D215" s="995"/>
      <c r="E215" s="996"/>
      <c r="F215" s="997"/>
      <c r="G215" s="998"/>
      <c r="H215" s="998"/>
      <c r="I215" s="999"/>
      <c r="J215" s="937" t="str">
        <f>IF(Information!$D$8="Deutsch",B215,F215)</f>
        <v>ACHTUNG: Langzeitkontobezug ohne entsprechendes Konto</v>
      </c>
      <c r="K215" s="937"/>
      <c r="L215" s="937"/>
      <c r="M215" s="937"/>
      <c r="N215" s="389"/>
      <c r="T215" s="247"/>
      <c r="U215" s="247"/>
      <c r="V215" s="247"/>
      <c r="W215" s="247"/>
      <c r="X215" s="247"/>
      <c r="Y215" s="247"/>
      <c r="Z215" s="247"/>
      <c r="AA215" s="247"/>
      <c r="AB215" s="247"/>
      <c r="AC215" s="247"/>
      <c r="AD215" s="247"/>
    </row>
    <row r="216" spans="2:30">
      <c r="B216" s="1008" t="s">
        <v>504</v>
      </c>
      <c r="C216" s="1008"/>
      <c r="D216" s="1008"/>
      <c r="E216" s="1008"/>
      <c r="F216" s="991" t="s">
        <v>505</v>
      </c>
      <c r="G216" s="991"/>
      <c r="H216" s="991"/>
      <c r="I216" s="991"/>
      <c r="J216" s="937" t="str">
        <f>IF(Information!$D$8="Deutsch",B216,F216)</f>
        <v>Aufteilung in mehrere Teilanstellungen (hh:mm)</v>
      </c>
      <c r="K216" s="937"/>
      <c r="L216" s="937"/>
      <c r="M216" s="937"/>
      <c r="N216" s="389"/>
      <c r="O216" s="151"/>
      <c r="T216" s="247"/>
      <c r="U216" s="247"/>
      <c r="V216" s="247"/>
      <c r="W216" s="247"/>
      <c r="X216" s="247"/>
      <c r="Y216" s="247"/>
      <c r="Z216" s="247"/>
      <c r="AA216" s="247"/>
      <c r="AB216" s="247"/>
      <c r="AC216" s="247"/>
      <c r="AD216" s="247"/>
    </row>
    <row r="217" spans="2:30">
      <c r="B217" s="694" t="s">
        <v>410</v>
      </c>
      <c r="C217" s="564"/>
      <c r="D217" s="564"/>
      <c r="E217" s="565"/>
      <c r="F217" s="693" t="s">
        <v>411</v>
      </c>
      <c r="G217" s="695"/>
      <c r="H217" s="695"/>
      <c r="I217" s="696"/>
      <c r="J217" s="937" t="str">
        <f>IF(Information!$D$8="Deutsch",B217,F217)</f>
        <v>Angaben zur Anstellung</v>
      </c>
      <c r="K217" s="937"/>
      <c r="L217" s="937"/>
      <c r="M217" s="937"/>
      <c r="N217" s="389"/>
      <c r="O217" s="151"/>
      <c r="T217" s="247"/>
      <c r="U217" s="247"/>
      <c r="V217" s="247"/>
      <c r="W217" s="247"/>
      <c r="X217" s="247"/>
      <c r="Y217" s="247"/>
      <c r="Z217" s="247"/>
      <c r="AA217" s="247"/>
      <c r="AB217" s="247"/>
      <c r="AC217" s="247"/>
      <c r="AD217" s="247"/>
    </row>
    <row r="218" spans="2:30">
      <c r="B218" s="560" t="s">
        <v>285</v>
      </c>
      <c r="C218" s="564"/>
      <c r="D218" s="564"/>
      <c r="E218" s="565"/>
      <c r="F218" s="403" t="s">
        <v>286</v>
      </c>
      <c r="G218" s="563"/>
      <c r="H218" s="563"/>
      <c r="I218" s="408"/>
      <c r="J218" s="937" t="str">
        <f>IF(Information!$D$8="Deutsch",B218,F218)</f>
        <v>bei Anstellungsbeginn mitten im Monat</v>
      </c>
      <c r="K218" s="937"/>
      <c r="L218" s="937"/>
      <c r="M218" s="937"/>
      <c r="N218" s="389"/>
      <c r="O218" s="151"/>
      <c r="T218" s="247"/>
      <c r="U218" s="247"/>
      <c r="V218" s="247"/>
      <c r="W218" s="247"/>
      <c r="X218" s="247"/>
      <c r="Y218" s="247"/>
      <c r="Z218" s="247"/>
      <c r="AA218" s="247"/>
      <c r="AB218" s="247"/>
      <c r="AC218" s="247"/>
      <c r="AD218" s="247"/>
    </row>
    <row r="219" spans="2:30">
      <c r="B219" s="1004" t="s">
        <v>280</v>
      </c>
      <c r="C219" s="1005"/>
      <c r="D219" s="1005"/>
      <c r="E219" s="1006"/>
      <c r="F219" s="953" t="s">
        <v>283</v>
      </c>
      <c r="G219" s="954"/>
      <c r="H219" s="954"/>
      <c r="I219" s="955"/>
      <c r="J219" s="937" t="str">
        <f>IF(Information!$D$8="Deutsch",B219,F219)</f>
        <v>bei fixer Teilzeitarbeit</v>
      </c>
      <c r="K219" s="937"/>
      <c r="L219" s="937"/>
      <c r="M219" s="937"/>
      <c r="N219" s="389"/>
      <c r="O219" s="151"/>
      <c r="T219" s="247"/>
      <c r="U219" s="247"/>
      <c r="V219" s="247"/>
      <c r="W219" s="247"/>
      <c r="X219" s="247"/>
      <c r="Y219" s="247"/>
      <c r="Z219" s="247"/>
      <c r="AA219" s="247"/>
      <c r="AB219" s="247"/>
      <c r="AC219" s="247"/>
      <c r="AD219" s="247"/>
    </row>
    <row r="220" spans="2:30">
      <c r="B220" s="1004" t="s">
        <v>281</v>
      </c>
      <c r="C220" s="1005"/>
      <c r="D220" s="1005"/>
      <c r="E220" s="1006"/>
      <c r="F220" s="953" t="s">
        <v>282</v>
      </c>
      <c r="G220" s="954"/>
      <c r="H220" s="954"/>
      <c r="I220" s="955"/>
      <c r="J220" s="937" t="str">
        <f>IF(Information!$D$8="Deutsch",B220,F220)</f>
        <v>bei variabler Teilzeitarbeit</v>
      </c>
      <c r="K220" s="937"/>
      <c r="L220" s="937"/>
      <c r="M220" s="937"/>
      <c r="N220" s="389"/>
      <c r="O220" s="151"/>
      <c r="T220" s="247"/>
      <c r="U220" s="247"/>
      <c r="V220" s="247"/>
      <c r="W220" s="247"/>
      <c r="X220" s="247"/>
      <c r="Y220" s="247"/>
      <c r="Z220" s="247"/>
      <c r="AA220" s="247"/>
      <c r="AB220" s="247"/>
      <c r="AC220" s="247"/>
      <c r="AD220" s="247"/>
    </row>
    <row r="221" spans="2:30">
      <c r="B221" s="560" t="s">
        <v>284</v>
      </c>
      <c r="C221" s="561"/>
      <c r="D221" s="561"/>
      <c r="E221" s="562"/>
      <c r="F221" s="403" t="s">
        <v>287</v>
      </c>
      <c r="G221" s="563"/>
      <c r="H221" s="563"/>
      <c r="I221" s="408"/>
      <c r="J221" s="937" t="str">
        <f>IF(Information!$D$8="Deutsch",B221,F221)</f>
        <v>bei Wechsel der Anstellung mitten im Monat</v>
      </c>
      <c r="K221" s="937"/>
      <c r="L221" s="937"/>
      <c r="M221" s="937"/>
      <c r="N221" s="389"/>
      <c r="O221" s="151"/>
      <c r="T221" s="247"/>
      <c r="U221" s="247"/>
      <c r="V221" s="247"/>
      <c r="W221" s="247"/>
      <c r="X221" s="247"/>
      <c r="Y221" s="247"/>
      <c r="Z221" s="247"/>
      <c r="AA221" s="247"/>
      <c r="AB221" s="247"/>
      <c r="AC221" s="247"/>
      <c r="AD221" s="247"/>
    </row>
    <row r="222" spans="2:30">
      <c r="B222" s="991" t="s">
        <v>100</v>
      </c>
      <c r="C222" s="991"/>
      <c r="D222" s="991"/>
      <c r="E222" s="991"/>
      <c r="F222" s="992" t="s">
        <v>242</v>
      </c>
      <c r="G222" s="992"/>
      <c r="H222" s="992"/>
      <c r="I222" s="992"/>
      <c r="J222" s="937" t="str">
        <f>IF(Information!$D$8="Deutsch",B222,F222)</f>
        <v>(Bitte das Guthaben in Stunden und Minuten eingeben.)</v>
      </c>
      <c r="K222" s="937"/>
      <c r="L222" s="937"/>
      <c r="M222" s="937"/>
      <c r="N222" s="389"/>
      <c r="O222" s="151"/>
      <c r="T222" s="247"/>
      <c r="U222" s="247"/>
      <c r="V222" s="247"/>
      <c r="W222" s="247"/>
      <c r="X222" s="247"/>
      <c r="Y222" s="247"/>
      <c r="Z222" s="247"/>
      <c r="AA222" s="247"/>
      <c r="AB222" s="247"/>
      <c r="AC222" s="247"/>
      <c r="AD222" s="247"/>
    </row>
    <row r="223" spans="2:30" s="151" customFormat="1" ht="12.75" customHeight="1">
      <c r="B223" s="552" t="s">
        <v>508</v>
      </c>
      <c r="C223" s="553"/>
      <c r="D223" s="553"/>
      <c r="E223" s="553"/>
      <c r="F223" s="557" t="s">
        <v>507</v>
      </c>
      <c r="G223" s="554"/>
      <c r="H223" s="555"/>
      <c r="I223" s="556"/>
      <c r="J223" s="937" t="str">
        <f>IF(Information!$D$8="Deutsch",B223,F223)</f>
        <v>Hier können Sie die "Zeitkennzahlen per 31.12." zum Erfassen im Zeitmanagement-Tool direkt ablesen.</v>
      </c>
      <c r="K223" s="937"/>
      <c r="L223" s="937"/>
      <c r="M223" s="937"/>
      <c r="N223" s="389"/>
      <c r="T223" s="70"/>
      <c r="U223" s="70"/>
      <c r="V223" s="70"/>
      <c r="W223" s="70"/>
      <c r="X223" s="70"/>
      <c r="Y223" s="70"/>
      <c r="Z223" s="70"/>
      <c r="AA223" s="70"/>
      <c r="AB223" s="70"/>
      <c r="AC223" s="70"/>
      <c r="AD223" s="70"/>
    </row>
    <row r="224" spans="2:30" s="151" customFormat="1">
      <c r="B224" s="588" t="s">
        <v>106</v>
      </c>
      <c r="C224" s="553"/>
      <c r="D224" s="553"/>
      <c r="E224" s="553"/>
      <c r="F224" s="557" t="s">
        <v>279</v>
      </c>
      <c r="G224" s="554"/>
      <c r="H224" s="555"/>
      <c r="I224" s="556"/>
      <c r="J224" s="985" t="str">
        <f>IF(Information!$D$8="Deutsch",B224,F224)</f>
        <v>Bei der Erfassung von dezimalen Werten ("Industriestunden") können im Zeitmanagement-Tool geringe Rundungsdifferenzen auftreten.</v>
      </c>
      <c r="K224" s="985"/>
      <c r="L224" s="985"/>
      <c r="M224" s="985"/>
      <c r="N224" s="389"/>
      <c r="T224" s="70"/>
      <c r="U224" s="70"/>
      <c r="V224" s="70"/>
      <c r="W224" s="70"/>
      <c r="X224" s="70"/>
      <c r="Y224" s="70"/>
      <c r="Z224" s="70"/>
      <c r="AA224" s="70"/>
      <c r="AB224" s="70"/>
      <c r="AC224" s="70"/>
      <c r="AD224" s="70"/>
    </row>
    <row r="225" spans="2:30" s="151" customFormat="1">
      <c r="B225" s="941" t="s">
        <v>390</v>
      </c>
      <c r="C225" s="942"/>
      <c r="D225" s="942"/>
      <c r="E225" s="942"/>
      <c r="F225" s="938" t="s">
        <v>389</v>
      </c>
      <c r="G225" s="939"/>
      <c r="H225" s="939"/>
      <c r="I225" s="940"/>
      <c r="J225" s="985" t="str">
        <f>IF(Information!$D$8="Deutsch",B225,F225)</f>
        <v>Summe der Prozentsätze aller Teilanstellungen entspricht nicht dem gesamten durschnittlichen Beschäftigungsgrad!</v>
      </c>
      <c r="K225" s="985"/>
      <c r="L225" s="985"/>
      <c r="M225" s="985"/>
      <c r="N225" s="389"/>
      <c r="T225" s="70"/>
      <c r="U225" s="70"/>
      <c r="V225" s="70"/>
      <c r="W225" s="70"/>
      <c r="X225" s="70"/>
      <c r="Y225" s="70"/>
      <c r="Z225" s="70"/>
      <c r="AA225" s="70"/>
      <c r="AB225" s="70"/>
      <c r="AC225" s="70"/>
      <c r="AD225" s="70"/>
    </row>
    <row r="226" spans="2:30" s="151" customFormat="1">
      <c r="B226" s="716" t="s">
        <v>421</v>
      </c>
      <c r="C226" s="715"/>
      <c r="D226" s="715"/>
      <c r="E226" s="717"/>
      <c r="F226" s="718" t="s">
        <v>464</v>
      </c>
      <c r="G226" s="586"/>
      <c r="H226" s="586"/>
      <c r="I226" s="719"/>
      <c r="J226" s="985" t="str">
        <f>IF(Information!$D$8="Deutsch",B226,F226)</f>
        <v>Bitte beachten Sie, dass Sie gem. Reglement zur Jahresarbeitszeit einen positiven Arbeitssaldo im gelben Bereich haben.</v>
      </c>
      <c r="K226" s="985"/>
      <c r="L226" s="985"/>
      <c r="M226" s="985"/>
      <c r="N226" s="389"/>
      <c r="T226" s="70"/>
      <c r="U226" s="70"/>
      <c r="V226" s="70"/>
      <c r="W226" s="70"/>
      <c r="X226" s="70"/>
      <c r="Y226" s="70"/>
      <c r="Z226" s="70"/>
      <c r="AA226" s="70"/>
      <c r="AB226" s="70"/>
      <c r="AC226" s="70"/>
      <c r="AD226" s="70"/>
    </row>
    <row r="227" spans="2:30" s="151" customFormat="1">
      <c r="B227" s="716" t="s">
        <v>467</v>
      </c>
      <c r="C227" s="715"/>
      <c r="D227" s="715"/>
      <c r="E227" s="717"/>
      <c r="F227" s="718" t="s">
        <v>468</v>
      </c>
      <c r="G227" s="586"/>
      <c r="H227" s="586"/>
      <c r="I227" s="719"/>
      <c r="J227" s="985" t="str">
        <f>IF(Information!$D$8="Deutsch",B227,F227)</f>
        <v>Bitte beachten Sie, dass Sie gem. Reglement zur Jahresarbeitszeit einen positiven Arbeitssaldo im roten Bereich haben. Für diesen Übertrag ist ab dem 31.12.2013 eine Bewilligung der Erziehungsdirektion des Kantons nötig!</v>
      </c>
      <c r="K227" s="985"/>
      <c r="L227" s="985"/>
      <c r="M227" s="985"/>
      <c r="N227" s="389"/>
      <c r="T227" s="70"/>
      <c r="U227" s="70"/>
      <c r="V227" s="70"/>
      <c r="W227" s="70"/>
      <c r="X227" s="70"/>
      <c r="Y227" s="70"/>
      <c r="Z227" s="70"/>
      <c r="AA227" s="70"/>
      <c r="AB227" s="70"/>
      <c r="AC227" s="70"/>
      <c r="AD227" s="70"/>
    </row>
    <row r="228" spans="2:30" s="151" customFormat="1">
      <c r="B228" s="716" t="s">
        <v>422</v>
      </c>
      <c r="C228" s="715"/>
      <c r="D228" s="715"/>
      <c r="E228" s="717"/>
      <c r="F228" s="718" t="s">
        <v>465</v>
      </c>
      <c r="G228" s="586"/>
      <c r="H228" s="586"/>
      <c r="I228" s="719"/>
      <c r="J228" s="985" t="str">
        <f>IF(Information!$D$8="Deutsch",B228,F228)</f>
        <v>Bitte beachten Sie, dass Sie gem. Reglement zur Jahresarbeitszeit einen negativen Arbeitssaldo im gelben Bereich haben.</v>
      </c>
      <c r="K228" s="985"/>
      <c r="L228" s="985"/>
      <c r="M228" s="985"/>
      <c r="N228" s="389"/>
      <c r="T228" s="70"/>
      <c r="U228" s="70"/>
      <c r="V228" s="70"/>
      <c r="W228" s="70"/>
      <c r="X228" s="70"/>
      <c r="Y228" s="70"/>
      <c r="Z228" s="70"/>
      <c r="AA228" s="70"/>
      <c r="AB228" s="70"/>
      <c r="AC228" s="70"/>
      <c r="AD228" s="70"/>
    </row>
    <row r="229" spans="2:30" s="151" customFormat="1">
      <c r="B229" s="716" t="s">
        <v>463</v>
      </c>
      <c r="C229" s="715"/>
      <c r="D229" s="715"/>
      <c r="E229" s="717"/>
      <c r="F229" s="718" t="s">
        <v>466</v>
      </c>
      <c r="G229" s="586"/>
      <c r="H229" s="586"/>
      <c r="I229" s="719"/>
      <c r="J229" s="985" t="str">
        <f>IF(Information!$D$8="Deutsch",B229,F229)</f>
        <v>Bitte beachten Sie, dass Sie gem. Reglement zur Jahresarbeitszeit einen negativen Arbeitssaldo im roten Bereich haben.</v>
      </c>
      <c r="K229" s="985"/>
      <c r="L229" s="985"/>
      <c r="M229" s="985"/>
      <c r="N229" s="389"/>
      <c r="T229" s="70"/>
      <c r="U229" s="70"/>
      <c r="V229" s="70"/>
      <c r="W229" s="70"/>
      <c r="X229" s="70"/>
      <c r="Y229" s="70"/>
      <c r="Z229" s="70"/>
      <c r="AA229" s="70"/>
      <c r="AB229" s="70"/>
      <c r="AC229" s="70"/>
      <c r="AD229" s="70"/>
    </row>
    <row r="230" spans="2:30" s="151" customFormat="1">
      <c r="B230" s="716" t="s">
        <v>423</v>
      </c>
      <c r="C230" s="715"/>
      <c r="D230" s="715"/>
      <c r="E230" s="717"/>
      <c r="F230" s="718" t="s">
        <v>471</v>
      </c>
      <c r="G230" s="586"/>
      <c r="H230" s="586"/>
      <c r="I230" s="719"/>
      <c r="J230" s="985" t="str">
        <f>IF(Information!$D$8="Deutsch",B230,F230)</f>
        <v>Feriensaldo zu Gunsten des Mitarbeiter auf 0:00 aufgerundet!</v>
      </c>
      <c r="K230" s="985"/>
      <c r="L230" s="985"/>
      <c r="M230" s="985"/>
      <c r="N230" s="389"/>
      <c r="T230" s="70"/>
      <c r="U230" s="70"/>
      <c r="V230" s="70"/>
      <c r="W230" s="70"/>
      <c r="X230" s="70"/>
      <c r="Y230" s="70"/>
      <c r="Z230" s="70"/>
      <c r="AA230" s="70"/>
      <c r="AB230" s="70"/>
      <c r="AC230" s="70"/>
      <c r="AD230" s="70"/>
    </row>
    <row r="231" spans="2:30" s="151" customFormat="1">
      <c r="B231" s="716" t="s">
        <v>424</v>
      </c>
      <c r="C231" s="715"/>
      <c r="D231" s="715"/>
      <c r="E231" s="717"/>
      <c r="F231" s="718" t="s">
        <v>426</v>
      </c>
      <c r="G231" s="586"/>
      <c r="H231" s="586"/>
      <c r="I231" s="719"/>
      <c r="J231" s="985" t="str">
        <f>IF(Information!$D$8="Deutsch",B231,F231)</f>
        <v>Unzulässiger Ferienbezug!</v>
      </c>
      <c r="K231" s="985"/>
      <c r="L231" s="985"/>
      <c r="M231" s="985"/>
      <c r="N231" s="389"/>
      <c r="T231" s="70"/>
      <c r="U231" s="70"/>
      <c r="V231" s="70"/>
      <c r="W231" s="70"/>
      <c r="X231" s="70"/>
      <c r="Y231" s="70"/>
      <c r="Z231" s="70"/>
      <c r="AA231" s="70"/>
      <c r="AB231" s="70"/>
      <c r="AC231" s="70"/>
      <c r="AD231" s="70"/>
    </row>
    <row r="232" spans="2:30" s="151" customFormat="1">
      <c r="B232" s="707" t="s">
        <v>425</v>
      </c>
      <c r="C232" s="708"/>
      <c r="D232" s="708"/>
      <c r="E232" s="709"/>
      <c r="F232" s="704" t="s">
        <v>458</v>
      </c>
      <c r="G232" s="705"/>
      <c r="H232" s="705"/>
      <c r="I232" s="706"/>
      <c r="J232" s="985" t="str">
        <f>IF(Information!$D$8="Deutsch",B232,F232)</f>
        <v>Die Speisung in das Langzeitkontos ist nicht zwingend, sondern in Absprache mit dem Vorgesetzten festzulegen. Vgl. Reglement über das Langzeitkonto.</v>
      </c>
      <c r="K232" s="985"/>
      <c r="L232" s="985"/>
      <c r="M232" s="985"/>
      <c r="N232" s="389"/>
      <c r="T232" s="70"/>
      <c r="U232" s="70"/>
      <c r="V232" s="70"/>
      <c r="W232" s="70"/>
      <c r="X232" s="70"/>
      <c r="Y232" s="70"/>
      <c r="Z232" s="70"/>
      <c r="AA232" s="70"/>
      <c r="AB232" s="70"/>
      <c r="AC232" s="70"/>
      <c r="AD232" s="70"/>
    </row>
    <row r="233" spans="2:30" s="151" customFormat="1">
      <c r="B233" s="716" t="s">
        <v>485</v>
      </c>
      <c r="C233" s="715"/>
      <c r="D233" s="715"/>
      <c r="E233" s="717"/>
      <c r="F233" s="718" t="s">
        <v>437</v>
      </c>
      <c r="G233" s="586"/>
      <c r="H233" s="586"/>
      <c r="I233" s="586"/>
      <c r="J233" s="985" t="str">
        <f>IF(Information!$D$8="Deutsch",B233,F233)</f>
        <v>Einhaltung des Mindestbezugs an freien Tagen</v>
      </c>
      <c r="K233" s="985"/>
      <c r="L233" s="985"/>
      <c r="M233" s="985"/>
      <c r="N233" s="389"/>
      <c r="T233" s="70"/>
      <c r="U233" s="70"/>
      <c r="V233" s="70"/>
      <c r="W233" s="70"/>
      <c r="X233" s="70"/>
      <c r="Y233" s="70"/>
      <c r="Z233" s="70"/>
      <c r="AA233" s="70"/>
      <c r="AB233" s="70"/>
      <c r="AC233" s="70"/>
      <c r="AD233" s="70"/>
    </row>
    <row r="234" spans="2:30" s="151" customFormat="1">
      <c r="B234" s="716" t="s">
        <v>486</v>
      </c>
      <c r="C234" s="715"/>
      <c r="D234" s="715"/>
      <c r="E234" s="717"/>
      <c r="F234" s="718" t="s">
        <v>438</v>
      </c>
      <c r="G234" s="586"/>
      <c r="H234" s="586"/>
      <c r="I234" s="586"/>
      <c r="J234" s="985" t="str">
        <f>IF(Information!$D$8="Deutsch",B234,F234)</f>
        <v>Einhaltung des Mindestbezugs an Ferien</v>
      </c>
      <c r="K234" s="985"/>
      <c r="L234" s="985"/>
      <c r="M234" s="985"/>
      <c r="N234" s="389"/>
      <c r="T234" s="70"/>
      <c r="U234" s="70"/>
      <c r="V234" s="70"/>
      <c r="W234" s="70"/>
      <c r="X234" s="70"/>
      <c r="Y234" s="70"/>
      <c r="Z234" s="70"/>
      <c r="AA234" s="70"/>
      <c r="AB234" s="70"/>
      <c r="AC234" s="70"/>
      <c r="AD234" s="70"/>
    </row>
    <row r="235" spans="2:30" s="151" customFormat="1">
      <c r="B235" s="716" t="s">
        <v>427</v>
      </c>
      <c r="C235" s="715"/>
      <c r="D235" s="715"/>
      <c r="E235" s="717"/>
      <c r="F235" s="718" t="s">
        <v>428</v>
      </c>
      <c r="G235" s="586"/>
      <c r="H235" s="586"/>
      <c r="I235" s="586"/>
      <c r="J235" s="985" t="str">
        <f>IF(Information!$D$8="Deutsch",B235,F235)</f>
        <v>Bezogene freie Tage</v>
      </c>
      <c r="K235" s="985"/>
      <c r="L235" s="985"/>
      <c r="M235" s="985"/>
      <c r="N235" s="389"/>
      <c r="T235" s="70"/>
      <c r="U235" s="70"/>
      <c r="V235" s="70"/>
      <c r="W235" s="70"/>
      <c r="X235" s="70"/>
      <c r="Y235" s="70"/>
      <c r="Z235" s="70"/>
      <c r="AA235" s="70"/>
      <c r="AB235" s="70"/>
      <c r="AC235" s="70"/>
      <c r="AD235" s="70"/>
    </row>
    <row r="236" spans="2:30" s="151" customFormat="1">
      <c r="B236" s="716" t="s">
        <v>436</v>
      </c>
      <c r="C236" s="715"/>
      <c r="D236" s="715"/>
      <c r="E236" s="717"/>
      <c r="F236" s="718" t="s">
        <v>439</v>
      </c>
      <c r="G236" s="586"/>
      <c r="H236" s="586"/>
      <c r="I236" s="586"/>
      <c r="J236" s="985" t="str">
        <f>IF(Information!$D$8="Deutsch",B236,F236)</f>
        <v>Bezogene Ferien</v>
      </c>
      <c r="K236" s="985"/>
      <c r="L236" s="985"/>
      <c r="M236" s="985"/>
      <c r="N236" s="389"/>
      <c r="T236" s="70"/>
      <c r="U236" s="70"/>
      <c r="V236" s="70"/>
      <c r="W236" s="70"/>
      <c r="X236" s="70"/>
      <c r="Y236" s="70"/>
      <c r="Z236" s="70"/>
      <c r="AA236" s="70"/>
      <c r="AB236" s="70"/>
      <c r="AC236" s="70"/>
      <c r="AD236" s="70"/>
    </row>
    <row r="237" spans="2:30" s="151" customFormat="1">
      <c r="B237" s="707" t="s">
        <v>487</v>
      </c>
      <c r="C237" s="708"/>
      <c r="D237" s="708"/>
      <c r="E237" s="709"/>
      <c r="F237" s="704" t="s">
        <v>431</v>
      </c>
      <c r="G237" s="705"/>
      <c r="H237" s="705"/>
      <c r="I237" s="705"/>
      <c r="J237" s="937" t="str">
        <f>IF(Information!$D$8="Deutsch",B237,F237)</f>
        <v>Vorgeschr. Mindestbezug</v>
      </c>
      <c r="K237" s="937"/>
      <c r="L237" s="937"/>
      <c r="M237" s="937"/>
      <c r="N237" s="389"/>
      <c r="T237" s="70"/>
      <c r="U237" s="70"/>
      <c r="V237" s="70"/>
      <c r="W237" s="70"/>
      <c r="X237" s="70"/>
      <c r="Y237" s="70"/>
      <c r="Z237" s="70"/>
      <c r="AA237" s="70"/>
      <c r="AB237" s="70"/>
      <c r="AC237" s="70"/>
      <c r="AD237" s="70"/>
    </row>
    <row r="238" spans="2:30" s="151" customFormat="1">
      <c r="B238" s="707" t="s">
        <v>429</v>
      </c>
      <c r="C238" s="708"/>
      <c r="D238" s="708"/>
      <c r="E238" s="708"/>
      <c r="F238" s="704" t="s">
        <v>461</v>
      </c>
      <c r="G238" s="705"/>
      <c r="H238" s="705"/>
      <c r="I238" s="706"/>
      <c r="J238" s="937" t="str">
        <f>IF(Information!$D$8="Deutsch",B238,F238)</f>
        <v>ACHTUNG: Langzeitkontobezug ohne entsprechendes Konto!</v>
      </c>
      <c r="K238" s="937"/>
      <c r="L238" s="937"/>
      <c r="M238" s="937"/>
      <c r="N238" s="389"/>
      <c r="T238" s="70"/>
      <c r="U238" s="70"/>
      <c r="V238" s="70"/>
      <c r="W238" s="70"/>
      <c r="X238" s="70"/>
      <c r="Y238" s="70"/>
      <c r="Z238" s="70"/>
      <c r="AA238" s="70"/>
      <c r="AB238" s="70"/>
      <c r="AC238" s="70"/>
      <c r="AD238" s="70"/>
    </row>
    <row r="239" spans="2:30" s="151" customFormat="1">
      <c r="B239" s="707" t="s">
        <v>488</v>
      </c>
      <c r="C239" s="728"/>
      <c r="D239" s="708"/>
      <c r="E239" s="709"/>
      <c r="F239" s="705" t="s">
        <v>434</v>
      </c>
      <c r="G239" s="705"/>
      <c r="H239" s="705"/>
      <c r="I239" s="705"/>
      <c r="J239" s="937" t="str">
        <f>IF(Information!$D$8="Deutsch",B239,F239)</f>
        <v>Ferien: Mindestbezug eingehalten</v>
      </c>
      <c r="K239" s="937"/>
      <c r="L239" s="937"/>
      <c r="M239" s="937"/>
      <c r="N239" s="389"/>
      <c r="T239" s="70"/>
      <c r="U239" s="70"/>
      <c r="V239" s="70"/>
      <c r="W239" s="70"/>
      <c r="X239" s="70"/>
      <c r="Y239" s="70"/>
      <c r="Z239" s="70"/>
      <c r="AA239" s="70"/>
      <c r="AB239" s="70"/>
      <c r="AC239" s="70"/>
      <c r="AD239" s="70"/>
    </row>
    <row r="240" spans="2:30" s="151" customFormat="1">
      <c r="B240" s="707" t="s">
        <v>489</v>
      </c>
      <c r="C240" s="708"/>
      <c r="D240" s="708"/>
      <c r="E240" s="709"/>
      <c r="F240" s="705" t="s">
        <v>435</v>
      </c>
      <c r="G240" s="705"/>
      <c r="H240" s="705"/>
      <c r="I240" s="706"/>
      <c r="J240" s="937" t="str">
        <f>IF(Information!$D$8="Deutsch",B240,F240)</f>
        <v>Ferien: Mindestbezug (noch) nicht eingehalten!</v>
      </c>
      <c r="K240" s="937"/>
      <c r="L240" s="937"/>
      <c r="M240" s="937"/>
      <c r="N240" s="389"/>
      <c r="T240" s="70"/>
      <c r="U240" s="70"/>
      <c r="V240" s="70"/>
      <c r="W240" s="70"/>
      <c r="X240" s="70"/>
      <c r="Y240" s="70"/>
      <c r="Z240" s="70"/>
      <c r="AA240" s="70"/>
      <c r="AB240" s="70"/>
      <c r="AC240" s="70"/>
      <c r="AD240" s="70"/>
    </row>
    <row r="241" spans="1:30" s="151" customFormat="1">
      <c r="B241" s="787" t="s">
        <v>490</v>
      </c>
      <c r="C241" s="728"/>
      <c r="D241" s="788"/>
      <c r="E241" s="789"/>
      <c r="F241" s="785" t="s">
        <v>484</v>
      </c>
      <c r="G241" s="785"/>
      <c r="H241" s="785"/>
      <c r="I241" s="785"/>
      <c r="J241" s="937" t="str">
        <f>IF(Information!$D$8="Deutsch",B241,F241)</f>
        <v>Freie Tage: Mindestbezug eingehalten</v>
      </c>
      <c r="K241" s="937"/>
      <c r="L241" s="937"/>
      <c r="M241" s="937"/>
      <c r="N241" s="389"/>
      <c r="T241" s="70"/>
      <c r="U241" s="70"/>
      <c r="V241" s="70"/>
      <c r="W241" s="70"/>
      <c r="X241" s="70"/>
      <c r="Y241" s="70"/>
      <c r="Z241" s="70"/>
      <c r="AA241" s="70"/>
      <c r="AB241" s="70"/>
      <c r="AC241" s="70"/>
      <c r="AD241" s="70"/>
    </row>
    <row r="242" spans="1:30" s="151" customFormat="1">
      <c r="B242" s="787" t="s">
        <v>491</v>
      </c>
      <c r="C242" s="788"/>
      <c r="D242" s="788"/>
      <c r="E242" s="789"/>
      <c r="F242" s="785" t="s">
        <v>483</v>
      </c>
      <c r="G242" s="785"/>
      <c r="H242" s="785"/>
      <c r="I242" s="786"/>
      <c r="J242" s="937" t="str">
        <f>IF(Information!$D$8="Deutsch",B242,F242)</f>
        <v>Freie Tage: Mindestbezug (noch) nicht eingehalten!</v>
      </c>
      <c r="K242" s="937"/>
      <c r="L242" s="937"/>
      <c r="M242" s="937"/>
      <c r="N242" s="389"/>
      <c r="T242" s="70"/>
      <c r="U242" s="70"/>
      <c r="V242" s="70"/>
      <c r="W242" s="70"/>
      <c r="X242" s="70"/>
      <c r="Y242" s="70"/>
      <c r="Z242" s="70"/>
      <c r="AA242" s="70"/>
      <c r="AB242" s="70"/>
      <c r="AC242" s="70"/>
      <c r="AD242" s="70"/>
    </row>
    <row r="243" spans="1:30" s="151" customFormat="1">
      <c r="B243" s="941" t="s">
        <v>454</v>
      </c>
      <c r="C243" s="942"/>
      <c r="D243" s="942"/>
      <c r="E243" s="943"/>
      <c r="F243" s="938" t="s">
        <v>455</v>
      </c>
      <c r="G243" s="939"/>
      <c r="H243" s="939"/>
      <c r="I243" s="940"/>
      <c r="J243" s="937" t="str">
        <f>IF(Information!$D$8="Deutsch",B243,F243)</f>
        <v>Ab 2013 müssen mindestens 20 freie Tage pro Kalenderjahr bezogen werden, davon mindestens 10 Tage zu Lasten des Ferienkontos. Werden diese Mindestbezüge nicht eingehalten, verfallen die zu wenig bezogenen Tage am Ende des Kalenderjahres entschädigungslos (Art. 149 PV). Sie können nicht mehr wie bisher auf das Ferienguthaben des Folgejahres übertragen werden.</v>
      </c>
      <c r="K243" s="937"/>
      <c r="L243" s="937"/>
      <c r="M243" s="937"/>
      <c r="N243" s="389"/>
      <c r="T243" s="70"/>
      <c r="U243" s="70"/>
      <c r="V243" s="70"/>
      <c r="W243" s="70"/>
      <c r="X243" s="70"/>
      <c r="Y243" s="70"/>
      <c r="Z243" s="70"/>
      <c r="AA243" s="70"/>
      <c r="AB243" s="70"/>
      <c r="AC243" s="70"/>
      <c r="AD243" s="70"/>
    </row>
    <row r="244" spans="1:30" s="151" customFormat="1">
      <c r="B244" s="754" t="s">
        <v>470</v>
      </c>
      <c r="C244" s="755"/>
      <c r="D244" s="755"/>
      <c r="E244" s="755"/>
      <c r="F244" s="752" t="s">
        <v>469</v>
      </c>
      <c r="G244" s="753"/>
      <c r="H244" s="753"/>
      <c r="I244" s="753"/>
      <c r="J244" s="937" t="str">
        <f>IF(Information!$D$8="Deutsch",B244,F244)</f>
        <v>(h:mm) wurden Ihnen wegen zu wenig bezogenen Freien Tagen / Ferien abgezogen.</v>
      </c>
      <c r="K244" s="937"/>
      <c r="L244" s="937"/>
      <c r="M244" s="937"/>
      <c r="N244" s="389"/>
      <c r="T244" s="70"/>
      <c r="U244" s="70"/>
      <c r="V244" s="70"/>
      <c r="W244" s="70"/>
      <c r="X244" s="70"/>
      <c r="Y244" s="70"/>
      <c r="Z244" s="70"/>
      <c r="AA244" s="70"/>
      <c r="AB244" s="70"/>
      <c r="AC244" s="70"/>
      <c r="AD244" s="70"/>
    </row>
    <row r="245" spans="1:30" s="151" customFormat="1">
      <c r="B245" s="720"/>
      <c r="C245" s="349"/>
      <c r="D245" s="349"/>
      <c r="E245" s="349"/>
      <c r="F245" s="551"/>
      <c r="G245" s="351"/>
      <c r="H245" s="350"/>
      <c r="I245" s="350"/>
      <c r="J245" s="443"/>
      <c r="K245" s="443"/>
      <c r="L245" s="443"/>
      <c r="M245" s="443"/>
      <c r="N245" s="389"/>
      <c r="T245" s="70"/>
      <c r="U245" s="70"/>
      <c r="V245" s="70"/>
      <c r="W245" s="70"/>
      <c r="X245" s="70"/>
      <c r="Y245" s="70"/>
      <c r="Z245" s="70"/>
      <c r="AA245" s="70"/>
      <c r="AB245" s="70"/>
      <c r="AC245" s="70"/>
      <c r="AD245" s="70"/>
    </row>
    <row r="246" spans="1:30" s="151" customFormat="1">
      <c r="A246" s="593"/>
      <c r="B246" s="591" t="s">
        <v>335</v>
      </c>
      <c r="C246" s="458"/>
      <c r="D246" s="458"/>
      <c r="E246" s="458"/>
      <c r="F246" s="589"/>
      <c r="G246" s="558"/>
      <c r="H246" s="550"/>
      <c r="I246" s="550"/>
      <c r="J246" s="590"/>
      <c r="K246" s="590"/>
      <c r="L246" s="590"/>
      <c r="M246" s="592"/>
      <c r="N246" s="389"/>
      <c r="T246" s="70"/>
      <c r="U246" s="70"/>
      <c r="V246" s="70"/>
      <c r="W246" s="70"/>
      <c r="X246" s="70"/>
      <c r="Y246" s="70"/>
      <c r="Z246" s="70"/>
      <c r="AA246" s="70"/>
      <c r="AB246" s="70"/>
      <c r="AC246" s="70"/>
      <c r="AD246" s="70"/>
    </row>
    <row r="247" spans="1:30" s="151" customFormat="1">
      <c r="A247" s="593">
        <v>4</v>
      </c>
      <c r="B247" s="986" t="s">
        <v>97</v>
      </c>
      <c r="C247" s="986"/>
      <c r="D247" s="986"/>
      <c r="E247" s="986"/>
      <c r="F247" s="937" t="s">
        <v>409</v>
      </c>
      <c r="G247" s="937"/>
      <c r="H247" s="937"/>
      <c r="I247" s="937"/>
      <c r="J247" s="937" t="str">
        <f>IF(Information!$D$8="Deutsch",B247,F247)</f>
        <v>Bitte lesen Sie diese Informationen, bevor Sie die Arbeitszeiterfassung nutzen!</v>
      </c>
      <c r="K247" s="937"/>
      <c r="L247" s="937"/>
      <c r="M247" s="937"/>
      <c r="N247" s="389"/>
      <c r="T247" s="70"/>
      <c r="U247" s="70"/>
      <c r="V247" s="70"/>
      <c r="W247" s="70"/>
      <c r="X247" s="70"/>
      <c r="Y247" s="70"/>
      <c r="Z247" s="70"/>
      <c r="AA247" s="70"/>
      <c r="AB247" s="70"/>
      <c r="AC247" s="70"/>
      <c r="AD247" s="70"/>
    </row>
    <row r="248" spans="1:30" s="151" customFormat="1">
      <c r="A248" s="593">
        <v>12</v>
      </c>
      <c r="B248" s="941" t="s">
        <v>145</v>
      </c>
      <c r="C248" s="942"/>
      <c r="D248" s="942"/>
      <c r="E248" s="943"/>
      <c r="F248" s="938" t="s">
        <v>417</v>
      </c>
      <c r="G248" s="939"/>
      <c r="H248" s="939"/>
      <c r="I248" s="940"/>
      <c r="J248" s="979" t="str">
        <f>IF(Information!$D$8="Deutsch",B248,F248)</f>
        <v>Dieses Instrument ist ein Hilfsmittel zur Erfassung der Arbeitszeit und der Absenzen. Personen, die von der Arbeitszeiterfassung ausgenommen sind</v>
      </c>
      <c r="K248" s="979"/>
      <c r="L248" s="979"/>
      <c r="M248" s="979"/>
      <c r="N248" s="389"/>
      <c r="T248" s="70"/>
      <c r="U248" s="70"/>
      <c r="V248" s="70"/>
      <c r="W248" s="70"/>
      <c r="X248" s="70"/>
      <c r="Y248" s="70"/>
      <c r="Z248" s="70"/>
      <c r="AA248" s="70"/>
      <c r="AB248" s="70"/>
      <c r="AC248" s="70"/>
      <c r="AD248" s="70"/>
    </row>
    <row r="249" spans="1:30" s="151" customFormat="1">
      <c r="A249" s="593">
        <v>13</v>
      </c>
      <c r="B249" s="950" t="s">
        <v>359</v>
      </c>
      <c r="C249" s="951"/>
      <c r="D249" s="951"/>
      <c r="E249" s="952"/>
      <c r="F249" s="938" t="s">
        <v>415</v>
      </c>
      <c r="G249" s="939"/>
      <c r="H249" s="939"/>
      <c r="I249" s="940"/>
      <c r="J249" s="979" t="str">
        <f>IF(Information!$D$8="Deutsch",B249,F249)</f>
        <v>können das Instrument "Absenzenerfassung" nutzen. Weitere Angaben finden Sie unter</v>
      </c>
      <c r="K249" s="979"/>
      <c r="L249" s="979"/>
      <c r="M249" s="979"/>
      <c r="N249" s="389"/>
      <c r="T249" s="70"/>
      <c r="U249" s="70"/>
      <c r="V249" s="70"/>
      <c r="W249" s="70"/>
      <c r="X249" s="70"/>
      <c r="Y249" s="70"/>
      <c r="Z249" s="70"/>
      <c r="AA249" s="70"/>
      <c r="AB249" s="70"/>
      <c r="AC249" s="70"/>
      <c r="AD249" s="70"/>
    </row>
    <row r="250" spans="1:30" s="151" customFormat="1">
      <c r="A250" s="593">
        <v>15</v>
      </c>
      <c r="B250" s="975" t="s">
        <v>334</v>
      </c>
      <c r="C250" s="975"/>
      <c r="D250" s="975"/>
      <c r="E250" s="975"/>
      <c r="F250" s="937" t="s">
        <v>403</v>
      </c>
      <c r="G250" s="937"/>
      <c r="H250" s="937"/>
      <c r="I250" s="937"/>
      <c r="J250" s="979" t="str">
        <f>IF(Information!$D$8="Deutsch",B250,F250)</f>
        <v>Senden Sie ihre Fragen, Kommentare und Vorschläge an:</v>
      </c>
      <c r="K250" s="979"/>
      <c r="L250" s="979"/>
      <c r="M250" s="979"/>
      <c r="N250" s="389"/>
      <c r="T250" s="70"/>
      <c r="U250" s="70"/>
      <c r="V250" s="70"/>
      <c r="W250" s="70"/>
      <c r="X250" s="70"/>
      <c r="Y250" s="70"/>
      <c r="Z250" s="70"/>
      <c r="AA250" s="70"/>
      <c r="AB250" s="70"/>
      <c r="AC250" s="70"/>
      <c r="AD250" s="70"/>
    </row>
    <row r="251" spans="1:30" s="151" customFormat="1">
      <c r="A251" s="593">
        <v>15</v>
      </c>
      <c r="B251" s="975" t="s">
        <v>332</v>
      </c>
      <c r="C251" s="975"/>
      <c r="D251" s="975"/>
      <c r="E251" s="975"/>
      <c r="F251" s="938" t="s">
        <v>279</v>
      </c>
      <c r="G251" s="939"/>
      <c r="H251" s="939"/>
      <c r="I251" s="940"/>
      <c r="J251" s="979" t="str">
        <f>IF(Information!$D$8="Deutsch",B251,F251)</f>
        <v>Wir freuen uns auf Ihre Rückmeldungen!</v>
      </c>
      <c r="K251" s="979"/>
      <c r="L251" s="979"/>
      <c r="M251" s="979"/>
      <c r="N251" s="389"/>
      <c r="T251" s="70"/>
      <c r="U251" s="70"/>
      <c r="V251" s="70"/>
      <c r="W251" s="70"/>
      <c r="X251" s="70"/>
      <c r="Y251" s="70"/>
      <c r="Z251" s="70"/>
      <c r="AA251" s="70"/>
      <c r="AB251" s="70"/>
      <c r="AC251" s="70"/>
      <c r="AD251" s="70"/>
    </row>
    <row r="252" spans="1:30" s="151" customFormat="1">
      <c r="A252" s="593">
        <v>18</v>
      </c>
      <c r="B252" s="975" t="s">
        <v>318</v>
      </c>
      <c r="C252" s="975"/>
      <c r="D252" s="975"/>
      <c r="E252" s="975"/>
      <c r="F252" s="937" t="s">
        <v>360</v>
      </c>
      <c r="G252" s="937"/>
      <c r="H252" s="937"/>
      <c r="I252" s="937"/>
      <c r="J252" s="937" t="str">
        <f>IF(Information!$D$8="Deutsch",B252,F252)</f>
        <v xml:space="preserve"> - Die Arbeitszeiterfassung wurde komplett überarbeitet.</v>
      </c>
      <c r="K252" s="937"/>
      <c r="L252" s="937"/>
      <c r="M252" s="937"/>
      <c r="N252" s="389"/>
      <c r="T252" s="70"/>
      <c r="U252" s="70"/>
      <c r="V252" s="70"/>
      <c r="W252" s="70"/>
      <c r="X252" s="70"/>
      <c r="Y252" s="70"/>
      <c r="Z252" s="70"/>
      <c r="AA252" s="70"/>
      <c r="AB252" s="70"/>
      <c r="AC252" s="70"/>
      <c r="AD252" s="70"/>
    </row>
    <row r="253" spans="1:30" s="151" customFormat="1">
      <c r="A253" s="593">
        <v>19</v>
      </c>
      <c r="B253" s="983" t="s">
        <v>440</v>
      </c>
      <c r="C253" s="984"/>
      <c r="D253" s="984"/>
      <c r="E253" s="984"/>
      <c r="F253" s="953" t="s">
        <v>408</v>
      </c>
      <c r="G253" s="957"/>
      <c r="H253" s="957"/>
      <c r="I253" s="958"/>
      <c r="J253" s="937" t="str">
        <f>IF(Information!$D$8="Deutsch",B253,F253)</f>
        <v xml:space="preserve"> - Neu gibt es eine Arbeitsmappe für Persönliche Daten und Überträge.</v>
      </c>
      <c r="K253" s="937"/>
      <c r="L253" s="937"/>
      <c r="M253" s="937"/>
      <c r="N253" s="389"/>
      <c r="T253" s="70"/>
      <c r="U253" s="70"/>
      <c r="V253" s="70"/>
      <c r="W253" s="70"/>
      <c r="X253" s="70"/>
      <c r="Y253" s="70"/>
      <c r="Z253" s="70"/>
      <c r="AA253" s="70"/>
      <c r="AB253" s="70"/>
      <c r="AC253" s="70"/>
      <c r="AD253" s="70"/>
    </row>
    <row r="254" spans="1:30" s="151" customFormat="1">
      <c r="A254" s="593">
        <v>20</v>
      </c>
      <c r="B254" s="980" t="s">
        <v>317</v>
      </c>
      <c r="C254" s="981"/>
      <c r="D254" s="981"/>
      <c r="E254" s="982"/>
      <c r="F254" s="976" t="s">
        <v>416</v>
      </c>
      <c r="G254" s="977"/>
      <c r="H254" s="977"/>
      <c r="I254" s="978"/>
      <c r="J254" s="979" t="str">
        <f>IF(Information!$D$8="Deutsch",B254,F254)</f>
        <v xml:space="preserve"> - Die Absenzenübersicht fällt weg. Absenzen in Tagen werden neu in den einzelnen Monatsblättern erfasst.</v>
      </c>
      <c r="K254" s="979"/>
      <c r="L254" s="979"/>
      <c r="M254" s="979"/>
      <c r="N254" s="389"/>
      <c r="T254" s="70"/>
      <c r="U254" s="70"/>
      <c r="V254" s="70"/>
      <c r="W254" s="70"/>
      <c r="X254" s="70"/>
      <c r="Y254" s="70"/>
      <c r="Z254" s="70"/>
      <c r="AA254" s="70"/>
      <c r="AB254" s="70"/>
      <c r="AC254" s="70"/>
      <c r="AD254" s="70"/>
    </row>
    <row r="255" spans="1:30" s="151" customFormat="1">
      <c r="A255" s="593">
        <v>21</v>
      </c>
      <c r="B255" s="950" t="s">
        <v>441</v>
      </c>
      <c r="C255" s="951"/>
      <c r="D255" s="951"/>
      <c r="E255" s="952"/>
      <c r="F255" s="938" t="s">
        <v>361</v>
      </c>
      <c r="G255" s="939"/>
      <c r="H255" s="939"/>
      <c r="I255" s="940"/>
      <c r="J255" s="938" t="str">
        <f>IF(Information!$D$8="Deutsch",B255,F255)</f>
        <v xml:space="preserve"> - Das Arbeitsmuster wir neu ebenfalls in den Monatsblättern erfasst und kann von Tag zu Tag individuell eingestellt werden.</v>
      </c>
      <c r="K255" s="939"/>
      <c r="L255" s="939"/>
      <c r="M255" s="940"/>
      <c r="N255" s="389"/>
      <c r="T255" s="70"/>
      <c r="U255" s="70"/>
      <c r="V255" s="70"/>
      <c r="W255" s="70"/>
      <c r="X255" s="70"/>
      <c r="Y255" s="70"/>
      <c r="Z255" s="70"/>
      <c r="AA255" s="70"/>
      <c r="AB255" s="70"/>
      <c r="AC255" s="70"/>
      <c r="AD255" s="70"/>
    </row>
    <row r="256" spans="1:30" s="151" customFormat="1">
      <c r="A256" s="593">
        <v>25</v>
      </c>
      <c r="B256" s="950" t="s">
        <v>355</v>
      </c>
      <c r="C256" s="951"/>
      <c r="D256" s="951"/>
      <c r="E256" s="952"/>
      <c r="F256" s="938" t="s">
        <v>420</v>
      </c>
      <c r="G256" s="939"/>
      <c r="H256" s="939"/>
      <c r="I256" s="940"/>
      <c r="J256" s="938" t="str">
        <f>IF(Information!$D$8="Deutsch",B256,F256)</f>
        <v xml:space="preserve">Klicken Sie auf der unteren Bildlaufleiste auf "Persönliche Daten (pers. data)" und ergänzen Sie die grau hinterlegten Zellen Vorname, Name, Jahrgang, </v>
      </c>
      <c r="K256" s="939"/>
      <c r="L256" s="939"/>
      <c r="M256" s="940"/>
      <c r="N256" s="389"/>
      <c r="T256" s="70"/>
      <c r="U256" s="70"/>
      <c r="V256" s="70"/>
      <c r="W256" s="70"/>
      <c r="X256" s="70"/>
      <c r="Y256" s="70"/>
      <c r="Z256" s="70"/>
      <c r="AA256" s="70"/>
      <c r="AB256" s="70"/>
      <c r="AC256" s="70"/>
      <c r="AD256" s="70"/>
    </row>
    <row r="257" spans="1:30" s="151" customFormat="1">
      <c r="A257" s="593">
        <v>26</v>
      </c>
      <c r="B257" s="950" t="s">
        <v>323</v>
      </c>
      <c r="C257" s="951"/>
      <c r="D257" s="951"/>
      <c r="E257" s="952"/>
      <c r="F257" s="938" t="s">
        <v>364</v>
      </c>
      <c r="G257" s="939"/>
      <c r="H257" s="939"/>
      <c r="I257" s="940"/>
      <c r="J257" s="938" t="str">
        <f>IF(Information!$D$8="Deutsch",B257,F257)</f>
        <v>Pers. Nr., Eintrittsdatum, Beschäftigungsgrad (BG) und Gehaltsklasse (GK) mit Ihren persönlichen Angaben.</v>
      </c>
      <c r="K257" s="939"/>
      <c r="L257" s="939"/>
      <c r="M257" s="940"/>
      <c r="N257" s="389"/>
      <c r="T257" s="70"/>
      <c r="U257" s="70"/>
      <c r="V257" s="70"/>
      <c r="W257" s="70"/>
      <c r="X257" s="70"/>
      <c r="Y257" s="70"/>
      <c r="Z257" s="70"/>
      <c r="AA257" s="70"/>
      <c r="AB257" s="70"/>
      <c r="AC257" s="70"/>
      <c r="AD257" s="70"/>
    </row>
    <row r="258" spans="1:30" s="151" customFormat="1">
      <c r="A258" s="593">
        <v>27</v>
      </c>
      <c r="B258" s="941" t="s">
        <v>148</v>
      </c>
      <c r="C258" s="942"/>
      <c r="D258" s="942"/>
      <c r="E258" s="943"/>
      <c r="F258" s="938" t="s">
        <v>362</v>
      </c>
      <c r="G258" s="939"/>
      <c r="H258" s="939"/>
      <c r="I258" s="940"/>
      <c r="J258" s="938" t="str">
        <f>IF(Information!$D$8="Deutsch",B258,F258)</f>
        <v>Mit der Tabulatortaste können Sie einfach von Feld zu Feld springen. Die Daten werden automatisch in die nachfolgenden "Monatsblätter" übertragen</v>
      </c>
      <c r="K258" s="939"/>
      <c r="L258" s="939"/>
      <c r="M258" s="940"/>
      <c r="N258" s="389"/>
      <c r="T258" s="70"/>
      <c r="U258" s="70"/>
      <c r="V258" s="70"/>
      <c r="W258" s="70"/>
      <c r="X258" s="70"/>
      <c r="Y258" s="70"/>
      <c r="Z258" s="70"/>
      <c r="AA258" s="70"/>
      <c r="AB258" s="70"/>
      <c r="AC258" s="70"/>
      <c r="AD258" s="70"/>
    </row>
    <row r="259" spans="1:30" s="151" customFormat="1">
      <c r="A259" s="593">
        <v>28</v>
      </c>
      <c r="B259" s="941" t="s">
        <v>477</v>
      </c>
      <c r="C259" s="942"/>
      <c r="D259" s="942"/>
      <c r="E259" s="943"/>
      <c r="F259" s="938" t="s">
        <v>474</v>
      </c>
      <c r="G259" s="939"/>
      <c r="H259" s="939"/>
      <c r="I259" s="940"/>
      <c r="J259" s="938" t="str">
        <f>IF(Information!$D$8="Deutsch",B259,F259)</f>
        <v>und Ihr Ferienanspruch und Soll-Arbeitszeiten berechnet. Lernende verwenden im Feld Gehaltsklasse "LE" (Ferienanspruch 32 Tage).</v>
      </c>
      <c r="K259" s="939"/>
      <c r="L259" s="939"/>
      <c r="M259" s="940"/>
      <c r="N259" s="389"/>
      <c r="T259" s="70"/>
      <c r="U259" s="70"/>
      <c r="V259" s="70"/>
      <c r="W259" s="70"/>
      <c r="X259" s="70"/>
      <c r="Y259" s="70"/>
      <c r="Z259" s="70"/>
      <c r="AA259" s="70"/>
      <c r="AB259" s="70"/>
      <c r="AC259" s="70"/>
      <c r="AD259" s="70"/>
    </row>
    <row r="260" spans="1:30" s="151" customFormat="1">
      <c r="A260" s="593">
        <v>29</v>
      </c>
      <c r="B260" s="941" t="s">
        <v>331</v>
      </c>
      <c r="C260" s="942"/>
      <c r="D260" s="942"/>
      <c r="E260" s="943"/>
      <c r="F260" s="681" t="s">
        <v>326</v>
      </c>
      <c r="G260" s="681"/>
      <c r="H260" s="681"/>
      <c r="I260" s="681"/>
      <c r="J260" s="938" t="str">
        <f>IF(Information!$D$8="Deutsch",B260,F260)</f>
        <v>Ein-/Austritt während des Jahres</v>
      </c>
      <c r="K260" s="939"/>
      <c r="L260" s="939"/>
      <c r="M260" s="940"/>
      <c r="N260" s="389"/>
      <c r="T260" s="70"/>
      <c r="U260" s="70"/>
      <c r="V260" s="70"/>
      <c r="W260" s="70"/>
      <c r="X260" s="70"/>
      <c r="Y260" s="70"/>
      <c r="Z260" s="70"/>
      <c r="AA260" s="70"/>
      <c r="AB260" s="70"/>
      <c r="AC260" s="70"/>
      <c r="AD260" s="70"/>
    </row>
    <row r="261" spans="1:30" s="151" customFormat="1">
      <c r="A261" s="593">
        <v>30</v>
      </c>
      <c r="B261" s="941" t="s">
        <v>478</v>
      </c>
      <c r="C261" s="942"/>
      <c r="D261" s="942"/>
      <c r="E261" s="943"/>
      <c r="F261" s="938" t="s">
        <v>401</v>
      </c>
      <c r="G261" s="939"/>
      <c r="H261" s="939"/>
      <c r="I261" s="940"/>
      <c r="J261" s="938" t="str">
        <f>IF(Information!$D$8="Deutsch",B261,F261)</f>
        <v>Nehmen Sie Ihre Arbeit im Laufe des Jahres auf, so füllen Sie die Felder BG und GK ab Eintrittsmonat aus. Sollten Sie während des Jahres austreten,</v>
      </c>
      <c r="K261" s="939"/>
      <c r="L261" s="939"/>
      <c r="M261" s="940"/>
      <c r="N261" s="389"/>
      <c r="T261" s="70"/>
      <c r="U261" s="70"/>
      <c r="V261" s="70"/>
      <c r="W261" s="70"/>
      <c r="X261" s="70"/>
      <c r="Y261" s="70"/>
      <c r="Z261" s="70"/>
      <c r="AA261" s="70"/>
      <c r="AB261" s="70"/>
      <c r="AC261" s="70"/>
      <c r="AD261" s="70"/>
    </row>
    <row r="262" spans="1:30" s="151" customFormat="1">
      <c r="A262" s="593">
        <v>31</v>
      </c>
      <c r="B262" s="941" t="s">
        <v>356</v>
      </c>
      <c r="C262" s="942"/>
      <c r="D262" s="942"/>
      <c r="E262" s="943"/>
      <c r="F262" s="938" t="s">
        <v>402</v>
      </c>
      <c r="G262" s="939"/>
      <c r="H262" s="939"/>
      <c r="I262" s="940"/>
      <c r="J262" s="938" t="str">
        <f>IF(Information!$D$8="Deutsch",B262,F262)</f>
        <v>können Sie die verbleibenden Monate bis Jahresende auf 0 setzen. Damit endet die Erfassung im Austrittsmonat.</v>
      </c>
      <c r="K262" s="939"/>
      <c r="L262" s="939"/>
      <c r="M262" s="940"/>
      <c r="N262" s="389"/>
      <c r="T262" s="70"/>
      <c r="U262" s="70"/>
      <c r="V262" s="70"/>
      <c r="W262" s="70"/>
      <c r="X262" s="70"/>
      <c r="Y262" s="70"/>
      <c r="Z262" s="70"/>
      <c r="AA262" s="70"/>
      <c r="AB262" s="70"/>
      <c r="AC262" s="70"/>
      <c r="AD262" s="70"/>
    </row>
    <row r="263" spans="1:30" s="151" customFormat="1">
      <c r="A263" s="593">
        <v>32</v>
      </c>
      <c r="B263" s="941" t="s">
        <v>330</v>
      </c>
      <c r="C263" s="942"/>
      <c r="D263" s="942"/>
      <c r="E263" s="943"/>
      <c r="F263" s="676" t="s">
        <v>327</v>
      </c>
      <c r="G263" s="676"/>
      <c r="H263" s="676"/>
      <c r="I263" s="676"/>
      <c r="J263" s="938" t="str">
        <f>IF(Information!$D$8="Deutsch",B263,F263)</f>
        <v>Eintritte / Anstellungsänderung mitten im Monat</v>
      </c>
      <c r="K263" s="939"/>
      <c r="L263" s="939"/>
      <c r="M263" s="940"/>
      <c r="N263" s="389"/>
      <c r="T263" s="70"/>
      <c r="U263" s="70"/>
      <c r="V263" s="70"/>
      <c r="W263" s="70"/>
      <c r="X263" s="70"/>
      <c r="Y263" s="70"/>
      <c r="Z263" s="70"/>
      <c r="AA263" s="70"/>
      <c r="AB263" s="70"/>
      <c r="AC263" s="70"/>
      <c r="AD263" s="70"/>
    </row>
    <row r="264" spans="1:30" s="151" customFormat="1">
      <c r="A264" s="593">
        <v>33</v>
      </c>
      <c r="B264" s="956" t="s">
        <v>336</v>
      </c>
      <c r="C264" s="957"/>
      <c r="D264" s="957"/>
      <c r="E264" s="958"/>
      <c r="F264" s="953" t="s">
        <v>404</v>
      </c>
      <c r="G264" s="957"/>
      <c r="H264" s="957"/>
      <c r="I264" s="958"/>
      <c r="J264" s="938" t="str">
        <f>IF(Information!$D$8="Deutsch",B264,F264)</f>
        <v>Bei Anstellungsänderungen mitten im Monat muss der BG umgerechnet werden. Unter "Umrechnung (calculation)" finden Sie eine Berechnungshilfe.</v>
      </c>
      <c r="K264" s="939"/>
      <c r="L264" s="939"/>
      <c r="M264" s="940"/>
      <c r="N264" s="389"/>
      <c r="T264" s="70"/>
      <c r="U264" s="70"/>
      <c r="V264" s="70"/>
      <c r="W264" s="70"/>
      <c r="X264" s="70"/>
      <c r="Y264" s="70"/>
      <c r="Z264" s="70"/>
      <c r="AA264" s="70"/>
      <c r="AB264" s="70"/>
      <c r="AC264" s="70"/>
      <c r="AD264" s="70"/>
    </row>
    <row r="265" spans="1:30" s="151" customFormat="1">
      <c r="A265" s="593">
        <v>35</v>
      </c>
      <c r="B265" s="953" t="s">
        <v>357</v>
      </c>
      <c r="C265" s="954"/>
      <c r="D265" s="954"/>
      <c r="E265" s="955"/>
      <c r="F265" s="953" t="s">
        <v>363</v>
      </c>
      <c r="G265" s="954"/>
      <c r="H265" s="954"/>
      <c r="I265" s="955"/>
      <c r="J265" s="938" t="str">
        <f>IF(Information!$D$8="Deutsch",B265,F265)</f>
        <v>Ändern sich während des Jahres der BG oder die GK, können Sie dies ebenfalls im betreffenden Monat anpassen.</v>
      </c>
      <c r="K265" s="939"/>
      <c r="L265" s="939"/>
      <c r="M265" s="940"/>
      <c r="N265" s="389"/>
      <c r="T265" s="70"/>
      <c r="U265" s="70"/>
      <c r="V265" s="70"/>
      <c r="W265" s="70"/>
      <c r="X265" s="70"/>
      <c r="Y265" s="70"/>
      <c r="Z265" s="70"/>
      <c r="AA265" s="70"/>
      <c r="AB265" s="70"/>
      <c r="AC265" s="70"/>
      <c r="AD265" s="70"/>
    </row>
    <row r="266" spans="1:30" s="151" customFormat="1">
      <c r="A266" s="593">
        <v>37</v>
      </c>
      <c r="B266" s="953" t="s">
        <v>479</v>
      </c>
      <c r="C266" s="954"/>
      <c r="D266" s="954"/>
      <c r="E266" s="955"/>
      <c r="F266" s="677" t="s">
        <v>365</v>
      </c>
      <c r="G266" s="683"/>
      <c r="H266" s="683"/>
      <c r="I266" s="684"/>
      <c r="J266" s="938" t="str">
        <f>IF(Information!$D$8="Deutsch",B266,F266)</f>
        <v>Geben Sie in diesen Feldern Ihren Übertrag der Saldi, gemäss Besprechung mit Ihrem Vorgesetzten, aus dem Vorjahr an.</v>
      </c>
      <c r="K266" s="939"/>
      <c r="L266" s="939"/>
      <c r="M266" s="940"/>
      <c r="N266" s="389"/>
      <c r="T266" s="70"/>
      <c r="U266" s="70"/>
      <c r="V266" s="70"/>
      <c r="W266" s="70"/>
      <c r="X266" s="70"/>
      <c r="Y266" s="70"/>
      <c r="Z266" s="70"/>
      <c r="AA266" s="70"/>
      <c r="AB266" s="70"/>
      <c r="AC266" s="70"/>
      <c r="AD266" s="70"/>
    </row>
    <row r="267" spans="1:30" s="151" customFormat="1">
      <c r="A267" s="593">
        <v>38</v>
      </c>
      <c r="B267" s="953" t="s">
        <v>104</v>
      </c>
      <c r="C267" s="954"/>
      <c r="D267" s="954"/>
      <c r="E267" s="955"/>
      <c r="F267" s="677" t="s">
        <v>368</v>
      </c>
      <c r="G267" s="683"/>
      <c r="H267" s="683"/>
      <c r="I267" s="684"/>
      <c r="J267" s="938" t="str">
        <f>IF(Information!$D$8="Deutsch",B267,F267)</f>
        <v>Hinweis: ein negativer Zeitsaldo muss mit Anführungszeichen eingegeben werden. Beispiel -"8:36"</v>
      </c>
      <c r="K267" s="939"/>
      <c r="L267" s="939"/>
      <c r="M267" s="940"/>
      <c r="N267" s="389"/>
      <c r="T267" s="70"/>
      <c r="U267" s="70"/>
      <c r="V267" s="70"/>
      <c r="W267" s="70"/>
      <c r="X267" s="70"/>
      <c r="Y267" s="70"/>
      <c r="Z267" s="70"/>
      <c r="AA267" s="70"/>
      <c r="AB267" s="70"/>
      <c r="AC267" s="70"/>
      <c r="AD267" s="70"/>
    </row>
    <row r="268" spans="1:30" s="151" customFormat="1">
      <c r="A268" s="593">
        <v>40</v>
      </c>
      <c r="B268" s="941" t="s">
        <v>337</v>
      </c>
      <c r="C268" s="942"/>
      <c r="D268" s="942"/>
      <c r="E268" s="943"/>
      <c r="F268" s="686" t="s">
        <v>367</v>
      </c>
      <c r="G268" s="679"/>
      <c r="H268" s="679"/>
      <c r="I268" s="680"/>
      <c r="J268" s="938" t="str">
        <f>IF(Information!$D$8="Deutsch",B268,F268)</f>
        <v>Hier können Sie ein allfälliges Ferienguthaben, welches Sie aus Ihrer Treueprämie erhalten haben, eintragen.</v>
      </c>
      <c r="K268" s="939"/>
      <c r="L268" s="939"/>
      <c r="M268" s="940"/>
      <c r="N268" s="389"/>
      <c r="T268" s="70"/>
      <c r="U268" s="70"/>
      <c r="V268" s="70"/>
      <c r="W268" s="70"/>
      <c r="X268" s="70"/>
      <c r="Y268" s="70"/>
      <c r="Z268" s="70"/>
      <c r="AA268" s="70"/>
      <c r="AB268" s="70"/>
      <c r="AC268" s="70"/>
      <c r="AD268" s="70"/>
    </row>
    <row r="269" spans="1:30" s="151" customFormat="1">
      <c r="A269" s="593">
        <v>42</v>
      </c>
      <c r="B269" s="956" t="s">
        <v>475</v>
      </c>
      <c r="C269" s="957"/>
      <c r="D269" s="957"/>
      <c r="E269" s="958"/>
      <c r="F269" s="947" t="s">
        <v>371</v>
      </c>
      <c r="G269" s="948"/>
      <c r="H269" s="948"/>
      <c r="I269" s="949"/>
      <c r="J269" s="938" t="str">
        <f>IF(Information!$D$8="Deutsch",B269,F269)</f>
        <v xml:space="preserve">Hier sehen Sie eine Übersicht über die zu leistende Arbeitszeit gemäss Ihrem Beschäftigungsgrad, der tatsächlich geleisteten Arbeitszeit, der </v>
      </c>
      <c r="K269" s="939"/>
      <c r="L269" s="939"/>
      <c r="M269" s="940"/>
      <c r="N269" s="389"/>
      <c r="T269" s="70"/>
      <c r="U269" s="70"/>
      <c r="V269" s="70"/>
      <c r="W269" s="70"/>
      <c r="X269" s="70"/>
      <c r="Y269" s="70"/>
      <c r="Z269" s="70"/>
      <c r="AA269" s="70"/>
      <c r="AB269" s="70"/>
      <c r="AC269" s="70"/>
      <c r="AD269" s="70"/>
    </row>
    <row r="270" spans="1:30" s="151" customFormat="1">
      <c r="A270" s="593">
        <v>43</v>
      </c>
      <c r="B270" s="941" t="s">
        <v>324</v>
      </c>
      <c r="C270" s="942"/>
      <c r="D270" s="942"/>
      <c r="E270" s="943"/>
      <c r="F270" s="678" t="s">
        <v>372</v>
      </c>
      <c r="G270" s="679"/>
      <c r="H270" s="679"/>
      <c r="I270" s="680"/>
      <c r="J270" s="938" t="str">
        <f>IF(Information!$D$8="Deutsch",B270,F270)</f>
        <v>bezogenen Ferien, Langzeitkonto und allen Absenzen und der daraus resultierenden gesamten geleisteten Arbeitszeit, sowie dem Saldo bis dato.</v>
      </c>
      <c r="K270" s="939"/>
      <c r="L270" s="939"/>
      <c r="M270" s="940"/>
      <c r="N270" s="389"/>
      <c r="T270" s="70"/>
      <c r="U270" s="70"/>
      <c r="V270" s="70"/>
      <c r="W270" s="70"/>
      <c r="X270" s="70"/>
      <c r="Y270" s="70"/>
      <c r="Z270" s="70"/>
      <c r="AA270" s="70"/>
      <c r="AB270" s="70"/>
      <c r="AC270" s="70"/>
      <c r="AD270" s="70"/>
    </row>
    <row r="271" spans="1:30" s="151" customFormat="1">
      <c r="A271" s="593">
        <v>45</v>
      </c>
      <c r="B271" s="941" t="s">
        <v>476</v>
      </c>
      <c r="C271" s="942"/>
      <c r="D271" s="942"/>
      <c r="E271" s="943"/>
      <c r="F271" s="678" t="s">
        <v>366</v>
      </c>
      <c r="G271" s="679"/>
      <c r="H271" s="679"/>
      <c r="I271" s="680"/>
      <c r="J271" s="938" t="str">
        <f>IF(Information!$D$8="Deutsch",B271,F271)</f>
        <v>Hier sehen Sie eine Übersicht über Ihr Ferienguthaben, Ihre bezogenen Ferien und Ferienkürzungen.</v>
      </c>
      <c r="K271" s="939"/>
      <c r="L271" s="939"/>
      <c r="M271" s="940"/>
      <c r="N271" s="389"/>
      <c r="T271" s="70"/>
      <c r="U271" s="70"/>
      <c r="V271" s="70"/>
      <c r="W271" s="70"/>
      <c r="X271" s="70"/>
      <c r="Y271" s="70"/>
      <c r="Z271" s="70"/>
      <c r="AA271" s="70"/>
      <c r="AB271" s="70"/>
      <c r="AC271" s="70"/>
      <c r="AD271" s="70"/>
    </row>
    <row r="272" spans="1:30" s="151" customFormat="1">
      <c r="A272" s="593">
        <v>49</v>
      </c>
      <c r="B272" s="941" t="s">
        <v>480</v>
      </c>
      <c r="C272" s="942"/>
      <c r="D272" s="942"/>
      <c r="E272" s="943"/>
      <c r="F272" s="678" t="s">
        <v>405</v>
      </c>
      <c r="G272" s="679"/>
      <c r="H272" s="679"/>
      <c r="I272" s="680"/>
      <c r="J272" s="938" t="str">
        <f>IF(Information!$D$8="Deutsch",B272,F272)</f>
        <v xml:space="preserve">Hier sehen Sie eine Übersicht Ihrer manuell eingetragenen Ferienkürzungen. Ferienkürzungen sind bei unbezahltem Urlaub oder krankheits- resp. </v>
      </c>
      <c r="K272" s="939"/>
      <c r="L272" s="939"/>
      <c r="M272" s="940"/>
      <c r="N272" s="389"/>
      <c r="T272" s="70"/>
      <c r="U272" s="70"/>
      <c r="V272" s="70"/>
      <c r="W272" s="70"/>
      <c r="X272" s="70"/>
      <c r="Y272" s="70"/>
      <c r="Z272" s="70"/>
      <c r="AA272" s="70"/>
      <c r="AB272" s="70"/>
      <c r="AC272" s="70"/>
      <c r="AD272" s="70"/>
    </row>
    <row r="273" spans="1:30" s="151" customFormat="1">
      <c r="A273" s="593">
        <v>50</v>
      </c>
      <c r="B273" s="941" t="s">
        <v>345</v>
      </c>
      <c r="C273" s="942"/>
      <c r="D273" s="942"/>
      <c r="E273" s="943"/>
      <c r="F273" s="678" t="s">
        <v>406</v>
      </c>
      <c r="G273" s="679"/>
      <c r="H273" s="679"/>
      <c r="I273" s="680"/>
      <c r="J273" s="938" t="str">
        <f>IF(Information!$D$8="Deutsch",B273,F273)</f>
        <v>unfallbedingten längeren Abwesenheiten in Stunden und Minuten einzutragen. Die Ferienkürzungen werden in den einzelnen Monatsblättern erfasst.</v>
      </c>
      <c r="K273" s="939"/>
      <c r="L273" s="939"/>
      <c r="M273" s="940"/>
      <c r="N273" s="389"/>
      <c r="T273" s="70"/>
      <c r="U273" s="70"/>
      <c r="V273" s="70"/>
      <c r="W273" s="70"/>
      <c r="X273" s="70"/>
      <c r="Y273" s="70"/>
      <c r="Z273" s="70"/>
      <c r="AA273" s="70"/>
      <c r="AB273" s="70"/>
      <c r="AC273" s="70"/>
      <c r="AD273" s="70"/>
    </row>
    <row r="274" spans="1:30" s="151" customFormat="1">
      <c r="A274" s="593">
        <v>51</v>
      </c>
      <c r="B274" s="941" t="s">
        <v>382</v>
      </c>
      <c r="C274" s="942"/>
      <c r="D274" s="942"/>
      <c r="E274" s="943"/>
      <c r="F274" s="678" t="s">
        <v>381</v>
      </c>
      <c r="G274" s="679"/>
      <c r="H274" s="679"/>
      <c r="I274" s="680"/>
      <c r="J274" s="938" t="str">
        <f>IF(Information!$D$8="Deutsch",B274,F274)</f>
        <v>Bitte konsultieren Sie für die Berechnung:</v>
      </c>
      <c r="K274" s="939"/>
      <c r="L274" s="939"/>
      <c r="M274" s="940"/>
      <c r="N274" s="389"/>
      <c r="T274" s="70"/>
      <c r="U274" s="70"/>
      <c r="V274" s="70"/>
      <c r="W274" s="70"/>
      <c r="X274" s="70"/>
      <c r="Y274" s="70"/>
      <c r="Z274" s="70"/>
      <c r="AA274" s="70"/>
      <c r="AB274" s="70"/>
      <c r="AC274" s="70"/>
      <c r="AD274" s="70"/>
    </row>
    <row r="275" spans="1:30" s="151" customFormat="1">
      <c r="A275" s="593">
        <v>53</v>
      </c>
      <c r="B275" s="941" t="s">
        <v>315</v>
      </c>
      <c r="C275" s="942"/>
      <c r="D275" s="942"/>
      <c r="E275" s="943"/>
      <c r="F275" s="678" t="s">
        <v>462</v>
      </c>
      <c r="G275" s="679"/>
      <c r="H275" s="679"/>
      <c r="I275" s="680"/>
      <c r="J275" s="938" t="str">
        <f>IF(Information!$D$8="Deutsch",B275,F275)</f>
        <v>Das Langzeitkonto ist jeweils per 1.1. zu speisen. Kein Langzeitkonto führen Personen mit befristeten Anstellungen und Dozierende.</v>
      </c>
      <c r="K275" s="939"/>
      <c r="L275" s="939"/>
      <c r="M275" s="940"/>
      <c r="N275" s="389"/>
      <c r="T275" s="70"/>
      <c r="U275" s="70"/>
      <c r="V275" s="70"/>
      <c r="W275" s="70"/>
      <c r="X275" s="70"/>
      <c r="Y275" s="70"/>
      <c r="Z275" s="70"/>
      <c r="AA275" s="70"/>
      <c r="AB275" s="70"/>
      <c r="AC275" s="70"/>
      <c r="AD275" s="70"/>
    </row>
    <row r="276" spans="1:30" s="151" customFormat="1">
      <c r="A276" s="593">
        <v>54</v>
      </c>
      <c r="B276" s="941" t="s">
        <v>341</v>
      </c>
      <c r="C276" s="942"/>
      <c r="D276" s="942"/>
      <c r="E276" s="943"/>
      <c r="F276" s="678" t="s">
        <v>380</v>
      </c>
      <c r="G276" s="679"/>
      <c r="H276" s="679"/>
      <c r="I276" s="680"/>
      <c r="J276" s="938" t="str">
        <f>IF(Information!$D$8="Deutsch",B276,F276)</f>
        <v>Vgl. dazu:</v>
      </c>
      <c r="K276" s="939"/>
      <c r="L276" s="939"/>
      <c r="M276" s="940"/>
      <c r="N276" s="392"/>
      <c r="T276" s="70"/>
      <c r="U276" s="70"/>
      <c r="V276" s="70"/>
      <c r="W276" s="70"/>
      <c r="X276" s="70"/>
      <c r="Y276" s="70"/>
      <c r="Z276" s="70"/>
      <c r="AA276" s="70"/>
      <c r="AB276" s="70"/>
      <c r="AC276" s="70"/>
      <c r="AD276" s="70"/>
    </row>
    <row r="277" spans="1:30" s="151" customFormat="1">
      <c r="A277" s="593">
        <v>54</v>
      </c>
      <c r="B277" s="941" t="s">
        <v>96</v>
      </c>
      <c r="C277" s="942"/>
      <c r="D277" s="942"/>
      <c r="E277" s="943"/>
      <c r="F277" s="678" t="s">
        <v>340</v>
      </c>
      <c r="G277" s="679"/>
      <c r="H277" s="679"/>
      <c r="I277" s="680"/>
      <c r="J277" s="938" t="str">
        <f>IF(Information!$D$8="Deutsch",B277,F277)</f>
        <v>Reglement über das Langzeitkonto.</v>
      </c>
      <c r="K277" s="939"/>
      <c r="L277" s="939"/>
      <c r="M277" s="940"/>
      <c r="N277" s="389"/>
      <c r="T277" s="70"/>
      <c r="U277" s="70"/>
      <c r="V277" s="70"/>
      <c r="W277" s="70"/>
      <c r="X277" s="70"/>
      <c r="Y277" s="70"/>
      <c r="Z277" s="70"/>
      <c r="AA277" s="70"/>
      <c r="AB277" s="70"/>
      <c r="AC277" s="70"/>
      <c r="AD277" s="70"/>
    </row>
    <row r="278" spans="1:30" s="151" customFormat="1">
      <c r="A278" s="593">
        <v>56</v>
      </c>
      <c r="B278" s="941" t="s">
        <v>344</v>
      </c>
      <c r="C278" s="942"/>
      <c r="D278" s="942"/>
      <c r="E278" s="943"/>
      <c r="F278" s="678" t="s">
        <v>369</v>
      </c>
      <c r="G278" s="679"/>
      <c r="H278" s="679"/>
      <c r="I278" s="680"/>
      <c r="J278" s="938" t="str">
        <f>IF(Information!$D$8="Deutsch",B278,F278)</f>
        <v>Hier sehen Sie eine Übersicht über die von Ihnen bezogene Jahresarbeitskompensation über das ganze Jahr.</v>
      </c>
      <c r="K278" s="939"/>
      <c r="L278" s="939"/>
      <c r="M278" s="940"/>
      <c r="N278" s="389"/>
      <c r="T278" s="70"/>
      <c r="U278" s="70"/>
      <c r="V278" s="70"/>
      <c r="W278" s="70"/>
      <c r="X278" s="70"/>
      <c r="Y278" s="70"/>
      <c r="Z278" s="70"/>
      <c r="AA278" s="70"/>
      <c r="AB278" s="70"/>
      <c r="AC278" s="70"/>
      <c r="AD278" s="70"/>
    </row>
    <row r="279" spans="1:30" s="151" customFormat="1">
      <c r="A279" s="593">
        <v>58</v>
      </c>
      <c r="B279" s="941" t="s">
        <v>481</v>
      </c>
      <c r="C279" s="942"/>
      <c r="D279" s="942"/>
      <c r="E279" s="943"/>
      <c r="F279" s="678" t="s">
        <v>407</v>
      </c>
      <c r="G279" s="679"/>
      <c r="H279" s="679"/>
      <c r="I279" s="680"/>
      <c r="J279" s="938" t="str">
        <f>IF(Information!$D$8="Deutsch",B279,F279)</f>
        <v>Hier sehen Sie eine Übersicht Ihrer Absenzen über das ganze Jahr.</v>
      </c>
      <c r="K279" s="939"/>
      <c r="L279" s="939"/>
      <c r="M279" s="940"/>
      <c r="N279" s="389"/>
      <c r="T279" s="70"/>
      <c r="U279" s="70"/>
      <c r="V279" s="70"/>
      <c r="W279" s="70"/>
      <c r="X279" s="70"/>
      <c r="Y279" s="70"/>
      <c r="Z279" s="70"/>
      <c r="AA279" s="70"/>
      <c r="AB279" s="70"/>
      <c r="AC279" s="70"/>
      <c r="AD279" s="70"/>
    </row>
    <row r="280" spans="1:30" s="151" customFormat="1">
      <c r="A280" s="593">
        <v>62</v>
      </c>
      <c r="B280" s="941" t="s">
        <v>482</v>
      </c>
      <c r="C280" s="942"/>
      <c r="D280" s="942"/>
      <c r="E280" s="943"/>
      <c r="F280" s="678" t="s">
        <v>374</v>
      </c>
      <c r="G280" s="679"/>
      <c r="H280" s="679"/>
      <c r="I280" s="680"/>
      <c r="J280" s="938" t="str">
        <f>IF(Information!$D$8="Deutsch",B280,F280)</f>
        <v>Jetzt sind Sie startbereit und können mit dem Ausfüllen Ihrer Kommen/Gehen-Zeiten beginnen. Die Eingabe hat in Stunden und Minuten zu erfolgen.</v>
      </c>
      <c r="K280" s="939"/>
      <c r="L280" s="939"/>
      <c r="M280" s="940"/>
      <c r="N280" s="389"/>
      <c r="T280" s="70"/>
      <c r="U280" s="70"/>
      <c r="V280" s="70"/>
      <c r="W280" s="70"/>
      <c r="X280" s="70"/>
      <c r="Y280" s="70"/>
      <c r="Z280" s="70"/>
      <c r="AA280" s="70"/>
      <c r="AB280" s="70"/>
      <c r="AC280" s="70"/>
      <c r="AD280" s="70"/>
    </row>
    <row r="281" spans="1:30" s="151" customFormat="1">
      <c r="A281" s="593">
        <v>63</v>
      </c>
      <c r="B281" s="941" t="s">
        <v>348</v>
      </c>
      <c r="C281" s="942"/>
      <c r="D281" s="942"/>
      <c r="E281" s="943"/>
      <c r="F281" s="678" t="s">
        <v>375</v>
      </c>
      <c r="G281" s="679"/>
      <c r="H281" s="679"/>
      <c r="I281" s="680"/>
      <c r="J281" s="938" t="str">
        <f>IF(Information!$D$8="Deutsch",B281,F281)</f>
        <v>Alle Eingaben werden automatisch in die Jahresübersicht und in die folgenden Monatsblätter übertragen.</v>
      </c>
      <c r="K281" s="939"/>
      <c r="L281" s="939"/>
      <c r="M281" s="940"/>
      <c r="N281" s="389"/>
      <c r="T281" s="70"/>
      <c r="U281" s="70"/>
      <c r="V281" s="70"/>
      <c r="W281" s="70"/>
      <c r="X281" s="70"/>
      <c r="Y281" s="70"/>
      <c r="Z281" s="70"/>
      <c r="AA281" s="70"/>
      <c r="AB281" s="70"/>
      <c r="AC281" s="70"/>
      <c r="AD281" s="70"/>
    </row>
    <row r="282" spans="1:30" s="151" customFormat="1">
      <c r="A282" s="593">
        <v>64</v>
      </c>
      <c r="B282" s="941" t="s">
        <v>347</v>
      </c>
      <c r="C282" s="942"/>
      <c r="D282" s="942"/>
      <c r="E282" s="943"/>
      <c r="F282" s="678" t="s">
        <v>373</v>
      </c>
      <c r="G282" s="679"/>
      <c r="H282" s="679"/>
      <c r="I282" s="680"/>
      <c r="J282" s="938" t="str">
        <f>IF(Information!$D$8="Deutsch",B282,F282)</f>
        <v>Bitte verwenden Sie immer das Format hh:mm. Leerschläge, Ausschneiden/Kopieren der Werte führen zu Problemen.</v>
      </c>
      <c r="K282" s="939"/>
      <c r="L282" s="939"/>
      <c r="M282" s="940"/>
      <c r="N282" s="389"/>
      <c r="T282" s="70"/>
      <c r="U282" s="70"/>
      <c r="V282" s="70"/>
      <c r="W282" s="70"/>
      <c r="X282" s="70"/>
      <c r="Y282" s="70"/>
      <c r="Z282" s="70"/>
      <c r="AA282" s="70"/>
      <c r="AB282" s="70"/>
      <c r="AC282" s="70"/>
      <c r="AD282" s="70"/>
    </row>
    <row r="283" spans="1:30" s="151" customFormat="1">
      <c r="A283" s="593">
        <v>66</v>
      </c>
      <c r="B283" s="941" t="s">
        <v>321</v>
      </c>
      <c r="C283" s="942"/>
      <c r="D283" s="942"/>
      <c r="E283" s="943"/>
      <c r="F283" s="678" t="s">
        <v>377</v>
      </c>
      <c r="G283" s="679"/>
      <c r="H283" s="679"/>
      <c r="I283" s="680"/>
      <c r="J283" s="947" t="str">
        <f>IF(Information!$D$8="Deutsch",B283,F283)</f>
        <v xml:space="preserve">Absenzen in Stunden erfassen Sie in Stunden und Minuten in den entsprechenden Spalten. Falls Sie einen ganzen oder halben Tag abwesend </v>
      </c>
      <c r="K283" s="948"/>
      <c r="L283" s="948"/>
      <c r="M283" s="949"/>
      <c r="N283" s="389"/>
      <c r="T283" s="70"/>
      <c r="U283" s="70"/>
      <c r="V283" s="70"/>
      <c r="W283" s="70"/>
      <c r="X283" s="70"/>
      <c r="Y283" s="70"/>
      <c r="Z283" s="70"/>
      <c r="AA283" s="70"/>
      <c r="AB283" s="70"/>
      <c r="AC283" s="70"/>
      <c r="AD283" s="70"/>
    </row>
    <row r="284" spans="1:30" s="151" customFormat="1">
      <c r="A284" s="593">
        <v>67</v>
      </c>
      <c r="B284" s="941" t="s">
        <v>320</v>
      </c>
      <c r="C284" s="942"/>
      <c r="D284" s="942"/>
      <c r="E284" s="943"/>
      <c r="F284" s="678" t="s">
        <v>376</v>
      </c>
      <c r="G284" s="679"/>
      <c r="H284" s="679"/>
      <c r="I284" s="680"/>
      <c r="J284" s="938" t="str">
        <f>IF(Information!$D$8="Deutsch",B284,F284)</f>
        <v>sind, orientieren Sie sich an den Soll-Zeiten des entsprechenden Tages.</v>
      </c>
      <c r="K284" s="939"/>
      <c r="L284" s="939"/>
      <c r="M284" s="940"/>
      <c r="N284" s="389"/>
      <c r="T284" s="70"/>
      <c r="U284" s="70"/>
      <c r="V284" s="70"/>
      <c r="W284" s="70"/>
      <c r="X284" s="70"/>
      <c r="Y284" s="70"/>
      <c r="Z284" s="70"/>
      <c r="AA284" s="70"/>
      <c r="AB284" s="70"/>
      <c r="AC284" s="70"/>
      <c r="AD284" s="70"/>
    </row>
    <row r="285" spans="1:30" s="151" customFormat="1">
      <c r="A285" s="593">
        <v>69</v>
      </c>
      <c r="B285" s="941" t="s">
        <v>346</v>
      </c>
      <c r="C285" s="942"/>
      <c r="D285" s="942"/>
      <c r="E285" s="943"/>
      <c r="F285" s="678" t="s">
        <v>370</v>
      </c>
      <c r="G285" s="679"/>
      <c r="H285" s="679"/>
      <c r="I285" s="680"/>
      <c r="J285" s="938" t="str">
        <f>IF(Information!$D$8="Deutsch",B285,F285)</f>
        <v>Absenzen in Tagen werden in den endsprechenden Spalten für Vor- und Nachmittag eingetragen. Anders als bei den Absenzen in Stunden werden</v>
      </c>
      <c r="K285" s="939"/>
      <c r="L285" s="939"/>
      <c r="M285" s="940"/>
      <c r="N285" s="389"/>
      <c r="T285" s="70"/>
      <c r="U285" s="70"/>
      <c r="V285" s="70"/>
      <c r="W285" s="70"/>
      <c r="X285" s="70"/>
      <c r="Y285" s="70"/>
      <c r="Z285" s="70"/>
      <c r="AA285" s="70"/>
      <c r="AB285" s="70"/>
      <c r="AC285" s="70"/>
      <c r="AD285" s="70"/>
    </row>
    <row r="286" spans="1:30" s="151" customFormat="1">
      <c r="A286" s="593">
        <v>70</v>
      </c>
      <c r="B286" s="941" t="s">
        <v>338</v>
      </c>
      <c r="C286" s="942"/>
      <c r="D286" s="942"/>
      <c r="E286" s="943"/>
      <c r="F286" s="678" t="s">
        <v>378</v>
      </c>
      <c r="G286" s="679"/>
      <c r="H286" s="679"/>
      <c r="I286" s="680"/>
      <c r="J286" s="938" t="str">
        <f>IF(Information!$D$8="Deutsch",B286,F286)</f>
        <v>hier die Einträge nicht in Stunden und Minuten getätigt, sondern mit entsprechenden Buchstaben. Eine Legende finden Sie in den Monatsblättern.</v>
      </c>
      <c r="K286" s="939"/>
      <c r="L286" s="939"/>
      <c r="M286" s="940"/>
      <c r="N286" s="389"/>
      <c r="T286" s="70"/>
      <c r="U286" s="70"/>
      <c r="V286" s="70"/>
      <c r="W286" s="70"/>
      <c r="X286" s="70"/>
      <c r="Y286" s="70"/>
      <c r="Z286" s="70"/>
      <c r="AA286" s="70"/>
      <c r="AB286" s="70"/>
      <c r="AC286" s="70"/>
      <c r="AD286" s="70"/>
    </row>
    <row r="287" spans="1:30" s="151" customFormat="1">
      <c r="A287" s="593">
        <v>71</v>
      </c>
      <c r="B287" s="941" t="s">
        <v>322</v>
      </c>
      <c r="C287" s="942"/>
      <c r="D287" s="942"/>
      <c r="E287" s="943"/>
      <c r="F287" s="678" t="s">
        <v>379</v>
      </c>
      <c r="G287" s="679"/>
      <c r="H287" s="679"/>
      <c r="I287" s="680"/>
      <c r="J287" s="938" t="str">
        <f>IF(Information!$D$8="Deutsch",B287,F287)</f>
        <v>Die Arbeitszeiterfassung errechnet die dadurch bezogenen Absenzen automatisch in Stunden und Minuten um.</v>
      </c>
      <c r="K287" s="939"/>
      <c r="L287" s="939"/>
      <c r="M287" s="940"/>
      <c r="N287" s="389"/>
      <c r="T287" s="70"/>
      <c r="U287" s="70"/>
      <c r="V287" s="70"/>
      <c r="W287" s="70"/>
      <c r="X287" s="70"/>
      <c r="Y287" s="70"/>
      <c r="Z287" s="70"/>
      <c r="AA287" s="70"/>
      <c r="AB287" s="70"/>
      <c r="AC287" s="70"/>
      <c r="AD287" s="70"/>
    </row>
    <row r="288" spans="1:30" s="151" customFormat="1">
      <c r="A288" s="593">
        <v>73</v>
      </c>
      <c r="B288" s="941" t="s">
        <v>319</v>
      </c>
      <c r="C288" s="942"/>
      <c r="D288" s="942"/>
      <c r="E288" s="943"/>
      <c r="F288" s="678" t="s">
        <v>383</v>
      </c>
      <c r="G288" s="679"/>
      <c r="H288" s="679"/>
      <c r="I288" s="680"/>
      <c r="J288" s="938" t="str">
        <f>IF(Information!$D$8="Deutsch",B288,F288)</f>
        <v>Das Arbeitsmuster wird neu in den Monatsblättern eingegeben. Es kann individuell für jeden Tag festgelegt werden. Das Arbeitsmuster ist in den</v>
      </c>
      <c r="K288" s="939"/>
      <c r="L288" s="939"/>
      <c r="M288" s="940"/>
      <c r="N288" s="389"/>
      <c r="T288" s="70"/>
      <c r="U288" s="70"/>
      <c r="V288" s="70"/>
      <c r="W288" s="70"/>
      <c r="X288" s="70"/>
      <c r="Y288" s="70"/>
      <c r="Z288" s="70"/>
      <c r="AA288" s="70"/>
      <c r="AB288" s="70"/>
      <c r="AC288" s="70"/>
      <c r="AD288" s="70"/>
    </row>
    <row r="289" spans="1:30" s="151" customFormat="1">
      <c r="A289" s="593">
        <v>74</v>
      </c>
      <c r="B289" s="944" t="s">
        <v>430</v>
      </c>
      <c r="C289" s="945"/>
      <c r="D289" s="945"/>
      <c r="E289" s="946"/>
      <c r="F289" s="322" t="s">
        <v>384</v>
      </c>
      <c r="G289" s="679"/>
      <c r="H289" s="679"/>
      <c r="I289" s="680"/>
      <c r="J289" s="938" t="str">
        <f>IF(Information!$D$8="Deutsch",B289,F289)</f>
        <v>Standarteinstellungen nicht im Druckbereich. Weitere Informationen:</v>
      </c>
      <c r="K289" s="939"/>
      <c r="L289" s="939"/>
      <c r="M289" s="940"/>
      <c r="N289" s="389"/>
      <c r="T289" s="70"/>
      <c r="U289" s="70"/>
      <c r="V289" s="70"/>
      <c r="W289" s="70"/>
      <c r="X289" s="70"/>
      <c r="Y289" s="70"/>
      <c r="Z289" s="70"/>
      <c r="AA289" s="70"/>
      <c r="AB289" s="70"/>
      <c r="AC289" s="70"/>
      <c r="AD289" s="70"/>
    </row>
    <row r="290" spans="1:30" s="151" customFormat="1">
      <c r="A290" s="593">
        <v>77</v>
      </c>
      <c r="B290" s="941" t="s">
        <v>509</v>
      </c>
      <c r="C290" s="942"/>
      <c r="D290" s="942"/>
      <c r="E290" s="943"/>
      <c r="F290" s="678" t="s">
        <v>511</v>
      </c>
      <c r="G290" s="679"/>
      <c r="H290" s="679"/>
      <c r="I290" s="680"/>
      <c r="J290" s="938" t="str">
        <f>IF(Information!$D$8="Deutsch",B290,F290)</f>
        <v>Im Tabellenblatt "Zeitkennzahlen (key figures)" finden Sie den Zusammenzug der Zeitkennzahlen.</v>
      </c>
      <c r="K290" s="939"/>
      <c r="L290" s="939"/>
      <c r="M290" s="940"/>
      <c r="N290" s="389"/>
      <c r="T290" s="70"/>
      <c r="U290" s="70"/>
      <c r="V290" s="70"/>
      <c r="W290" s="70"/>
      <c r="X290" s="70"/>
      <c r="Y290" s="70"/>
      <c r="Z290" s="70"/>
      <c r="AA290" s="70"/>
      <c r="AB290" s="70"/>
      <c r="AC290" s="70"/>
      <c r="AD290" s="70"/>
    </row>
    <row r="291" spans="1:30" s="151" customFormat="1">
      <c r="A291" s="593">
        <v>78</v>
      </c>
      <c r="B291" s="941" t="s">
        <v>91</v>
      </c>
      <c r="C291" s="942"/>
      <c r="D291" s="942"/>
      <c r="E291" s="943"/>
      <c r="F291" s="678" t="s">
        <v>513</v>
      </c>
      <c r="G291" s="679"/>
      <c r="H291" s="679"/>
      <c r="I291" s="680"/>
      <c r="J291" s="947" t="str">
        <f>IF(Information!$D$8="Deutsch",B291,F291)</f>
        <v>An der Universität Bern besteht einmal jährlich die Pflicht zur Meldung der Zeitsaldi und Abwesenheitssaldi für alle Mitarbeiterinnen und Mitarbeiter.</v>
      </c>
      <c r="K291" s="948"/>
      <c r="L291" s="948"/>
      <c r="M291" s="949"/>
      <c r="N291" s="389"/>
      <c r="T291" s="70"/>
      <c r="U291" s="70"/>
      <c r="V291" s="70"/>
      <c r="W291" s="70"/>
      <c r="X291" s="70"/>
      <c r="Y291" s="70"/>
      <c r="Z291" s="70"/>
      <c r="AA291" s="70"/>
      <c r="AB291" s="70"/>
      <c r="AC291" s="70"/>
      <c r="AD291" s="70"/>
    </row>
    <row r="292" spans="1:30" s="151" customFormat="1">
      <c r="A292" s="593">
        <v>79</v>
      </c>
      <c r="B292" s="941" t="s">
        <v>510</v>
      </c>
      <c r="C292" s="942"/>
      <c r="D292" s="942"/>
      <c r="E292" s="943"/>
      <c r="F292" s="678" t="s">
        <v>512</v>
      </c>
      <c r="G292" s="679"/>
      <c r="H292" s="679"/>
      <c r="I292" s="680"/>
      <c r="J292" s="938" t="str">
        <f>IF(Information!$D$8="Deutsch",B292,F292)</f>
        <v>Der Stichtag ist jeweils der 31.12. des Jahres. Die Meldung muss anfangs Januar durch die in Ihrer Organisationseinheit verantwortliche Person erfolgen.</v>
      </c>
      <c r="K292" s="939"/>
      <c r="L292" s="939"/>
      <c r="M292" s="940"/>
      <c r="N292" s="389"/>
      <c r="T292" s="70"/>
      <c r="U292" s="70"/>
      <c r="V292" s="70"/>
      <c r="W292" s="70"/>
      <c r="X292" s="70"/>
      <c r="Y292" s="70"/>
      <c r="Z292" s="70"/>
      <c r="AA292" s="70"/>
      <c r="AB292" s="70"/>
      <c r="AC292" s="70"/>
      <c r="AD292" s="70"/>
    </row>
    <row r="293" spans="1:30" s="151" customFormat="1">
      <c r="A293" s="593">
        <v>80</v>
      </c>
      <c r="B293" s="941"/>
      <c r="C293" s="942"/>
      <c r="D293" s="942"/>
      <c r="E293" s="943"/>
      <c r="F293" s="678" t="s">
        <v>396</v>
      </c>
      <c r="G293" s="679"/>
      <c r="H293" s="679"/>
      <c r="I293" s="680"/>
      <c r="J293" s="938">
        <f>IF(Information!$D$8="Deutsch",B293,F293)</f>
        <v>0</v>
      </c>
      <c r="K293" s="939"/>
      <c r="L293" s="939"/>
      <c r="M293" s="940"/>
      <c r="N293" s="389"/>
      <c r="T293" s="70"/>
      <c r="U293" s="70"/>
      <c r="V293" s="70"/>
      <c r="W293" s="70"/>
      <c r="X293" s="70"/>
      <c r="Y293" s="70"/>
      <c r="Z293" s="70"/>
      <c r="AA293" s="70"/>
      <c r="AB293" s="70"/>
      <c r="AC293" s="70"/>
      <c r="AD293" s="70"/>
    </row>
    <row r="294" spans="1:30" s="151" customFormat="1">
      <c r="A294" s="593">
        <v>80</v>
      </c>
      <c r="B294" s="941" t="s">
        <v>501</v>
      </c>
      <c r="C294" s="942"/>
      <c r="D294" s="942"/>
      <c r="E294" s="943"/>
      <c r="F294" s="678" t="s">
        <v>339</v>
      </c>
      <c r="G294" s="679"/>
      <c r="H294" s="679"/>
      <c r="I294" s="680"/>
      <c r="J294" s="938" t="str">
        <f>IF(Information!$D$8="Deutsch",B294,F294)</f>
        <v>Zeitmanagement Tool</v>
      </c>
      <c r="K294" s="939"/>
      <c r="L294" s="939"/>
      <c r="M294" s="940"/>
      <c r="N294" s="389"/>
      <c r="T294" s="70"/>
      <c r="U294" s="70"/>
      <c r="V294" s="70"/>
      <c r="W294" s="70"/>
      <c r="X294" s="70"/>
      <c r="Y294" s="70"/>
      <c r="Z294" s="70"/>
      <c r="AA294" s="70"/>
      <c r="AB294" s="70"/>
      <c r="AC294" s="70"/>
      <c r="AD294" s="70"/>
    </row>
    <row r="295" spans="1:30" s="151" customFormat="1">
      <c r="A295" s="593">
        <v>82</v>
      </c>
      <c r="B295" s="941" t="s">
        <v>456</v>
      </c>
      <c r="C295" s="942"/>
      <c r="D295" s="942"/>
      <c r="E295" s="943"/>
      <c r="F295" s="938" t="s">
        <v>457</v>
      </c>
      <c r="G295" s="939"/>
      <c r="H295" s="939"/>
      <c r="I295" s="940"/>
      <c r="J295" s="938" t="str">
        <f>IF(Information!$D$8="Deutsch",B295,F295)</f>
        <v>Mindestbezüge Ferien- und freie Tage</v>
      </c>
      <c r="K295" s="939"/>
      <c r="L295" s="939"/>
      <c r="M295" s="940"/>
      <c r="N295" s="389"/>
      <c r="T295" s="70"/>
      <c r="U295" s="70"/>
      <c r="V295" s="70"/>
      <c r="W295" s="70"/>
      <c r="X295" s="70"/>
      <c r="Y295" s="70"/>
      <c r="Z295" s="70"/>
      <c r="AA295" s="70"/>
      <c r="AB295" s="70"/>
      <c r="AC295" s="70"/>
      <c r="AD295" s="70"/>
    </row>
    <row r="296" spans="1:30" s="151" customFormat="1">
      <c r="B296" s="587"/>
      <c r="C296" s="587"/>
      <c r="D296" s="587"/>
      <c r="E296" s="587"/>
      <c r="F296" s="443"/>
      <c r="G296" s="443"/>
      <c r="H296" s="443"/>
      <c r="I296" s="443"/>
      <c r="J296" s="443"/>
      <c r="K296" s="443"/>
      <c r="L296" s="443"/>
      <c r="M296" s="443"/>
      <c r="N296" s="389"/>
      <c r="T296" s="70"/>
      <c r="U296" s="70"/>
      <c r="V296" s="70"/>
      <c r="W296" s="70"/>
      <c r="X296" s="70"/>
      <c r="Y296" s="70"/>
      <c r="Z296" s="70"/>
      <c r="AA296" s="70"/>
      <c r="AB296" s="70"/>
      <c r="AC296" s="70"/>
      <c r="AD296" s="70"/>
    </row>
    <row r="297" spans="1:30">
      <c r="B297" s="399" t="s">
        <v>133</v>
      </c>
      <c r="C297" s="400"/>
      <c r="D297" s="400"/>
      <c r="E297" s="400"/>
      <c r="F297" s="400"/>
      <c r="G297" s="400"/>
      <c r="H297" s="400"/>
      <c r="I297" s="609"/>
      <c r="J297" s="611"/>
      <c r="K297" s="5"/>
      <c r="L297" s="5"/>
      <c r="N297" s="70"/>
      <c r="O297" s="70"/>
      <c r="P297" s="387"/>
      <c r="Q297" s="247"/>
      <c r="R297" s="247"/>
      <c r="S297" s="247"/>
      <c r="T297" s="247"/>
      <c r="U297" s="247"/>
      <c r="V297" s="247"/>
      <c r="W297" s="247"/>
      <c r="X297" s="247"/>
      <c r="Y297" s="247"/>
      <c r="Z297" s="247"/>
      <c r="AA297" s="247"/>
      <c r="AB297" s="247"/>
      <c r="AC297" s="247"/>
      <c r="AD297" s="247"/>
    </row>
    <row r="298" spans="1:30">
      <c r="B298" s="397" t="s">
        <v>132</v>
      </c>
      <c r="C298" s="397" t="s">
        <v>260</v>
      </c>
      <c r="D298" s="959"/>
      <c r="E298" s="959"/>
      <c r="F298" s="398" t="s">
        <v>135</v>
      </c>
      <c r="G298" s="398" t="s">
        <v>134</v>
      </c>
      <c r="H298" s="582" t="s">
        <v>54</v>
      </c>
      <c r="I298" s="610" t="s">
        <v>310</v>
      </c>
      <c r="J298" s="612" t="s">
        <v>351</v>
      </c>
      <c r="N298" s="70"/>
      <c r="O298" s="70"/>
      <c r="P298" s="387"/>
      <c r="Q298" s="247"/>
      <c r="R298" s="247"/>
      <c r="S298" s="247"/>
      <c r="T298" s="247"/>
      <c r="U298" s="247"/>
      <c r="V298" s="247"/>
      <c r="W298" s="247"/>
      <c r="X298" s="247"/>
      <c r="Y298" s="247"/>
      <c r="Z298" s="247"/>
      <c r="AA298" s="247"/>
      <c r="AB298" s="247"/>
      <c r="AC298" s="247"/>
      <c r="AD298" s="247"/>
    </row>
    <row r="299" spans="1:30">
      <c r="B299" s="332" t="s">
        <v>129</v>
      </c>
      <c r="C299" s="332" t="s">
        <v>261</v>
      </c>
      <c r="D299" s="268"/>
      <c r="E299" s="268"/>
      <c r="F299" s="268" t="s">
        <v>12</v>
      </c>
      <c r="G299" s="269" t="s">
        <v>5</v>
      </c>
      <c r="H299" s="583" t="s">
        <v>5</v>
      </c>
      <c r="I299" s="609" t="s">
        <v>311</v>
      </c>
      <c r="J299" s="613" t="str">
        <f>F128</f>
        <v>Ja</v>
      </c>
      <c r="N299" s="387"/>
      <c r="O299" s="70"/>
      <c r="P299" s="387"/>
      <c r="Q299" s="247"/>
      <c r="R299" s="247"/>
      <c r="S299" s="247"/>
      <c r="T299" s="247"/>
      <c r="U299" s="247"/>
      <c r="V299" s="247"/>
      <c r="W299" s="247"/>
      <c r="X299" s="247"/>
      <c r="Y299" s="247"/>
      <c r="Z299" s="247"/>
      <c r="AA299" s="247"/>
      <c r="AB299" s="247"/>
      <c r="AC299" s="247"/>
      <c r="AD299" s="247"/>
    </row>
    <row r="300" spans="1:30">
      <c r="B300" s="332" t="s">
        <v>259</v>
      </c>
      <c r="C300" s="528" t="s">
        <v>262</v>
      </c>
      <c r="D300" s="268"/>
      <c r="E300" s="268"/>
      <c r="F300" s="268" t="s">
        <v>14</v>
      </c>
      <c r="G300" s="269" t="s">
        <v>7</v>
      </c>
      <c r="H300" s="583" t="s">
        <v>7</v>
      </c>
      <c r="I300" s="609" t="s">
        <v>312</v>
      </c>
      <c r="J300" s="613" t="str">
        <f>F161</f>
        <v>Nein</v>
      </c>
      <c r="N300" s="392"/>
      <c r="O300" s="70"/>
      <c r="P300" s="387"/>
      <c r="Q300" s="253" t="str">
        <f>IF(ROW(68:68)&gt;COUNTIF(F67:F72,"03"),"",INDEX(F67:F72,SMALL(F67:F72="03",ROW(F68:N72)),ROW(F67)))</f>
        <v/>
      </c>
      <c r="R300" s="247"/>
      <c r="S300" s="247"/>
      <c r="T300" s="247"/>
      <c r="U300" s="247"/>
      <c r="V300" s="247"/>
      <c r="W300" s="247"/>
      <c r="X300" s="247"/>
      <c r="Y300" s="247"/>
      <c r="Z300" s="247"/>
      <c r="AA300" s="247"/>
      <c r="AB300" s="247"/>
      <c r="AC300" s="247"/>
      <c r="AD300" s="247"/>
    </row>
    <row r="301" spans="1:30">
      <c r="C301" s="529" t="s">
        <v>263</v>
      </c>
      <c r="D301" s="266"/>
      <c r="E301" s="266"/>
      <c r="F301" s="270" t="s">
        <v>16</v>
      </c>
      <c r="G301" s="269" t="s">
        <v>9</v>
      </c>
      <c r="H301" s="269" t="s">
        <v>9</v>
      </c>
      <c r="I301" s="266"/>
      <c r="N301" s="393"/>
      <c r="O301" s="70"/>
      <c r="P301" s="387"/>
    </row>
    <row r="302" spans="1:30">
      <c r="B302" s="266"/>
      <c r="C302" s="266"/>
      <c r="D302" s="266"/>
      <c r="E302" s="266"/>
      <c r="F302" s="270" t="s">
        <v>18</v>
      </c>
      <c r="G302" s="269" t="s">
        <v>11</v>
      </c>
      <c r="H302" s="269" t="s">
        <v>11</v>
      </c>
      <c r="I302" s="266"/>
      <c r="N302" s="70"/>
      <c r="O302" s="70"/>
      <c r="P302" s="387"/>
    </row>
    <row r="303" spans="1:30">
      <c r="B303" s="266"/>
      <c r="C303" s="266"/>
      <c r="D303" s="266"/>
      <c r="E303" s="266"/>
      <c r="F303" s="270" t="s">
        <v>6</v>
      </c>
      <c r="G303" s="269" t="s">
        <v>13</v>
      </c>
      <c r="H303" s="269" t="s">
        <v>13</v>
      </c>
      <c r="I303" s="266"/>
      <c r="N303" s="70"/>
      <c r="O303" s="70"/>
      <c r="P303" s="387"/>
    </row>
    <row r="304" spans="1:30">
      <c r="B304" s="266"/>
      <c r="C304" s="266"/>
      <c r="D304" s="266"/>
      <c r="E304" s="266"/>
      <c r="F304" s="270" t="s">
        <v>8</v>
      </c>
      <c r="G304" s="269" t="s">
        <v>15</v>
      </c>
      <c r="H304" s="269" t="s">
        <v>15</v>
      </c>
      <c r="I304" s="266"/>
      <c r="N304" s="70"/>
      <c r="O304" s="70"/>
      <c r="P304" s="387"/>
    </row>
    <row r="305" spans="2:16">
      <c r="B305" s="266"/>
      <c r="C305" s="266"/>
      <c r="D305" s="266"/>
      <c r="E305" s="266"/>
      <c r="F305" s="270" t="s">
        <v>10</v>
      </c>
      <c r="G305" s="269" t="s">
        <v>17</v>
      </c>
      <c r="H305" s="269" t="s">
        <v>17</v>
      </c>
      <c r="I305" s="266"/>
      <c r="N305" s="70"/>
      <c r="O305" s="70"/>
      <c r="P305" s="387"/>
    </row>
    <row r="306" spans="2:16">
      <c r="B306" s="266"/>
      <c r="C306" s="266"/>
      <c r="D306" s="266"/>
      <c r="E306" s="266"/>
      <c r="F306" s="266"/>
      <c r="G306" s="269" t="s">
        <v>19</v>
      </c>
      <c r="H306" s="269" t="s">
        <v>19</v>
      </c>
      <c r="I306" s="266"/>
      <c r="N306" s="70"/>
      <c r="O306" s="70"/>
      <c r="P306" s="387"/>
    </row>
    <row r="307" spans="2:16">
      <c r="B307" s="266"/>
      <c r="C307" s="266"/>
      <c r="D307" s="266"/>
      <c r="E307" s="266"/>
      <c r="F307" s="266"/>
      <c r="G307" s="269" t="s">
        <v>20</v>
      </c>
      <c r="H307" s="269" t="s">
        <v>20</v>
      </c>
      <c r="I307" s="266"/>
      <c r="N307" s="70"/>
      <c r="O307" s="70"/>
      <c r="P307" s="387"/>
    </row>
    <row r="308" spans="2:16">
      <c r="B308" s="266"/>
      <c r="C308" s="266"/>
      <c r="D308" s="266"/>
      <c r="E308" s="266"/>
      <c r="F308" s="266"/>
      <c r="G308" s="269" t="s">
        <v>21</v>
      </c>
      <c r="H308" s="269" t="s">
        <v>21</v>
      </c>
      <c r="I308" s="266"/>
      <c r="N308" s="70"/>
      <c r="O308" s="70"/>
      <c r="P308" s="70"/>
    </row>
    <row r="309" spans="2:16">
      <c r="B309" s="266"/>
      <c r="C309" s="266"/>
      <c r="D309" s="266"/>
      <c r="E309" s="266"/>
      <c r="F309" s="266"/>
      <c r="G309" s="269" t="s">
        <v>22</v>
      </c>
      <c r="H309" s="269" t="s">
        <v>22</v>
      </c>
      <c r="I309" s="266"/>
      <c r="N309" s="70"/>
      <c r="O309" s="70"/>
      <c r="P309" s="70"/>
    </row>
    <row r="310" spans="2:16">
      <c r="B310" s="266"/>
      <c r="C310" s="266"/>
      <c r="D310" s="266"/>
      <c r="E310" s="266"/>
      <c r="F310" s="266"/>
      <c r="G310" s="269" t="s">
        <v>23</v>
      </c>
      <c r="H310" s="269" t="s">
        <v>23</v>
      </c>
      <c r="I310" s="266"/>
      <c r="N310" s="70"/>
      <c r="O310" s="70"/>
      <c r="P310" s="70"/>
    </row>
    <row r="311" spans="2:16">
      <c r="B311" s="266"/>
      <c r="C311" s="266"/>
      <c r="D311" s="266"/>
      <c r="E311" s="266"/>
      <c r="F311" s="266"/>
      <c r="G311" s="267"/>
      <c r="H311" s="269" t="s">
        <v>24</v>
      </c>
      <c r="I311" s="266"/>
      <c r="N311" s="70"/>
      <c r="O311" s="70"/>
      <c r="P311" s="70"/>
    </row>
    <row r="312" spans="2:16">
      <c r="B312" s="266"/>
      <c r="C312" s="266"/>
      <c r="D312" s="266"/>
      <c r="E312" s="266"/>
      <c r="F312" s="266"/>
      <c r="G312" s="267"/>
      <c r="H312" s="269" t="s">
        <v>25</v>
      </c>
      <c r="I312" s="266"/>
      <c r="N312" s="70"/>
      <c r="O312" s="70"/>
      <c r="P312" s="70"/>
    </row>
    <row r="313" spans="2:16">
      <c r="B313" s="266"/>
      <c r="C313" s="266"/>
      <c r="D313" s="266"/>
      <c r="E313" s="266"/>
      <c r="F313" s="266"/>
      <c r="G313" s="267"/>
      <c r="H313" s="269" t="s">
        <v>26</v>
      </c>
      <c r="I313" s="266"/>
      <c r="N313" s="70"/>
      <c r="O313" s="70"/>
      <c r="P313" s="70"/>
    </row>
    <row r="314" spans="2:16">
      <c r="B314" s="266"/>
      <c r="C314" s="266"/>
      <c r="D314" s="266"/>
      <c r="E314" s="266"/>
      <c r="F314" s="266"/>
      <c r="G314" s="266"/>
      <c r="H314" s="269" t="s">
        <v>27</v>
      </c>
      <c r="I314" s="267"/>
      <c r="N314" s="70"/>
      <c r="O314" s="70"/>
      <c r="P314" s="70"/>
    </row>
    <row r="315" spans="2:16">
      <c r="B315" s="266"/>
      <c r="C315" s="266"/>
      <c r="D315" s="266"/>
      <c r="E315" s="266"/>
      <c r="F315" s="266"/>
      <c r="G315" s="267"/>
      <c r="H315" s="269" t="s">
        <v>28</v>
      </c>
      <c r="I315" s="266"/>
      <c r="N315" s="70"/>
      <c r="O315" s="70"/>
      <c r="P315" s="70"/>
    </row>
    <row r="316" spans="2:16">
      <c r="B316" s="266"/>
      <c r="C316" s="266"/>
      <c r="D316" s="266"/>
      <c r="E316" s="266"/>
      <c r="F316" s="266"/>
      <c r="G316" s="267"/>
      <c r="H316" s="269" t="s">
        <v>29</v>
      </c>
      <c r="I316" s="266"/>
      <c r="N316" s="70"/>
      <c r="O316" s="70"/>
      <c r="P316" s="70"/>
    </row>
    <row r="317" spans="2:16">
      <c r="B317" s="266"/>
      <c r="C317" s="266"/>
      <c r="D317" s="266"/>
      <c r="E317" s="266"/>
      <c r="F317" s="266"/>
      <c r="G317" s="267"/>
      <c r="H317" s="269" t="s">
        <v>30</v>
      </c>
      <c r="I317" s="266"/>
      <c r="N317" s="70"/>
      <c r="O317" s="70"/>
      <c r="P317" s="70"/>
    </row>
    <row r="318" spans="2:16">
      <c r="B318" s="266"/>
      <c r="C318" s="266"/>
      <c r="D318" s="266"/>
      <c r="E318" s="266"/>
      <c r="F318" s="266"/>
      <c r="G318" s="267"/>
      <c r="H318" s="269" t="s">
        <v>31</v>
      </c>
      <c r="I318" s="266"/>
      <c r="N318" s="70"/>
      <c r="O318" s="70"/>
      <c r="P318" s="70"/>
    </row>
    <row r="319" spans="2:16">
      <c r="B319" s="266"/>
      <c r="C319" s="266"/>
      <c r="D319" s="266"/>
      <c r="E319" s="266"/>
      <c r="F319" s="266"/>
      <c r="G319" s="267"/>
      <c r="H319" s="269" t="s">
        <v>32</v>
      </c>
      <c r="I319" s="266"/>
      <c r="M319" s="151"/>
      <c r="N319" s="70"/>
      <c r="O319" s="70"/>
      <c r="P319" s="70"/>
    </row>
    <row r="320" spans="2:16">
      <c r="B320" s="266"/>
      <c r="C320" s="266"/>
      <c r="D320" s="266"/>
      <c r="E320" s="266"/>
      <c r="F320" s="266"/>
      <c r="G320" s="267"/>
      <c r="H320" s="269" t="s">
        <v>33</v>
      </c>
      <c r="I320" s="266"/>
      <c r="M320" s="151"/>
      <c r="N320" s="70"/>
      <c r="O320" s="70"/>
      <c r="P320" s="70"/>
    </row>
    <row r="321" spans="2:16">
      <c r="B321" s="266"/>
      <c r="C321" s="266"/>
      <c r="D321" s="266"/>
      <c r="E321" s="266"/>
      <c r="F321" s="266"/>
      <c r="G321" s="267"/>
      <c r="H321" s="269" t="s">
        <v>34</v>
      </c>
      <c r="I321" s="266"/>
      <c r="M321" s="151"/>
      <c r="N321" s="70"/>
      <c r="O321" s="70"/>
      <c r="P321" s="70"/>
    </row>
    <row r="322" spans="2:16">
      <c r="B322" s="266"/>
      <c r="C322" s="266"/>
      <c r="D322" s="266"/>
      <c r="E322" s="266"/>
      <c r="F322" s="266"/>
      <c r="G322" s="266"/>
      <c r="H322" s="269" t="s">
        <v>35</v>
      </c>
      <c r="I322" s="266"/>
      <c r="M322" s="151"/>
      <c r="N322" s="70"/>
      <c r="O322" s="70"/>
      <c r="P322" s="70"/>
    </row>
    <row r="323" spans="2:16">
      <c r="B323" s="266"/>
      <c r="C323" s="266"/>
      <c r="D323" s="266"/>
      <c r="E323" s="266"/>
      <c r="F323" s="266"/>
      <c r="G323" s="266"/>
      <c r="H323" s="269" t="s">
        <v>36</v>
      </c>
      <c r="I323" s="266"/>
      <c r="M323" s="151"/>
      <c r="N323" s="70"/>
      <c r="O323" s="70"/>
      <c r="P323" s="70"/>
    </row>
    <row r="324" spans="2:16">
      <c r="B324" s="266"/>
      <c r="C324" s="266"/>
      <c r="D324" s="266"/>
      <c r="E324" s="266"/>
      <c r="F324" s="266"/>
      <c r="G324" s="266"/>
      <c r="H324" s="269" t="s">
        <v>37</v>
      </c>
      <c r="I324" s="266"/>
      <c r="M324" s="151"/>
      <c r="N324" s="70"/>
      <c r="O324" s="70"/>
      <c r="P324" s="70"/>
    </row>
    <row r="325" spans="2:16">
      <c r="B325" s="266"/>
      <c r="C325" s="266"/>
      <c r="D325" s="266"/>
      <c r="E325" s="266"/>
      <c r="F325" s="266"/>
      <c r="G325" s="266"/>
      <c r="H325" s="269" t="s">
        <v>38</v>
      </c>
      <c r="I325" s="266"/>
      <c r="M325" s="151"/>
      <c r="N325" s="151"/>
      <c r="O325" s="151"/>
    </row>
    <row r="326" spans="2:16">
      <c r="B326" s="266"/>
      <c r="C326" s="266"/>
      <c r="D326" s="266"/>
      <c r="E326" s="266"/>
      <c r="F326" s="266"/>
      <c r="G326" s="266"/>
      <c r="H326" s="269" t="s">
        <v>39</v>
      </c>
      <c r="I326" s="266"/>
      <c r="M326" s="151"/>
      <c r="N326" s="151"/>
      <c r="O326" s="151"/>
    </row>
    <row r="327" spans="2:16">
      <c r="B327" s="266"/>
      <c r="C327" s="266"/>
      <c r="D327" s="266"/>
      <c r="E327" s="266"/>
      <c r="F327" s="266"/>
      <c r="G327" s="266"/>
      <c r="H327" s="269" t="s">
        <v>40</v>
      </c>
      <c r="I327" s="266"/>
      <c r="M327" s="151"/>
      <c r="N327" s="151"/>
      <c r="O327" s="151"/>
    </row>
    <row r="328" spans="2:16">
      <c r="B328" s="266"/>
      <c r="C328" s="266"/>
      <c r="D328" s="266"/>
      <c r="E328" s="266"/>
      <c r="F328" s="266"/>
      <c r="G328" s="266"/>
      <c r="H328" s="269" t="s">
        <v>41</v>
      </c>
      <c r="I328" s="266"/>
      <c r="M328" s="151"/>
      <c r="N328" s="151"/>
      <c r="O328" s="151"/>
    </row>
    <row r="329" spans="2:16">
      <c r="B329" s="266"/>
      <c r="C329" s="266"/>
      <c r="D329" s="266"/>
      <c r="E329" s="266"/>
      <c r="F329" s="266"/>
      <c r="G329" s="266"/>
      <c r="H329" s="272" t="s">
        <v>47</v>
      </c>
      <c r="I329" s="266"/>
      <c r="M329" s="151"/>
      <c r="N329" s="151"/>
      <c r="O329" s="151"/>
    </row>
    <row r="330" spans="2:16">
      <c r="B330" s="266"/>
      <c r="C330" s="65"/>
      <c r="D330" s="65"/>
      <c r="E330" s="65"/>
      <c r="F330" s="65"/>
      <c r="G330" s="65"/>
      <c r="H330" s="65"/>
      <c r="I330" s="65"/>
      <c r="J330" s="65"/>
      <c r="K330" s="65"/>
      <c r="L330" s="65"/>
      <c r="M330" s="151"/>
      <c r="N330" s="151"/>
      <c r="O330" s="151"/>
    </row>
    <row r="331" spans="2:16">
      <c r="B331" s="271"/>
      <c r="M331" s="151"/>
      <c r="N331" s="151"/>
      <c r="O331" s="151"/>
    </row>
  </sheetData>
  <sheetProtection password="CC4A" sheet="1" objects="1" scenarios="1"/>
  <mergeCells count="190">
    <mergeCell ref="J241:M241"/>
    <mergeCell ref="J242:M242"/>
    <mergeCell ref="J295:M295"/>
    <mergeCell ref="F295:I295"/>
    <mergeCell ref="B295:E295"/>
    <mergeCell ref="J225:M225"/>
    <mergeCell ref="F225:I225"/>
    <mergeCell ref="B225:E225"/>
    <mergeCell ref="J294:M294"/>
    <mergeCell ref="J266:M266"/>
    <mergeCell ref="J267:M267"/>
    <mergeCell ref="B267:E267"/>
    <mergeCell ref="B266:E266"/>
    <mergeCell ref="B260:E260"/>
    <mergeCell ref="F261:I261"/>
    <mergeCell ref="B261:E261"/>
    <mergeCell ref="B293:E293"/>
    <mergeCell ref="B294:E294"/>
    <mergeCell ref="B264:E264"/>
    <mergeCell ref="B265:E265"/>
    <mergeCell ref="B263:E263"/>
    <mergeCell ref="F264:I264"/>
    <mergeCell ref="B277:E277"/>
    <mergeCell ref="J278:M278"/>
    <mergeCell ref="J238:M238"/>
    <mergeCell ref="J239:M239"/>
    <mergeCell ref="O61:P61"/>
    <mergeCell ref="O2:P2"/>
    <mergeCell ref="J223:M223"/>
    <mergeCell ref="J224:M224"/>
    <mergeCell ref="B220:E220"/>
    <mergeCell ref="B219:E219"/>
    <mergeCell ref="F219:I219"/>
    <mergeCell ref="F220:I220"/>
    <mergeCell ref="J219:M219"/>
    <mergeCell ref="J220:M220"/>
    <mergeCell ref="J218:M218"/>
    <mergeCell ref="J221:M221"/>
    <mergeCell ref="B214:E214"/>
    <mergeCell ref="B216:E216"/>
    <mergeCell ref="B222:E222"/>
    <mergeCell ref="F214:I214"/>
    <mergeCell ref="W68:X68"/>
    <mergeCell ref="W69:X69"/>
    <mergeCell ref="W70:X70"/>
    <mergeCell ref="D73:E73"/>
    <mergeCell ref="D74:E74"/>
    <mergeCell ref="O79:P79"/>
    <mergeCell ref="F216:I216"/>
    <mergeCell ref="F222:I222"/>
    <mergeCell ref="J216:M216"/>
    <mergeCell ref="J222:M222"/>
    <mergeCell ref="J214:M214"/>
    <mergeCell ref="J217:M217"/>
    <mergeCell ref="B215:E215"/>
    <mergeCell ref="F215:I215"/>
    <mergeCell ref="J215:M215"/>
    <mergeCell ref="I69:M69"/>
    <mergeCell ref="J240:M240"/>
    <mergeCell ref="J226:M226"/>
    <mergeCell ref="J227:M227"/>
    <mergeCell ref="J228:M228"/>
    <mergeCell ref="F249:I249"/>
    <mergeCell ref="F248:I248"/>
    <mergeCell ref="B249:E249"/>
    <mergeCell ref="B248:E248"/>
    <mergeCell ref="J249:M249"/>
    <mergeCell ref="J229:M229"/>
    <mergeCell ref="J230:M230"/>
    <mergeCell ref="J231:M231"/>
    <mergeCell ref="J232:M232"/>
    <mergeCell ref="J233:M233"/>
    <mergeCell ref="J235:M235"/>
    <mergeCell ref="J234:M234"/>
    <mergeCell ref="J236:M236"/>
    <mergeCell ref="F247:I247"/>
    <mergeCell ref="B247:E247"/>
    <mergeCell ref="J237:M237"/>
    <mergeCell ref="F243:I243"/>
    <mergeCell ref="B243:E243"/>
    <mergeCell ref="J248:M248"/>
    <mergeCell ref="J244:M244"/>
    <mergeCell ref="F250:I250"/>
    <mergeCell ref="B250:E250"/>
    <mergeCell ref="F254:I254"/>
    <mergeCell ref="J251:M251"/>
    <mergeCell ref="F251:I251"/>
    <mergeCell ref="B252:E252"/>
    <mergeCell ref="J252:M252"/>
    <mergeCell ref="B254:E254"/>
    <mergeCell ref="J254:M254"/>
    <mergeCell ref="F252:I252"/>
    <mergeCell ref="B251:E251"/>
    <mergeCell ref="J250:M250"/>
    <mergeCell ref="B253:E253"/>
    <mergeCell ref="J253:M253"/>
    <mergeCell ref="F253:I253"/>
    <mergeCell ref="D298:E298"/>
    <mergeCell ref="E2:F2"/>
    <mergeCell ref="G2:H2"/>
    <mergeCell ref="I4:K4"/>
    <mergeCell ref="F4:H4"/>
    <mergeCell ref="C4:E4"/>
    <mergeCell ref="B63:D63"/>
    <mergeCell ref="H73:M73"/>
    <mergeCell ref="B65:M65"/>
    <mergeCell ref="H66:M66"/>
    <mergeCell ref="D67:E67"/>
    <mergeCell ref="D75:E75"/>
    <mergeCell ref="D77:E77"/>
    <mergeCell ref="D78:E78"/>
    <mergeCell ref="D79:E79"/>
    <mergeCell ref="D76:E76"/>
    <mergeCell ref="B213:M213"/>
    <mergeCell ref="J247:M247"/>
    <mergeCell ref="B262:E262"/>
    <mergeCell ref="F262:I262"/>
    <mergeCell ref="J283:M283"/>
    <mergeCell ref="J261:M261"/>
    <mergeCell ref="J268:M268"/>
    <mergeCell ref="J256:M256"/>
    <mergeCell ref="B284:E284"/>
    <mergeCell ref="B282:E282"/>
    <mergeCell ref="B281:E281"/>
    <mergeCell ref="B280:E280"/>
    <mergeCell ref="B269:E269"/>
    <mergeCell ref="F269:I269"/>
    <mergeCell ref="B275:E275"/>
    <mergeCell ref="B274:E274"/>
    <mergeCell ref="B273:E273"/>
    <mergeCell ref="B272:E272"/>
    <mergeCell ref="B268:E268"/>
    <mergeCell ref="B271:E271"/>
    <mergeCell ref="B270:E270"/>
    <mergeCell ref="J269:M269"/>
    <mergeCell ref="J270:M270"/>
    <mergeCell ref="J271:M271"/>
    <mergeCell ref="J255:M255"/>
    <mergeCell ref="J272:M272"/>
    <mergeCell ref="B279:E279"/>
    <mergeCell ref="B278:E278"/>
    <mergeCell ref="J263:M263"/>
    <mergeCell ref="J264:M264"/>
    <mergeCell ref="B256:E256"/>
    <mergeCell ref="B258:E258"/>
    <mergeCell ref="B257:E257"/>
    <mergeCell ref="F256:I256"/>
    <mergeCell ref="F257:I257"/>
    <mergeCell ref="F258:I258"/>
    <mergeCell ref="F259:I259"/>
    <mergeCell ref="F265:I265"/>
    <mergeCell ref="B255:E255"/>
    <mergeCell ref="B259:E259"/>
    <mergeCell ref="F255:I255"/>
    <mergeCell ref="J293:M293"/>
    <mergeCell ref="J276:M276"/>
    <mergeCell ref="B276:E276"/>
    <mergeCell ref="B292:E292"/>
    <mergeCell ref="B291:E291"/>
    <mergeCell ref="B290:E290"/>
    <mergeCell ref="B289:E289"/>
    <mergeCell ref="B288:E288"/>
    <mergeCell ref="B287:E287"/>
    <mergeCell ref="B286:E286"/>
    <mergeCell ref="B285:E285"/>
    <mergeCell ref="J292:M292"/>
    <mergeCell ref="J287:M287"/>
    <mergeCell ref="J288:M288"/>
    <mergeCell ref="J289:M289"/>
    <mergeCell ref="J290:M290"/>
    <mergeCell ref="J291:M291"/>
    <mergeCell ref="J282:M282"/>
    <mergeCell ref="J284:M284"/>
    <mergeCell ref="J285:M285"/>
    <mergeCell ref="J286:M286"/>
    <mergeCell ref="J279:M279"/>
    <mergeCell ref="J280:M280"/>
    <mergeCell ref="B283:E283"/>
    <mergeCell ref="J243:M243"/>
    <mergeCell ref="J281:M281"/>
    <mergeCell ref="J273:M273"/>
    <mergeCell ref="J274:M274"/>
    <mergeCell ref="J275:M275"/>
    <mergeCell ref="J277:M277"/>
    <mergeCell ref="J257:M257"/>
    <mergeCell ref="J258:M258"/>
    <mergeCell ref="J259:M259"/>
    <mergeCell ref="J260:M260"/>
    <mergeCell ref="J262:M262"/>
    <mergeCell ref="J265:M265"/>
  </mergeCells>
  <phoneticPr fontId="0" type="noConversion"/>
  <conditionalFormatting sqref="A81:N240 A243:B244 F243:F244 A245:N294 A296:N329 A295:B295 J295:N295 F295 J243:N244">
    <cfRule type="expression" dxfId="1" priority="24">
      <formula>$Q$79="Aus"</formula>
    </cfRule>
  </conditionalFormatting>
  <conditionalFormatting sqref="A241:N242">
    <cfRule type="expression" dxfId="0" priority="1">
      <formula>$Q$79="Aus"</formula>
    </cfRule>
  </conditionalFormatting>
  <dataValidations count="4">
    <dataValidation type="list" allowBlank="1" showInputMessage="1" showErrorMessage="1" sqref="E63" xr:uid="{00000000-0002-0000-1100-000000000000}">
      <formula1>$F$299:$F$305</formula1>
    </dataValidation>
    <dataValidation type="list" allowBlank="1" showInputMessage="1" showErrorMessage="1" sqref="B67:B72" xr:uid="{00000000-0002-0000-1100-000001000000}">
      <formula1>$H$299:$H$329</formula1>
    </dataValidation>
    <dataValidation type="list" allowBlank="1" showInputMessage="1" showErrorMessage="1" sqref="C67:C72" xr:uid="{00000000-0002-0000-1100-000002000000}">
      <formula1>$G$299:$G$310</formula1>
    </dataValidation>
    <dataValidation type="list" allowBlank="1" showInputMessage="1" showErrorMessage="1" sqref="Q79" xr:uid="{00000000-0002-0000-1100-000003000000}">
      <formula1>$I$299:$I$300</formula1>
    </dataValidation>
  </dataValidations>
  <printOptions headings="1"/>
  <pageMargins left="0.78740157480314965" right="0.78740157480314965" top="0.98425196850393704" bottom="0.98425196850393704" header="0.51181102362204722" footer="0.51181102362204722"/>
  <pageSetup paperSize="9" scale="25" fitToHeight="0" orientation="portrait" r:id="rId1"/>
  <headerFooter alignWithMargins="0"/>
  <rowBreaks count="1" manualBreakCount="1">
    <brk id="71"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42"/>
  <sheetViews>
    <sheetView showGridLines="0" zoomScale="75" zoomScaleNormal="75" zoomScalePageLayoutView="70" workbookViewId="0">
      <selection activeCell="C2" sqref="C2:D2"/>
    </sheetView>
  </sheetViews>
  <sheetFormatPr baseColWidth="10" defaultColWidth="11.5" defaultRowHeight="13"/>
  <cols>
    <col min="1" max="1" width="13.6640625" style="72" customWidth="1"/>
    <col min="2" max="2" width="25.5" style="72" customWidth="1"/>
    <col min="3" max="15" width="13.6640625" style="72" customWidth="1"/>
    <col min="16" max="17" width="11.5" style="72" customWidth="1"/>
    <col min="18" max="18" width="11.5" style="72"/>
    <col min="19" max="19" width="11.5" style="72" customWidth="1"/>
    <col min="20" max="16384" width="11.5" style="72"/>
  </cols>
  <sheetData>
    <row r="1" spans="1:18" ht="17" thickTop="1">
      <c r="A1" s="813" t="str">
        <f>Para1!F169</f>
        <v>Persönliche Daten</v>
      </c>
      <c r="B1" s="814"/>
      <c r="C1" s="468"/>
      <c r="D1" s="468"/>
      <c r="E1" s="468"/>
      <c r="F1" s="468"/>
      <c r="G1" s="468"/>
      <c r="H1" s="468"/>
      <c r="I1" s="468"/>
      <c r="J1" s="468"/>
      <c r="K1" s="468"/>
      <c r="L1" s="468"/>
      <c r="M1" s="468"/>
      <c r="N1" s="468"/>
      <c r="O1" s="469"/>
    </row>
    <row r="2" spans="1:18" ht="16">
      <c r="A2" s="815" t="str">
        <f>Para1!F204</f>
        <v xml:space="preserve">Vorname: </v>
      </c>
      <c r="B2" s="808"/>
      <c r="C2" s="816"/>
      <c r="D2" s="816"/>
      <c r="E2" s="278"/>
      <c r="F2" s="279" t="str">
        <f>Para1!F160</f>
        <v xml:space="preserve">Name: </v>
      </c>
      <c r="G2" s="816"/>
      <c r="H2" s="816"/>
      <c r="I2" s="278"/>
      <c r="J2" s="279" t="str">
        <f>Para1!F131</f>
        <v xml:space="preserve">Jahrgang (4-stellig): </v>
      </c>
      <c r="K2" s="298"/>
      <c r="L2" s="280" t="str">
        <f>Para1!F193</f>
        <v>unbedingt ausfüllen!</v>
      </c>
      <c r="M2" s="281"/>
      <c r="N2" s="282" t="str">
        <f>Para1!F129</f>
        <v xml:space="preserve">Jahr: </v>
      </c>
      <c r="O2" s="289">
        <f>Para1!C2</f>
        <v>2021</v>
      </c>
    </row>
    <row r="3" spans="1:18" ht="17" thickBot="1">
      <c r="A3" s="283"/>
      <c r="B3" s="284"/>
      <c r="C3" s="278"/>
      <c r="D3" s="278"/>
      <c r="E3" s="278"/>
      <c r="F3" s="278"/>
      <c r="G3" s="278"/>
      <c r="H3" s="278"/>
      <c r="I3" s="278"/>
      <c r="J3" s="278"/>
      <c r="K3" s="278"/>
      <c r="L3" s="281"/>
      <c r="M3" s="281"/>
      <c r="N3" s="285"/>
      <c r="O3" s="290"/>
    </row>
    <row r="4" spans="1:18" ht="17" thickTop="1">
      <c r="A4" s="698" t="str">
        <f>Para1!J217</f>
        <v>Angaben zur Anstellung</v>
      </c>
      <c r="B4" s="292"/>
      <c r="C4" s="474"/>
      <c r="D4" s="293"/>
      <c r="E4" s="292"/>
      <c r="F4" s="292"/>
      <c r="G4" s="475"/>
      <c r="H4" s="475"/>
      <c r="I4" s="32"/>
      <c r="J4" s="294"/>
      <c r="K4" s="476"/>
      <c r="L4" s="477"/>
      <c r="M4" s="477"/>
      <c r="N4" s="295"/>
      <c r="O4" s="296"/>
      <c r="P4" s="649"/>
      <c r="Q4" s="663"/>
      <c r="R4" s="649"/>
    </row>
    <row r="5" spans="1:18" ht="16">
      <c r="A5" s="622"/>
      <c r="B5" s="603" t="str">
        <f>Para1!F168</f>
        <v xml:space="preserve">Pers-Nr.: </v>
      </c>
      <c r="C5" s="288"/>
      <c r="E5" s="808" t="str">
        <f>Para1!F111</f>
        <v xml:space="preserve">Eintrittsdatum: </v>
      </c>
      <c r="F5" s="808"/>
      <c r="G5" s="809"/>
      <c r="H5" s="809"/>
      <c r="I5" s="810" t="str">
        <f>Para1!F143&amp;": "</f>
        <v xml:space="preserve">Langzeitkonto: </v>
      </c>
      <c r="J5" s="810"/>
      <c r="K5" s="135" t="str">
        <f>Para1!J300</f>
        <v>Nein</v>
      </c>
      <c r="L5" s="736" t="s">
        <v>354</v>
      </c>
      <c r="M5" s="736"/>
      <c r="N5" s="737"/>
      <c r="O5" s="621"/>
      <c r="P5" s="649"/>
      <c r="Q5" s="735" t="str">
        <f>Para1!J299</f>
        <v>Ja</v>
      </c>
      <c r="R5" s="649"/>
    </row>
    <row r="6" spans="1:18" ht="16">
      <c r="A6" s="286"/>
      <c r="B6" s="287"/>
      <c r="C6" s="472"/>
      <c r="D6" s="278"/>
      <c r="E6" s="287"/>
      <c r="F6" s="287"/>
      <c r="G6" s="473"/>
      <c r="H6" s="473"/>
      <c r="I6" s="33"/>
      <c r="J6" s="77"/>
      <c r="K6" s="619"/>
      <c r="L6" s="620"/>
      <c r="M6" s="620"/>
      <c r="N6" s="285"/>
      <c r="O6" s="621"/>
      <c r="P6" s="649"/>
      <c r="Q6" s="735" t="str">
        <f>Para1!J300</f>
        <v>Nein</v>
      </c>
      <c r="R6" s="649"/>
    </row>
    <row r="7" spans="1:18" ht="16">
      <c r="A7" s="470" t="str">
        <f>Para1!F154</f>
        <v>Monat</v>
      </c>
      <c r="B7" s="478"/>
      <c r="C7" s="479" t="str">
        <f>Para1!F132</f>
        <v>Januar</v>
      </c>
      <c r="D7" s="479" t="str">
        <f>Para1!F114</f>
        <v>Februar</v>
      </c>
      <c r="E7" s="479" t="str">
        <f>Para1!F147</f>
        <v>März</v>
      </c>
      <c r="F7" s="479" t="str">
        <f>Para1!F85</f>
        <v>April</v>
      </c>
      <c r="G7" s="480" t="str">
        <f>Para1!F146</f>
        <v>Mai</v>
      </c>
      <c r="H7" s="479" t="str">
        <f>Para1!F135</f>
        <v>Juni</v>
      </c>
      <c r="I7" s="479" t="str">
        <f>Para1!F134</f>
        <v>Juli</v>
      </c>
      <c r="J7" s="479" t="str">
        <f>Para1!F94</f>
        <v>August</v>
      </c>
      <c r="K7" s="479" t="str">
        <f>Para1!F172</f>
        <v>September</v>
      </c>
      <c r="L7" s="479" t="str">
        <f>Para1!F167</f>
        <v>Oktober</v>
      </c>
      <c r="M7" s="479" t="str">
        <f>Para1!F164</f>
        <v>November</v>
      </c>
      <c r="N7" s="479" t="str">
        <f>Para1!F105</f>
        <v>Dezember</v>
      </c>
      <c r="O7" s="481" t="str">
        <f>Para1!F184&amp;" Ø"</f>
        <v>Total Ø</v>
      </c>
      <c r="P7" s="649"/>
      <c r="Q7" s="649"/>
      <c r="R7" s="649"/>
    </row>
    <row r="8" spans="1:18" ht="16">
      <c r="A8" s="821" t="str">
        <f>Para1!F96&amp;" in %"</f>
        <v>Beschäftigungsgrad in %</v>
      </c>
      <c r="B8" s="822"/>
      <c r="C8" s="347">
        <v>100</v>
      </c>
      <c r="D8" s="347">
        <f>C8</f>
        <v>100</v>
      </c>
      <c r="E8" s="347">
        <f t="shared" ref="E8:N9" si="0">D8</f>
        <v>100</v>
      </c>
      <c r="F8" s="347">
        <f t="shared" si="0"/>
        <v>100</v>
      </c>
      <c r="G8" s="347">
        <f t="shared" si="0"/>
        <v>100</v>
      </c>
      <c r="H8" s="347">
        <f t="shared" si="0"/>
        <v>100</v>
      </c>
      <c r="I8" s="347">
        <f t="shared" si="0"/>
        <v>100</v>
      </c>
      <c r="J8" s="347">
        <f t="shared" si="0"/>
        <v>100</v>
      </c>
      <c r="K8" s="347">
        <f t="shared" si="0"/>
        <v>100</v>
      </c>
      <c r="L8" s="347">
        <f t="shared" si="0"/>
        <v>100</v>
      </c>
      <c r="M8" s="347">
        <f t="shared" si="0"/>
        <v>100</v>
      </c>
      <c r="N8" s="347">
        <f t="shared" si="0"/>
        <v>100</v>
      </c>
      <c r="O8" s="460">
        <f>IF(SUM(C8:N8)=0,0,ROUND(AVERAGE($C$8:$N$8)/(12-FREQUENCY($C$8:$N$8,0))*12,0))</f>
        <v>100</v>
      </c>
      <c r="P8" s="649"/>
      <c r="Q8" s="765" t="str">
        <f>Para1!C299</f>
        <v>1-18</v>
      </c>
      <c r="R8" s="649"/>
    </row>
    <row r="9" spans="1:18" ht="17" thickBot="1">
      <c r="A9" s="823" t="str">
        <f>Para1!F121</f>
        <v>Gehaltsklasse</v>
      </c>
      <c r="B9" s="824"/>
      <c r="C9" s="466" t="s">
        <v>261</v>
      </c>
      <c r="D9" s="467" t="str">
        <f>C9</f>
        <v>1-18</v>
      </c>
      <c r="E9" s="467" t="str">
        <f t="shared" si="0"/>
        <v>1-18</v>
      </c>
      <c r="F9" s="467" t="str">
        <f t="shared" si="0"/>
        <v>1-18</v>
      </c>
      <c r="G9" s="467" t="str">
        <f t="shared" si="0"/>
        <v>1-18</v>
      </c>
      <c r="H9" s="467" t="str">
        <f t="shared" si="0"/>
        <v>1-18</v>
      </c>
      <c r="I9" s="467" t="str">
        <f t="shared" si="0"/>
        <v>1-18</v>
      </c>
      <c r="J9" s="467" t="str">
        <f t="shared" si="0"/>
        <v>1-18</v>
      </c>
      <c r="K9" s="467" t="str">
        <f t="shared" si="0"/>
        <v>1-18</v>
      </c>
      <c r="L9" s="467" t="str">
        <f t="shared" si="0"/>
        <v>1-18</v>
      </c>
      <c r="M9" s="467" t="str">
        <f t="shared" si="0"/>
        <v>1-18</v>
      </c>
      <c r="N9" s="467" t="str">
        <f t="shared" si="0"/>
        <v>1-18</v>
      </c>
      <c r="O9" s="297"/>
      <c r="P9" s="649"/>
      <c r="Q9" s="765" t="str">
        <f>Para1!C300</f>
        <v>19-30</v>
      </c>
      <c r="R9" s="649"/>
    </row>
    <row r="10" spans="1:18" ht="5" customHeight="1" thickTop="1" thickBot="1">
      <c r="P10" s="649"/>
      <c r="Q10" s="765" t="str">
        <f>Para1!C301</f>
        <v>LE</v>
      </c>
      <c r="R10" s="649"/>
    </row>
    <row r="11" spans="1:18" ht="16.5" customHeight="1" thickTop="1">
      <c r="A11" s="817" t="str">
        <f>Para1!F95</f>
        <v xml:space="preserve">Bemerkungen: </v>
      </c>
      <c r="B11" s="818"/>
      <c r="C11" s="819"/>
      <c r="D11" s="819"/>
      <c r="E11" s="819"/>
      <c r="F11" s="819"/>
      <c r="G11" s="819"/>
      <c r="H11" s="93"/>
      <c r="I11" s="93"/>
      <c r="J11" s="93"/>
      <c r="K11" s="93"/>
      <c r="L11" s="93"/>
      <c r="M11" s="93"/>
      <c r="N11" s="93"/>
      <c r="O11" s="627"/>
      <c r="P11" s="663"/>
      <c r="Q11" s="663"/>
      <c r="R11" s="663"/>
    </row>
    <row r="12" spans="1:18" ht="16.5" customHeight="1">
      <c r="A12" s="628"/>
      <c r="B12" s="64"/>
      <c r="C12" s="820"/>
      <c r="D12" s="820"/>
      <c r="E12" s="820"/>
      <c r="F12" s="820"/>
      <c r="G12" s="820"/>
      <c r="H12" s="64"/>
      <c r="I12" s="64"/>
      <c r="J12" s="64"/>
      <c r="K12" s="64"/>
      <c r="L12" s="64"/>
      <c r="M12" s="64"/>
      <c r="N12" s="64"/>
      <c r="O12" s="629"/>
      <c r="P12" s="663"/>
      <c r="Q12" s="663"/>
      <c r="R12" s="663"/>
    </row>
    <row r="13" spans="1:18" ht="16.5" customHeight="1" thickBot="1">
      <c r="A13" s="630"/>
      <c r="B13" s="631"/>
      <c r="C13" s="631"/>
      <c r="D13" s="631"/>
      <c r="E13" s="631"/>
      <c r="F13" s="631"/>
      <c r="G13" s="631"/>
      <c r="H13" s="631"/>
      <c r="I13" s="631"/>
      <c r="J13" s="631"/>
      <c r="K13" s="631"/>
      <c r="L13" s="631"/>
      <c r="M13" s="631"/>
      <c r="N13" s="631"/>
      <c r="O13" s="632"/>
      <c r="P13" s="663"/>
      <c r="Q13" s="663"/>
      <c r="R13" s="663"/>
    </row>
    <row r="14" spans="1:18" ht="5" customHeight="1" thickTop="1" thickBot="1">
      <c r="P14" s="663"/>
      <c r="Q14" s="663"/>
      <c r="R14" s="663"/>
    </row>
    <row r="15" spans="1:18" ht="16.5" customHeight="1" thickTop="1">
      <c r="A15" s="811" t="str">
        <f>Para1!F188&amp;": "&amp;Para1!C2-1&amp;" =&gt; "&amp;Para1!C2</f>
        <v>Übertrag Vorjahr: 2020 =&gt; 2021</v>
      </c>
      <c r="B15" s="812"/>
      <c r="C15" s="812"/>
      <c r="D15" s="633" t="str">
        <f>Para1!J222</f>
        <v>(Bitte das Guthaben in Stunden und Minuten eingeben.)</v>
      </c>
      <c r="E15" s="93"/>
      <c r="F15" s="93"/>
      <c r="G15" s="93"/>
      <c r="H15" s="811" t="str">
        <f>Para1!F187&amp;": "&amp;Para1!C2&amp;" =&gt; "&amp;Para1!C2+1</f>
        <v>Übertrag in das nächste Jahr: 2021 =&gt; 2022</v>
      </c>
      <c r="I15" s="812"/>
      <c r="J15" s="812"/>
      <c r="K15" s="812"/>
      <c r="L15" s="93"/>
      <c r="M15" s="93"/>
      <c r="N15" s="93"/>
      <c r="O15" s="627"/>
      <c r="P15" s="663"/>
      <c r="Q15" s="663"/>
      <c r="R15" s="663"/>
    </row>
    <row r="16" spans="1:18" ht="16.5" customHeight="1">
      <c r="A16" s="634"/>
      <c r="B16" s="33"/>
      <c r="C16" s="33"/>
      <c r="D16" s="840" t="str">
        <f>IF(AND(C17&gt;=60/24,C17&lt;=100/24),Para1!J226,IF(C17&gt;100/24,Para1!J227,IF(AND(C17&lt;=-"60"/24,C17&gt;=-"100"/24),Para1!J228,IF(C17&lt;-"100"/24,Para1!J229,""))))</f>
        <v/>
      </c>
      <c r="E16" s="840"/>
      <c r="F16" s="840"/>
      <c r="G16" s="839"/>
      <c r="H16" s="634"/>
      <c r="I16" s="33"/>
      <c r="J16" s="33"/>
      <c r="K16" s="33"/>
      <c r="L16" s="838" t="str">
        <f>IF('Jahresübersicht (Overview)'!O15=0,"",IF(AND(K17&gt;=60/24,K17&lt;=100/24),Para1!J226,IF(K17&gt;100/24,Para1!J227,IF(AND(K17&lt;=-"60"/24,K17&gt;=-"100"/24),Para1!J228,IF(K17&lt;-"100"/24,Para1!J229,"")))))</f>
        <v/>
      </c>
      <c r="M16" s="838"/>
      <c r="N16" s="838"/>
      <c r="O16" s="839"/>
      <c r="P16" s="663"/>
      <c r="Q16" s="663"/>
      <c r="R16" s="663"/>
    </row>
    <row r="17" spans="1:18" ht="16.5" customHeight="1">
      <c r="A17" s="646" t="str">
        <f>Para1!F93&amp;"-"&amp;Para1!F174</f>
        <v>Arbeitszeit-Saldo</v>
      </c>
      <c r="B17" s="33"/>
      <c r="C17" s="624">
        <v>0</v>
      </c>
      <c r="D17" s="840"/>
      <c r="E17" s="840"/>
      <c r="F17" s="840"/>
      <c r="G17" s="839"/>
      <c r="H17" s="646" t="str">
        <f>Para1!F93&amp;"-"&amp;Para1!F174</f>
        <v>Arbeitszeit-Saldo</v>
      </c>
      <c r="I17" s="33"/>
      <c r="J17" s="33"/>
      <c r="K17" s="636">
        <f>'Jahresübersicht (Overview)'!O20</f>
        <v>-89.166666666666671</v>
      </c>
      <c r="L17" s="838"/>
      <c r="M17" s="838"/>
      <c r="N17" s="838"/>
      <c r="O17" s="839"/>
      <c r="P17" s="664"/>
      <c r="Q17" s="663"/>
      <c r="R17" s="663"/>
    </row>
    <row r="18" spans="1:18" ht="16.5" customHeight="1">
      <c r="A18" s="634"/>
      <c r="B18" s="33"/>
      <c r="C18" s="637"/>
      <c r="D18" s="840"/>
      <c r="E18" s="840"/>
      <c r="F18" s="840"/>
      <c r="G18" s="839"/>
      <c r="H18" s="634"/>
      <c r="I18" s="33"/>
      <c r="J18" s="33"/>
      <c r="K18" s="637"/>
      <c r="L18" s="838"/>
      <c r="M18" s="838"/>
      <c r="N18" s="838"/>
      <c r="O18" s="839"/>
      <c r="P18" s="663"/>
      <c r="Q18" s="735"/>
      <c r="R18" s="663"/>
    </row>
    <row r="19" spans="1:18" ht="16.5" customHeight="1">
      <c r="A19" s="634"/>
      <c r="B19" s="33"/>
      <c r="C19" s="637"/>
      <c r="D19" s="840"/>
      <c r="E19" s="840"/>
      <c r="F19" s="840"/>
      <c r="G19" s="839"/>
      <c r="H19" s="634"/>
      <c r="I19" s="33"/>
      <c r="J19" s="33"/>
      <c r="K19" s="637"/>
      <c r="L19" s="838"/>
      <c r="M19" s="838"/>
      <c r="N19" s="838"/>
      <c r="O19" s="839"/>
      <c r="P19" s="663"/>
      <c r="Q19" s="735"/>
      <c r="R19" s="663"/>
    </row>
    <row r="20" spans="1:18" ht="16.5" customHeight="1">
      <c r="A20" s="646" t="str">
        <f>Para1!F115&amp;"-"&amp;Para1!F174</f>
        <v>Ferien-Saldo</v>
      </c>
      <c r="B20" s="33"/>
      <c r="C20" s="607">
        <v>0</v>
      </c>
      <c r="D20" s="756"/>
      <c r="E20" s="756"/>
      <c r="F20" s="756"/>
      <c r="G20" s="757"/>
      <c r="H20" s="646" t="str">
        <f>Para1!F115&amp;"-"&amp;Para1!F174</f>
        <v>Ferien-Saldo</v>
      </c>
      <c r="I20" s="751"/>
      <c r="J20" s="751"/>
      <c r="K20" s="638" t="e">
        <f>IF(Q21&gt;=0,Q21-$K$25+(IF(Q22&lt;0,Q22,0)),IF((Q21+Q20)&gt;0,0,Q21-$K$25+(IF(Q22&lt;0,Q22,0))))</f>
        <v>#N/A</v>
      </c>
      <c r="L20" s="833" t="e">
        <f>IF(Q21&gt;=0,"",IF((Q21+Q20)&gt;0,Para1!J230,Para1!J231))</f>
        <v>#N/A</v>
      </c>
      <c r="M20" s="833"/>
      <c r="N20" s="833"/>
      <c r="O20" s="661"/>
      <c r="P20" s="228"/>
      <c r="Q20" s="662">
        <f>AVERAGE(Januar!AB56,Februar!AB56,Maerz!AB56,April!AB56,Mai!AB56,Juni!AB56,Juli!AB56,August!AB56,September!AB56,Oktober!AB56,November!AB56,Dezember!AB56)/(12-FREQUENCY($C$8:$N$8,0))*12</f>
        <v>0.17500000000000002</v>
      </c>
      <c r="R20" s="663"/>
    </row>
    <row r="21" spans="1:18" ht="16.5" customHeight="1">
      <c r="A21" s="646" t="str">
        <f>Para1!F186</f>
        <v>Treueprämie</v>
      </c>
      <c r="B21" s="33"/>
      <c r="C21" s="640">
        <v>0</v>
      </c>
      <c r="E21" s="33"/>
      <c r="F21" s="33"/>
      <c r="G21" s="33"/>
      <c r="H21" s="825" t="e">
        <f>IF(OR(J31&lt;0,N31&lt;0),INT(Q23)&amp;":"&amp;ROUND((Q23-INT(Q23))*60,0)&amp;" "&amp;Para1!J244,"")</f>
        <v>#N/A</v>
      </c>
      <c r="I21" s="826"/>
      <c r="J21" s="826"/>
      <c r="K21" s="826"/>
      <c r="L21" s="833"/>
      <c r="M21" s="833"/>
      <c r="N21" s="833"/>
      <c r="O21" s="648"/>
      <c r="P21" s="228"/>
      <c r="Q21" s="721" t="e">
        <f>ROUND('Jahresübersicht (Overview)'!O28,3)</f>
        <v>#N/A</v>
      </c>
      <c r="R21" s="663"/>
    </row>
    <row r="22" spans="1:18" ht="16.5" customHeight="1">
      <c r="A22" s="634"/>
      <c r="B22" s="33"/>
      <c r="C22" s="637"/>
      <c r="D22" s="33"/>
      <c r="E22" s="33"/>
      <c r="F22" s="33"/>
      <c r="G22" s="33"/>
      <c r="H22" s="825"/>
      <c r="I22" s="826"/>
      <c r="J22" s="826"/>
      <c r="K22" s="826"/>
      <c r="O22" s="629"/>
      <c r="P22" s="662"/>
      <c r="Q22" s="662" t="e">
        <f>IF(J31&lt;=N31,J31,N31)</f>
        <v>#N/A</v>
      </c>
      <c r="R22" s="663"/>
    </row>
    <row r="23" spans="1:18" ht="16.5" customHeight="1">
      <c r="A23" s="634"/>
      <c r="B23" s="33"/>
      <c r="C23" s="637"/>
      <c r="D23" s="33"/>
      <c r="E23" s="33"/>
      <c r="F23" s="33"/>
      <c r="G23" s="33"/>
      <c r="H23" s="758"/>
      <c r="I23" s="649"/>
      <c r="L23" s="33"/>
      <c r="M23" s="33"/>
      <c r="N23" s="33"/>
      <c r="O23" s="635"/>
      <c r="P23" s="663"/>
      <c r="Q23" s="759" t="e">
        <f>Q22*-24</f>
        <v>#N/A</v>
      </c>
      <c r="R23" s="663"/>
    </row>
    <row r="24" spans="1:18" ht="16.5" customHeight="1">
      <c r="A24" s="646" t="str">
        <f>Para1!F142&amp;"-"&amp;Para1!F174</f>
        <v>Langzeitkonto-Saldo</v>
      </c>
      <c r="B24" s="33"/>
      <c r="C24" s="606">
        <v>0</v>
      </c>
      <c r="F24" s="33"/>
      <c r="H24" s="646" t="str">
        <f>Para1!F142&amp;"-"&amp;Para1!F174</f>
        <v>Langzeitkonto-Saldo</v>
      </c>
      <c r="I24" s="33"/>
      <c r="J24" s="33"/>
      <c r="K24" s="639">
        <f>'Jahresübersicht (Overview)'!O35</f>
        <v>0</v>
      </c>
      <c r="L24" s="672"/>
      <c r="M24" s="672"/>
      <c r="N24" s="672"/>
      <c r="O24" s="673"/>
      <c r="P24" s="663"/>
      <c r="Q24" s="735"/>
      <c r="R24" s="664"/>
    </row>
    <row r="25" spans="1:18" ht="16.5" customHeight="1">
      <c r="A25" s="828" t="str">
        <f>Para1!F178&amp;" "&amp;Para1!F142&amp;" per 1.1"</f>
        <v>Speisung Langzeitkonto per 1.1</v>
      </c>
      <c r="B25" s="829"/>
      <c r="C25" s="623">
        <v>0</v>
      </c>
      <c r="E25" s="33"/>
      <c r="F25" s="33"/>
      <c r="G25" s="33"/>
      <c r="H25" s="828" t="str">
        <f>Para1!F178&amp;" "&amp;Para1!F142&amp;" per 1.1"</f>
        <v>Speisung Langzeitkonto per 1.1</v>
      </c>
      <c r="I25" s="829"/>
      <c r="J25" s="829"/>
      <c r="K25" s="623">
        <f>IF(OR(K5="Nein",K5="No"),0,IF('Jahresübersicht (Overview)'!O28&lt;0,0,IF(Q22&lt;0,'Jahresübersicht (Overview)'!O28+Q22,'Jahresübersicht (Overview)'!O28)))</f>
        <v>0</v>
      </c>
      <c r="L25" s="834" t="str">
        <f>IF(K2="","",IF(K25&gt;0,Para1!J232,""))</f>
        <v/>
      </c>
      <c r="M25" s="834"/>
      <c r="N25" s="834"/>
      <c r="O25" s="835"/>
      <c r="P25" s="663"/>
      <c r="Q25" s="735"/>
      <c r="R25" s="663"/>
    </row>
    <row r="26" spans="1:18" ht="16.5" customHeight="1">
      <c r="A26" s="691"/>
      <c r="B26" s="692"/>
      <c r="C26" s="692"/>
      <c r="D26" s="33"/>
      <c r="E26" s="33"/>
      <c r="F26" s="33"/>
      <c r="G26" s="33"/>
      <c r="H26" s="828"/>
      <c r="I26" s="829"/>
      <c r="J26" s="829"/>
      <c r="K26" s="524"/>
      <c r="L26" s="834"/>
      <c r="M26" s="834"/>
      <c r="N26" s="834"/>
      <c r="O26" s="835"/>
      <c r="P26" s="663"/>
      <c r="Q26" s="735"/>
      <c r="R26" s="663"/>
    </row>
    <row r="27" spans="1:18" ht="16.5" customHeight="1">
      <c r="A27" s="670"/>
      <c r="B27" s="671"/>
      <c r="D27" s="33"/>
      <c r="E27" s="33"/>
      <c r="F27" s="33"/>
      <c r="G27" s="33"/>
      <c r="H27" s="670"/>
      <c r="I27" s="671"/>
      <c r="J27" s="671"/>
      <c r="K27" s="524"/>
      <c r="L27" s="834"/>
      <c r="M27" s="834"/>
      <c r="N27" s="834"/>
      <c r="O27" s="835"/>
      <c r="P27" s="663"/>
      <c r="Q27" s="735"/>
      <c r="R27" s="663"/>
    </row>
    <row r="28" spans="1:18" ht="16.5" customHeight="1">
      <c r="A28" s="634"/>
      <c r="B28" s="33"/>
      <c r="C28" s="33"/>
      <c r="D28" s="33"/>
      <c r="E28" s="33"/>
      <c r="F28" s="33"/>
      <c r="G28" s="635"/>
      <c r="H28" s="647" t="str">
        <f>Para1!J233</f>
        <v>Einhaltung des Mindestbezugs an freien Tagen</v>
      </c>
      <c r="I28" s="33"/>
      <c r="J28" s="33"/>
      <c r="K28" s="33"/>
      <c r="L28" s="647" t="str">
        <f>Para1!J234</f>
        <v>Einhaltung des Mindestbezugs an Ferien</v>
      </c>
      <c r="M28" s="33"/>
      <c r="N28" s="33"/>
      <c r="O28" s="635"/>
      <c r="P28" s="663"/>
      <c r="Q28" s="664"/>
      <c r="R28" s="663"/>
    </row>
    <row r="29" spans="1:18" ht="16.5" customHeight="1">
      <c r="A29" s="634"/>
      <c r="B29" s="33"/>
      <c r="C29" s="33"/>
      <c r="D29" s="33"/>
      <c r="E29" s="33"/>
      <c r="F29" s="33"/>
      <c r="G29" s="635"/>
      <c r="H29" s="821" t="str">
        <f>Para1!J235</f>
        <v>Bezogene freie Tage</v>
      </c>
      <c r="I29" s="822"/>
      <c r="J29" s="645">
        <f>'Jahresübersicht (Overview)'!$O$26+'Jahresübersicht (Overview)'!$O$34+'Jahresübersicht (Overview)'!$O$40</f>
        <v>0</v>
      </c>
      <c r="L29" s="645" t="str">
        <f>Para1!J236</f>
        <v>Bezogene Ferien</v>
      </c>
      <c r="M29" s="33"/>
      <c r="N29" s="637">
        <f>'Jahresübersicht (Overview)'!$O$26</f>
        <v>0</v>
      </c>
      <c r="O29" s="629"/>
      <c r="P29" s="663"/>
      <c r="Q29" s="663"/>
      <c r="R29" s="663"/>
    </row>
    <row r="30" spans="1:18" ht="16.5" customHeight="1">
      <c r="A30" s="634"/>
      <c r="B30" s="33"/>
      <c r="C30" s="33"/>
      <c r="D30" s="33"/>
      <c r="E30" s="33"/>
      <c r="F30" s="33"/>
      <c r="G30" s="635"/>
      <c r="H30" s="836" t="str">
        <f>Para1!J237</f>
        <v>Vorgeschr. Mindestbezug</v>
      </c>
      <c r="I30" s="837"/>
      <c r="J30" s="637" t="e">
        <f>N30*2</f>
        <v>#N/A</v>
      </c>
      <c r="L30" s="645" t="str">
        <f>Para1!J237</f>
        <v>Vorgeschr. Mindestbezug</v>
      </c>
      <c r="M30" s="33"/>
      <c r="N30" s="731" t="e">
        <f>(10*(12-FREQUENCY($C$8:$N$8,0))/12*$O$8/100*8.4)/24*(1-'Jahresübersicht (Overview)'!O27/('Jahresübersicht (Overview)'!O25-'Jahresübersicht (Overview)'!D22-'Jahresübersicht (Overview)'!G22))</f>
        <v>#N/A</v>
      </c>
      <c r="O30" s="629"/>
      <c r="P30" s="663"/>
      <c r="Q30" s="663"/>
      <c r="R30" s="663"/>
    </row>
    <row r="31" spans="1:18" ht="16.5" customHeight="1">
      <c r="A31" s="634"/>
      <c r="B31" s="33"/>
      <c r="C31" s="33"/>
      <c r="D31" s="33"/>
      <c r="E31" s="33"/>
      <c r="F31" s="33"/>
      <c r="G31" s="635"/>
      <c r="H31" s="821" t="str">
        <f>Para1!F108</f>
        <v>Differenz</v>
      </c>
      <c r="I31" s="822"/>
      <c r="J31" s="660" t="e">
        <f>J29-J30</f>
        <v>#N/A</v>
      </c>
      <c r="L31" s="524" t="str">
        <f>Para1!F108</f>
        <v>Differenz</v>
      </c>
      <c r="M31" s="33"/>
      <c r="N31" s="731" t="e">
        <f>N29-N30</f>
        <v>#N/A</v>
      </c>
      <c r="O31" s="629"/>
      <c r="P31" s="663"/>
      <c r="Q31" s="663"/>
      <c r="R31" s="663"/>
    </row>
    <row r="32" spans="1:18" ht="16.5" customHeight="1" thickBot="1">
      <c r="A32" s="634"/>
      <c r="B32" s="33"/>
      <c r="C32" s="33"/>
      <c r="D32" s="33"/>
      <c r="E32" s="33"/>
      <c r="F32" s="33"/>
      <c r="G32" s="635"/>
      <c r="H32" s="830" t="str">
        <f>IF('Jahresübersicht (Overview)'!O15=0,"",IF(J31&gt;=0,Para1!J241,Para1!J242))</f>
        <v/>
      </c>
      <c r="I32" s="831"/>
      <c r="J32" s="831"/>
      <c r="K32" s="831"/>
      <c r="L32" s="841" t="str">
        <f>IF('Jahresübersicht (Overview)'!O15=0,"",IF(N31&gt;=0,Para1!J239,Para1!J240))</f>
        <v/>
      </c>
      <c r="M32" s="841"/>
      <c r="N32" s="841"/>
      <c r="O32" s="842"/>
      <c r="P32" s="663"/>
      <c r="Q32" s="663"/>
      <c r="R32" s="663"/>
    </row>
    <row r="33" spans="1:18" ht="16.5" customHeight="1" thickTop="1">
      <c r="A33" s="32"/>
      <c r="B33" s="32"/>
      <c r="C33" s="32"/>
      <c r="D33" s="32"/>
      <c r="E33" s="32"/>
      <c r="F33" s="32"/>
      <c r="G33" s="32"/>
      <c r="H33" s="832"/>
      <c r="I33" s="832"/>
      <c r="J33" s="832"/>
      <c r="K33" s="832"/>
      <c r="L33" s="625"/>
      <c r="M33" s="32"/>
      <c r="N33" s="32"/>
      <c r="O33" s="32"/>
      <c r="P33" s="663"/>
      <c r="Q33" s="663"/>
      <c r="R33" s="663"/>
    </row>
    <row r="34" spans="1:18" ht="16.5" customHeight="1">
      <c r="A34" s="827" t="str">
        <f>Para1!J243</f>
        <v>Ab 2013 müssen mindestens 20 freie Tage pro Kalenderjahr bezogen werden, davon mindestens 10 Tage zu Lasten des Ferienkontos. Werden diese Mindestbezüge nicht eingehalten, verfallen die zu wenig bezogenen Tage am Ende des Kalenderjahres entschädigungslos (Art. 149 PV). Sie können nicht mehr wie bisher auf das Ferienguthaben des Folgejahres übertragen werden.</v>
      </c>
      <c r="B34" s="827"/>
      <c r="C34" s="827"/>
      <c r="D34" s="827"/>
      <c r="E34" s="827"/>
      <c r="F34" s="827"/>
      <c r="G34" s="827"/>
      <c r="H34" s="827"/>
      <c r="I34" s="827"/>
      <c r="J34" s="827"/>
      <c r="K34" s="827"/>
      <c r="L34" s="827"/>
      <c r="M34" s="827"/>
      <c r="N34" s="827"/>
      <c r="O34" s="827"/>
      <c r="P34" s="228"/>
      <c r="Q34" s="228"/>
      <c r="R34" s="228"/>
    </row>
    <row r="35" spans="1:18" ht="16.5" customHeight="1">
      <c r="A35" s="827"/>
      <c r="B35" s="827"/>
      <c r="C35" s="827"/>
      <c r="D35" s="827"/>
      <c r="E35" s="827"/>
      <c r="F35" s="827"/>
      <c r="G35" s="827"/>
      <c r="H35" s="827"/>
      <c r="I35" s="827"/>
      <c r="J35" s="827"/>
      <c r="K35" s="827"/>
      <c r="L35" s="827"/>
      <c r="M35" s="827"/>
      <c r="N35" s="827"/>
      <c r="O35" s="827"/>
      <c r="P35" s="228"/>
      <c r="Q35" s="228"/>
      <c r="R35" s="228"/>
    </row>
    <row r="36" spans="1:18">
      <c r="D36" s="649"/>
      <c r="J36" s="729"/>
      <c r="P36" s="228"/>
      <c r="Q36" s="228"/>
      <c r="R36" s="228"/>
    </row>
    <row r="37" spans="1:18">
      <c r="K37" s="730"/>
      <c r="M37" s="729"/>
      <c r="P37" s="228"/>
      <c r="Q37" s="228"/>
      <c r="R37" s="228"/>
    </row>
    <row r="38" spans="1:18">
      <c r="P38" s="228"/>
      <c r="Q38" s="228"/>
      <c r="R38" s="228"/>
    </row>
    <row r="39" spans="1:18">
      <c r="K39" s="760"/>
      <c r="P39" s="228"/>
      <c r="Q39" s="228"/>
      <c r="R39" s="228"/>
    </row>
    <row r="40" spans="1:18">
      <c r="K40" s="760"/>
      <c r="P40" s="228"/>
      <c r="Q40" s="228"/>
      <c r="R40" s="228"/>
    </row>
    <row r="41" spans="1:18">
      <c r="K41" s="760"/>
      <c r="P41" s="228"/>
      <c r="Q41" s="228"/>
      <c r="R41" s="228"/>
    </row>
    <row r="42" spans="1:18">
      <c r="P42" s="228"/>
      <c r="Q42" s="228"/>
      <c r="R42" s="228"/>
    </row>
  </sheetData>
  <sheetProtection password="CC4A" sheet="1" objects="1" scenarios="1"/>
  <mergeCells count="27">
    <mergeCell ref="H21:K22"/>
    <mergeCell ref="A34:O35"/>
    <mergeCell ref="A15:C15"/>
    <mergeCell ref="A25:B25"/>
    <mergeCell ref="H32:K32"/>
    <mergeCell ref="H33:K33"/>
    <mergeCell ref="L20:N21"/>
    <mergeCell ref="H25:J26"/>
    <mergeCell ref="L25:O27"/>
    <mergeCell ref="H29:I29"/>
    <mergeCell ref="H30:I30"/>
    <mergeCell ref="H31:I31"/>
    <mergeCell ref="L16:O19"/>
    <mergeCell ref="D16:G19"/>
    <mergeCell ref="L32:O32"/>
    <mergeCell ref="E5:F5"/>
    <mergeCell ref="G5:H5"/>
    <mergeCell ref="I5:J5"/>
    <mergeCell ref="H15:K15"/>
    <mergeCell ref="A1:B1"/>
    <mergeCell ref="A2:B2"/>
    <mergeCell ref="C2:D2"/>
    <mergeCell ref="G2:H2"/>
    <mergeCell ref="A11:B11"/>
    <mergeCell ref="C11:G12"/>
    <mergeCell ref="A8:B8"/>
    <mergeCell ref="A9:B9"/>
  </mergeCells>
  <conditionalFormatting sqref="H24:K24 A25 K25 C25 A24:C24">
    <cfRule type="expression" dxfId="137" priority="2">
      <formula>OR($K$5="Nein",$K$5="no")</formula>
    </cfRule>
  </conditionalFormatting>
  <conditionalFormatting sqref="H25">
    <cfRule type="expression" dxfId="136" priority="1">
      <formula>OR($K$5="Nein",$K$5="no")</formula>
    </cfRule>
  </conditionalFormatting>
  <dataValidations count="2">
    <dataValidation type="list" allowBlank="1" showInputMessage="1" showErrorMessage="1" sqref="K5" xr:uid="{00000000-0002-0000-0100-000000000000}">
      <formula1>$Q$5:$Q$6</formula1>
    </dataValidation>
    <dataValidation type="list" allowBlank="1" showInputMessage="1" showErrorMessage="1" sqref="C9:N9" xr:uid="{00000000-0002-0000-0100-000001000000}">
      <formula1>$Q$8:$Q$10</formula1>
    </dataValidation>
  </dataValidations>
  <hyperlinks>
    <hyperlink ref="L5:N5" r:id="rId1" display="vgl. Reglement zum Langzeitkonto" xr:uid="{00000000-0004-0000-0100-000000000000}"/>
    <hyperlink ref="L5" r:id="rId2" xr:uid="{00000000-0004-0000-0100-000001000000}"/>
  </hyperlinks>
  <pageMargins left="0.7" right="0.7" top="0.78740157499999996" bottom="0.78740157499999996" header="0.3" footer="0.3"/>
  <pageSetup paperSize="9" scale="61" fitToHeight="0" orientation="landscape" r:id="rId3"/>
  <headerFooter>
    <oddHeader>&amp;C&amp;"Arial,Fett Kursiv"&amp;16Zeiterfassung -  &amp;A</oddHeader>
    <oddFooter>&amp;L&amp;Z&amp;F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58"/>
  <sheetViews>
    <sheetView showGridLines="0" zoomScale="75" zoomScaleNormal="75" workbookViewId="0">
      <selection sqref="A1:B1"/>
    </sheetView>
  </sheetViews>
  <sheetFormatPr baseColWidth="10" defaultColWidth="13.6640625" defaultRowHeight="15.75" customHeight="1"/>
  <cols>
    <col min="1" max="1" width="13.6640625" style="471"/>
    <col min="2" max="2" width="25.5" style="471" customWidth="1"/>
    <col min="3" max="15" width="13.6640625" style="471"/>
    <col min="16" max="17" width="15.1640625" style="471" bestFit="1" customWidth="1"/>
    <col min="18" max="16384" width="13.6640625" style="471"/>
  </cols>
  <sheetData>
    <row r="1" spans="1:17" ht="15.75" customHeight="1" thickTop="1">
      <c r="A1" s="813" t="str">
        <f>Para1!F169</f>
        <v>Persönliche Daten</v>
      </c>
      <c r="B1" s="814"/>
      <c r="C1" s="468"/>
      <c r="D1" s="468"/>
      <c r="E1" s="468"/>
      <c r="F1" s="468"/>
      <c r="G1" s="468"/>
      <c r="H1" s="468"/>
      <c r="I1" s="468"/>
      <c r="J1" s="468"/>
      <c r="K1" s="468"/>
      <c r="L1" s="468"/>
      <c r="M1" s="468"/>
      <c r="N1" s="468"/>
      <c r="O1" s="469"/>
      <c r="P1" s="470"/>
    </row>
    <row r="2" spans="1:17" ht="15.75" customHeight="1">
      <c r="A2" s="815" t="str">
        <f>Para1!F204</f>
        <v xml:space="preserve">Vorname: </v>
      </c>
      <c r="B2" s="808"/>
      <c r="C2" s="822">
        <f>'Persönliche Daten (pers. data)'!C2</f>
        <v>0</v>
      </c>
      <c r="D2" s="822"/>
      <c r="E2" s="278"/>
      <c r="F2" s="279" t="str">
        <f>Para1!F160</f>
        <v xml:space="preserve">Name: </v>
      </c>
      <c r="G2" s="822">
        <f>'Persönliche Daten (pers. data)'!G2</f>
        <v>0</v>
      </c>
      <c r="H2" s="822"/>
      <c r="I2" s="278"/>
      <c r="J2" s="279" t="str">
        <f>Para1!F131</f>
        <v xml:space="preserve">Jahrgang (4-stellig): </v>
      </c>
      <c r="K2" s="641">
        <f>'Persönliche Daten (pers. data)'!K2</f>
        <v>0</v>
      </c>
      <c r="L2" s="280"/>
      <c r="M2" s="281"/>
      <c r="N2" s="282" t="str">
        <f>Para1!F129</f>
        <v xml:space="preserve">Jahr: </v>
      </c>
      <c r="O2" s="289">
        <f>Para1!C2</f>
        <v>2021</v>
      </c>
      <c r="P2" s="470"/>
    </row>
    <row r="3" spans="1:17" ht="15.75" customHeight="1">
      <c r="A3" s="283"/>
      <c r="B3" s="284"/>
      <c r="C3" s="278"/>
      <c r="D3" s="278"/>
      <c r="E3" s="278"/>
      <c r="F3" s="278"/>
      <c r="G3" s="278"/>
      <c r="H3" s="278"/>
      <c r="I3" s="278"/>
      <c r="J3" s="278"/>
      <c r="K3" s="278"/>
      <c r="L3" s="281"/>
      <c r="M3" s="281"/>
      <c r="N3" s="285"/>
      <c r="O3" s="290"/>
      <c r="P3" s="470"/>
    </row>
    <row r="4" spans="1:17" ht="15.75" customHeight="1">
      <c r="A4" s="815" t="str">
        <f>Para1!F168</f>
        <v xml:space="preserve">Pers-Nr.: </v>
      </c>
      <c r="B4" s="808"/>
      <c r="C4" s="472">
        <f>'Persönliche Daten (pers. data)'!C5</f>
        <v>0</v>
      </c>
      <c r="D4" s="278"/>
      <c r="E4" s="808" t="str">
        <f>Para1!F111</f>
        <v xml:space="preserve">Eintrittsdatum: </v>
      </c>
      <c r="F4" s="808"/>
      <c r="G4" s="846">
        <f>'Persönliche Daten (pers. data)'!G5</f>
        <v>0</v>
      </c>
      <c r="H4" s="846"/>
      <c r="I4" s="33"/>
      <c r="J4" s="77" t="str">
        <f>Para1!F95</f>
        <v xml:space="preserve">Bemerkungen: </v>
      </c>
      <c r="K4" s="843">
        <f>'Persönliche Daten (pers. data)'!C11</f>
        <v>0</v>
      </c>
      <c r="L4" s="843"/>
      <c r="M4" s="843"/>
      <c r="N4" s="285"/>
      <c r="O4" s="290"/>
      <c r="P4" s="470"/>
    </row>
    <row r="5" spans="1:17" ht="15.75" customHeight="1" thickBot="1">
      <c r="A5" s="286"/>
      <c r="B5" s="287"/>
      <c r="C5" s="472"/>
      <c r="D5" s="278"/>
      <c r="E5" s="287"/>
      <c r="F5" s="287"/>
      <c r="G5" s="473"/>
      <c r="H5" s="473"/>
      <c r="I5" s="33"/>
      <c r="J5" s="77"/>
      <c r="K5" s="843"/>
      <c r="L5" s="843"/>
      <c r="M5" s="843"/>
      <c r="N5" s="285"/>
      <c r="O5" s="290"/>
      <c r="P5" s="470"/>
    </row>
    <row r="6" spans="1:17" s="478" customFormat="1" ht="10" customHeight="1" thickTop="1">
      <c r="A6" s="291"/>
      <c r="B6" s="292"/>
      <c r="C6" s="474"/>
      <c r="D6" s="293"/>
      <c r="E6" s="292"/>
      <c r="F6" s="292"/>
      <c r="G6" s="475"/>
      <c r="H6" s="475"/>
      <c r="I6" s="32"/>
      <c r="J6" s="294"/>
      <c r="K6" s="476"/>
      <c r="L6" s="477"/>
      <c r="M6" s="477"/>
      <c r="N6" s="295"/>
      <c r="O6" s="296"/>
      <c r="P6" s="470"/>
    </row>
    <row r="7" spans="1:17" ht="15.75" customHeight="1">
      <c r="A7" s="470" t="str">
        <f>Para1!F154</f>
        <v>Monat</v>
      </c>
      <c r="B7" s="478"/>
      <c r="C7" s="479" t="str">
        <f>Para1!F132</f>
        <v>Januar</v>
      </c>
      <c r="D7" s="479" t="str">
        <f>Para1!F114</f>
        <v>Februar</v>
      </c>
      <c r="E7" s="479" t="str">
        <f>Para1!F147</f>
        <v>März</v>
      </c>
      <c r="F7" s="479" t="str">
        <f>Para1!F85</f>
        <v>April</v>
      </c>
      <c r="G7" s="480" t="str">
        <f>Para1!F146</f>
        <v>Mai</v>
      </c>
      <c r="H7" s="479" t="str">
        <f>Para1!F135</f>
        <v>Juni</v>
      </c>
      <c r="I7" s="479" t="str">
        <f>Para1!F134</f>
        <v>Juli</v>
      </c>
      <c r="J7" s="479" t="str">
        <f>Para1!F94</f>
        <v>August</v>
      </c>
      <c r="K7" s="479" t="str">
        <f>Para1!F172</f>
        <v>September</v>
      </c>
      <c r="L7" s="479" t="str">
        <f>Para1!F167</f>
        <v>Oktober</v>
      </c>
      <c r="M7" s="479" t="str">
        <f>Para1!F164</f>
        <v>November</v>
      </c>
      <c r="N7" s="479" t="str">
        <f>Para1!F105</f>
        <v>Dezember</v>
      </c>
      <c r="O7" s="481" t="str">
        <f>Para1!F184&amp;" Ø"</f>
        <v>Total Ø</v>
      </c>
      <c r="P7" s="470"/>
    </row>
    <row r="8" spans="1:17" ht="15.75" customHeight="1">
      <c r="A8" s="821" t="str">
        <f>Para1!F96&amp;" in %"</f>
        <v>Beschäftigungsgrad in %</v>
      </c>
      <c r="B8" s="822"/>
      <c r="C8" s="642">
        <f>'Persönliche Daten (pers. data)'!C8</f>
        <v>100</v>
      </c>
      <c r="D8" s="642">
        <f>'Persönliche Daten (pers. data)'!D8</f>
        <v>100</v>
      </c>
      <c r="E8" s="642">
        <f>'Persönliche Daten (pers. data)'!E8</f>
        <v>100</v>
      </c>
      <c r="F8" s="642">
        <f>'Persönliche Daten (pers. data)'!F8</f>
        <v>100</v>
      </c>
      <c r="G8" s="642">
        <f>'Persönliche Daten (pers. data)'!G8</f>
        <v>100</v>
      </c>
      <c r="H8" s="642">
        <f>'Persönliche Daten (pers. data)'!H8</f>
        <v>100</v>
      </c>
      <c r="I8" s="642">
        <f>'Persönliche Daten (pers. data)'!I8</f>
        <v>100</v>
      </c>
      <c r="J8" s="642">
        <f>'Persönliche Daten (pers. data)'!J8</f>
        <v>100</v>
      </c>
      <c r="K8" s="642">
        <f>'Persönliche Daten (pers. data)'!K8</f>
        <v>100</v>
      </c>
      <c r="L8" s="642">
        <f>'Persönliche Daten (pers. data)'!L8</f>
        <v>100</v>
      </c>
      <c r="M8" s="642">
        <f>'Persönliche Daten (pers. data)'!M8</f>
        <v>100</v>
      </c>
      <c r="N8" s="642">
        <f>'Persönliche Daten (pers. data)'!N8</f>
        <v>100</v>
      </c>
      <c r="O8" s="460">
        <f>IF(SUM(C8:N8)=0,0,ROUND(AVERAGE($C$8:$N$8)/(12-FREQUENCY($C$8:$N$8,0))*12,0))</f>
        <v>100</v>
      </c>
      <c r="P8" s="604"/>
    </row>
    <row r="9" spans="1:17" ht="15.75" customHeight="1" thickBot="1">
      <c r="A9" s="823" t="str">
        <f>Para1!F121</f>
        <v>Gehaltsklasse</v>
      </c>
      <c r="B9" s="824"/>
      <c r="C9" s="763" t="str">
        <f>'Persönliche Daten (pers. data)'!C9</f>
        <v>1-18</v>
      </c>
      <c r="D9" s="763" t="str">
        <f>'Persönliche Daten (pers. data)'!D9</f>
        <v>1-18</v>
      </c>
      <c r="E9" s="763" t="str">
        <f>'Persönliche Daten (pers. data)'!E9</f>
        <v>1-18</v>
      </c>
      <c r="F9" s="763" t="str">
        <f>'Persönliche Daten (pers. data)'!F9</f>
        <v>1-18</v>
      </c>
      <c r="G9" s="763" t="str">
        <f>'Persönliche Daten (pers. data)'!G9</f>
        <v>1-18</v>
      </c>
      <c r="H9" s="763" t="str">
        <f>'Persönliche Daten (pers. data)'!H9</f>
        <v>1-18</v>
      </c>
      <c r="I9" s="763" t="str">
        <f>'Persönliche Daten (pers. data)'!I9</f>
        <v>1-18</v>
      </c>
      <c r="J9" s="763" t="str">
        <f>'Persönliche Daten (pers. data)'!J9</f>
        <v>1-18</v>
      </c>
      <c r="K9" s="763" t="str">
        <f>'Persönliche Daten (pers. data)'!K9</f>
        <v>1-18</v>
      </c>
      <c r="L9" s="763" t="str">
        <f>'Persönliche Daten (pers. data)'!L9</f>
        <v>1-18</v>
      </c>
      <c r="M9" s="763" t="str">
        <f>'Persönliche Daten (pers. data)'!M9</f>
        <v>1-18</v>
      </c>
      <c r="N9" s="763" t="str">
        <f>'Persönliche Daten (pers. data)'!N9</f>
        <v>1-18</v>
      </c>
      <c r="O9" s="297"/>
      <c r="P9" s="470"/>
    </row>
    <row r="10" spans="1:17" ht="5" customHeight="1" thickTop="1" thickBot="1">
      <c r="A10" s="478"/>
      <c r="B10" s="478"/>
      <c r="C10" s="478"/>
      <c r="D10" s="478"/>
      <c r="E10" s="478"/>
      <c r="F10" s="478"/>
      <c r="G10" s="478"/>
      <c r="H10" s="478"/>
      <c r="I10" s="478"/>
      <c r="J10" s="478"/>
      <c r="K10" s="478"/>
      <c r="L10" s="478"/>
      <c r="M10" s="478"/>
      <c r="N10" s="478"/>
      <c r="O10" s="478"/>
      <c r="P10" s="478"/>
    </row>
    <row r="11" spans="1:17" ht="15.75" customHeight="1" thickTop="1">
      <c r="A11" s="483" t="str">
        <f>Para1!F93</f>
        <v>Arbeitszeit</v>
      </c>
      <c r="B11" s="468"/>
      <c r="C11" s="484" t="str">
        <f>Para1!F188</f>
        <v>Übertrag Vorjahr</v>
      </c>
      <c r="D11" s="643">
        <f>'Persönliche Daten (pers. data)'!C17</f>
        <v>0</v>
      </c>
      <c r="E11" s="468"/>
      <c r="F11" s="468"/>
      <c r="G11" s="468"/>
      <c r="H11" s="468"/>
      <c r="I11" s="468"/>
      <c r="J11" s="468"/>
      <c r="K11" s="468"/>
      <c r="L11" s="468"/>
      <c r="M11" s="468"/>
      <c r="N11" s="468"/>
      <c r="O11" s="485"/>
      <c r="P11" s="478"/>
    </row>
    <row r="12" spans="1:17" ht="15.75" customHeight="1">
      <c r="A12" s="470"/>
      <c r="B12" s="478"/>
      <c r="M12" s="478"/>
      <c r="N12" s="478"/>
      <c r="O12" s="486"/>
      <c r="P12" s="478"/>
    </row>
    <row r="13" spans="1:17" ht="15.75" customHeight="1">
      <c r="A13" s="470" t="str">
        <f>Para1!F154</f>
        <v>Monat</v>
      </c>
      <c r="B13" s="478"/>
      <c r="C13" s="487" t="str">
        <f>Para1!F132</f>
        <v>Januar</v>
      </c>
      <c r="D13" s="487" t="str">
        <f>Para1!F114</f>
        <v>Februar</v>
      </c>
      <c r="E13" s="487" t="str">
        <f>Para1!F147</f>
        <v>März</v>
      </c>
      <c r="F13" s="487" t="str">
        <f>Para1!F85</f>
        <v>April</v>
      </c>
      <c r="G13" s="487" t="str">
        <f>Para1!F146</f>
        <v>Mai</v>
      </c>
      <c r="H13" s="487" t="str">
        <f>Para1!F135</f>
        <v>Juni</v>
      </c>
      <c r="I13" s="487" t="str">
        <f>Para1!F134</f>
        <v>Juli</v>
      </c>
      <c r="J13" s="487" t="str">
        <f>Para1!F94</f>
        <v>August</v>
      </c>
      <c r="K13" s="487" t="str">
        <f>Para1!F172</f>
        <v>September</v>
      </c>
      <c r="L13" s="487" t="str">
        <f>Para1!F167</f>
        <v>Oktober</v>
      </c>
      <c r="M13" s="487" t="str">
        <f>Para1!F164</f>
        <v>November</v>
      </c>
      <c r="N13" s="479" t="str">
        <f>Para1!F105</f>
        <v>Dezember</v>
      </c>
      <c r="O13" s="481" t="str">
        <f>Para1!F184</f>
        <v>Total</v>
      </c>
      <c r="P13" s="478"/>
    </row>
    <row r="14" spans="1:17" ht="15.75" customHeight="1">
      <c r="A14" s="488" t="str">
        <f>Para1!F156</f>
        <v>Monatssoll gem. BG</v>
      </c>
      <c r="B14" s="478"/>
      <c r="C14" s="489">
        <f>Januar!$C$8</f>
        <v>7</v>
      </c>
      <c r="D14" s="489">
        <f>Februar!$C$8</f>
        <v>7</v>
      </c>
      <c r="E14" s="489">
        <f>Maerz!$C$8</f>
        <v>8.0499999999999989</v>
      </c>
      <c r="F14" s="489">
        <f>April!$C$8</f>
        <v>6.958333333333333</v>
      </c>
      <c r="G14" s="489">
        <f>Mai!$C$8</f>
        <v>6.6083333333333334</v>
      </c>
      <c r="H14" s="489">
        <f>Juni!$C$8</f>
        <v>7.7</v>
      </c>
      <c r="I14" s="489">
        <f>Juli!$C$8</f>
        <v>7.7</v>
      </c>
      <c r="J14" s="489">
        <f>August!$C$8</f>
        <v>7.7</v>
      </c>
      <c r="K14" s="489">
        <f>September!$C$8</f>
        <v>7.7</v>
      </c>
      <c r="L14" s="489">
        <f>Oktober!$C$8</f>
        <v>7.3500000000000005</v>
      </c>
      <c r="M14" s="489">
        <f>November!$C$8</f>
        <v>7.7</v>
      </c>
      <c r="N14" s="489">
        <f>Dezember!$C$8</f>
        <v>7.7</v>
      </c>
      <c r="O14" s="490">
        <f>SUM(C14:N14)</f>
        <v>89.166666666666671</v>
      </c>
      <c r="P14" s="478"/>
    </row>
    <row r="15" spans="1:17" ht="15.75" customHeight="1">
      <c r="A15" s="491" t="str">
        <f>Para1!F123&amp;" "&amp;Para1!F93</f>
        <v>geleistete Arbeitszeit</v>
      </c>
      <c r="B15" s="492"/>
      <c r="C15" s="493">
        <f>Januar!$L$55</f>
        <v>0</v>
      </c>
      <c r="D15" s="493">
        <f>Februar!$L$55</f>
        <v>0</v>
      </c>
      <c r="E15" s="493">
        <f>Maerz!$L$55</f>
        <v>0</v>
      </c>
      <c r="F15" s="493">
        <f>April!$L$55</f>
        <v>0</v>
      </c>
      <c r="G15" s="493">
        <f>Mai!$L$55</f>
        <v>0</v>
      </c>
      <c r="H15" s="493">
        <f>Juni!$L$55</f>
        <v>0</v>
      </c>
      <c r="I15" s="493">
        <f>Juli!$L$55</f>
        <v>0</v>
      </c>
      <c r="J15" s="493">
        <f>August!$L$55</f>
        <v>0</v>
      </c>
      <c r="K15" s="493">
        <f>September!$L$55</f>
        <v>0</v>
      </c>
      <c r="L15" s="493">
        <f>Oktober!$L$55</f>
        <v>0</v>
      </c>
      <c r="M15" s="493">
        <f>November!$L$55</f>
        <v>0</v>
      </c>
      <c r="N15" s="493">
        <f>Dezember!$L$55</f>
        <v>0</v>
      </c>
      <c r="O15" s="494">
        <f>SUM(C15:N15)</f>
        <v>0</v>
      </c>
      <c r="P15" s="478"/>
      <c r="Q15" s="495"/>
    </row>
    <row r="16" spans="1:17" ht="15.75" customHeight="1">
      <c r="A16" s="482" t="str">
        <f>"+ "&amp;Para1!F115</f>
        <v>+ Ferien</v>
      </c>
      <c r="B16" s="478"/>
      <c r="C16" s="496">
        <f>C26</f>
        <v>0</v>
      </c>
      <c r="D16" s="496">
        <f t="shared" ref="D16:N16" si="0">D26</f>
        <v>0</v>
      </c>
      <c r="E16" s="496">
        <f t="shared" si="0"/>
        <v>0</v>
      </c>
      <c r="F16" s="496">
        <f t="shared" si="0"/>
        <v>0</v>
      </c>
      <c r="G16" s="496">
        <f t="shared" si="0"/>
        <v>0</v>
      </c>
      <c r="H16" s="496">
        <f t="shared" si="0"/>
        <v>0</v>
      </c>
      <c r="I16" s="496">
        <f t="shared" si="0"/>
        <v>0</v>
      </c>
      <c r="J16" s="496">
        <f t="shared" si="0"/>
        <v>0</v>
      </c>
      <c r="K16" s="496">
        <f t="shared" si="0"/>
        <v>0</v>
      </c>
      <c r="L16" s="496">
        <f t="shared" si="0"/>
        <v>0</v>
      </c>
      <c r="M16" s="496">
        <f t="shared" si="0"/>
        <v>0</v>
      </c>
      <c r="N16" s="496">
        <f t="shared" si="0"/>
        <v>0</v>
      </c>
      <c r="O16" s="497">
        <f t="shared" ref="O16:O18" si="1">SUM(C16:N16)</f>
        <v>0</v>
      </c>
      <c r="P16" s="478"/>
    </row>
    <row r="17" spans="1:17" ht="15.75" customHeight="1">
      <c r="A17" s="482" t="str">
        <f>"+ "&amp;Para1!F142</f>
        <v>+ Langzeitkonto</v>
      </c>
      <c r="B17" s="478"/>
      <c r="C17" s="496">
        <f>C34</f>
        <v>0</v>
      </c>
      <c r="D17" s="496">
        <f t="shared" ref="D17:N17" si="2">D34</f>
        <v>0</v>
      </c>
      <c r="E17" s="496">
        <f t="shared" si="2"/>
        <v>0</v>
      </c>
      <c r="F17" s="496">
        <f t="shared" si="2"/>
        <v>0</v>
      </c>
      <c r="G17" s="496">
        <f t="shared" si="2"/>
        <v>0</v>
      </c>
      <c r="H17" s="496">
        <f t="shared" si="2"/>
        <v>0</v>
      </c>
      <c r="I17" s="496">
        <f t="shared" si="2"/>
        <v>0</v>
      </c>
      <c r="J17" s="496">
        <f t="shared" si="2"/>
        <v>0</v>
      </c>
      <c r="K17" s="496">
        <f t="shared" si="2"/>
        <v>0</v>
      </c>
      <c r="L17" s="496">
        <f t="shared" si="2"/>
        <v>0</v>
      </c>
      <c r="M17" s="496">
        <f t="shared" si="2"/>
        <v>0</v>
      </c>
      <c r="N17" s="496">
        <f t="shared" si="2"/>
        <v>0</v>
      </c>
      <c r="O17" s="497">
        <f t="shared" si="1"/>
        <v>0</v>
      </c>
      <c r="P17" s="478"/>
    </row>
    <row r="18" spans="1:17" ht="15.75" customHeight="1">
      <c r="A18" s="498" t="str">
        <f>"+ "&amp;Para1!F83</f>
        <v>+ Absenzen</v>
      </c>
      <c r="B18" s="499"/>
      <c r="C18" s="500">
        <f>C56</f>
        <v>0</v>
      </c>
      <c r="D18" s="500">
        <f t="shared" ref="D18:N18" si="3">D56</f>
        <v>0</v>
      </c>
      <c r="E18" s="500">
        <f t="shared" si="3"/>
        <v>0</v>
      </c>
      <c r="F18" s="500">
        <f t="shared" si="3"/>
        <v>0</v>
      </c>
      <c r="G18" s="500">
        <f t="shared" si="3"/>
        <v>0</v>
      </c>
      <c r="H18" s="500">
        <f t="shared" si="3"/>
        <v>0</v>
      </c>
      <c r="I18" s="500">
        <f t="shared" si="3"/>
        <v>0</v>
      </c>
      <c r="J18" s="500">
        <f t="shared" si="3"/>
        <v>0</v>
      </c>
      <c r="K18" s="500">
        <f t="shared" si="3"/>
        <v>0</v>
      </c>
      <c r="L18" s="500">
        <f t="shared" si="3"/>
        <v>0</v>
      </c>
      <c r="M18" s="500">
        <f t="shared" si="3"/>
        <v>0</v>
      </c>
      <c r="N18" s="500">
        <f t="shared" si="3"/>
        <v>0</v>
      </c>
      <c r="O18" s="501">
        <f t="shared" si="1"/>
        <v>0</v>
      </c>
      <c r="P18" s="478"/>
    </row>
    <row r="19" spans="1:17" ht="15.75" customHeight="1">
      <c r="A19" s="502" t="str">
        <f>Para1!F184&amp;" "&amp;Para1!F93</f>
        <v>Total Arbeitszeit</v>
      </c>
      <c r="B19" s="478"/>
      <c r="C19" s="489">
        <f>SUM(C15:C18)</f>
        <v>0</v>
      </c>
      <c r="D19" s="489">
        <f t="shared" ref="D19:N19" si="4">SUM(D15:D18)</f>
        <v>0</v>
      </c>
      <c r="E19" s="489">
        <f t="shared" si="4"/>
        <v>0</v>
      </c>
      <c r="F19" s="489">
        <f t="shared" si="4"/>
        <v>0</v>
      </c>
      <c r="G19" s="489">
        <f t="shared" si="4"/>
        <v>0</v>
      </c>
      <c r="H19" s="489">
        <f t="shared" si="4"/>
        <v>0</v>
      </c>
      <c r="I19" s="489">
        <f t="shared" si="4"/>
        <v>0</v>
      </c>
      <c r="J19" s="489">
        <f t="shared" si="4"/>
        <v>0</v>
      </c>
      <c r="K19" s="489">
        <f t="shared" si="4"/>
        <v>0</v>
      </c>
      <c r="L19" s="489">
        <f t="shared" si="4"/>
        <v>0</v>
      </c>
      <c r="M19" s="489">
        <f t="shared" si="4"/>
        <v>0</v>
      </c>
      <c r="N19" s="489">
        <f t="shared" si="4"/>
        <v>0</v>
      </c>
      <c r="O19" s="659">
        <f>SUM(C19:N19)</f>
        <v>0</v>
      </c>
      <c r="P19" s="478"/>
    </row>
    <row r="20" spans="1:17" ht="15.75" customHeight="1" thickBot="1">
      <c r="A20" s="503" t="str">
        <f>Para1!F175</f>
        <v>Saldo bis Dato</v>
      </c>
      <c r="B20" s="504"/>
      <c r="C20" s="505">
        <f>C19-C14+D11</f>
        <v>-7</v>
      </c>
      <c r="D20" s="505">
        <f>D19-D14+C20</f>
        <v>-14</v>
      </c>
      <c r="E20" s="505">
        <f>E19-E14+D20</f>
        <v>-22.049999999999997</v>
      </c>
      <c r="F20" s="505">
        <f t="shared" ref="F20:N20" si="5">F19-F14+E20</f>
        <v>-29.008333333333329</v>
      </c>
      <c r="G20" s="505">
        <f t="shared" si="5"/>
        <v>-35.61666666666666</v>
      </c>
      <c r="H20" s="505">
        <f t="shared" si="5"/>
        <v>-43.316666666666663</v>
      </c>
      <c r="I20" s="505">
        <f t="shared" si="5"/>
        <v>-51.016666666666666</v>
      </c>
      <c r="J20" s="505">
        <f t="shared" si="5"/>
        <v>-58.716666666666669</v>
      </c>
      <c r="K20" s="505">
        <f t="shared" si="5"/>
        <v>-66.416666666666671</v>
      </c>
      <c r="L20" s="505">
        <f t="shared" si="5"/>
        <v>-73.766666666666666</v>
      </c>
      <c r="M20" s="505">
        <f t="shared" si="5"/>
        <v>-81.466666666666669</v>
      </c>
      <c r="N20" s="505">
        <f t="shared" si="5"/>
        <v>-89.166666666666671</v>
      </c>
      <c r="O20" s="506">
        <f>N20</f>
        <v>-89.166666666666671</v>
      </c>
      <c r="P20" s="478"/>
    </row>
    <row r="21" spans="1:17" ht="5" customHeight="1" thickTop="1" thickBot="1"/>
    <row r="22" spans="1:17" ht="15.75" customHeight="1" thickTop="1">
      <c r="A22" s="483" t="str">
        <f>Para1!F115</f>
        <v>Ferien</v>
      </c>
      <c r="B22" s="468"/>
      <c r="C22" s="484" t="str">
        <f>Para1!F188</f>
        <v>Übertrag Vorjahr</v>
      </c>
      <c r="D22" s="643">
        <f>'Persönliche Daten (pers. data)'!C20</f>
        <v>0</v>
      </c>
      <c r="E22" s="468"/>
      <c r="F22" s="484" t="str">
        <f>Para1!F186</f>
        <v>Treueprämie</v>
      </c>
      <c r="G22" s="643">
        <f>'Persönliche Daten (pers. data)'!C21</f>
        <v>0</v>
      </c>
      <c r="H22" s="468"/>
      <c r="I22" s="468"/>
      <c r="J22" s="468"/>
      <c r="K22" s="468"/>
      <c r="L22" s="468"/>
      <c r="M22" s="468"/>
      <c r="N22" s="468"/>
      <c r="O22" s="485"/>
    </row>
    <row r="23" spans="1:17" ht="15.75" customHeight="1">
      <c r="A23" s="470"/>
      <c r="B23" s="478"/>
      <c r="N23" s="478"/>
      <c r="O23" s="486"/>
    </row>
    <row r="24" spans="1:17" ht="15.75" customHeight="1">
      <c r="A24" s="470" t="str">
        <f>Para1!F154</f>
        <v>Monat</v>
      </c>
      <c r="B24" s="478"/>
      <c r="C24" s="487" t="str">
        <f>Para1!F132</f>
        <v>Januar</v>
      </c>
      <c r="D24" s="487" t="str">
        <f>Para1!F114</f>
        <v>Februar</v>
      </c>
      <c r="E24" s="487" t="str">
        <f>Para1!F147</f>
        <v>März</v>
      </c>
      <c r="F24" s="487" t="str">
        <f>Para1!F85</f>
        <v>April</v>
      </c>
      <c r="G24" s="487" t="str">
        <f>Para1!F146</f>
        <v>Mai</v>
      </c>
      <c r="H24" s="487" t="str">
        <f>Para1!F135</f>
        <v>Juni</v>
      </c>
      <c r="I24" s="487" t="str">
        <f>Para1!F134</f>
        <v>Juli</v>
      </c>
      <c r="J24" s="487" t="str">
        <f>Para1!F94</f>
        <v>August</v>
      </c>
      <c r="K24" s="487" t="str">
        <f>Para1!F172</f>
        <v>September</v>
      </c>
      <c r="L24" s="487" t="str">
        <f>Para1!F167</f>
        <v>Oktober</v>
      </c>
      <c r="M24" s="487" t="str">
        <f>Para1!F164</f>
        <v>November</v>
      </c>
      <c r="N24" s="487" t="str">
        <f>Para1!F105</f>
        <v>Dezember</v>
      </c>
      <c r="O24" s="481" t="str">
        <f>Para1!F184</f>
        <v>Total</v>
      </c>
      <c r="P24" s="478"/>
    </row>
    <row r="25" spans="1:17" ht="15.75" customHeight="1">
      <c r="A25" s="488" t="str">
        <f>Para1!F185</f>
        <v>Ferienguthaben</v>
      </c>
      <c r="B25" s="478"/>
      <c r="C25" s="489" t="e">
        <f>IF($K$2="",0,IF(C9="",0,IF(C9="LE",VLOOKUP(Para1!$C$3,Para1!$B$6:$K$56,10,FALSE),(IF(C9="1-18",VLOOKUP(Para1!$C$3,Para1!$B$6:$K$56,8,FALSE),(IF(C9="19-30",VLOOKUP(Para1!$C$3,Para1!$B$6:$K$56,9,FALSE),IF(C9&lt;19,VLOOKUP(Para1!$C$3,Para1!$B$6:$K$56,8,FALSE),VLOOKUP(Para1!$C$3,Para1!$B$6:$K$56,9,FALSE)))))))))*C8/(100*12)+$D$22+$G$22</f>
        <v>#N/A</v>
      </c>
      <c r="D25" s="489" t="e">
        <f>IF($K$2="",0,IF(D9="",0,IF(D9="LE",VLOOKUP(Para1!$C$3,Para1!$B$6:$K$56,10,FALSE),(IF(D9="1-18",VLOOKUP(Para1!$C$3,Para1!$B$6:$K$56,8,FALSE),(IF(D9="19-30",VLOOKUP(Para1!$C$3,Para1!$B$6:$K$56,9,FALSE),IF(D9&lt;19,VLOOKUP(Para1!$C$3,Para1!$B$6:$K$56,8,FALSE),VLOOKUP(Para1!$C$3,Para1!$B$6:$K$56,9,FALSE)))))))))*D8/(100*12)</f>
        <v>#N/A</v>
      </c>
      <c r="E25" s="489" t="e">
        <f>IF($K$2="",0,IF(E9="",0,IF(E9="LE",VLOOKUP(Para1!$C$3,Para1!$B$6:$K$56,10,FALSE),(IF(E9="1-18",VLOOKUP(Para1!$C$3,Para1!$B$6:$K$56,8,FALSE),(IF(E9="19-30",VLOOKUP(Para1!$C$3,Para1!$B$6:$K$56,9,FALSE),IF(E9&lt;19,VLOOKUP(Para1!$C$3,Para1!$B$6:$K$56,8,FALSE),VLOOKUP(Para1!$C$3,Para1!$B$6:$K$56,9,FALSE)))))))))*E8/(100*12)</f>
        <v>#N/A</v>
      </c>
      <c r="F25" s="489" t="e">
        <f>IF($K$2="",0,IF(F9="",0,IF(F9="LE",VLOOKUP(Para1!$C$3,Para1!$B$6:$K$56,10,FALSE),(IF(F9="1-18",VLOOKUP(Para1!$C$3,Para1!$B$6:$K$56,8,FALSE),(IF(F9="19-30",VLOOKUP(Para1!$C$3,Para1!$B$6:$K$56,9,FALSE),IF(F9&lt;19,VLOOKUP(Para1!$C$3,Para1!$B$6:$K$56,8,FALSE),VLOOKUP(Para1!$C$3,Para1!$B$6:$K$56,9,FALSE)))))))))*F8/(100*12)</f>
        <v>#N/A</v>
      </c>
      <c r="G25" s="489" t="e">
        <f>IF($K$2="",0,IF(G9="",0,IF(G9="LE",VLOOKUP(Para1!$C$3,Para1!$B$6:$K$56,10,FALSE),(IF(G9="1-18",VLOOKUP(Para1!$C$3,Para1!$B$6:$K$56,8,FALSE),(IF(G9="19-30",VLOOKUP(Para1!$C$3,Para1!$B$6:$K$56,9,FALSE),IF(G9&lt;19,VLOOKUP(Para1!$C$3,Para1!$B$6:$K$56,8,FALSE),VLOOKUP(Para1!$C$3,Para1!$B$6:$K$56,9,FALSE)))))))))*G8/(100*12)</f>
        <v>#N/A</v>
      </c>
      <c r="H25" s="489" t="e">
        <f>IF($K$2="",0,IF(H9="",0,IF(H9="LE",VLOOKUP(Para1!$C$3,Para1!$B$6:$K$56,10,FALSE),(IF(H9="1-18",VLOOKUP(Para1!$C$3,Para1!$B$6:$K$56,8,FALSE),(IF(H9="19-30",VLOOKUP(Para1!$C$3,Para1!$B$6:$K$56,9,FALSE),IF(H9&lt;19,VLOOKUP(Para1!$C$3,Para1!$B$6:$K$56,8,FALSE),VLOOKUP(Para1!$C$3,Para1!$B$6:$K$56,9,FALSE)))))))))*H8/(100*12)</f>
        <v>#N/A</v>
      </c>
      <c r="I25" s="489" t="e">
        <f>IF($K$2="",0,IF(I9="",0,IF(I9="LE",VLOOKUP(Para1!$C$3,Para1!$B$6:$K$56,10,FALSE),(IF(I9="1-18",VLOOKUP(Para1!$C$3,Para1!$B$6:$K$56,8,FALSE),(IF(I9="19-30",VLOOKUP(Para1!$C$3,Para1!$B$6:$K$56,9,FALSE),IF(I9&lt;19,VLOOKUP(Para1!$C$3,Para1!$B$6:$K$56,8,FALSE),VLOOKUP(Para1!$C$3,Para1!$B$6:$K$56,9,FALSE)))))))))*I8/(100*12)</f>
        <v>#N/A</v>
      </c>
      <c r="J25" s="489" t="e">
        <f>IF($K$2="",0,IF(J9="",0,IF(J9="LE",VLOOKUP(Para1!$C$3,Para1!$B$6:$K$56,10,FALSE),(IF(J9="1-18",VLOOKUP(Para1!$C$3,Para1!$B$6:$K$56,8,FALSE),(IF(J9="19-30",VLOOKUP(Para1!$C$3,Para1!$B$6:$K$56,9,FALSE),IF(J9&lt;19,VLOOKUP(Para1!$C$3,Para1!$B$6:$K$56,8,FALSE),VLOOKUP(Para1!$C$3,Para1!$B$6:$K$56,9,FALSE)))))))))*J8/(100*12)</f>
        <v>#N/A</v>
      </c>
      <c r="K25" s="489" t="e">
        <f>IF($K$2="",0,IF(K9="",0,IF(K9="LE",VLOOKUP(Para1!$C$3,Para1!$B$6:$K$56,10,FALSE),(IF(K9="1-18",VLOOKUP(Para1!$C$3,Para1!$B$6:$K$56,8,FALSE),(IF(K9="19-30",VLOOKUP(Para1!$C$3,Para1!$B$6:$K$56,9,FALSE),IF(K9&lt;19,VLOOKUP(Para1!$C$3,Para1!$B$6:$K$56,8,FALSE),VLOOKUP(Para1!$C$3,Para1!$B$6:$K$56,9,FALSE)))))))))*K8/(100*12)</f>
        <v>#N/A</v>
      </c>
      <c r="L25" s="489" t="e">
        <f>IF($K$2="",0,IF(L9="",0,IF(L9="LE",VLOOKUP(Para1!$C$3,Para1!$B$6:$K$56,10,FALSE),(IF(L9="1-18",VLOOKUP(Para1!$C$3,Para1!$B$6:$K$56,8,FALSE),(IF(L9="19-30",VLOOKUP(Para1!$C$3,Para1!$B$6:$K$56,9,FALSE),IF(L9&lt;19,VLOOKUP(Para1!$C$3,Para1!$B$6:$K$56,8,FALSE),VLOOKUP(Para1!$C$3,Para1!$B$6:$K$56,9,FALSE)))))))))*L8/(100*12)</f>
        <v>#N/A</v>
      </c>
      <c r="M25" s="489" t="e">
        <f>IF($K$2="",0,IF(M9="",0,IF(M9="LE",VLOOKUP(Para1!$C$3,Para1!$B$6:$K$56,10,FALSE),(IF(M9="1-18",VLOOKUP(Para1!$C$3,Para1!$B$6:$K$56,8,FALSE),(IF(M9="19-30",VLOOKUP(Para1!$C$3,Para1!$B$6:$K$56,9,FALSE),IF(M9&lt;19,VLOOKUP(Para1!$C$3,Para1!$B$6:$K$56,8,FALSE),VLOOKUP(Para1!$C$3,Para1!$B$6:$K$56,9,FALSE)))))))))*M8/(100*12)</f>
        <v>#N/A</v>
      </c>
      <c r="N25" s="489" t="e">
        <f>IF($K$2="",0,IF(N9="",0,IF(N9="LE",VLOOKUP(Para1!$C$3,Para1!$B$6:$K$56,10,FALSE),(IF(N9="1-18",VLOOKUP(Para1!$C$3,Para1!$B$6:$K$56,8,FALSE),(IF(N9="19-30",VLOOKUP(Para1!$C$3,Para1!$B$6:$K$56,9,FALSE),IF(N9&lt;19,VLOOKUP(Para1!$C$3,Para1!$B$6:$K$56,8,FALSE),VLOOKUP(Para1!$C$3,Para1!$B$6:$K$56,9,FALSE)))))))))*N8/(100*12)</f>
        <v>#N/A</v>
      </c>
      <c r="O25" s="507" t="e">
        <f>SUM(C25:N25)</f>
        <v>#N/A</v>
      </c>
      <c r="P25" s="478"/>
    </row>
    <row r="26" spans="1:17" ht="15.75" customHeight="1">
      <c r="A26" s="491" t="str">
        <f>"./. "&amp;Para1!F101</f>
        <v>./. Bezug akt. Monat</v>
      </c>
      <c r="B26" s="492"/>
      <c r="C26" s="493">
        <f>Januar!$I$9</f>
        <v>0</v>
      </c>
      <c r="D26" s="493">
        <f>Februar!$I$9</f>
        <v>0</v>
      </c>
      <c r="E26" s="493">
        <f>Maerz!$I$9</f>
        <v>0</v>
      </c>
      <c r="F26" s="493">
        <f>April!$I$9</f>
        <v>0</v>
      </c>
      <c r="G26" s="493">
        <f>Mai!$I$9</f>
        <v>0</v>
      </c>
      <c r="H26" s="493">
        <f>Juni!$I$9</f>
        <v>0</v>
      </c>
      <c r="I26" s="493">
        <f>Juli!$I$9</f>
        <v>0</v>
      </c>
      <c r="J26" s="493">
        <f>August!$I$9</f>
        <v>0</v>
      </c>
      <c r="K26" s="493">
        <f>September!$I$9</f>
        <v>0</v>
      </c>
      <c r="L26" s="493">
        <f>Oktober!$I$9</f>
        <v>0</v>
      </c>
      <c r="M26" s="493">
        <f>November!$I$9</f>
        <v>0</v>
      </c>
      <c r="N26" s="493">
        <f>Dezember!$I$9</f>
        <v>0</v>
      </c>
      <c r="O26" s="508">
        <f t="shared" ref="O26:O27" si="6">SUM(C26:N26)</f>
        <v>0</v>
      </c>
      <c r="P26" s="524"/>
      <c r="Q26" s="42"/>
    </row>
    <row r="27" spans="1:17" ht="15.75" customHeight="1">
      <c r="A27" s="509" t="str">
        <f>"./. "&amp;Para1!F117</f>
        <v>./. Ferienkürzung</v>
      </c>
      <c r="B27" s="499"/>
      <c r="C27" s="500">
        <f>Januar!$I$10</f>
        <v>0</v>
      </c>
      <c r="D27" s="500">
        <f>Februar!$I$10</f>
        <v>0</v>
      </c>
      <c r="E27" s="500">
        <f>Maerz!$I$10</f>
        <v>0</v>
      </c>
      <c r="F27" s="500">
        <f>April!$I$10</f>
        <v>0</v>
      </c>
      <c r="G27" s="500">
        <f>Mai!$I$10</f>
        <v>0</v>
      </c>
      <c r="H27" s="500">
        <f>Juni!$I$10</f>
        <v>0</v>
      </c>
      <c r="I27" s="500">
        <f>Juli!$I$10</f>
        <v>0</v>
      </c>
      <c r="J27" s="500">
        <f>August!$I$10</f>
        <v>0</v>
      </c>
      <c r="K27" s="500">
        <f>September!$I$10</f>
        <v>0</v>
      </c>
      <c r="L27" s="500">
        <f>Oktober!$I$10</f>
        <v>0</v>
      </c>
      <c r="M27" s="500">
        <f>November!$I$10</f>
        <v>0</v>
      </c>
      <c r="N27" s="500">
        <f>Dezember!$I$10</f>
        <v>0</v>
      </c>
      <c r="O27" s="510">
        <f t="shared" si="6"/>
        <v>0</v>
      </c>
      <c r="P27" s="524"/>
      <c r="Q27" s="42"/>
    </row>
    <row r="28" spans="1:17" ht="15.75" customHeight="1" thickBot="1">
      <c r="A28" s="511" t="str">
        <f>Para1!F175</f>
        <v>Saldo bis Dato</v>
      </c>
      <c r="B28" s="512"/>
      <c r="C28" s="513" t="e">
        <f>$O$25-C26-C27</f>
        <v>#N/A</v>
      </c>
      <c r="D28" s="513" t="e">
        <f>C28-D26-D27</f>
        <v>#N/A</v>
      </c>
      <c r="E28" s="513" t="e">
        <f t="shared" ref="E28:N28" si="7">D28-E26-E27</f>
        <v>#N/A</v>
      </c>
      <c r="F28" s="513" t="e">
        <f t="shared" si="7"/>
        <v>#N/A</v>
      </c>
      <c r="G28" s="513" t="e">
        <f t="shared" si="7"/>
        <v>#N/A</v>
      </c>
      <c r="H28" s="513" t="e">
        <f t="shared" si="7"/>
        <v>#N/A</v>
      </c>
      <c r="I28" s="513" t="e">
        <f t="shared" si="7"/>
        <v>#N/A</v>
      </c>
      <c r="J28" s="513" t="e">
        <f t="shared" si="7"/>
        <v>#N/A</v>
      </c>
      <c r="K28" s="513" t="e">
        <f t="shared" si="7"/>
        <v>#N/A</v>
      </c>
      <c r="L28" s="513" t="e">
        <f t="shared" si="7"/>
        <v>#N/A</v>
      </c>
      <c r="M28" s="513" t="e">
        <f t="shared" si="7"/>
        <v>#N/A</v>
      </c>
      <c r="N28" s="513" t="e">
        <f t="shared" si="7"/>
        <v>#N/A</v>
      </c>
      <c r="O28" s="644" t="e">
        <f>O25-O26-O27</f>
        <v>#N/A</v>
      </c>
      <c r="P28" s="525"/>
      <c r="Q28" s="722"/>
    </row>
    <row r="29" spans="1:17" ht="5" customHeight="1" thickTop="1" thickBot="1">
      <c r="P29" s="524"/>
      <c r="Q29" s="42"/>
    </row>
    <row r="30" spans="1:17" ht="15.75" customHeight="1" thickTop="1">
      <c r="A30" s="483" t="str">
        <f>Para1!F143</f>
        <v>Langzeitkonto</v>
      </c>
      <c r="B30" s="468"/>
      <c r="C30" s="484" t="str">
        <f>Para1!F188</f>
        <v>Übertrag Vorjahr</v>
      </c>
      <c r="D30" s="643">
        <f>'Persönliche Daten (pers. data)'!C24</f>
        <v>0</v>
      </c>
      <c r="E30" s="468"/>
      <c r="F30" s="484" t="str">
        <f>Para1!F179</f>
        <v>Speisung per 01.01.</v>
      </c>
      <c r="G30" s="643">
        <f>'Persönliche Daten (pers. data)'!C25</f>
        <v>0</v>
      </c>
      <c r="H30" s="468"/>
      <c r="I30" s="468"/>
      <c r="J30" s="468"/>
      <c r="K30" s="468"/>
      <c r="L30" s="468"/>
      <c r="M30" s="468"/>
      <c r="N30" s="468"/>
      <c r="O30" s="485"/>
      <c r="P30" s="524"/>
      <c r="Q30" s="42"/>
    </row>
    <row r="31" spans="1:17" ht="15.75" customHeight="1">
      <c r="A31" s="608" t="str">
        <f>IF(OR('Persönliche Daten (pers. data)'!K5="Nein",'Persönliche Daten (pers. data)'!K5="No"),Para1!F163&amp;" "&amp;Para1!F200,"")</f>
        <v>nicht vorhanden</v>
      </c>
      <c r="B31" s="478"/>
      <c r="C31" s="617" t="str">
        <f>IF(AND(OR('Persönliche Daten (pers. data)'!K5="Nein",'Persönliche Daten (pers. data)'!K5="No"),O34&gt;0),Para1!J238,"")</f>
        <v/>
      </c>
      <c r="N31" s="478"/>
      <c r="O31" s="486"/>
      <c r="P31" s="42"/>
      <c r="Q31" s="42"/>
    </row>
    <row r="32" spans="1:17" ht="15.75" customHeight="1">
      <c r="A32" s="470" t="str">
        <f>Para1!F154</f>
        <v>Monat</v>
      </c>
      <c r="B32" s="478"/>
      <c r="C32" s="487" t="str">
        <f>Para1!F132</f>
        <v>Januar</v>
      </c>
      <c r="D32" s="487" t="str">
        <f>Para1!F114</f>
        <v>Februar</v>
      </c>
      <c r="E32" s="487" t="str">
        <f>Para1!F147</f>
        <v>März</v>
      </c>
      <c r="F32" s="487" t="str">
        <f>Para1!F85</f>
        <v>April</v>
      </c>
      <c r="G32" s="487" t="str">
        <f>Para1!F146</f>
        <v>Mai</v>
      </c>
      <c r="H32" s="487" t="str">
        <f>Para1!F135</f>
        <v>Juni</v>
      </c>
      <c r="I32" s="487" t="str">
        <f>Para1!F134</f>
        <v>Juli</v>
      </c>
      <c r="J32" s="487" t="str">
        <f>Para1!F94</f>
        <v>August</v>
      </c>
      <c r="K32" s="487" t="str">
        <f>Para1!F172</f>
        <v>September</v>
      </c>
      <c r="L32" s="487" t="str">
        <f>Para1!F167</f>
        <v>Oktober</v>
      </c>
      <c r="M32" s="487" t="str">
        <f>Para1!F164</f>
        <v>November</v>
      </c>
      <c r="N32" s="487" t="str">
        <f>Para1!F105</f>
        <v>Dezember</v>
      </c>
      <c r="O32" s="481" t="str">
        <f>Para1!F184</f>
        <v>Total</v>
      </c>
      <c r="P32" s="524"/>
      <c r="Q32" s="42"/>
    </row>
    <row r="33" spans="1:17" ht="15.75" customHeight="1">
      <c r="A33" s="488" t="str">
        <f>Para1!F144</f>
        <v>Langzeitkontoguthaben</v>
      </c>
      <c r="B33" s="478"/>
      <c r="C33" s="496"/>
      <c r="D33" s="496"/>
      <c r="E33" s="496"/>
      <c r="F33" s="496"/>
      <c r="G33" s="496"/>
      <c r="H33" s="496"/>
      <c r="I33" s="496"/>
      <c r="J33" s="496"/>
      <c r="K33" s="496"/>
      <c r="L33" s="496"/>
      <c r="M33" s="496"/>
      <c r="N33" s="496"/>
      <c r="O33" s="507">
        <f>D30+G30</f>
        <v>0</v>
      </c>
      <c r="P33" s="42"/>
      <c r="Q33" s="42"/>
    </row>
    <row r="34" spans="1:17" ht="15.75" customHeight="1">
      <c r="A34" s="514" t="str">
        <f>"./. "&amp;Para1!F101</f>
        <v>./. Bezug akt. Monat</v>
      </c>
      <c r="B34" s="515"/>
      <c r="C34" s="516">
        <f>Januar!$I$16</f>
        <v>0</v>
      </c>
      <c r="D34" s="516">
        <f>Februar!$I$16</f>
        <v>0</v>
      </c>
      <c r="E34" s="516">
        <f>Maerz!$I$16</f>
        <v>0</v>
      </c>
      <c r="F34" s="516">
        <f>April!$I$16</f>
        <v>0</v>
      </c>
      <c r="G34" s="516">
        <f>Mai!$I$16</f>
        <v>0</v>
      </c>
      <c r="H34" s="516">
        <f>Juni!$I$16</f>
        <v>0</v>
      </c>
      <c r="I34" s="516">
        <f>Juli!$I$16</f>
        <v>0</v>
      </c>
      <c r="J34" s="516">
        <f>August!$I$16</f>
        <v>0</v>
      </c>
      <c r="K34" s="516">
        <f>September!$I$16</f>
        <v>0</v>
      </c>
      <c r="L34" s="516">
        <f>Oktober!$I$16</f>
        <v>0</v>
      </c>
      <c r="M34" s="516">
        <f>November!$I$16</f>
        <v>0</v>
      </c>
      <c r="N34" s="516">
        <f>Dezember!$I$16</f>
        <v>0</v>
      </c>
      <c r="O34" s="517">
        <f>SUM(C34:N34)</f>
        <v>0</v>
      </c>
      <c r="P34" s="42"/>
      <c r="Q34" s="42"/>
    </row>
    <row r="35" spans="1:17" ht="15.75" customHeight="1" thickBot="1">
      <c r="A35" s="511" t="str">
        <f>Para1!F175</f>
        <v>Saldo bis Dato</v>
      </c>
      <c r="B35" s="512"/>
      <c r="C35" s="513">
        <f>$O$33-C34</f>
        <v>0</v>
      </c>
      <c r="D35" s="513">
        <f>C35-D34</f>
        <v>0</v>
      </c>
      <c r="E35" s="513">
        <f t="shared" ref="E35:N35" si="8">D35-E34</f>
        <v>0</v>
      </c>
      <c r="F35" s="513">
        <f t="shared" si="8"/>
        <v>0</v>
      </c>
      <c r="G35" s="513">
        <f t="shared" si="8"/>
        <v>0</v>
      </c>
      <c r="H35" s="513">
        <f t="shared" si="8"/>
        <v>0</v>
      </c>
      <c r="I35" s="513">
        <f t="shared" si="8"/>
        <v>0</v>
      </c>
      <c r="J35" s="513">
        <f t="shared" si="8"/>
        <v>0</v>
      </c>
      <c r="K35" s="513">
        <f t="shared" si="8"/>
        <v>0</v>
      </c>
      <c r="L35" s="513">
        <f t="shared" si="8"/>
        <v>0</v>
      </c>
      <c r="M35" s="513">
        <f t="shared" si="8"/>
        <v>0</v>
      </c>
      <c r="N35" s="513">
        <f t="shared" si="8"/>
        <v>0</v>
      </c>
      <c r="O35" s="644">
        <f>O33-O34</f>
        <v>0</v>
      </c>
      <c r="P35" s="723"/>
      <c r="Q35" s="42"/>
    </row>
    <row r="36" spans="1:17" ht="5" customHeight="1" thickTop="1" thickBot="1">
      <c r="P36" s="42"/>
      <c r="Q36" s="42"/>
    </row>
    <row r="37" spans="1:17" ht="15.75" customHeight="1" thickTop="1">
      <c r="A37" s="483" t="str">
        <f>Para1!F136</f>
        <v>Kompensation</v>
      </c>
      <c r="B37" s="468"/>
      <c r="C37" s="468"/>
      <c r="D37" s="468"/>
      <c r="E37" s="468"/>
      <c r="F37" s="468"/>
      <c r="G37" s="468"/>
      <c r="H37" s="468"/>
      <c r="I37" s="468"/>
      <c r="J37" s="468"/>
      <c r="K37" s="468"/>
      <c r="L37" s="468"/>
      <c r="M37" s="468"/>
      <c r="N37" s="468"/>
      <c r="O37" s="485"/>
      <c r="P37" s="42"/>
      <c r="Q37" s="42"/>
    </row>
    <row r="38" spans="1:17" ht="10" customHeight="1">
      <c r="A38" s="470"/>
      <c r="B38" s="478"/>
      <c r="C38" s="478"/>
      <c r="D38" s="478"/>
      <c r="E38" s="478"/>
      <c r="F38" s="478"/>
      <c r="G38" s="478"/>
      <c r="H38" s="478"/>
      <c r="I38" s="478"/>
      <c r="J38" s="478"/>
      <c r="K38" s="478"/>
      <c r="L38" s="478"/>
      <c r="M38" s="478"/>
      <c r="N38" s="478"/>
      <c r="O38" s="486"/>
      <c r="P38" s="42"/>
      <c r="Q38" s="42"/>
    </row>
    <row r="39" spans="1:17" ht="15.75" customHeight="1">
      <c r="A39" s="470" t="str">
        <f>Para1!F154</f>
        <v>Monat</v>
      </c>
      <c r="B39" s="478"/>
      <c r="C39" s="487" t="str">
        <f>Para1!F132</f>
        <v>Januar</v>
      </c>
      <c r="D39" s="487" t="str">
        <f>Para1!F114</f>
        <v>Februar</v>
      </c>
      <c r="E39" s="487" t="str">
        <f>Para1!F147</f>
        <v>März</v>
      </c>
      <c r="F39" s="487" t="str">
        <f>Para1!F85</f>
        <v>April</v>
      </c>
      <c r="G39" s="487" t="str">
        <f>Para1!F146</f>
        <v>Mai</v>
      </c>
      <c r="H39" s="487" t="str">
        <f>Para1!F135</f>
        <v>Juni</v>
      </c>
      <c r="I39" s="487" t="str">
        <f>Para1!F134</f>
        <v>Juli</v>
      </c>
      <c r="J39" s="487" t="str">
        <f>Para1!F94</f>
        <v>August</v>
      </c>
      <c r="K39" s="487" t="str">
        <f>Para1!F172</f>
        <v>September</v>
      </c>
      <c r="L39" s="487" t="str">
        <f>Para1!F167</f>
        <v>Oktober</v>
      </c>
      <c r="M39" s="487" t="str">
        <f>Para1!F164</f>
        <v>November</v>
      </c>
      <c r="N39" s="487" t="str">
        <f>Para1!F105</f>
        <v>Dezember</v>
      </c>
      <c r="O39" s="481" t="str">
        <f>Para1!F184</f>
        <v>Total</v>
      </c>
      <c r="P39" s="478"/>
    </row>
    <row r="40" spans="1:17" ht="15.75" customHeight="1">
      <c r="A40" s="509" t="str">
        <f>Para1!F133</f>
        <v>JAZ-Kompensation</v>
      </c>
      <c r="B40" s="499"/>
      <c r="C40" s="500">
        <f>Januar!$N$8</f>
        <v>0</v>
      </c>
      <c r="D40" s="500">
        <f>Februar!$N$8</f>
        <v>0</v>
      </c>
      <c r="E40" s="500">
        <f>Maerz!$N$8</f>
        <v>0</v>
      </c>
      <c r="F40" s="500">
        <f>April!$N$8</f>
        <v>0</v>
      </c>
      <c r="G40" s="500">
        <f>Mai!$N$8</f>
        <v>0</v>
      </c>
      <c r="H40" s="500">
        <f>Juni!$N$8</f>
        <v>0</v>
      </c>
      <c r="I40" s="500">
        <f>Juli!$N$8</f>
        <v>0</v>
      </c>
      <c r="J40" s="500">
        <f>August!$N$8</f>
        <v>0</v>
      </c>
      <c r="K40" s="500">
        <f>September!$N$8</f>
        <v>0</v>
      </c>
      <c r="L40" s="500">
        <f>Oktober!$N$8</f>
        <v>0</v>
      </c>
      <c r="M40" s="500">
        <f>November!$N$8</f>
        <v>0</v>
      </c>
      <c r="N40" s="500">
        <f>Dezember!$N$8</f>
        <v>0</v>
      </c>
      <c r="O40" s="510">
        <f>SUM(C40:N40)</f>
        <v>0</v>
      </c>
    </row>
    <row r="41" spans="1:17" ht="15.75" customHeight="1" thickBot="1">
      <c r="A41" s="511" t="str">
        <f>Para1!F181</f>
        <v>Summe bis Dato</v>
      </c>
      <c r="B41" s="512"/>
      <c r="C41" s="513">
        <f>C40</f>
        <v>0</v>
      </c>
      <c r="D41" s="513">
        <f>D40+C41</f>
        <v>0</v>
      </c>
      <c r="E41" s="513">
        <f t="shared" ref="E41:N41" si="9">E40+D41</f>
        <v>0</v>
      </c>
      <c r="F41" s="513">
        <f t="shared" si="9"/>
        <v>0</v>
      </c>
      <c r="G41" s="513">
        <f t="shared" si="9"/>
        <v>0</v>
      </c>
      <c r="H41" s="513">
        <f t="shared" si="9"/>
        <v>0</v>
      </c>
      <c r="I41" s="513">
        <f t="shared" si="9"/>
        <v>0</v>
      </c>
      <c r="J41" s="513">
        <f t="shared" si="9"/>
        <v>0</v>
      </c>
      <c r="K41" s="513">
        <f t="shared" si="9"/>
        <v>0</v>
      </c>
      <c r="L41" s="513">
        <f t="shared" si="9"/>
        <v>0</v>
      </c>
      <c r="M41" s="513">
        <f t="shared" si="9"/>
        <v>0</v>
      </c>
      <c r="N41" s="513">
        <f t="shared" si="9"/>
        <v>0</v>
      </c>
      <c r="O41" s="518">
        <f>O40</f>
        <v>0</v>
      </c>
    </row>
    <row r="42" spans="1:17" ht="5" customHeight="1" thickTop="1" thickBot="1"/>
    <row r="43" spans="1:17" ht="15.75" customHeight="1" thickTop="1">
      <c r="A43" s="483" t="str">
        <f>Para1!F83</f>
        <v>Absenzen</v>
      </c>
      <c r="B43" s="468"/>
      <c r="C43" s="468"/>
      <c r="D43" s="468"/>
      <c r="E43" s="468"/>
      <c r="F43" s="468"/>
      <c r="G43" s="468"/>
      <c r="H43" s="468"/>
      <c r="I43" s="468"/>
      <c r="J43" s="468"/>
      <c r="K43" s="468"/>
      <c r="L43" s="468"/>
      <c r="M43" s="468"/>
      <c r="N43" s="468"/>
      <c r="O43" s="485"/>
    </row>
    <row r="44" spans="1:17" ht="10" customHeight="1">
      <c r="A44" s="488"/>
      <c r="B44" s="478"/>
      <c r="C44" s="478"/>
      <c r="D44" s="478"/>
      <c r="E44" s="478"/>
      <c r="F44" s="478"/>
      <c r="G44" s="478"/>
      <c r="H44" s="478"/>
      <c r="I44" s="478"/>
      <c r="J44" s="478"/>
      <c r="K44" s="478"/>
      <c r="L44" s="478"/>
      <c r="M44" s="478"/>
      <c r="N44" s="478"/>
      <c r="O44" s="486"/>
    </row>
    <row r="45" spans="1:17" ht="15.75" customHeight="1">
      <c r="A45" s="470" t="str">
        <f>Para1!F154</f>
        <v>Monat</v>
      </c>
      <c r="B45" s="478"/>
      <c r="C45" s="487" t="str">
        <f>Para1!F132</f>
        <v>Januar</v>
      </c>
      <c r="D45" s="487" t="str">
        <f>Para1!F114</f>
        <v>Februar</v>
      </c>
      <c r="E45" s="487" t="str">
        <f>Para1!F147</f>
        <v>März</v>
      </c>
      <c r="F45" s="487" t="str">
        <f>Para1!F85</f>
        <v>April</v>
      </c>
      <c r="G45" s="487" t="str">
        <f>Para1!F146</f>
        <v>Mai</v>
      </c>
      <c r="H45" s="487" t="str">
        <f>Para1!F135</f>
        <v>Juni</v>
      </c>
      <c r="I45" s="487" t="str">
        <f>Para1!F134</f>
        <v>Juli</v>
      </c>
      <c r="J45" s="487" t="str">
        <f>Para1!F94</f>
        <v>August</v>
      </c>
      <c r="K45" s="487" t="str">
        <f>Para1!F172</f>
        <v>September</v>
      </c>
      <c r="L45" s="487" t="str">
        <f>Para1!F167</f>
        <v>Oktober</v>
      </c>
      <c r="M45" s="487" t="str">
        <f>Para1!F164</f>
        <v>November</v>
      </c>
      <c r="N45" s="487" t="str">
        <f>Para1!F105</f>
        <v>Dezember</v>
      </c>
      <c r="O45" s="481" t="str">
        <f>Para1!F184</f>
        <v>Total</v>
      </c>
      <c r="P45" s="478"/>
    </row>
    <row r="46" spans="1:17" ht="15.75" customHeight="1">
      <c r="A46" s="519" t="str">
        <f>Para1!F139</f>
        <v>Krankheit</v>
      </c>
      <c r="B46" s="520"/>
      <c r="C46" s="521">
        <f>Januar!$W8</f>
        <v>0</v>
      </c>
      <c r="D46" s="521">
        <f>Februar!$W8</f>
        <v>0</v>
      </c>
      <c r="E46" s="521">
        <f>Maerz!$W8</f>
        <v>0</v>
      </c>
      <c r="F46" s="521">
        <f>April!$W8</f>
        <v>0</v>
      </c>
      <c r="G46" s="521">
        <f>Mai!$W8</f>
        <v>0</v>
      </c>
      <c r="H46" s="521">
        <f>Juni!$W8</f>
        <v>0</v>
      </c>
      <c r="I46" s="521">
        <f>Juli!$W8</f>
        <v>0</v>
      </c>
      <c r="J46" s="521">
        <f>August!$W8</f>
        <v>0</v>
      </c>
      <c r="K46" s="521">
        <f>September!$W8</f>
        <v>0</v>
      </c>
      <c r="L46" s="521">
        <f>Oktober!$W8</f>
        <v>0</v>
      </c>
      <c r="M46" s="521">
        <f>November!$W8</f>
        <v>0</v>
      </c>
      <c r="N46" s="521">
        <f>Dezember!$W8</f>
        <v>0</v>
      </c>
      <c r="O46" s="522">
        <f>SUM(C46:N46)</f>
        <v>0</v>
      </c>
    </row>
    <row r="47" spans="1:17" ht="15.75" customHeight="1">
      <c r="A47" s="523" t="str">
        <f>Para1!F196&amp;" "&amp;Para1!F98</f>
        <v>Unfall betriebsbedingt</v>
      </c>
      <c r="B47" s="524"/>
      <c r="C47" s="525">
        <f>Januar!$W9</f>
        <v>0</v>
      </c>
      <c r="D47" s="525">
        <f>Februar!$W9</f>
        <v>0</v>
      </c>
      <c r="E47" s="525">
        <f>Maerz!$W9</f>
        <v>0</v>
      </c>
      <c r="F47" s="525">
        <f>April!$W9</f>
        <v>0</v>
      </c>
      <c r="G47" s="525">
        <f>Mai!$W9</f>
        <v>0</v>
      </c>
      <c r="H47" s="525">
        <f>Juni!$W9</f>
        <v>0</v>
      </c>
      <c r="I47" s="525">
        <f>Juli!$W9</f>
        <v>0</v>
      </c>
      <c r="J47" s="525">
        <f>August!$W9</f>
        <v>0</v>
      </c>
      <c r="K47" s="525">
        <f>September!$W9</f>
        <v>0</v>
      </c>
      <c r="L47" s="525">
        <f>Oktober!$W9</f>
        <v>0</v>
      </c>
      <c r="M47" s="525">
        <f>November!$W9</f>
        <v>0</v>
      </c>
      <c r="N47" s="525">
        <f>Dezember!$W9</f>
        <v>0</v>
      </c>
      <c r="O47" s="490">
        <f t="shared" ref="O47:O55" si="10">SUM(C47:N47)</f>
        <v>0</v>
      </c>
    </row>
    <row r="48" spans="1:17" ht="15.75" customHeight="1">
      <c r="A48" s="526" t="str">
        <f>Para1!F196&amp;" "&amp;Para1!F163&amp;" "&amp;Para1!F98</f>
        <v>Unfall nicht betriebsbedingt</v>
      </c>
      <c r="B48" s="520"/>
      <c r="C48" s="521">
        <f>Januar!$W10</f>
        <v>0</v>
      </c>
      <c r="D48" s="521">
        <f>Februar!$W10</f>
        <v>0</v>
      </c>
      <c r="E48" s="521">
        <f>Maerz!$W10</f>
        <v>0</v>
      </c>
      <c r="F48" s="521">
        <f>April!$W10</f>
        <v>0</v>
      </c>
      <c r="G48" s="521">
        <f>Mai!$W10</f>
        <v>0</v>
      </c>
      <c r="H48" s="521">
        <f>Juni!$W10</f>
        <v>0</v>
      </c>
      <c r="I48" s="521">
        <f>Juli!$W10</f>
        <v>0</v>
      </c>
      <c r="J48" s="521">
        <f>August!$W10</f>
        <v>0</v>
      </c>
      <c r="K48" s="521">
        <f>September!$W10</f>
        <v>0</v>
      </c>
      <c r="L48" s="521">
        <f>Oktober!$W10</f>
        <v>0</v>
      </c>
      <c r="M48" s="521">
        <f>November!$W10</f>
        <v>0</v>
      </c>
      <c r="N48" s="521">
        <f>Dezember!$W10</f>
        <v>0</v>
      </c>
      <c r="O48" s="522">
        <f t="shared" si="10"/>
        <v>0</v>
      </c>
    </row>
    <row r="49" spans="1:15" ht="15.75" customHeight="1">
      <c r="A49" s="523" t="str">
        <f>Para1!F140</f>
        <v>Kurzurlaub</v>
      </c>
      <c r="B49" s="524"/>
      <c r="C49" s="525">
        <f>Januar!$W11</f>
        <v>0</v>
      </c>
      <c r="D49" s="525">
        <f>Februar!$W11</f>
        <v>0</v>
      </c>
      <c r="E49" s="525">
        <f>Maerz!$W11</f>
        <v>0</v>
      </c>
      <c r="F49" s="525">
        <f>April!$W11</f>
        <v>0</v>
      </c>
      <c r="G49" s="525">
        <f>Mai!$W11</f>
        <v>0</v>
      </c>
      <c r="H49" s="525">
        <f>Juni!$W11</f>
        <v>0</v>
      </c>
      <c r="I49" s="525">
        <f>Juli!$W11</f>
        <v>0</v>
      </c>
      <c r="J49" s="525">
        <f>August!$W11</f>
        <v>0</v>
      </c>
      <c r="K49" s="525">
        <f>September!$W11</f>
        <v>0</v>
      </c>
      <c r="L49" s="525">
        <f>Oktober!$W11</f>
        <v>0</v>
      </c>
      <c r="M49" s="525">
        <f>November!$W11</f>
        <v>0</v>
      </c>
      <c r="N49" s="525">
        <f>Dezember!$W11</f>
        <v>0</v>
      </c>
      <c r="O49" s="490">
        <f t="shared" si="10"/>
        <v>0</v>
      </c>
    </row>
    <row r="50" spans="1:15" ht="15.75" customHeight="1">
      <c r="A50" s="519" t="str">
        <f>Para1!F206</f>
        <v>Weiterbildung auf Arbeitszeit</v>
      </c>
      <c r="B50" s="520"/>
      <c r="C50" s="521">
        <f>Januar!$W12</f>
        <v>0</v>
      </c>
      <c r="D50" s="521">
        <f>Februar!$W12</f>
        <v>0</v>
      </c>
      <c r="E50" s="521">
        <f>Maerz!$W12</f>
        <v>0</v>
      </c>
      <c r="F50" s="521">
        <f>April!$W12</f>
        <v>0</v>
      </c>
      <c r="G50" s="521">
        <f>Mai!$W12</f>
        <v>0</v>
      </c>
      <c r="H50" s="521">
        <f>Juni!$W12</f>
        <v>0</v>
      </c>
      <c r="I50" s="521">
        <f>Juli!$W12</f>
        <v>0</v>
      </c>
      <c r="J50" s="521">
        <f>August!$W12</f>
        <v>0</v>
      </c>
      <c r="K50" s="521">
        <f>September!$W12</f>
        <v>0</v>
      </c>
      <c r="L50" s="521">
        <f>Oktober!$W12</f>
        <v>0</v>
      </c>
      <c r="M50" s="521">
        <f>November!$W12</f>
        <v>0</v>
      </c>
      <c r="N50" s="521">
        <f>Dezember!$W12</f>
        <v>0</v>
      </c>
      <c r="O50" s="522">
        <f t="shared" si="10"/>
        <v>0</v>
      </c>
    </row>
    <row r="51" spans="1:15" ht="15.75" customHeight="1">
      <c r="A51" s="523" t="str">
        <f>Para1!F165</f>
        <v>Öffentliches Amt</v>
      </c>
      <c r="B51" s="524"/>
      <c r="C51" s="525">
        <f>Januar!$W13</f>
        <v>0</v>
      </c>
      <c r="D51" s="525">
        <f>Februar!$W13</f>
        <v>0</v>
      </c>
      <c r="E51" s="525">
        <f>Maerz!$W13</f>
        <v>0</v>
      </c>
      <c r="F51" s="525">
        <f>April!$W13</f>
        <v>0</v>
      </c>
      <c r="G51" s="525">
        <f>Mai!$W13</f>
        <v>0</v>
      </c>
      <c r="H51" s="525">
        <f>Juni!$W13</f>
        <v>0</v>
      </c>
      <c r="I51" s="525">
        <f>Juli!$W13</f>
        <v>0</v>
      </c>
      <c r="J51" s="525">
        <f>August!$W13</f>
        <v>0</v>
      </c>
      <c r="K51" s="525">
        <f>September!$W13</f>
        <v>0</v>
      </c>
      <c r="L51" s="525">
        <f>Oktober!$W13</f>
        <v>0</v>
      </c>
      <c r="M51" s="525">
        <f>November!$W13</f>
        <v>0</v>
      </c>
      <c r="N51" s="525">
        <f>Dezember!$W13</f>
        <v>0</v>
      </c>
      <c r="O51" s="490">
        <f t="shared" si="10"/>
        <v>0</v>
      </c>
    </row>
    <row r="52" spans="1:15" ht="15.75" customHeight="1">
      <c r="A52" s="519" t="str">
        <f>Para1!F198&amp;" "&amp;Para1!F100</f>
        <v>Urlaub bezahlt</v>
      </c>
      <c r="B52" s="520"/>
      <c r="C52" s="521">
        <f>Januar!$W14</f>
        <v>0</v>
      </c>
      <c r="D52" s="521">
        <f>Februar!$W14</f>
        <v>0</v>
      </c>
      <c r="E52" s="521">
        <f>Maerz!$W14</f>
        <v>0</v>
      </c>
      <c r="F52" s="521">
        <f>April!$W14</f>
        <v>0</v>
      </c>
      <c r="G52" s="521">
        <f>Mai!$W14</f>
        <v>0</v>
      </c>
      <c r="H52" s="521">
        <f>Juni!$W14</f>
        <v>0</v>
      </c>
      <c r="I52" s="521">
        <f>Juli!$W14</f>
        <v>0</v>
      </c>
      <c r="J52" s="521">
        <f>August!$W14</f>
        <v>0</v>
      </c>
      <c r="K52" s="521">
        <f>September!$W14</f>
        <v>0</v>
      </c>
      <c r="L52" s="521">
        <f>Oktober!$W14</f>
        <v>0</v>
      </c>
      <c r="M52" s="521">
        <f>November!$W14</f>
        <v>0</v>
      </c>
      <c r="N52" s="521">
        <f>Dezember!$W14</f>
        <v>0</v>
      </c>
      <c r="O52" s="522">
        <f t="shared" si="10"/>
        <v>0</v>
      </c>
    </row>
    <row r="53" spans="1:15" ht="15.75" customHeight="1">
      <c r="A53" s="523" t="str">
        <f>Para1!F198&amp;" "&amp;Para1!F194</f>
        <v>Urlaub unbezahlt</v>
      </c>
      <c r="B53" s="524"/>
      <c r="C53" s="525">
        <f>Januar!$W15</f>
        <v>0</v>
      </c>
      <c r="D53" s="525">
        <f>Februar!$W15</f>
        <v>0</v>
      </c>
      <c r="E53" s="525">
        <f>Maerz!$W15</f>
        <v>0</v>
      </c>
      <c r="F53" s="525">
        <f>April!$W15</f>
        <v>0</v>
      </c>
      <c r="G53" s="525">
        <f>Mai!$W15</f>
        <v>0</v>
      </c>
      <c r="H53" s="525">
        <f>Juni!$W15</f>
        <v>0</v>
      </c>
      <c r="I53" s="525">
        <f>Juli!$W15</f>
        <v>0</v>
      </c>
      <c r="J53" s="525">
        <f>August!$W15</f>
        <v>0</v>
      </c>
      <c r="K53" s="525">
        <f>September!$W15</f>
        <v>0</v>
      </c>
      <c r="L53" s="525">
        <f>Oktober!$W15</f>
        <v>0</v>
      </c>
      <c r="M53" s="525">
        <f>November!$W15</f>
        <v>0</v>
      </c>
      <c r="N53" s="525">
        <f>Dezember!$W15</f>
        <v>0</v>
      </c>
      <c r="O53" s="490">
        <f t="shared" si="10"/>
        <v>0</v>
      </c>
    </row>
    <row r="54" spans="1:15" ht="15.75" customHeight="1">
      <c r="A54" s="519" t="str">
        <f>Para1!F157</f>
        <v>Mutter- und Vaterschaftsurlaub</v>
      </c>
      <c r="B54" s="520"/>
      <c r="C54" s="521">
        <f>Januar!$W16</f>
        <v>0</v>
      </c>
      <c r="D54" s="521">
        <f>Februar!$W16</f>
        <v>0</v>
      </c>
      <c r="E54" s="521">
        <f>Maerz!$W16</f>
        <v>0</v>
      </c>
      <c r="F54" s="521">
        <f>April!$W16</f>
        <v>0</v>
      </c>
      <c r="G54" s="521">
        <f>Mai!$W16</f>
        <v>0</v>
      </c>
      <c r="H54" s="521">
        <f>Juni!$W16</f>
        <v>0</v>
      </c>
      <c r="I54" s="521">
        <f>Juli!$W16</f>
        <v>0</v>
      </c>
      <c r="J54" s="521">
        <f>August!$W16</f>
        <v>0</v>
      </c>
      <c r="K54" s="521">
        <f>September!$W16</f>
        <v>0</v>
      </c>
      <c r="L54" s="521">
        <f>Oktober!$W16</f>
        <v>0</v>
      </c>
      <c r="M54" s="521">
        <f>November!$W16</f>
        <v>0</v>
      </c>
      <c r="N54" s="521">
        <f>Dezember!$W16</f>
        <v>0</v>
      </c>
      <c r="O54" s="522">
        <f t="shared" si="10"/>
        <v>0</v>
      </c>
    </row>
    <row r="55" spans="1:15" ht="15.75" customHeight="1">
      <c r="A55" s="523" t="str">
        <f>Para1!F149</f>
        <v>Militär/Zivilsch./Zivildienst</v>
      </c>
      <c r="B55" s="524"/>
      <c r="C55" s="525">
        <f>Januar!$W17</f>
        <v>0</v>
      </c>
      <c r="D55" s="525">
        <f>Februar!$W17</f>
        <v>0</v>
      </c>
      <c r="E55" s="525">
        <f>Maerz!$W17</f>
        <v>0</v>
      </c>
      <c r="F55" s="525">
        <f>April!$W17</f>
        <v>0</v>
      </c>
      <c r="G55" s="525">
        <f>Mai!$W17</f>
        <v>0</v>
      </c>
      <c r="H55" s="525">
        <f>Juni!$W17</f>
        <v>0</v>
      </c>
      <c r="I55" s="525">
        <f>Juli!$W17</f>
        <v>0</v>
      </c>
      <c r="J55" s="525">
        <f>August!$W17</f>
        <v>0</v>
      </c>
      <c r="K55" s="525">
        <f>September!$W17</f>
        <v>0</v>
      </c>
      <c r="L55" s="525">
        <f>Oktober!$W17</f>
        <v>0</v>
      </c>
      <c r="M55" s="525">
        <f>November!$W17</f>
        <v>0</v>
      </c>
      <c r="N55" s="525">
        <f>Dezember!$W17</f>
        <v>0</v>
      </c>
      <c r="O55" s="490">
        <f t="shared" si="10"/>
        <v>0</v>
      </c>
    </row>
    <row r="56" spans="1:15" ht="15.75" customHeight="1" thickBot="1">
      <c r="A56" s="503" t="str">
        <f>Para1!F184</f>
        <v>Total</v>
      </c>
      <c r="B56" s="504"/>
      <c r="C56" s="505">
        <f>SUM(C46:C55)</f>
        <v>0</v>
      </c>
      <c r="D56" s="505">
        <f t="shared" ref="D56:N56" si="11">SUM(D46:D55)</f>
        <v>0</v>
      </c>
      <c r="E56" s="505">
        <f t="shared" si="11"/>
        <v>0</v>
      </c>
      <c r="F56" s="505">
        <f t="shared" si="11"/>
        <v>0</v>
      </c>
      <c r="G56" s="505">
        <f t="shared" si="11"/>
        <v>0</v>
      </c>
      <c r="H56" s="505">
        <f t="shared" si="11"/>
        <v>0</v>
      </c>
      <c r="I56" s="505">
        <f t="shared" si="11"/>
        <v>0</v>
      </c>
      <c r="J56" s="505">
        <f t="shared" si="11"/>
        <v>0</v>
      </c>
      <c r="K56" s="505">
        <f t="shared" si="11"/>
        <v>0</v>
      </c>
      <c r="L56" s="505">
        <f t="shared" si="11"/>
        <v>0</v>
      </c>
      <c r="M56" s="505">
        <f t="shared" si="11"/>
        <v>0</v>
      </c>
      <c r="N56" s="505">
        <f t="shared" si="11"/>
        <v>0</v>
      </c>
      <c r="O56" s="742"/>
    </row>
    <row r="57" spans="1:15" ht="15.75" customHeight="1" thickTop="1">
      <c r="O57" s="479" t="str">
        <f>Para1!G2</f>
        <v>AZE v1_01 02.12.2020</v>
      </c>
    </row>
    <row r="58" spans="1:15" s="31" customFormat="1" ht="15.75" customHeight="1">
      <c r="A58" s="419" t="str">
        <f>Para1!F104</f>
        <v>Datum</v>
      </c>
      <c r="B58" s="527"/>
      <c r="D58" s="56" t="str">
        <f>Para1!F197&amp;" "&amp;Para1!F152</f>
        <v>Unterschrift Mitarbeiter/In</v>
      </c>
      <c r="E58" s="55"/>
      <c r="F58" s="55"/>
      <c r="G58" s="844"/>
      <c r="H58" s="844"/>
      <c r="I58" s="55"/>
      <c r="J58" s="57" t="str">
        <f>Para1!F197&amp;" "&amp;Para1!F199</f>
        <v>Unterschrift Vorgesetzter</v>
      </c>
      <c r="K58" s="55"/>
      <c r="L58" s="58"/>
      <c r="M58" s="845"/>
      <c r="N58" s="845"/>
    </row>
  </sheetData>
  <sheetProtection password="CC4A" sheet="1" objects="1" scenarios="1"/>
  <mergeCells count="12">
    <mergeCell ref="A1:B1"/>
    <mergeCell ref="K4:M5"/>
    <mergeCell ref="A8:B8"/>
    <mergeCell ref="A9:B9"/>
    <mergeCell ref="G58:H58"/>
    <mergeCell ref="M58:N58"/>
    <mergeCell ref="A2:B2"/>
    <mergeCell ref="C2:D2"/>
    <mergeCell ref="G2:H2"/>
    <mergeCell ref="A4:B4"/>
    <mergeCell ref="E4:F4"/>
    <mergeCell ref="G4:H4"/>
  </mergeCells>
  <conditionalFormatting sqref="C16:N18 C26:N27 C34:N34 C40:N40 C46:N55">
    <cfRule type="cellIs" dxfId="135" priority="3" operator="equal">
      <formula>0</formula>
    </cfRule>
  </conditionalFormatting>
  <pageMargins left="0.70866141732283472" right="0.70866141732283472" top="0.74803149606299213" bottom="0.74803149606299213" header="0.31496062992125984" footer="0.31496062992125984"/>
  <pageSetup paperSize="9" scale="59" orientation="landscape" r:id="rId1"/>
  <headerFooter>
    <oddHeader>&amp;C&amp;"Arial,Fett Kursiv"&amp;16Zeiterfassung -  &amp;A</oddHeader>
    <oddFooter>&amp;L&amp;Z&amp;F</oddFooter>
  </headerFooter>
  <extLst>
    <ext xmlns:x14="http://schemas.microsoft.com/office/spreadsheetml/2009/9/main" uri="{78C0D931-6437-407d-A8EE-F0AAD7539E65}">
      <x14:conditionalFormattings>
        <x14:conditionalFormatting xmlns:xm="http://schemas.microsoft.com/office/excel/2006/main">
          <x14:cfRule type="expression" priority="2" id="{ED1B590C-3FDB-4E13-B17C-B60E5C3926CD}">
            <xm:f>OR('Persönliche Daten (pers. data)'!$K$5="Nein",'Persönliche Daten (pers. data)'!$K$5="no")</xm:f>
            <x14:dxf>
              <font>
                <color theme="0"/>
              </font>
              <fill>
                <patternFill patternType="none">
                  <bgColor auto="1"/>
                </patternFill>
              </fill>
              <border>
                <left/>
                <right/>
                <top/>
                <bottom/>
                <vertical/>
                <horizontal/>
              </border>
            </x14:dxf>
          </x14:cfRule>
          <xm:sqref>B30:O30 A32:O35</xm:sqref>
        </x14:conditionalFormatting>
        <x14:conditionalFormatting xmlns:xm="http://schemas.microsoft.com/office/excel/2006/main">
          <x14:cfRule type="expression" priority="1" id="{06DBBAFE-E5F5-4520-9427-7EB77EBCB86E}">
            <xm:f>OR('Persönliche Daten (pers. data)'!$K$5="Nein",'Persönliche Daten (pers. data)'!$K$5="no")</xm:f>
            <x14:dxf>
              <font>
                <color auto="1"/>
              </font>
              <border>
                <left/>
                <right/>
                <top/>
                <bottom/>
                <vertical/>
                <horizontal/>
              </border>
            </x14:dxf>
          </x14:cfRule>
          <xm:sqref>A30 A31 D31:O31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pageSetUpPr fitToPage="1"/>
  </sheetPr>
  <dimension ref="A1:AH60"/>
  <sheetViews>
    <sheetView showGridLines="0" topLeftCell="A13" zoomScale="75" zoomScaleNormal="75" workbookViewId="0">
      <selection activeCell="B33" sqref="B33"/>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59" customWidth="1"/>
    <col min="16" max="20" width="11.83203125" style="11" customWidth="1"/>
    <col min="21" max="21" width="11.83203125" style="72" customWidth="1"/>
    <col min="22" max="22" width="2.83203125" style="73" customWidth="1"/>
    <col min="23" max="29" width="11.83203125" style="11" customWidth="1"/>
    <col min="30" max="34" width="11.5" style="11" hidden="1" customWidth="1"/>
    <col min="35" max="16384" width="11.5" style="11"/>
  </cols>
  <sheetData>
    <row r="1" spans="1:32">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276">
        <f>'Jahresübersicht (Overview)'!$K$2</f>
        <v>0</v>
      </c>
      <c r="P1" s="10"/>
      <c r="Q1" s="10"/>
      <c r="R1" s="10"/>
      <c r="S1" s="10"/>
      <c r="Y1" s="11" t="str">
        <f>Para1!F129</f>
        <v xml:space="preserve">Jahr: </v>
      </c>
      <c r="Z1" s="11">
        <f>Para1!$C$2</f>
        <v>2021</v>
      </c>
    </row>
    <row r="2" spans="1:32" ht="6" customHeight="1"/>
    <row r="3" spans="1:32">
      <c r="A3" s="894" t="str">
        <f>Para1!F168</f>
        <v xml:space="preserve">Pers-Nr.: </v>
      </c>
      <c r="B3" s="894"/>
      <c r="C3" s="902">
        <f>'Jahresübersicht (Overview)'!C4</f>
        <v>0</v>
      </c>
      <c r="D3" s="902"/>
      <c r="E3" s="903" t="str">
        <f>Para1!F96&amp;": "</f>
        <v xml:space="preserve">Beschäftigungsgrad: </v>
      </c>
      <c r="F3" s="903"/>
      <c r="G3" s="903"/>
      <c r="H3" s="444">
        <f>'Jahresübersicht (Overview)'!C$8</f>
        <v>100</v>
      </c>
      <c r="I3" s="8" t="s">
        <v>248</v>
      </c>
      <c r="L3" s="277" t="str">
        <f>Para1!F111</f>
        <v xml:space="preserve">Eintrittsdatum: </v>
      </c>
      <c r="M3" s="895">
        <f>'Jahresübersicht (Overview)'!$G$4</f>
        <v>0</v>
      </c>
      <c r="N3" s="895"/>
      <c r="O3" s="227"/>
    </row>
    <row r="4" spans="1:32"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row>
    <row r="5" spans="1:32" ht="6" customHeight="1"/>
    <row r="6" spans="1:32" ht="15" customHeight="1">
      <c r="F6" s="53"/>
      <c r="G6" s="20"/>
      <c r="U6" s="11"/>
      <c r="V6" s="16"/>
    </row>
    <row r="7" spans="1:32"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row>
    <row r="8" spans="1:32" ht="15" customHeight="1" thickBot="1">
      <c r="B8" s="9" t="str">
        <f>Para1!F177</f>
        <v>Soll</v>
      </c>
      <c r="C8" s="848">
        <f>Para1!C60/100*H3/24</f>
        <v>7</v>
      </c>
      <c r="D8" s="848"/>
      <c r="F8" s="19"/>
      <c r="H8" s="162" t="str">
        <f>Para1!F174&amp;" "&amp;Para1!F88&amp;" "&amp;Para1!F154</f>
        <v>Saldo Anfang Monat</v>
      </c>
      <c r="I8" s="159" t="e">
        <f>'Jahresübersicht (Overview)'!O25</f>
        <v>#N/A</v>
      </c>
      <c r="J8" s="212"/>
      <c r="M8" s="162" t="str">
        <f>Para1!F133</f>
        <v>JAZ-Kompensation</v>
      </c>
      <c r="N8" s="899">
        <f>SUMIF($W$24:$W$54,"k",$AH$24:$AH$54)+SUMIF($X$24:$X$54,"k",$AH$24:$AH$54)</f>
        <v>0</v>
      </c>
      <c r="O8" s="899"/>
      <c r="P8" s="205"/>
      <c r="Q8" s="166">
        <f>N8+P8</f>
        <v>0</v>
      </c>
      <c r="S8" s="7"/>
      <c r="T8" s="20" t="str">
        <f>Para1!F139</f>
        <v>Krankheit</v>
      </c>
      <c r="U8" s="7"/>
      <c r="V8" s="7"/>
      <c r="W8" s="734">
        <f>P55</f>
        <v>0</v>
      </c>
      <c r="X8" s="154"/>
      <c r="Y8" s="306">
        <f t="shared" ref="Y8:Y17" si="0">SUM(W8:X8)</f>
        <v>0</v>
      </c>
      <c r="Z8" s="155"/>
    </row>
    <row r="9" spans="1:32"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S9" s="7"/>
      <c r="T9" s="20" t="str">
        <f>Para1!F196</f>
        <v>Unfall</v>
      </c>
      <c r="U9" s="7" t="str">
        <f>Para1!F98</f>
        <v>betriebsbedingt</v>
      </c>
      <c r="V9" s="7"/>
      <c r="W9" s="734">
        <f>Q55</f>
        <v>0</v>
      </c>
      <c r="X9" s="154"/>
      <c r="Y9" s="306">
        <f t="shared" si="0"/>
        <v>0</v>
      </c>
      <c r="Z9" s="155"/>
      <c r="AC9" s="139"/>
    </row>
    <row r="10" spans="1:32" ht="15" customHeight="1">
      <c r="B10" s="22" t="str">
        <f>Para1!F108</f>
        <v>Differenz</v>
      </c>
      <c r="C10" s="904">
        <f>$C$9-$C$8</f>
        <v>-7</v>
      </c>
      <c r="D10" s="904"/>
      <c r="F10" s="19"/>
      <c r="H10" s="162" t="str">
        <f>"./. "&amp;Para1!F117</f>
        <v>./. Ferienkürzung</v>
      </c>
      <c r="I10" s="210">
        <v>0</v>
      </c>
      <c r="J10" s="212"/>
      <c r="S10" s="7"/>
      <c r="T10" s="8"/>
      <c r="U10" s="7" t="str">
        <f>Para1!F163&amp;" "&amp;Para1!F99</f>
        <v>nicht betr.</v>
      </c>
      <c r="V10" s="7"/>
      <c r="W10" s="734">
        <f>R55</f>
        <v>0</v>
      </c>
      <c r="X10" s="154"/>
      <c r="Y10" s="306">
        <f t="shared" si="0"/>
        <v>0</v>
      </c>
      <c r="Z10" s="155"/>
      <c r="AB10" s="222"/>
    </row>
    <row r="11" spans="1:32" ht="15" customHeight="1" thickBot="1">
      <c r="B11" s="20" t="str">
        <f>Para1!F189</f>
        <v>Übertr. Vorjahr</v>
      </c>
      <c r="C11" s="847">
        <f>'Jahresübersicht (Overview)'!D11</f>
        <v>0</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S11" s="7"/>
      <c r="T11" s="20" t="str">
        <f>Para1!F140</f>
        <v>Kurzurlaub</v>
      </c>
      <c r="U11" s="8"/>
      <c r="V11" s="8"/>
      <c r="W11" s="734">
        <f>S55</f>
        <v>0</v>
      </c>
      <c r="X11" s="154"/>
      <c r="Y11" s="306">
        <f t="shared" si="0"/>
        <v>0</v>
      </c>
      <c r="Z11" s="155"/>
      <c r="AB11" s="222"/>
    </row>
    <row r="12" spans="1:32" ht="15" customHeight="1" thickTop="1" thickBot="1">
      <c r="A12" s="127"/>
      <c r="B12" s="226" t="str">
        <f>Para1!F174</f>
        <v>Saldo</v>
      </c>
      <c r="C12" s="901">
        <f>C10+C11</f>
        <v>-7</v>
      </c>
      <c r="D12" s="901"/>
      <c r="F12" s="19"/>
      <c r="G12" s="7"/>
      <c r="L12" s="448" t="s">
        <v>492</v>
      </c>
      <c r="M12" s="449" t="str">
        <f>Para1!F115</f>
        <v>Ferien</v>
      </c>
      <c r="N12" s="449"/>
      <c r="O12" s="449"/>
      <c r="P12" s="449"/>
      <c r="Q12" s="450"/>
      <c r="S12" s="7"/>
      <c r="T12" s="25" t="str">
        <f>Para1!F206</f>
        <v>Weiterbildung auf Arbeitszeit</v>
      </c>
      <c r="U12" s="7"/>
      <c r="V12" s="7"/>
      <c r="W12" s="734">
        <f>T55</f>
        <v>0</v>
      </c>
      <c r="X12" s="154"/>
      <c r="Y12" s="306">
        <f t="shared" si="0"/>
        <v>0</v>
      </c>
      <c r="Z12" s="155"/>
      <c r="AB12" s="222"/>
    </row>
    <row r="13" spans="1:32" ht="15" customHeight="1" thickTop="1">
      <c r="B13" s="226"/>
      <c r="C13" s="226"/>
      <c r="D13" s="81"/>
      <c r="F13" s="19"/>
      <c r="J13" s="160"/>
      <c r="L13" s="448" t="s">
        <v>493</v>
      </c>
      <c r="M13" s="449" t="str">
        <f>Para1!F157</f>
        <v>Mutter- und Vaterschaftsurlaub</v>
      </c>
      <c r="N13" s="449"/>
      <c r="O13" s="449"/>
      <c r="P13" s="449"/>
      <c r="Q13" s="451"/>
      <c r="S13" s="7"/>
      <c r="T13" s="20" t="str">
        <f>Para1!F165</f>
        <v>Öffentliches Amt</v>
      </c>
      <c r="U13" s="7"/>
      <c r="V13" s="7"/>
      <c r="W13" s="734">
        <f>U55</f>
        <v>0</v>
      </c>
      <c r="X13" s="154"/>
      <c r="Y13" s="306">
        <f t="shared" si="0"/>
        <v>0</v>
      </c>
      <c r="Z13" s="16"/>
      <c r="AB13" s="222"/>
    </row>
    <row r="14" spans="1:32" ht="15" customHeight="1">
      <c r="F14" s="19"/>
      <c r="H14" s="9" t="str">
        <f>Para1!F142</f>
        <v>Langzeitkonto</v>
      </c>
      <c r="I14" s="160" t="s">
        <v>103</v>
      </c>
      <c r="J14" s="59"/>
      <c r="L14" s="448" t="s">
        <v>494</v>
      </c>
      <c r="M14" s="449" t="str">
        <f>Para1!F149</f>
        <v>Militär/Zivilsch./Zivildienst</v>
      </c>
      <c r="N14" s="449"/>
      <c r="O14" s="449"/>
      <c r="P14" s="449"/>
      <c r="Q14" s="451"/>
      <c r="S14" s="8"/>
      <c r="T14" s="24" t="str">
        <f>Para1!F198</f>
        <v>Urlaub</v>
      </c>
      <c r="U14" s="853" t="str">
        <f>Para1!F100</f>
        <v>bezahlt</v>
      </c>
      <c r="V14" s="853"/>
      <c r="W14" s="738">
        <f>SUMIF($W$24:$W$54,"b",$AH$24:$AH$54)+SUMIF($X$24:$X$54,"b",$AH$24:$AH$54)</f>
        <v>0</v>
      </c>
      <c r="X14" s="162"/>
      <c r="Y14" s="155">
        <f t="shared" si="0"/>
        <v>0</v>
      </c>
      <c r="Z14" s="535"/>
      <c r="AA14" s="536"/>
      <c r="AB14" s="222"/>
    </row>
    <row r="15" spans="1:32" ht="15" customHeight="1">
      <c r="H15" s="140" t="str">
        <f>Para1!F174&amp;" "&amp;Para1!F88&amp;" "&amp;Para1!F154</f>
        <v>Saldo Anfang Monat</v>
      </c>
      <c r="I15" s="299">
        <f>'Jahresübersicht (Overview)'!O33</f>
        <v>0</v>
      </c>
      <c r="J15" s="59"/>
      <c r="L15" s="448" t="s">
        <v>495</v>
      </c>
      <c r="M15" s="449" t="str">
        <f>Para1!F133</f>
        <v>JAZ-Kompensation</v>
      </c>
      <c r="N15" s="449"/>
      <c r="O15" s="449"/>
      <c r="P15" s="449"/>
      <c r="Q15" s="451"/>
      <c r="S15" s="8"/>
      <c r="T15" s="24"/>
      <c r="U15" s="853" t="str">
        <f>Para1!F194</f>
        <v>unbezahlt</v>
      </c>
      <c r="V15" s="853"/>
      <c r="W15" s="738">
        <f>SUMIF($W$24:$W$54,"u",$AH$24:$AH$54)+SUMIF($X$24:$X$54,"u",$AH$24:$AH$54)</f>
        <v>0</v>
      </c>
      <c r="X15" s="72"/>
      <c r="Y15" s="155">
        <f t="shared" si="0"/>
        <v>0</v>
      </c>
      <c r="Z15" s="536"/>
      <c r="AA15" s="536"/>
      <c r="AB15" s="223"/>
      <c r="AC15" s="165"/>
      <c r="AD15" s="164"/>
      <c r="AE15" s="160"/>
      <c r="AF15" s="204"/>
    </row>
    <row r="16" spans="1:32" ht="15" customHeight="1">
      <c r="F16" s="11"/>
      <c r="G16" s="11"/>
      <c r="H16" s="140" t="str">
        <f>"./. "&amp;Para1!F145</f>
        <v>./. LZK-Bezug</v>
      </c>
      <c r="I16" s="299">
        <f>SUMIF($W$24:$W$54,"l",$AH$24:$AH$54)+SUMIF($X$24:$X$54,"l",$AH$24:$AH$54)</f>
        <v>0</v>
      </c>
      <c r="J16" s="59"/>
      <c r="L16" s="452" t="s">
        <v>496</v>
      </c>
      <c r="M16" s="456" t="str">
        <f>Para1!F198&amp;" "&amp;Para1!F100</f>
        <v>Urlaub bezahlt</v>
      </c>
      <c r="N16" s="453"/>
      <c r="O16" s="454"/>
      <c r="P16" s="455"/>
      <c r="Q16" s="451"/>
      <c r="S16" s="8"/>
      <c r="T16" s="24" t="str">
        <f>Para1!F157</f>
        <v>Mutter- und Vaterschaftsurlaub</v>
      </c>
      <c r="U16" s="73"/>
      <c r="V16" s="11"/>
      <c r="W16" s="738">
        <f>SUMIF($W$24:$W$54,"m",$AH$24:$AH$54)+SUMIF($X$24:$X$54,"m",$AH$24:$AH$54)</f>
        <v>0</v>
      </c>
      <c r="X16" s="72"/>
      <c r="Y16" s="155">
        <f t="shared" si="0"/>
        <v>0</v>
      </c>
      <c r="Z16" s="536"/>
      <c r="AA16" s="536"/>
      <c r="AB16" s="223"/>
      <c r="AC16" s="165"/>
      <c r="AD16" s="164"/>
      <c r="AE16" s="160"/>
      <c r="AF16" s="204"/>
    </row>
    <row r="17" spans="1:34" ht="15" customHeight="1" thickBot="1">
      <c r="G17" s="162"/>
      <c r="H17" s="328" t="str">
        <f>Para1!F174&amp;" "&amp;Para1!F113&amp;" "&amp;Para1!F154</f>
        <v>Saldo Ende Monat</v>
      </c>
      <c r="I17" s="732">
        <f>I15-I16</f>
        <v>0</v>
      </c>
      <c r="J17" s="164"/>
      <c r="L17" s="452" t="s">
        <v>497</v>
      </c>
      <c r="M17" s="456" t="str">
        <f>Para1!F198&amp;" "&amp;Para1!F194</f>
        <v>Urlaub unbezahlt</v>
      </c>
      <c r="N17" s="453"/>
      <c r="O17" s="454"/>
      <c r="P17" s="455"/>
      <c r="Q17" s="451"/>
      <c r="S17" s="8"/>
      <c r="T17" s="24" t="str">
        <f>Para1!F149</f>
        <v>Militär/Zivilsch./Zivildienst</v>
      </c>
      <c r="U17" s="73"/>
      <c r="V17" s="11"/>
      <c r="W17" s="738">
        <f>SUMIF($W$24:$W$54,"z",$AH$24:$AH$54)+SUMIF($X$24:$X$54,"z",$AH$24:$AH$54)</f>
        <v>0</v>
      </c>
      <c r="X17" s="72"/>
      <c r="Y17" s="155">
        <f t="shared" si="0"/>
        <v>0</v>
      </c>
      <c r="Z17" s="536"/>
      <c r="AA17" s="536"/>
      <c r="AB17" s="222"/>
      <c r="AC17" s="165"/>
      <c r="AD17" s="164"/>
      <c r="AE17" s="160"/>
      <c r="AF17" s="204"/>
    </row>
    <row r="18" spans="1:34" ht="15" customHeight="1" thickTop="1" thickBot="1">
      <c r="F18" s="616" t="str">
        <f>IF(AND(Information!H8="Nein",I16&gt;0),"ACHTUNG: Langzeitkontobezug ohne entsprechendes Konto!!","")</f>
        <v/>
      </c>
      <c r="G18" s="162"/>
      <c r="H18" s="11"/>
      <c r="I18" s="11"/>
      <c r="J18" s="164"/>
      <c r="L18" s="448" t="s">
        <v>498</v>
      </c>
      <c r="M18" s="456" t="str">
        <f>Para1!F142</f>
        <v>Langzeitkonto</v>
      </c>
      <c r="N18" s="453"/>
      <c r="O18" s="454"/>
      <c r="P18" s="455"/>
      <c r="Q18" s="451"/>
      <c r="S18" s="8"/>
      <c r="T18" s="9" t="str">
        <f>Para1!F184</f>
        <v>Total</v>
      </c>
      <c r="U18" s="11"/>
      <c r="V18" s="11"/>
      <c r="W18" s="733">
        <f>SUM(W8:W17)</f>
        <v>0</v>
      </c>
      <c r="X18" s="733">
        <f>SUM(X8:X17)</f>
        <v>0</v>
      </c>
      <c r="Y18" s="733">
        <f>SUM(Y8:Y17)</f>
        <v>0</v>
      </c>
      <c r="AC18" s="165"/>
      <c r="AD18" s="164"/>
      <c r="AE18" s="160"/>
      <c r="AF18" s="204"/>
    </row>
    <row r="19" spans="1:34" ht="15" customHeight="1" thickTop="1">
      <c r="G19" s="162"/>
      <c r="H19" s="159"/>
      <c r="I19" s="159"/>
      <c r="J19" s="164"/>
      <c r="K19" s="11"/>
      <c r="L19" s="11"/>
      <c r="M19" s="9"/>
      <c r="N19" s="11"/>
      <c r="O19" s="11"/>
      <c r="P19" s="155"/>
      <c r="Q19" s="155"/>
      <c r="R19" s="155"/>
      <c r="S19" s="8"/>
      <c r="T19" s="19"/>
      <c r="U19" s="11"/>
      <c r="V19" s="11"/>
      <c r="AC19" s="165"/>
      <c r="AD19" s="164"/>
      <c r="AE19" s="160"/>
      <c r="AF19" s="204"/>
    </row>
    <row r="20" spans="1:34" ht="15" customHeight="1" thickBot="1">
      <c r="A20" s="424" t="str">
        <f>Para1!J222</f>
        <v>(Bitte das Guthaben in Stunden und Minuten eingeben.)</v>
      </c>
      <c r="B20" s="8"/>
      <c r="C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258"/>
      <c r="Z22" s="258"/>
      <c r="AA22" s="259"/>
      <c r="AB22" s="858" t="str">
        <f>Para1!F202</f>
        <v>Vor- mittag</v>
      </c>
      <c r="AC22" s="854" t="str">
        <f>Para1!F159</f>
        <v>Nach- mittag</v>
      </c>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431"/>
      <c r="Z23" s="431"/>
      <c r="AA23" s="665"/>
      <c r="AB23" s="893"/>
      <c r="AC23" s="881"/>
    </row>
    <row r="24" spans="1:34" ht="16.5" customHeight="1" thickTop="1">
      <c r="A24" s="30" t="s">
        <v>5</v>
      </c>
      <c r="B24" s="425" t="str">
        <f>Para1!G63</f>
        <v>Fr</v>
      </c>
      <c r="C24" s="255"/>
      <c r="D24" s="131"/>
      <c r="E24" s="121"/>
      <c r="F24" s="121"/>
      <c r="G24" s="122"/>
      <c r="H24" s="131"/>
      <c r="I24" s="121"/>
      <c r="J24" s="121"/>
      <c r="K24" s="122"/>
      <c r="L24" s="111">
        <f>SUM((G24-D24),(K24-H24))-SUM((F24-E24),(J24-I24))</f>
        <v>0</v>
      </c>
      <c r="M24" s="141"/>
      <c r="N24" s="189">
        <f>$C$11+$L24-M24+SUM($P24:$U24)</f>
        <v>0</v>
      </c>
      <c r="O24" s="192"/>
      <c r="P24" s="121"/>
      <c r="Q24" s="122"/>
      <c r="R24" s="123"/>
      <c r="S24" s="122"/>
      <c r="T24" s="122"/>
      <c r="U24" s="124"/>
      <c r="V24" s="197"/>
      <c r="W24" s="595"/>
      <c r="X24" s="596"/>
      <c r="Y24" s="889"/>
      <c r="Z24" s="890"/>
      <c r="AA24" s="666"/>
      <c r="AB24" s="37"/>
      <c r="AC24" s="37"/>
      <c r="AD24" s="539" t="s">
        <v>114</v>
      </c>
      <c r="AE24" s="188" t="str">
        <f>IF((AB24+AC24)=0,"",IF(ISNA(AD24),"",IF(AD24="","",VLOOKUP(AD24,Para1!$D$67:$G$79,3,FALSE)*(IF(AB24+AC24=1,0.5,1)))))</f>
        <v/>
      </c>
      <c r="AF24" s="188" t="str">
        <f>IF(AB24+AC24=0,"",IF(ISNA(AD25),"",IF(AD25="","",VLOOKUP(AD25,Para1!$D$67:$G$79,4,FALSE)*(IF(AB24+AC24=1,0.5,1)))))</f>
        <v/>
      </c>
      <c r="AG24" s="188">
        <f>IF(AE24=0,AB24+AC24,0)</f>
        <v>0</v>
      </c>
      <c r="AH24" s="187">
        <f>IF((AB24+AC24)=0,0,M24/(AB24+AC24))</f>
        <v>0</v>
      </c>
    </row>
    <row r="25" spans="1:34" ht="16.5" customHeight="1" thickBot="1">
      <c r="A25" s="112" t="s">
        <v>7</v>
      </c>
      <c r="B25" s="425" t="str">
        <f>IF(B24=Para1!$F$153,Para1!$F$107,IF(B24=Para1!$F$107,Para1!$F$148,IF(B24=Para1!$F$148,Para1!$F$109,IF(B24=Para1!$F$109,Para1!$F$118,IF(B24=Para1!$F$118,Para1!$F$173,IF(B24=Para1!$F$173,Para1!$F$176,Para1!$F$153))))))</f>
        <v>Sa</v>
      </c>
      <c r="C25" s="256"/>
      <c r="D25" s="131"/>
      <c r="E25" s="121"/>
      <c r="F25" s="121"/>
      <c r="G25" s="122"/>
      <c r="H25" s="131"/>
      <c r="I25" s="121"/>
      <c r="J25" s="121"/>
      <c r="K25" s="122"/>
      <c r="L25" s="111">
        <f>SUM((G25-D25),(K25-H25))-SUM((F25-E25),(J25-I25))</f>
        <v>0</v>
      </c>
      <c r="M25" s="141"/>
      <c r="N25" s="189">
        <f>$N24+$L25-M25+SUM($P25:$U25)</f>
        <v>0</v>
      </c>
      <c r="O25" s="192"/>
      <c r="P25" s="121"/>
      <c r="Q25" s="122"/>
      <c r="R25" s="123"/>
      <c r="S25" s="122"/>
      <c r="T25" s="122"/>
      <c r="U25" s="124"/>
      <c r="V25" s="198"/>
      <c r="W25" s="595"/>
      <c r="X25" s="596"/>
      <c r="Y25" s="889"/>
      <c r="Z25" s="890"/>
      <c r="AA25" s="187"/>
      <c r="AB25" s="213"/>
      <c r="AC25" s="213"/>
      <c r="AD25" s="539" t="s">
        <v>118</v>
      </c>
      <c r="AE25" s="188" t="str">
        <f>IF((AB25+AC25)=0,"",IF(ISNA(AD25),"",IF(AD25="","",VLOOKUP(AD25,Para1!$D$67:$G$79,3,FALSE)*(IF(AB25+AC25=1,0.5,1)))))</f>
        <v/>
      </c>
      <c r="AF25" s="188" t="str">
        <f>IF(AB25+AC25=0,"",IF(ISNA(AD26),"",IF(AD26="","",VLOOKUP(AD26,Para1!$D$67:$G$79,4,FALSE)*(IF(AB25+AC25=1,0.5,1)))))</f>
        <v/>
      </c>
      <c r="AG25" s="188">
        <f t="shared" ref="AG25:AG54" si="1">IF(AE25=0,AB25+AC25,0)</f>
        <v>0</v>
      </c>
      <c r="AH25" s="187">
        <f t="shared" ref="AH25:AH54" si="2">IF((AB25+AC25)=0,0,M25/(AB25+AC25))</f>
        <v>0</v>
      </c>
    </row>
    <row r="26" spans="1:34" ht="16.5" customHeight="1" thickTop="1">
      <c r="A26" s="112" t="s">
        <v>9</v>
      </c>
      <c r="B26" s="425" t="str">
        <f>IF(B25=Para1!$F$153,Para1!$F$107,IF(B25=Para1!$F$107,Para1!$F$148,IF(B25=Para1!$F$148,Para1!$F$109,IF(B25=Para1!$F$109,Para1!$F$118,IF(B25=Para1!$F$118,Para1!$F$173,IF(B25=Para1!$F$173,Para1!$F$176,Para1!$F$153))))))</f>
        <v>So</v>
      </c>
      <c r="C26" s="256"/>
      <c r="D26" s="359"/>
      <c r="E26" s="355"/>
      <c r="F26" s="355"/>
      <c r="G26" s="357"/>
      <c r="H26" s="359"/>
      <c r="I26" s="355"/>
      <c r="J26" s="355"/>
      <c r="K26" s="357"/>
      <c r="L26" s="111">
        <f t="shared" ref="L26:L54" si="3">SUM((G26-D26),(K26-H26))-SUM((F26-E26),(J26-I26))</f>
        <v>0</v>
      </c>
      <c r="M26" s="141">
        <f>IF(AE26=0,0,IF(AB26,$AB$56,0)+IF(AC26,$AB$56,0)-IF(AE26="",0,(AE26/4800*$H$3)+(AE26/4800*$H$3)))-IF(AF26="",0,(AF26/4800*$H$3)+(AF26/4800*$H$3))</f>
        <v>0</v>
      </c>
      <c r="N26" s="189">
        <f>$N25+$L26-M26+SUM($P26:$U26)+IF(OR($W26="f",$W26="m",$W26="z",$W26="u",$W26="b",$W26="l"),$AH26,0)+IF(OR($X26="f",$X26="m",$X26="z",$X26="u",$X26="b",$X26="l"),$AH26,0)</f>
        <v>0</v>
      </c>
      <c r="O26" s="193"/>
      <c r="P26" s="355"/>
      <c r="Q26" s="357"/>
      <c r="R26" s="356"/>
      <c r="S26" s="357"/>
      <c r="T26" s="357"/>
      <c r="U26" s="358"/>
      <c r="V26" s="198"/>
      <c r="W26" s="597"/>
      <c r="X26" s="598"/>
      <c r="Y26" s="887"/>
      <c r="Z26" s="888"/>
      <c r="AA26" s="187"/>
      <c r="AB26" s="746">
        <f>IF(OR($B26="Sa",$B26="So",$B26="Sat",$B26="Sun"),0,1)</f>
        <v>0</v>
      </c>
      <c r="AC26" s="747">
        <f>IF(OR($B26="Sa",$B26="So",$B26="Sat",$B26="Sun"),0,1)</f>
        <v>0</v>
      </c>
      <c r="AD26" s="539" t="e">
        <f>IF(VLOOKUP(A26,Para1!$B$67:$E$72,2,FALSE)="1.",VLOOKUP(A26,Para1!$B$67:$E$72,3,FALSE),"")</f>
        <v>#N/A</v>
      </c>
      <c r="AE26" s="188" t="str">
        <f>IF((AB26+AC26)=0,"",IF(ISNA(AD26),"",IF(AD26="","",VLOOKUP(AD26,Para1!$D$67:$G$79,3,FALSE)*(IF(AB26+AC26=1,0.5,1)))))</f>
        <v/>
      </c>
      <c r="AF26" s="188" t="str">
        <f>IF(AB26+AC26=0,"",IF(ISNA(AD27),"",IF(AD27="","",VLOOKUP(AD27,Para1!$D$67:$G$79,4,FALSE)*(IF(AB26+AC26=1,0.5,1)))))</f>
        <v/>
      </c>
      <c r="AG26" s="188">
        <f t="shared" si="1"/>
        <v>0</v>
      </c>
      <c r="AH26" s="187">
        <f>IF((AB26+AC26)=0,0,M26/(AB26+AC26))</f>
        <v>0</v>
      </c>
    </row>
    <row r="27" spans="1:34" ht="16.5" customHeight="1">
      <c r="A27" s="112" t="s">
        <v>11</v>
      </c>
      <c r="B27" s="425" t="str">
        <f>IF(B26=Para1!$F$153,Para1!$F$107,IF(B26=Para1!$F$107,Para1!$F$148,IF(B26=Para1!$F$148,Para1!$F$109,IF(B26=Para1!$F$109,Para1!$F$118,IF(B26=Para1!$F$118,Para1!$F$173,IF(B26=Para1!$F$173,Para1!$F$176,Para1!$F$153))))))</f>
        <v>Mo</v>
      </c>
      <c r="C27" s="256"/>
      <c r="D27" s="359"/>
      <c r="E27" s="355"/>
      <c r="F27" s="355"/>
      <c r="G27" s="357"/>
      <c r="H27" s="359"/>
      <c r="I27" s="355"/>
      <c r="J27" s="355"/>
      <c r="K27" s="357"/>
      <c r="L27" s="111">
        <f t="shared" si="3"/>
        <v>0</v>
      </c>
      <c r="M27" s="141">
        <f t="shared" ref="M27:M54" si="4">IF(AE27=0,0,IF(AB27,$AB$56,0)+IF(AC27,$AB$56,0)-IF(AE27="",0,(AE27/4800*$H$3)+(AE27/4800*$H$3)))-IF(AF27="",0,(AF27/4800*$H$3)+(AF27/4800*$H$3))</f>
        <v>0.35000000000000003</v>
      </c>
      <c r="N27" s="189">
        <f>$N26+$L27-M27+SUM($P27:$U27)+IF(OR($W27="f",$W27="m",$W27="z",$W27="u",$W27="b",$W27="l"),$AH27,0)+IF(OR($X27="f",$X27="m",$X27="z",$X27="u",$X27="b",$X27="l"),$AH27,0)</f>
        <v>-0.35000000000000003</v>
      </c>
      <c r="O27" s="193"/>
      <c r="P27" s="355"/>
      <c r="Q27" s="357"/>
      <c r="R27" s="356"/>
      <c r="S27" s="357"/>
      <c r="T27" s="357"/>
      <c r="U27" s="358"/>
      <c r="V27" s="198"/>
      <c r="W27" s="597"/>
      <c r="X27" s="598"/>
      <c r="Y27" s="887"/>
      <c r="Z27" s="888"/>
      <c r="AA27" s="187"/>
      <c r="AB27" s="746">
        <f>IF(OR($B27="Sa",$B27="So",$B27="Sat",$B27="Sun"),0,1)</f>
        <v>1</v>
      </c>
      <c r="AC27" s="376">
        <f>IF(OR($B27="Sa",$B27="So",$B27="Sat",$B27="Sun"),0,1)</f>
        <v>1</v>
      </c>
      <c r="AD27" s="539" t="str">
        <f>IF(VLOOKUP(A27,Para1!$B$67:$E$72,2,FALSE)="1.",VLOOKUP(A27,Para1!$B$67:$E$72,3,FALSE),"")</f>
        <v/>
      </c>
      <c r="AE27" s="188" t="str">
        <f>IF((AB27+AC27)=0,"",IF(ISNA(AD27),"",IF(AD27="","",VLOOKUP(AD27,Para1!$D$67:$G$79,3,FALSE)*(IF(AB27+AC27=1,0.5,1)))))</f>
        <v/>
      </c>
      <c r="AF27" s="188" t="str">
        <f>IF(AB27+AC27=0,"",IF(ISNA(AD28),"",IF(AD28="","",VLOOKUP(AD28,Para1!$D$67:$G$79,4,FALSE)*(IF(AB27+AC27=1,0.5,1)))))</f>
        <v/>
      </c>
      <c r="AG27" s="188">
        <f t="shared" si="1"/>
        <v>0</v>
      </c>
      <c r="AH27" s="187">
        <f t="shared" si="2"/>
        <v>0.17500000000000002</v>
      </c>
    </row>
    <row r="28" spans="1:34" ht="16.5" customHeight="1">
      <c r="A28" s="30" t="s">
        <v>13</v>
      </c>
      <c r="B28" s="425" t="str">
        <f>IF(B27=Para1!$F$153,Para1!$F$107,IF(B27=Para1!$F$107,Para1!$F$148,IF(B27=Para1!$F$148,Para1!$F$109,IF(B27=Para1!$F$109,Para1!$F$118,IF(B27=Para1!$F$118,Para1!$F$173,IF(B27=Para1!$F$173,Para1!$F$176,Para1!$F$153))))))</f>
        <v>Di</v>
      </c>
      <c r="C28" s="256"/>
      <c r="D28" s="359"/>
      <c r="E28" s="355"/>
      <c r="F28" s="355"/>
      <c r="G28" s="357"/>
      <c r="H28" s="359"/>
      <c r="I28" s="355"/>
      <c r="J28" s="355"/>
      <c r="K28" s="357"/>
      <c r="L28" s="111">
        <f t="shared" si="3"/>
        <v>0</v>
      </c>
      <c r="M28" s="141">
        <f t="shared" si="4"/>
        <v>0.35000000000000003</v>
      </c>
      <c r="N28" s="189">
        <f t="shared" ref="N28:N54" si="5">$N27+$L28-M28+SUM($P28:$U28)+IF(OR($W28="f",$W28="m",$W28="z",$W28="u",$W28="b",$W28="l"),$AH28,0)+IF(OR($X28="f",$X28="m",$X28="z",$X28="u",$X28="b",$X28="l"),$AH28,0)</f>
        <v>-0.70000000000000007</v>
      </c>
      <c r="O28" s="193"/>
      <c r="P28" s="355"/>
      <c r="Q28" s="357"/>
      <c r="R28" s="356"/>
      <c r="S28" s="357"/>
      <c r="T28" s="357"/>
      <c r="U28" s="358"/>
      <c r="V28" s="198"/>
      <c r="W28" s="597"/>
      <c r="X28" s="598"/>
      <c r="Y28" s="200"/>
      <c r="Z28" s="69"/>
      <c r="AA28" s="187"/>
      <c r="AB28" s="430">
        <f t="shared" ref="AB28:AC32" si="6">IF(OR($B28="Sa",$B28="So",$B28="Sat",$B28="Sun"),0,1)</f>
        <v>1</v>
      </c>
      <c r="AC28" s="376">
        <f t="shared" si="6"/>
        <v>1</v>
      </c>
      <c r="AD28" s="539" t="str">
        <f>IF(VLOOKUP(A28,Para1!$B$67:$E$72,2,FALSE)="1.",VLOOKUP(A28,Para1!$B$67:$E$72,3,FALSE),"")</f>
        <v/>
      </c>
      <c r="AE28" s="188" t="str">
        <f>IF((AB28+AC28)=0,"",IF(ISNA(AD28),"",IF(AD28="","",VLOOKUP(AD28,Para1!$D$67:$G$79,3,FALSE)*(IF(AB28+AC28=1,0.5,1)))))</f>
        <v/>
      </c>
      <c r="AF28" s="188" t="str">
        <f>IF(AB28+AC28=0,"",IF(ISNA(AD29),"",IF(AD29="","",VLOOKUP(AD29,Para1!$D$67:$G$79,4,FALSE)*(IF(AB28+AC28=1,0.5,1)))))</f>
        <v/>
      </c>
      <c r="AG28" s="188">
        <f t="shared" si="1"/>
        <v>0</v>
      </c>
      <c r="AH28" s="187">
        <f t="shared" si="2"/>
        <v>0.17500000000000002</v>
      </c>
    </row>
    <row r="29" spans="1:34" ht="16.5" customHeight="1">
      <c r="A29" s="112" t="s">
        <v>15</v>
      </c>
      <c r="B29" s="425" t="str">
        <f>IF(B28=Para1!$F$153,Para1!$F$107,IF(B28=Para1!$F$107,Para1!$F$148,IF(B28=Para1!$F$148,Para1!$F$109,IF(B28=Para1!$F$109,Para1!$F$118,IF(B28=Para1!$F$118,Para1!$F$173,IF(B28=Para1!$F$173,Para1!$F$176,Para1!$F$153))))))</f>
        <v>Mi</v>
      </c>
      <c r="C29" s="256"/>
      <c r="D29" s="359"/>
      <c r="E29" s="355"/>
      <c r="F29" s="355"/>
      <c r="G29" s="357"/>
      <c r="H29" s="359"/>
      <c r="I29" s="355"/>
      <c r="J29" s="355"/>
      <c r="K29" s="357"/>
      <c r="L29" s="111">
        <f t="shared" si="3"/>
        <v>0</v>
      </c>
      <c r="M29" s="141">
        <f t="shared" si="4"/>
        <v>0.35000000000000003</v>
      </c>
      <c r="N29" s="189">
        <f t="shared" si="5"/>
        <v>-1.05</v>
      </c>
      <c r="O29" s="193"/>
      <c r="P29" s="355"/>
      <c r="Q29" s="357"/>
      <c r="R29" s="356"/>
      <c r="S29" s="357"/>
      <c r="T29" s="357"/>
      <c r="U29" s="358"/>
      <c r="V29" s="198"/>
      <c r="W29" s="597"/>
      <c r="X29" s="598"/>
      <c r="Y29" s="200"/>
      <c r="Z29" s="69"/>
      <c r="AA29" s="187"/>
      <c r="AB29" s="430">
        <f t="shared" si="6"/>
        <v>1</v>
      </c>
      <c r="AC29" s="376">
        <f t="shared" si="6"/>
        <v>1</v>
      </c>
      <c r="AD29" s="539" t="e">
        <f>IF(VLOOKUP(A29,Para1!$B$67:$E$72,2,FALSE)="1.",VLOOKUP(A29,Para1!$B$67:$E$72,3,FALSE),"")</f>
        <v>#N/A</v>
      </c>
      <c r="AE29" s="188" t="str">
        <f>IF((AB29+AC29)=0,"",IF(ISNA(AD29),"",IF(AD29="","",VLOOKUP(AD29,Para1!$D$67:$G$79,3,FALSE)*(IF(AB29+AC29=1,0.5,1)))))</f>
        <v/>
      </c>
      <c r="AF29" s="188" t="str">
        <f>IF(AB29+AC29=0,"",IF(ISNA(AD30),"",IF(AD30="","",VLOOKUP(AD30,Para1!$D$67:$G$79,4,FALSE)*(IF(AB29+AC29=1,0.5,1)))))</f>
        <v/>
      </c>
      <c r="AG29" s="188">
        <f t="shared" si="1"/>
        <v>0</v>
      </c>
      <c r="AH29" s="187">
        <f t="shared" si="2"/>
        <v>0.17500000000000002</v>
      </c>
    </row>
    <row r="30" spans="1:34" ht="16.5" customHeight="1">
      <c r="A30" s="112" t="s">
        <v>17</v>
      </c>
      <c r="B30" s="425" t="str">
        <f>IF(B29=Para1!$F$153,Para1!$F$107,IF(B29=Para1!$F$107,Para1!$F$148,IF(B29=Para1!$F$148,Para1!$F$109,IF(B29=Para1!$F$109,Para1!$F$118,IF(B29=Para1!$F$118,Para1!$F$173,IF(B29=Para1!$F$173,Para1!$F$176,Para1!$F$153))))))</f>
        <v>Do</v>
      </c>
      <c r="C30" s="256"/>
      <c r="D30" s="359"/>
      <c r="E30" s="355"/>
      <c r="F30" s="355"/>
      <c r="G30" s="357"/>
      <c r="H30" s="359"/>
      <c r="I30" s="355"/>
      <c r="J30" s="355"/>
      <c r="K30" s="357"/>
      <c r="L30" s="111">
        <f>SUM((G30-D30),(K30-H30))-SUM((F30-E30),(J30-I30))</f>
        <v>0</v>
      </c>
      <c r="M30" s="141">
        <f t="shared" si="4"/>
        <v>0.35000000000000003</v>
      </c>
      <c r="N30" s="189">
        <f t="shared" si="5"/>
        <v>-1.4000000000000001</v>
      </c>
      <c r="O30" s="192"/>
      <c r="P30" s="355"/>
      <c r="Q30" s="357"/>
      <c r="R30" s="356"/>
      <c r="S30" s="357"/>
      <c r="T30" s="357"/>
      <c r="U30" s="358"/>
      <c r="V30" s="198"/>
      <c r="W30" s="597"/>
      <c r="X30" s="598"/>
      <c r="Y30" s="200"/>
      <c r="Z30" s="69"/>
      <c r="AA30" s="187"/>
      <c r="AB30" s="430">
        <f t="shared" si="6"/>
        <v>1</v>
      </c>
      <c r="AC30" s="376">
        <f t="shared" si="6"/>
        <v>1</v>
      </c>
      <c r="AD30" s="539" t="e">
        <f>IF(VLOOKUP(A30,Para1!$B$67:$E$72,2,FALSE)="1.",VLOOKUP(A30,Para1!$B$67:$E$72,3,FALSE),"")</f>
        <v>#N/A</v>
      </c>
      <c r="AE30" s="188" t="str">
        <f>IF((AB30+AC30)=0,"",IF(ISNA(AD30),"",IF(AD30="","",VLOOKUP(AD30,Para1!$D$67:$G$79,3,FALSE)*(IF(AB30+AC30=1,0.5,1)))))</f>
        <v/>
      </c>
      <c r="AF30" s="188" t="str">
        <f>IF(AB30+AC30=0,"",IF(ISNA(AD31),"",IF(AD31="","",VLOOKUP(AD31,Para1!$D$67:$G$79,4,FALSE)*(IF(AB30+AC30=1,0.5,1)))))</f>
        <v/>
      </c>
      <c r="AG30" s="188">
        <f t="shared" si="1"/>
        <v>0</v>
      </c>
      <c r="AH30" s="187">
        <f t="shared" si="2"/>
        <v>0.17500000000000002</v>
      </c>
    </row>
    <row r="31" spans="1:34" ht="16.5" customHeight="1">
      <c r="A31" s="112" t="s">
        <v>19</v>
      </c>
      <c r="B31" s="425" t="str">
        <f>IF(B30=Para1!$F$153,Para1!$F$107,IF(B30=Para1!$F$107,Para1!$F$148,IF(B30=Para1!$F$148,Para1!$F$109,IF(B30=Para1!$F$109,Para1!$F$118,IF(B30=Para1!$F$118,Para1!$F$173,IF(B30=Para1!$F$173,Para1!$F$176,Para1!$F$153))))))</f>
        <v>Fr</v>
      </c>
      <c r="C31" s="256"/>
      <c r="D31" s="359"/>
      <c r="E31" s="355"/>
      <c r="F31" s="355"/>
      <c r="G31" s="357"/>
      <c r="H31" s="359"/>
      <c r="I31" s="355"/>
      <c r="J31" s="355"/>
      <c r="K31" s="357"/>
      <c r="L31" s="111">
        <f t="shared" si="3"/>
        <v>0</v>
      </c>
      <c r="M31" s="141">
        <f t="shared" si="4"/>
        <v>0.35000000000000003</v>
      </c>
      <c r="N31" s="189">
        <f t="shared" si="5"/>
        <v>-1.7500000000000002</v>
      </c>
      <c r="O31" s="192"/>
      <c r="P31" s="355"/>
      <c r="Q31" s="357"/>
      <c r="R31" s="356"/>
      <c r="S31" s="357"/>
      <c r="T31" s="357"/>
      <c r="U31" s="358"/>
      <c r="V31" s="197"/>
      <c r="W31" s="597"/>
      <c r="X31" s="598"/>
      <c r="Y31" s="200"/>
      <c r="Z31" s="69"/>
      <c r="AA31" s="187"/>
      <c r="AB31" s="430">
        <f t="shared" si="6"/>
        <v>1</v>
      </c>
      <c r="AC31" s="376">
        <f t="shared" si="6"/>
        <v>1</v>
      </c>
      <c r="AD31" s="539" t="e">
        <f>IF(VLOOKUP(A31,Para1!$B$67:$E$72,2,FALSE)="1.",VLOOKUP(A31,Para1!$B$67:$E$72,3,FALSE),"")</f>
        <v>#N/A</v>
      </c>
      <c r="AE31" s="188" t="str">
        <f>IF((AB31+AC31)=0,"",IF(ISNA(AD31),"",IF(AD31="","",VLOOKUP(AD31,Para1!$D$67:$G$79,3,FALSE)*(IF(AB31+AC31=1,0.5,1)))))</f>
        <v/>
      </c>
      <c r="AF31" s="188" t="str">
        <f>IF(AB31+AC31=0,"",IF(ISNA(AD32),"",IF(AD32="","",VLOOKUP(AD32,Para1!$D$67:$G$79,4,FALSE)*(IF(AB31+AC31=1,0.5,1)))))</f>
        <v/>
      </c>
      <c r="AG31" s="188">
        <f t="shared" si="1"/>
        <v>0</v>
      </c>
      <c r="AH31" s="187">
        <f t="shared" si="2"/>
        <v>0.17500000000000002</v>
      </c>
    </row>
    <row r="32" spans="1:34" ht="16.5" customHeight="1">
      <c r="A32" s="112" t="s">
        <v>20</v>
      </c>
      <c r="B32" s="425" t="str">
        <f>IF(B31=Para1!$F$153,Para1!$F$107,IF(B31=Para1!$F$107,Para1!$F$148,IF(B31=Para1!$F$148,Para1!$F$109,IF(B31=Para1!$F$109,Para1!$F$118,IF(B31=Para1!$F$118,Para1!$F$173,IF(B31=Para1!$F$173,Para1!$F$176,Para1!$F$153))))))</f>
        <v>Sa</v>
      </c>
      <c r="C32" s="256"/>
      <c r="D32" s="359"/>
      <c r="E32" s="355"/>
      <c r="F32" s="355"/>
      <c r="G32" s="357"/>
      <c r="H32" s="359"/>
      <c r="I32" s="355"/>
      <c r="J32" s="355"/>
      <c r="K32" s="357"/>
      <c r="L32" s="111">
        <f t="shared" si="3"/>
        <v>0</v>
      </c>
      <c r="M32" s="141">
        <f t="shared" si="4"/>
        <v>0</v>
      </c>
      <c r="N32" s="189">
        <f t="shared" si="5"/>
        <v>-1.7500000000000002</v>
      </c>
      <c r="O32" s="193"/>
      <c r="P32" s="355"/>
      <c r="Q32" s="357"/>
      <c r="R32" s="356"/>
      <c r="S32" s="357"/>
      <c r="T32" s="357"/>
      <c r="U32" s="358"/>
      <c r="V32" s="198"/>
      <c r="W32" s="597"/>
      <c r="X32" s="598"/>
      <c r="Y32" s="200"/>
      <c r="Z32" s="69"/>
      <c r="AA32" s="187"/>
      <c r="AB32" s="430">
        <f t="shared" si="6"/>
        <v>0</v>
      </c>
      <c r="AC32" s="376">
        <f t="shared" si="6"/>
        <v>0</v>
      </c>
      <c r="AD32" s="539" t="e">
        <f>IF(VLOOKUP(A32,Para1!$B$67:$E$72,2,FALSE)="1.",VLOOKUP(A32,Para1!$B$67:$E$72,3,FALSE),"")</f>
        <v>#N/A</v>
      </c>
      <c r="AE32" s="188" t="str">
        <f>IF((AB32+AC32)=0,"",IF(ISNA(AD32),"",IF(AD32="","",VLOOKUP(AD32,Para1!$D$67:$G$79,3,FALSE)*(IF(AB32+AC32=1,0.5,1)))))</f>
        <v/>
      </c>
      <c r="AF32" s="188" t="str">
        <f>IF(AB32+AC32=0,"",IF(ISNA(AD33),"",IF(AD33="","",VLOOKUP(AD33,Para1!$D$67:$G$79,4,FALSE)*(IF(AB32+AC32=1,0.5,1)))))</f>
        <v/>
      </c>
      <c r="AG32" s="188">
        <f t="shared" si="1"/>
        <v>0</v>
      </c>
      <c r="AH32" s="187">
        <f t="shared" si="2"/>
        <v>0</v>
      </c>
    </row>
    <row r="33" spans="1:34" ht="16.5" customHeight="1">
      <c r="A33" s="112" t="s">
        <v>21</v>
      </c>
      <c r="B33" s="425" t="str">
        <f>IF(B32=Para1!$F$153,Para1!$F$107,IF(B32=Para1!$F$107,Para1!$F$148,IF(B32=Para1!$F$148,Para1!$F$109,IF(B32=Para1!$F$109,Para1!$F$118,IF(B32=Para1!$F$118,Para1!$F$173,IF(B32=Para1!$F$173,Para1!$F$176,Para1!$F$153))))))</f>
        <v>So</v>
      </c>
      <c r="C33" s="256"/>
      <c r="D33" s="359"/>
      <c r="E33" s="355"/>
      <c r="F33" s="355"/>
      <c r="G33" s="357"/>
      <c r="H33" s="359"/>
      <c r="I33" s="355"/>
      <c r="J33" s="355"/>
      <c r="K33" s="357"/>
      <c r="L33" s="111">
        <f t="shared" si="3"/>
        <v>0</v>
      </c>
      <c r="M33" s="141">
        <f t="shared" si="4"/>
        <v>0</v>
      </c>
      <c r="N33" s="189">
        <f t="shared" si="5"/>
        <v>-1.7500000000000002</v>
      </c>
      <c r="O33" s="193"/>
      <c r="P33" s="355"/>
      <c r="Q33" s="357"/>
      <c r="R33" s="356"/>
      <c r="S33" s="357"/>
      <c r="T33" s="357"/>
      <c r="U33" s="358"/>
      <c r="V33" s="198"/>
      <c r="W33" s="597"/>
      <c r="X33" s="598"/>
      <c r="Y33" s="200"/>
      <c r="Z33" s="69"/>
      <c r="AA33" s="187"/>
      <c r="AB33" s="377">
        <f>AB26</f>
        <v>0</v>
      </c>
      <c r="AC33" s="378">
        <f>AC26</f>
        <v>0</v>
      </c>
      <c r="AD33" s="539" t="e">
        <f>IF(VLOOKUP(A33,Para1!$B$67:$E$72,2,FALSE)="1.",VLOOKUP(A33,Para1!$B$67:$E$72,3,FALSE),"")</f>
        <v>#N/A</v>
      </c>
      <c r="AE33" s="188" t="str">
        <f>IF((AB33+AC33)=0,"",IF(ISNA(AD33),"",IF(AD33="","",VLOOKUP(AD33,Para1!$D$67:$G$79,3,FALSE)*(IF(AB33+AC33=1,0.5,1)))))</f>
        <v/>
      </c>
      <c r="AF33" s="188" t="str">
        <f>IF(AB33+AC33=0,"",IF(ISNA(AD34),"",IF(AD34="","",VLOOKUP(AD34,Para1!$D$67:$G$79,4,FALSE)*(IF(AB33+AC33=1,0.5,1)))))</f>
        <v/>
      </c>
      <c r="AG33" s="188">
        <f t="shared" si="1"/>
        <v>0</v>
      </c>
      <c r="AH33" s="187">
        <f t="shared" si="2"/>
        <v>0</v>
      </c>
    </row>
    <row r="34" spans="1:34" ht="16.5" customHeight="1">
      <c r="A34" s="30" t="s">
        <v>22</v>
      </c>
      <c r="B34" s="425" t="str">
        <f>IF(B33=Para1!$F$153,Para1!$F$107,IF(B33=Para1!$F$107,Para1!$F$148,IF(B33=Para1!$F$148,Para1!$F$109,IF(B33=Para1!$F$109,Para1!$F$118,IF(B33=Para1!$F$118,Para1!$F$173,IF(B33=Para1!$F$173,Para1!$F$176,Para1!$F$153))))))</f>
        <v>Mo</v>
      </c>
      <c r="C34" s="256"/>
      <c r="D34" s="359"/>
      <c r="E34" s="355"/>
      <c r="F34" s="355"/>
      <c r="G34" s="357"/>
      <c r="H34" s="359"/>
      <c r="I34" s="355"/>
      <c r="J34" s="355"/>
      <c r="K34" s="357"/>
      <c r="L34" s="111">
        <f t="shared" si="3"/>
        <v>0</v>
      </c>
      <c r="M34" s="141">
        <f t="shared" si="4"/>
        <v>0.35000000000000003</v>
      </c>
      <c r="N34" s="189">
        <f t="shared" si="5"/>
        <v>-2.1</v>
      </c>
      <c r="O34" s="193"/>
      <c r="P34" s="355"/>
      <c r="Q34" s="357"/>
      <c r="R34" s="356"/>
      <c r="S34" s="357"/>
      <c r="T34" s="357"/>
      <c r="U34" s="358"/>
      <c r="V34" s="198"/>
      <c r="W34" s="597"/>
      <c r="X34" s="598"/>
      <c r="Y34" s="200"/>
      <c r="Z34" s="69"/>
      <c r="AA34" s="187"/>
      <c r="AB34" s="377">
        <f t="shared" ref="AB34:AC34" si="7">AB27</f>
        <v>1</v>
      </c>
      <c r="AC34" s="378">
        <f t="shared" si="7"/>
        <v>1</v>
      </c>
      <c r="AD34" s="539" t="e">
        <f>IF(VLOOKUP(A34,Para1!$B$67:$E$72,2,FALSE)="1.",VLOOKUP(A34,Para1!$B$67:$E$72,3,FALSE),"")</f>
        <v>#N/A</v>
      </c>
      <c r="AE34" s="188" t="str">
        <f>IF((AB34+AC34)=0,"",IF(ISNA(AD34),"",IF(AD34="","",VLOOKUP(AD34,Para1!$D$67:$G$79,3,FALSE)*(IF(AB34+AC34=1,0.5,1)))))</f>
        <v/>
      </c>
      <c r="AF34" s="188" t="str">
        <f>IF(AB34+AC34=0,"",IF(ISNA(AD35),"",IF(AD35="","",VLOOKUP(AD35,Para1!$D$67:$G$79,4,FALSE)*(IF(AB34+AC34=1,0.5,1)))))</f>
        <v/>
      </c>
      <c r="AG34" s="188">
        <f t="shared" si="1"/>
        <v>0</v>
      </c>
      <c r="AH34" s="187">
        <f t="shared" si="2"/>
        <v>0.17500000000000002</v>
      </c>
    </row>
    <row r="35" spans="1:34" ht="16.5" customHeight="1">
      <c r="A35" s="30" t="s">
        <v>23</v>
      </c>
      <c r="B35" s="425" t="str">
        <f>IF(B34=Para1!$F$153,Para1!$F$107,IF(B34=Para1!$F$107,Para1!$F$148,IF(B34=Para1!$F$148,Para1!$F$109,IF(B34=Para1!$F$109,Para1!$F$118,IF(B34=Para1!$F$118,Para1!$F$173,IF(B34=Para1!$F$173,Para1!$F$176,Para1!$F$153))))))</f>
        <v>Di</v>
      </c>
      <c r="C35" s="256"/>
      <c r="D35" s="359"/>
      <c r="E35" s="355"/>
      <c r="F35" s="355"/>
      <c r="G35" s="357"/>
      <c r="H35" s="359"/>
      <c r="I35" s="355"/>
      <c r="J35" s="355"/>
      <c r="K35" s="357"/>
      <c r="L35" s="111">
        <f t="shared" si="3"/>
        <v>0</v>
      </c>
      <c r="M35" s="141">
        <f t="shared" si="4"/>
        <v>0.35000000000000003</v>
      </c>
      <c r="N35" s="189">
        <f t="shared" si="5"/>
        <v>-2.4500000000000002</v>
      </c>
      <c r="O35" s="193"/>
      <c r="P35" s="355"/>
      <c r="Q35" s="357"/>
      <c r="R35" s="356"/>
      <c r="S35" s="357"/>
      <c r="T35" s="357"/>
      <c r="U35" s="358"/>
      <c r="V35" s="198"/>
      <c r="W35" s="597"/>
      <c r="X35" s="598"/>
      <c r="Y35" s="200"/>
      <c r="Z35" s="69"/>
      <c r="AA35" s="187"/>
      <c r="AB35" s="377">
        <f t="shared" ref="AB35:AC35" si="8">AB28</f>
        <v>1</v>
      </c>
      <c r="AC35" s="378">
        <f t="shared" si="8"/>
        <v>1</v>
      </c>
      <c r="AD35" s="539" t="e">
        <f>IF(VLOOKUP(A35,Para1!$B$67:$E$72,2,FALSE)="1.",VLOOKUP(A35,Para1!$B$67:$E$72,3,FALSE),"")</f>
        <v>#N/A</v>
      </c>
      <c r="AE35" s="188" t="str">
        <f>IF((AB35+AC35)=0,"",IF(ISNA(AD35),"",IF(AD35="","",VLOOKUP(AD35,Para1!$D$67:$G$79,3,FALSE)*(IF(AB35+AC35=1,0.5,1)))))</f>
        <v/>
      </c>
      <c r="AF35" s="188" t="str">
        <f>IF(AB35+AC35=0,"",IF(ISNA(AD36),"",IF(AD36="","",VLOOKUP(AD36,Para1!$D$67:$G$79,4,FALSE)*(IF(AB35+AC35=1,0.5,1)))))</f>
        <v/>
      </c>
      <c r="AG35" s="188">
        <f t="shared" si="1"/>
        <v>0</v>
      </c>
      <c r="AH35" s="187">
        <f t="shared" si="2"/>
        <v>0.17500000000000002</v>
      </c>
    </row>
    <row r="36" spans="1:34" ht="16.5" customHeight="1">
      <c r="A36" s="112" t="s">
        <v>24</v>
      </c>
      <c r="B36" s="425" t="str">
        <f>IF(B35=Para1!$F$153,Para1!$F$107,IF(B35=Para1!$F$107,Para1!$F$148,IF(B35=Para1!$F$148,Para1!$F$109,IF(B35=Para1!$F$109,Para1!$F$118,IF(B35=Para1!$F$118,Para1!$F$173,IF(B35=Para1!$F$173,Para1!$F$176,Para1!$F$153))))))</f>
        <v>Mi</v>
      </c>
      <c r="C36" s="256"/>
      <c r="D36" s="359"/>
      <c r="E36" s="355"/>
      <c r="F36" s="355"/>
      <c r="G36" s="357"/>
      <c r="H36" s="359"/>
      <c r="I36" s="355"/>
      <c r="J36" s="355"/>
      <c r="K36" s="357"/>
      <c r="L36" s="111">
        <f t="shared" si="3"/>
        <v>0</v>
      </c>
      <c r="M36" s="141">
        <f t="shared" si="4"/>
        <v>0.35000000000000003</v>
      </c>
      <c r="N36" s="189">
        <f t="shared" si="5"/>
        <v>-2.8000000000000003</v>
      </c>
      <c r="O36" s="193"/>
      <c r="P36" s="355"/>
      <c r="Q36" s="357"/>
      <c r="R36" s="356"/>
      <c r="S36" s="357"/>
      <c r="T36" s="357"/>
      <c r="U36" s="358"/>
      <c r="V36" s="198"/>
      <c r="W36" s="597"/>
      <c r="X36" s="598"/>
      <c r="Y36" s="200"/>
      <c r="Z36" s="69"/>
      <c r="AA36" s="187"/>
      <c r="AB36" s="377">
        <f t="shared" ref="AB36:AC36" si="9">AB29</f>
        <v>1</v>
      </c>
      <c r="AC36" s="378">
        <f t="shared" si="9"/>
        <v>1</v>
      </c>
      <c r="AD36" s="539" t="str">
        <f>IF(VLOOKUP(A36,Para1!$B$67:$E$72,2,FALSE)="1.",VLOOKUP(A36,Para1!$B$67:$E$72,3,FALSE),"")</f>
        <v/>
      </c>
      <c r="AE36" s="188" t="str">
        <f>IF((AB36+AC36)=0,"",IF(ISNA(AD36),"",IF(AD36="","",VLOOKUP(AD36,Para1!$D$67:$G$79,3,FALSE)*(IF(AB36+AC36=1,0.5,1)))))</f>
        <v/>
      </c>
      <c r="AF36" s="188" t="str">
        <f>IF(AB36+AC36=0,"",IF(ISNA(AD37),"",IF(AD37="","",VLOOKUP(AD37,Para1!$D$67:$G$79,4,FALSE)*(IF(AB36+AC36=1,0.5,1)))))</f>
        <v/>
      </c>
      <c r="AG36" s="188">
        <f t="shared" si="1"/>
        <v>0</v>
      </c>
      <c r="AH36" s="187">
        <f t="shared" si="2"/>
        <v>0.17500000000000002</v>
      </c>
    </row>
    <row r="37" spans="1:34" ht="16.5" customHeight="1">
      <c r="A37" s="112" t="s">
        <v>25</v>
      </c>
      <c r="B37" s="425" t="str">
        <f>IF(B36=Para1!$F$153,Para1!$F$107,IF(B36=Para1!$F$107,Para1!$F$148,IF(B36=Para1!$F$148,Para1!$F$109,IF(B36=Para1!$F$109,Para1!$F$118,IF(B36=Para1!$F$118,Para1!$F$173,IF(B36=Para1!$F$173,Para1!$F$176,Para1!$F$153))))))</f>
        <v>Do</v>
      </c>
      <c r="C37" s="256"/>
      <c r="D37" s="359"/>
      <c r="E37" s="355"/>
      <c r="F37" s="355"/>
      <c r="G37" s="357"/>
      <c r="H37" s="359"/>
      <c r="I37" s="355"/>
      <c r="J37" s="355"/>
      <c r="K37" s="357"/>
      <c r="L37" s="111">
        <f t="shared" si="3"/>
        <v>0</v>
      </c>
      <c r="M37" s="141">
        <f t="shared" si="4"/>
        <v>0.35000000000000003</v>
      </c>
      <c r="N37" s="189">
        <f t="shared" si="5"/>
        <v>-3.1500000000000004</v>
      </c>
      <c r="O37" s="192"/>
      <c r="P37" s="355"/>
      <c r="Q37" s="357"/>
      <c r="R37" s="356"/>
      <c r="S37" s="357"/>
      <c r="T37" s="357"/>
      <c r="U37" s="358"/>
      <c r="V37" s="198"/>
      <c r="W37" s="597"/>
      <c r="X37" s="598"/>
      <c r="Y37" s="200"/>
      <c r="Z37" s="69"/>
      <c r="AA37" s="187"/>
      <c r="AB37" s="377">
        <f t="shared" ref="AB37:AC37" si="10">AB30</f>
        <v>1</v>
      </c>
      <c r="AC37" s="378">
        <f t="shared" si="10"/>
        <v>1</v>
      </c>
      <c r="AD37" s="539" t="e">
        <f>IF(VLOOKUP(A37,Para1!$B$67:$E$72,2,FALSE)="1.",VLOOKUP(A37,Para1!$B$67:$E$72,3,FALSE),"")</f>
        <v>#N/A</v>
      </c>
      <c r="AE37" s="188" t="str">
        <f>IF((AB37+AC37)=0,"",IF(ISNA(AD37),"",IF(AD37="","",VLOOKUP(AD37,Para1!$D$67:$G$79,3,FALSE)*(IF(AB37+AC37=1,0.5,1)))))</f>
        <v/>
      </c>
      <c r="AF37" s="188" t="str">
        <f>IF(AB37+AC37=0,"",IF(ISNA(AD38),"",IF(AD38="","",VLOOKUP(AD38,Para1!$D$67:$G$79,4,FALSE)*(IF(AB37+AC37=1,0.5,1)))))</f>
        <v/>
      </c>
      <c r="AG37" s="188">
        <f t="shared" si="1"/>
        <v>0</v>
      </c>
      <c r="AH37" s="187">
        <f t="shared" si="2"/>
        <v>0.17500000000000002</v>
      </c>
    </row>
    <row r="38" spans="1:34" ht="16.5" customHeight="1">
      <c r="A38" s="112" t="s">
        <v>26</v>
      </c>
      <c r="B38" s="425" t="str">
        <f>IF(B37=Para1!$F$153,Para1!$F$107,IF(B37=Para1!$F$107,Para1!$F$148,IF(B37=Para1!$F$148,Para1!$F$109,IF(B37=Para1!$F$109,Para1!$F$118,IF(B37=Para1!$F$118,Para1!$F$173,IF(B37=Para1!$F$173,Para1!$F$176,Para1!$F$153))))))</f>
        <v>Fr</v>
      </c>
      <c r="C38" s="256"/>
      <c r="D38" s="359"/>
      <c r="E38" s="355"/>
      <c r="F38" s="355"/>
      <c r="G38" s="357"/>
      <c r="H38" s="359"/>
      <c r="I38" s="355"/>
      <c r="J38" s="355"/>
      <c r="K38" s="357"/>
      <c r="L38" s="111">
        <f t="shared" si="3"/>
        <v>0</v>
      </c>
      <c r="M38" s="141">
        <f t="shared" si="4"/>
        <v>0.35000000000000003</v>
      </c>
      <c r="N38" s="189">
        <f t="shared" si="5"/>
        <v>-3.5000000000000004</v>
      </c>
      <c r="O38" s="192"/>
      <c r="P38" s="355"/>
      <c r="Q38" s="357"/>
      <c r="R38" s="356"/>
      <c r="S38" s="357"/>
      <c r="T38" s="357"/>
      <c r="U38" s="358"/>
      <c r="V38" s="197"/>
      <c r="W38" s="597"/>
      <c r="X38" s="598"/>
      <c r="Y38" s="200"/>
      <c r="Z38" s="69"/>
      <c r="AA38" s="187"/>
      <c r="AB38" s="377">
        <f t="shared" ref="AB38:AC38" si="11">AB31</f>
        <v>1</v>
      </c>
      <c r="AC38" s="378">
        <f t="shared" si="11"/>
        <v>1</v>
      </c>
      <c r="AD38" s="539" t="e">
        <f>IF(VLOOKUP(A38,Para1!$B$67:$E$72,2,FALSE)="1.",VLOOKUP(A38,Para1!$B$67:$E$72,3,FALSE),"")</f>
        <v>#N/A</v>
      </c>
      <c r="AE38" s="188" t="str">
        <f>IF((AB38+AC38)=0,"",IF(ISNA(AD38),"",IF(AD38="","",VLOOKUP(AD38,Para1!$D$67:$G$79,3,FALSE)*(IF(AB38+AC38=1,0.5,1)))))</f>
        <v/>
      </c>
      <c r="AF38" s="188" t="str">
        <f>IF(AB38+AC38=0,"",IF(ISNA(AD39),"",IF(AD39="","",VLOOKUP(AD39,Para1!$D$67:$G$79,4,FALSE)*(IF(AB38+AC38=1,0.5,1)))))</f>
        <v/>
      </c>
      <c r="AG38" s="188">
        <f t="shared" si="1"/>
        <v>0</v>
      </c>
      <c r="AH38" s="187">
        <f t="shared" si="2"/>
        <v>0.17500000000000002</v>
      </c>
    </row>
    <row r="39" spans="1:34" ht="16.5" customHeight="1">
      <c r="A39" s="30" t="s">
        <v>27</v>
      </c>
      <c r="B39" s="425" t="str">
        <f>IF(B38=Para1!$F$153,Para1!$F$107,IF(B38=Para1!$F$107,Para1!$F$148,IF(B38=Para1!$F$148,Para1!$F$109,IF(B38=Para1!$F$109,Para1!$F$118,IF(B38=Para1!$F$118,Para1!$F$173,IF(B38=Para1!$F$173,Para1!$F$176,Para1!$F$153))))))</f>
        <v>Sa</v>
      </c>
      <c r="C39" s="256"/>
      <c r="D39" s="359"/>
      <c r="E39" s="355"/>
      <c r="F39" s="355"/>
      <c r="G39" s="357"/>
      <c r="H39" s="359"/>
      <c r="I39" s="355"/>
      <c r="J39" s="355"/>
      <c r="K39" s="357"/>
      <c r="L39" s="111">
        <f t="shared" si="3"/>
        <v>0</v>
      </c>
      <c r="M39" s="141">
        <f t="shared" si="4"/>
        <v>0</v>
      </c>
      <c r="N39" s="189">
        <f t="shared" si="5"/>
        <v>-3.5000000000000004</v>
      </c>
      <c r="O39" s="193"/>
      <c r="P39" s="355"/>
      <c r="Q39" s="357"/>
      <c r="R39" s="356"/>
      <c r="S39" s="357"/>
      <c r="T39" s="357"/>
      <c r="U39" s="358"/>
      <c r="V39" s="198"/>
      <c r="W39" s="597"/>
      <c r="X39" s="598"/>
      <c r="Y39" s="200"/>
      <c r="Z39" s="69"/>
      <c r="AA39" s="187"/>
      <c r="AB39" s="377">
        <f t="shared" ref="AB39:AC39" si="12">AB32</f>
        <v>0</v>
      </c>
      <c r="AC39" s="378">
        <f t="shared" si="12"/>
        <v>0</v>
      </c>
      <c r="AD39" s="539" t="e">
        <f>IF(VLOOKUP(A39,Para1!$B$67:$E$72,2,FALSE)="1.",VLOOKUP(A39,Para1!$B$67:$E$72,3,FALSE),"")</f>
        <v>#N/A</v>
      </c>
      <c r="AE39" s="188" t="str">
        <f>IF((AB39+AC39)=0,"",IF(ISNA(AD39),"",IF(AD39="","",VLOOKUP(AD39,Para1!$D$67:$G$79,3,FALSE)*(IF(AB39+AC39=1,0.5,1)))))</f>
        <v/>
      </c>
      <c r="AF39" s="188" t="str">
        <f>IF(AB39+AC39=0,"",IF(ISNA(AD40),"",IF(AD40="","",VLOOKUP(AD40,Para1!$D$67:$G$79,4,FALSE)*(IF(AB39+AC39=1,0.5,1)))))</f>
        <v/>
      </c>
      <c r="AG39" s="188">
        <f t="shared" si="1"/>
        <v>0</v>
      </c>
      <c r="AH39" s="187">
        <f t="shared" si="2"/>
        <v>0</v>
      </c>
    </row>
    <row r="40" spans="1:34" ht="16.5" customHeight="1">
      <c r="A40" s="30" t="s">
        <v>28</v>
      </c>
      <c r="B40" s="425" t="str">
        <f>IF(B39=Para1!$F$153,Para1!$F$107,IF(B39=Para1!$F$107,Para1!$F$148,IF(B39=Para1!$F$148,Para1!$F$109,IF(B39=Para1!$F$109,Para1!$F$118,IF(B39=Para1!$F$118,Para1!$F$173,IF(B39=Para1!$F$173,Para1!$F$176,Para1!$F$153))))))</f>
        <v>So</v>
      </c>
      <c r="C40" s="256"/>
      <c r="D40" s="359"/>
      <c r="E40" s="355"/>
      <c r="F40" s="355"/>
      <c r="G40" s="357"/>
      <c r="H40" s="359"/>
      <c r="I40" s="355"/>
      <c r="J40" s="355"/>
      <c r="K40" s="357"/>
      <c r="L40" s="111">
        <f t="shared" si="3"/>
        <v>0</v>
      </c>
      <c r="M40" s="141">
        <f t="shared" si="4"/>
        <v>0</v>
      </c>
      <c r="N40" s="189">
        <f t="shared" si="5"/>
        <v>-3.5000000000000004</v>
      </c>
      <c r="O40" s="193"/>
      <c r="P40" s="355"/>
      <c r="Q40" s="357"/>
      <c r="R40" s="356"/>
      <c r="S40" s="357"/>
      <c r="T40" s="357"/>
      <c r="U40" s="358"/>
      <c r="V40" s="198"/>
      <c r="W40" s="597"/>
      <c r="X40" s="598"/>
      <c r="Y40" s="200"/>
      <c r="Z40" s="69"/>
      <c r="AA40" s="187"/>
      <c r="AB40" s="377">
        <f t="shared" ref="AB40:AC43" si="13">AB33</f>
        <v>0</v>
      </c>
      <c r="AC40" s="378">
        <f t="shared" si="13"/>
        <v>0</v>
      </c>
      <c r="AD40" s="539" t="e">
        <f>IF(VLOOKUP(A40,Para1!$B$67:$E$72,2,FALSE)="1.",VLOOKUP(A40,Para1!$B$67:$E$72,3,FALSE),"")</f>
        <v>#N/A</v>
      </c>
      <c r="AE40" s="188" t="str">
        <f>IF((AB40+AC40)=0,"",IF(ISNA(AD40),"",IF(AD40="","",VLOOKUP(AD40,Para1!$D$67:$G$79,3,FALSE)*(IF(AB40+AC40=1,0.5,1)))))</f>
        <v/>
      </c>
      <c r="AF40" s="188" t="str">
        <f>IF(AB40+AC40=0,"",IF(ISNA(AD41),"",IF(AD41="","",VLOOKUP(AD41,Para1!$D$67:$G$79,4,FALSE)*(IF(AB40+AC40=1,0.5,1)))))</f>
        <v/>
      </c>
      <c r="AG40" s="188">
        <f t="shared" si="1"/>
        <v>0</v>
      </c>
      <c r="AH40" s="187">
        <f t="shared" si="2"/>
        <v>0</v>
      </c>
    </row>
    <row r="41" spans="1:34" ht="16.5" customHeight="1">
      <c r="A41" s="30" t="s">
        <v>29</v>
      </c>
      <c r="B41" s="425" t="str">
        <f>IF(B40=Para1!$F$153,Para1!$F$107,IF(B40=Para1!$F$107,Para1!$F$148,IF(B40=Para1!$F$148,Para1!$F$109,IF(B40=Para1!$F$109,Para1!$F$118,IF(B40=Para1!$F$118,Para1!$F$173,IF(B40=Para1!$F$173,Para1!$F$176,Para1!$F$153))))))</f>
        <v>Mo</v>
      </c>
      <c r="C41" s="256"/>
      <c r="D41" s="359"/>
      <c r="E41" s="355"/>
      <c r="F41" s="355"/>
      <c r="G41" s="357"/>
      <c r="H41" s="359"/>
      <c r="I41" s="355"/>
      <c r="J41" s="355"/>
      <c r="K41" s="357"/>
      <c r="L41" s="111">
        <f t="shared" si="3"/>
        <v>0</v>
      </c>
      <c r="M41" s="141">
        <f t="shared" si="4"/>
        <v>0.35000000000000003</v>
      </c>
      <c r="N41" s="189">
        <f t="shared" si="5"/>
        <v>-3.8500000000000005</v>
      </c>
      <c r="O41" s="193"/>
      <c r="P41" s="355"/>
      <c r="Q41" s="357"/>
      <c r="R41" s="356"/>
      <c r="S41" s="357"/>
      <c r="T41" s="357"/>
      <c r="U41" s="358"/>
      <c r="V41" s="198"/>
      <c r="W41" s="597"/>
      <c r="X41" s="598"/>
      <c r="Y41" s="200"/>
      <c r="Z41" s="69"/>
      <c r="AA41" s="187"/>
      <c r="AB41" s="377">
        <f t="shared" si="13"/>
        <v>1</v>
      </c>
      <c r="AC41" s="378">
        <f t="shared" si="13"/>
        <v>1</v>
      </c>
      <c r="AD41" s="539" t="e">
        <f>IF(VLOOKUP(A41,Para1!$B$67:$E$72,2,FALSE)="1.",VLOOKUP(A41,Para1!$B$67:$E$72,3,FALSE),"")</f>
        <v>#N/A</v>
      </c>
      <c r="AE41" s="188" t="str">
        <f>IF((AB41+AC41)=0,"",IF(ISNA(AD41),"",IF(AD41="","",VLOOKUP(AD41,Para1!$D$67:$G$79,3,FALSE)*(IF(AB41+AC41=1,0.5,1)))))</f>
        <v/>
      </c>
      <c r="AF41" s="188" t="str">
        <f>IF(AB41+AC41=0,"",IF(ISNA(AD42),"",IF(AD42="","",VLOOKUP(AD42,Para1!$D$67:$G$79,4,FALSE)*(IF(AB41+AC41=1,0.5,1)))))</f>
        <v/>
      </c>
      <c r="AG41" s="188">
        <f t="shared" si="1"/>
        <v>0</v>
      </c>
      <c r="AH41" s="187">
        <f t="shared" si="2"/>
        <v>0.17500000000000002</v>
      </c>
    </row>
    <row r="42" spans="1:34" ht="16.5" customHeight="1">
      <c r="A42" s="30" t="s">
        <v>30</v>
      </c>
      <c r="B42" s="425" t="str">
        <f>IF(B41=Para1!$F$153,Para1!$F$107,IF(B41=Para1!$F$107,Para1!$F$148,IF(B41=Para1!$F$148,Para1!$F$109,IF(B41=Para1!$F$109,Para1!$F$118,IF(B41=Para1!$F$118,Para1!$F$173,IF(B41=Para1!$F$173,Para1!$F$176,Para1!$F$153))))))</f>
        <v>Di</v>
      </c>
      <c r="C42" s="256"/>
      <c r="D42" s="359"/>
      <c r="E42" s="355"/>
      <c r="F42" s="355"/>
      <c r="G42" s="357"/>
      <c r="H42" s="359"/>
      <c r="I42" s="355"/>
      <c r="J42" s="355"/>
      <c r="K42" s="357"/>
      <c r="L42" s="111">
        <f t="shared" si="3"/>
        <v>0</v>
      </c>
      <c r="M42" s="141">
        <f t="shared" si="4"/>
        <v>0.35000000000000003</v>
      </c>
      <c r="N42" s="189">
        <f t="shared" si="5"/>
        <v>-4.2</v>
      </c>
      <c r="O42" s="193"/>
      <c r="P42" s="355"/>
      <c r="Q42" s="357"/>
      <c r="R42" s="356"/>
      <c r="S42" s="357"/>
      <c r="T42" s="357"/>
      <c r="U42" s="358"/>
      <c r="V42" s="198"/>
      <c r="W42" s="597"/>
      <c r="X42" s="598"/>
      <c r="Y42" s="200"/>
      <c r="Z42" s="69"/>
      <c r="AA42" s="187"/>
      <c r="AB42" s="377">
        <f t="shared" si="13"/>
        <v>1</v>
      </c>
      <c r="AC42" s="378">
        <f t="shared" si="13"/>
        <v>1</v>
      </c>
      <c r="AD42" s="539" t="e">
        <f>IF(VLOOKUP(A42,Para1!$B$67:$E$72,2,FALSE)="1.",VLOOKUP(A42,Para1!$B$67:$E$72,3,FALSE),"")</f>
        <v>#N/A</v>
      </c>
      <c r="AE42" s="188" t="str">
        <f>IF((AB42+AC42)=0,"",IF(ISNA(AD42),"",IF(AD42="","",VLOOKUP(AD42,Para1!$D$67:$G$79,3,FALSE)*(IF(AB42+AC42=1,0.5,1)))))</f>
        <v/>
      </c>
      <c r="AF42" s="188" t="str">
        <f>IF(AB42+AC42=0,"",IF(ISNA(AD43),"",IF(AD43="","",VLOOKUP(AD43,Para1!$D$67:$G$79,4,FALSE)*(IF(AB42+AC42=1,0.5,1)))))</f>
        <v/>
      </c>
      <c r="AG42" s="188">
        <f t="shared" si="1"/>
        <v>0</v>
      </c>
      <c r="AH42" s="187">
        <f t="shared" si="2"/>
        <v>0.17500000000000002</v>
      </c>
    </row>
    <row r="43" spans="1:34" ht="16.5" customHeight="1">
      <c r="A43" s="112" t="s">
        <v>31</v>
      </c>
      <c r="B43" s="425" t="str">
        <f>IF(B42=Para1!$F$153,Para1!$F$107,IF(B42=Para1!$F$107,Para1!$F$148,IF(B42=Para1!$F$148,Para1!$F$109,IF(B42=Para1!$F$109,Para1!$F$118,IF(B42=Para1!$F$118,Para1!$F$173,IF(B42=Para1!$F$173,Para1!$F$176,Para1!$F$153))))))</f>
        <v>Mi</v>
      </c>
      <c r="C43" s="256"/>
      <c r="D43" s="359"/>
      <c r="E43" s="355"/>
      <c r="F43" s="355"/>
      <c r="G43" s="357"/>
      <c r="H43" s="359"/>
      <c r="I43" s="355"/>
      <c r="J43" s="355"/>
      <c r="K43" s="357"/>
      <c r="L43" s="111">
        <f t="shared" si="3"/>
        <v>0</v>
      </c>
      <c r="M43" s="141">
        <f t="shared" si="4"/>
        <v>0.35000000000000003</v>
      </c>
      <c r="N43" s="189">
        <f t="shared" si="5"/>
        <v>-4.55</v>
      </c>
      <c r="O43" s="193"/>
      <c r="P43" s="355"/>
      <c r="Q43" s="357"/>
      <c r="R43" s="356"/>
      <c r="S43" s="357"/>
      <c r="T43" s="357"/>
      <c r="U43" s="358"/>
      <c r="V43" s="198"/>
      <c r="W43" s="597"/>
      <c r="X43" s="598"/>
      <c r="Y43" s="200"/>
      <c r="Z43" s="69"/>
      <c r="AA43" s="187"/>
      <c r="AB43" s="377">
        <f t="shared" si="13"/>
        <v>1</v>
      </c>
      <c r="AC43" s="378">
        <f t="shared" si="13"/>
        <v>1</v>
      </c>
      <c r="AD43" s="539" t="e">
        <f>IF(VLOOKUP(A43,Para1!$B$67:$E$72,2,FALSE)="1.",VLOOKUP(A43,Para1!$B$67:$E$72,3,FALSE),"")</f>
        <v>#N/A</v>
      </c>
      <c r="AE43" s="188" t="str">
        <f>IF((AB43+AC43)=0,"",IF(ISNA(AD43),"",IF(AD43="","",VLOOKUP(AD43,Para1!$D$67:$G$79,3,FALSE)*(IF(AB43+AC43=1,0.5,1)))))</f>
        <v/>
      </c>
      <c r="AF43" s="188" t="str">
        <f>IF(AB43+AC43=0,"",IF(ISNA(AD44),"",IF(AD44="","",VLOOKUP(AD44,Para1!$D$67:$G$79,4,FALSE)*(IF(AB43+AC43=1,0.5,1)))))</f>
        <v/>
      </c>
      <c r="AG43" s="188">
        <f t="shared" si="1"/>
        <v>0</v>
      </c>
      <c r="AH43" s="187">
        <f t="shared" si="2"/>
        <v>0.17500000000000002</v>
      </c>
    </row>
    <row r="44" spans="1:34" ht="16.5" customHeight="1">
      <c r="A44" s="112" t="s">
        <v>32</v>
      </c>
      <c r="B44" s="425" t="str">
        <f>IF(B43=Para1!$F$153,Para1!$F$107,IF(B43=Para1!$F$107,Para1!$F$148,IF(B43=Para1!$F$148,Para1!$F$109,IF(B43=Para1!$F$109,Para1!$F$118,IF(B43=Para1!$F$118,Para1!$F$173,IF(B43=Para1!$F$173,Para1!$F$176,Para1!$F$153))))))</f>
        <v>Do</v>
      </c>
      <c r="C44" s="256"/>
      <c r="D44" s="359"/>
      <c r="E44" s="355"/>
      <c r="F44" s="355"/>
      <c r="G44" s="357"/>
      <c r="H44" s="359"/>
      <c r="I44" s="355"/>
      <c r="J44" s="355"/>
      <c r="K44" s="357"/>
      <c r="L44" s="111">
        <f t="shared" si="3"/>
        <v>0</v>
      </c>
      <c r="M44" s="141">
        <f t="shared" si="4"/>
        <v>0.35000000000000003</v>
      </c>
      <c r="N44" s="189">
        <f t="shared" si="5"/>
        <v>-4.8999999999999995</v>
      </c>
      <c r="O44" s="192"/>
      <c r="P44" s="355"/>
      <c r="Q44" s="357"/>
      <c r="R44" s="356"/>
      <c r="S44" s="357"/>
      <c r="T44" s="357"/>
      <c r="U44" s="358"/>
      <c r="V44" s="198"/>
      <c r="W44" s="597"/>
      <c r="X44" s="598"/>
      <c r="Y44" s="200"/>
      <c r="Z44" s="69"/>
      <c r="AA44" s="187"/>
      <c r="AB44" s="377">
        <f t="shared" ref="AB44:AC44" si="14">AB37</f>
        <v>1</v>
      </c>
      <c r="AC44" s="378">
        <f t="shared" si="14"/>
        <v>1</v>
      </c>
      <c r="AD44" s="539" t="e">
        <f>IF(VLOOKUP(A44,Para1!$B$67:$E$72,2,FALSE)="1.",VLOOKUP(A44,Para1!$B$67:$E$72,3,FALSE),"")</f>
        <v>#N/A</v>
      </c>
      <c r="AE44" s="188" t="str">
        <f>IF((AB44+AC44)=0,"",IF(ISNA(AD44),"",IF(AD44="","",VLOOKUP(AD44,Para1!$D$67:$G$79,3,FALSE)*(IF(AB44+AC44=1,0.5,1)))))</f>
        <v/>
      </c>
      <c r="AF44" s="188" t="str">
        <f>IF(AB44+AC44=0,"",IF(ISNA(AD45),"",IF(AD45="","",VLOOKUP(AD45,Para1!$D$67:$G$79,4,FALSE)*(IF(AB44+AC44=1,0.5,1)))))</f>
        <v/>
      </c>
      <c r="AG44" s="188">
        <f t="shared" si="1"/>
        <v>0</v>
      </c>
      <c r="AH44" s="187">
        <f t="shared" si="2"/>
        <v>0.17500000000000002</v>
      </c>
    </row>
    <row r="45" spans="1:34" ht="16.5" customHeight="1">
      <c r="A45" s="112" t="s">
        <v>33</v>
      </c>
      <c r="B45" s="425" t="str">
        <f>IF(B44=Para1!$F$153,Para1!$F$107,IF(B44=Para1!$F$107,Para1!$F$148,IF(B44=Para1!$F$148,Para1!$F$109,IF(B44=Para1!$F$109,Para1!$F$118,IF(B44=Para1!$F$118,Para1!$F$173,IF(B44=Para1!$F$173,Para1!$F$176,Para1!$F$153))))))</f>
        <v>Fr</v>
      </c>
      <c r="C45" s="256"/>
      <c r="D45" s="359"/>
      <c r="E45" s="355"/>
      <c r="F45" s="355"/>
      <c r="G45" s="357"/>
      <c r="H45" s="359"/>
      <c r="I45" s="355"/>
      <c r="J45" s="355"/>
      <c r="K45" s="357"/>
      <c r="L45" s="111">
        <f t="shared" si="3"/>
        <v>0</v>
      </c>
      <c r="M45" s="141">
        <f t="shared" si="4"/>
        <v>0.35000000000000003</v>
      </c>
      <c r="N45" s="189">
        <f t="shared" si="5"/>
        <v>-5.2499999999999991</v>
      </c>
      <c r="O45" s="192"/>
      <c r="P45" s="355"/>
      <c r="Q45" s="357"/>
      <c r="R45" s="356"/>
      <c r="S45" s="357"/>
      <c r="T45" s="357"/>
      <c r="U45" s="358"/>
      <c r="V45" s="197"/>
      <c r="W45" s="597"/>
      <c r="X45" s="598"/>
      <c r="Y45" s="200"/>
      <c r="Z45" s="69"/>
      <c r="AA45" s="187"/>
      <c r="AB45" s="377">
        <f t="shared" ref="AB45:AC45" si="15">AB38</f>
        <v>1</v>
      </c>
      <c r="AC45" s="378">
        <f t="shared" si="15"/>
        <v>1</v>
      </c>
      <c r="AD45" s="539" t="e">
        <f>IF(VLOOKUP(A45,Para1!$B$67:$E$72,2,FALSE)="1.",VLOOKUP(A45,Para1!$B$67:$E$72,3,FALSE),"")</f>
        <v>#N/A</v>
      </c>
      <c r="AE45" s="188" t="str">
        <f>IF((AB45+AC45)=0,"",IF(ISNA(AD45),"",IF(AD45="","",VLOOKUP(AD45,Para1!$D$67:$G$79,3,FALSE)*(IF(AB45+AC45=1,0.5,1)))))</f>
        <v/>
      </c>
      <c r="AF45" s="188" t="str">
        <f>IF(AB45+AC45=0,"",IF(ISNA(AD46),"",IF(AD46="","",VLOOKUP(AD46,Para1!$D$67:$G$79,4,FALSE)*(IF(AB45+AC45=1,0.5,1)))))</f>
        <v/>
      </c>
      <c r="AG45" s="188">
        <f t="shared" si="1"/>
        <v>0</v>
      </c>
      <c r="AH45" s="187">
        <f t="shared" si="2"/>
        <v>0.17500000000000002</v>
      </c>
    </row>
    <row r="46" spans="1:34" ht="16.5" customHeight="1">
      <c r="A46" s="30" t="s">
        <v>34</v>
      </c>
      <c r="B46" s="425" t="str">
        <f>IF(B45=Para1!$F$153,Para1!$F$107,IF(B45=Para1!$F$107,Para1!$F$148,IF(B45=Para1!$F$148,Para1!$F$109,IF(B45=Para1!$F$109,Para1!$F$118,IF(B45=Para1!$F$118,Para1!$F$173,IF(B45=Para1!$F$173,Para1!$F$176,Para1!$F$153))))))</f>
        <v>Sa</v>
      </c>
      <c r="C46" s="256"/>
      <c r="D46" s="359"/>
      <c r="E46" s="355"/>
      <c r="F46" s="355"/>
      <c r="G46" s="357"/>
      <c r="H46" s="359"/>
      <c r="I46" s="355"/>
      <c r="J46" s="355"/>
      <c r="K46" s="357"/>
      <c r="L46" s="111">
        <f t="shared" si="3"/>
        <v>0</v>
      </c>
      <c r="M46" s="141">
        <f t="shared" si="4"/>
        <v>0</v>
      </c>
      <c r="N46" s="189">
        <f t="shared" si="5"/>
        <v>-5.2499999999999991</v>
      </c>
      <c r="O46" s="193"/>
      <c r="P46" s="355"/>
      <c r="Q46" s="357"/>
      <c r="R46" s="356"/>
      <c r="S46" s="357"/>
      <c r="T46" s="357"/>
      <c r="U46" s="358"/>
      <c r="V46" s="198"/>
      <c r="W46" s="597"/>
      <c r="X46" s="598"/>
      <c r="Y46" s="200"/>
      <c r="Z46" s="69"/>
      <c r="AA46" s="187"/>
      <c r="AB46" s="377">
        <f t="shared" ref="AB46:AC46" si="16">AB39</f>
        <v>0</v>
      </c>
      <c r="AC46" s="378">
        <f t="shared" si="16"/>
        <v>0</v>
      </c>
      <c r="AD46" s="539" t="str">
        <f>IF(VLOOKUP(A46,Para1!$B$67:$E$72,2,FALSE)="1.",VLOOKUP(A46,Para1!$B$67:$E$72,3,FALSE),"")</f>
        <v/>
      </c>
      <c r="AE46" s="188" t="str">
        <f>IF((AB46+AC46)=0,"",IF(ISNA(AD46),"",IF(AD46="","",VLOOKUP(AD46,Para1!$D$67:$G$79,3,FALSE)*(IF(AB46+AC46=1,0.5,1)))))</f>
        <v/>
      </c>
      <c r="AF46" s="188" t="str">
        <f>IF(AB46+AC46=0,"",IF(ISNA(AD47),"",IF(AD47="","",VLOOKUP(AD47,Para1!$D$67:$G$79,4,FALSE)*(IF(AB46+AC46=1,0.5,1)))))</f>
        <v/>
      </c>
      <c r="AG46" s="188">
        <f t="shared" si="1"/>
        <v>0</v>
      </c>
      <c r="AH46" s="187">
        <f t="shared" si="2"/>
        <v>0</v>
      </c>
    </row>
    <row r="47" spans="1:34" ht="16.5" customHeight="1">
      <c r="A47" s="30" t="s">
        <v>35</v>
      </c>
      <c r="B47" s="425" t="str">
        <f>IF(B46=Para1!$F$153,Para1!$F$107,IF(B46=Para1!$F$107,Para1!$F$148,IF(B46=Para1!$F$148,Para1!$F$109,IF(B46=Para1!$F$109,Para1!$F$118,IF(B46=Para1!$F$118,Para1!$F$173,IF(B46=Para1!$F$173,Para1!$F$176,Para1!$F$153))))))</f>
        <v>So</v>
      </c>
      <c r="C47" s="256"/>
      <c r="D47" s="359"/>
      <c r="E47" s="355"/>
      <c r="F47" s="355"/>
      <c r="G47" s="357"/>
      <c r="H47" s="359"/>
      <c r="I47" s="355"/>
      <c r="J47" s="355"/>
      <c r="K47" s="357"/>
      <c r="L47" s="111">
        <f t="shared" si="3"/>
        <v>0</v>
      </c>
      <c r="M47" s="141">
        <f t="shared" si="4"/>
        <v>0</v>
      </c>
      <c r="N47" s="189">
        <f t="shared" si="5"/>
        <v>-5.2499999999999991</v>
      </c>
      <c r="O47" s="193"/>
      <c r="P47" s="355"/>
      <c r="Q47" s="357"/>
      <c r="R47" s="356"/>
      <c r="S47" s="357"/>
      <c r="T47" s="357"/>
      <c r="U47" s="358"/>
      <c r="V47" s="198"/>
      <c r="W47" s="597"/>
      <c r="X47" s="598"/>
      <c r="Y47" s="200"/>
      <c r="Z47" s="69"/>
      <c r="AA47" s="187"/>
      <c r="AB47" s="377">
        <f t="shared" ref="AB47:AC47" si="17">AB40</f>
        <v>0</v>
      </c>
      <c r="AC47" s="378">
        <f t="shared" si="17"/>
        <v>0</v>
      </c>
      <c r="AD47" s="539" t="str">
        <f>IF(VLOOKUP(A47,Para1!$B$67:$E$72,2,FALSE)="1.",VLOOKUP(A47,Para1!$B$67:$E$72,3,FALSE),"")</f>
        <v/>
      </c>
      <c r="AE47" s="188" t="str">
        <f>IF((AB47+AC47)=0,"",IF(ISNA(AD47),"",IF(AD47="","",VLOOKUP(AD47,Para1!$D$67:$G$79,3,FALSE)*(IF(AB47+AC47=1,0.5,1)))))</f>
        <v/>
      </c>
      <c r="AF47" s="188" t="str">
        <f>IF(AB47+AC47=0,"",IF(ISNA(AD48),"",IF(AD48="","",VLOOKUP(AD48,Para1!$D$67:$G$79,4,FALSE)*(IF(AB47+AC47=1,0.5,1)))))</f>
        <v/>
      </c>
      <c r="AG47" s="188">
        <f t="shared" si="1"/>
        <v>0</v>
      </c>
      <c r="AH47" s="187">
        <f t="shared" si="2"/>
        <v>0</v>
      </c>
    </row>
    <row r="48" spans="1:34" ht="16.5" customHeight="1">
      <c r="A48" s="30" t="s">
        <v>36</v>
      </c>
      <c r="B48" s="425" t="str">
        <f>IF(B47=Para1!$F$153,Para1!$F$107,IF(B47=Para1!$F$107,Para1!$F$148,IF(B47=Para1!$F$148,Para1!$F$109,IF(B47=Para1!$F$109,Para1!$F$118,IF(B47=Para1!$F$118,Para1!$F$173,IF(B47=Para1!$F$173,Para1!$F$176,Para1!$F$153))))))</f>
        <v>Mo</v>
      </c>
      <c r="C48" s="256"/>
      <c r="D48" s="359"/>
      <c r="E48" s="355"/>
      <c r="F48" s="355"/>
      <c r="G48" s="357"/>
      <c r="H48" s="359"/>
      <c r="I48" s="355"/>
      <c r="J48" s="355"/>
      <c r="K48" s="357"/>
      <c r="L48" s="111">
        <f t="shared" si="3"/>
        <v>0</v>
      </c>
      <c r="M48" s="141">
        <f t="shared" si="4"/>
        <v>0.35000000000000003</v>
      </c>
      <c r="N48" s="189">
        <f t="shared" si="5"/>
        <v>-5.5999999999999988</v>
      </c>
      <c r="O48" s="193"/>
      <c r="P48" s="355"/>
      <c r="Q48" s="357"/>
      <c r="R48" s="356"/>
      <c r="S48" s="357"/>
      <c r="T48" s="357"/>
      <c r="U48" s="358"/>
      <c r="V48" s="198"/>
      <c r="W48" s="597"/>
      <c r="X48" s="598"/>
      <c r="Y48" s="200"/>
      <c r="Z48" s="69"/>
      <c r="AA48" s="187"/>
      <c r="AB48" s="377">
        <f t="shared" ref="AB48:AC48" si="18">AB41</f>
        <v>1</v>
      </c>
      <c r="AC48" s="378">
        <f t="shared" si="18"/>
        <v>1</v>
      </c>
      <c r="AD48" s="539" t="e">
        <f>IF(VLOOKUP(A48,Para1!$B$67:$E$72,2,FALSE)="1.",VLOOKUP(A48,Para1!$B$67:$E$72,3,FALSE),"")</f>
        <v>#N/A</v>
      </c>
      <c r="AE48" s="188" t="str">
        <f>IF((AB48+AC48)=0,"",IF(ISNA(AD48),"",IF(AD48="","",VLOOKUP(AD48,Para1!$D$67:$G$79,3,FALSE)*(IF(AB48+AC48=1,0.5,1)))))</f>
        <v/>
      </c>
      <c r="AF48" s="188" t="str">
        <f>IF(AB48+AC48=0,"",IF(ISNA(AD49),"",IF(AD49="","",VLOOKUP(AD49,Para1!$D$67:$G$79,4,FALSE)*(IF(AB48+AC48=1,0.5,1)))))</f>
        <v/>
      </c>
      <c r="AG48" s="188">
        <f t="shared" si="1"/>
        <v>0</v>
      </c>
      <c r="AH48" s="187">
        <f t="shared" si="2"/>
        <v>0.17500000000000002</v>
      </c>
    </row>
    <row r="49" spans="1:34" ht="16.5" customHeight="1">
      <c r="A49" s="30" t="s">
        <v>37</v>
      </c>
      <c r="B49" s="425" t="str">
        <f>IF(B48=Para1!$F$153,Para1!$F$107,IF(B48=Para1!$F$107,Para1!$F$148,IF(B48=Para1!$F$148,Para1!$F$109,IF(B48=Para1!$F$109,Para1!$F$118,IF(B48=Para1!$F$118,Para1!$F$173,IF(B48=Para1!$F$173,Para1!$F$176,Para1!$F$153))))))</f>
        <v>Di</v>
      </c>
      <c r="C49" s="256"/>
      <c r="D49" s="359"/>
      <c r="E49" s="355"/>
      <c r="F49" s="355"/>
      <c r="G49" s="357"/>
      <c r="H49" s="359"/>
      <c r="I49" s="355"/>
      <c r="J49" s="355"/>
      <c r="K49" s="357"/>
      <c r="L49" s="111">
        <f t="shared" si="3"/>
        <v>0</v>
      </c>
      <c r="M49" s="141">
        <f t="shared" si="4"/>
        <v>0.35000000000000003</v>
      </c>
      <c r="N49" s="189">
        <f t="shared" si="5"/>
        <v>-5.9499999999999984</v>
      </c>
      <c r="O49" s="193"/>
      <c r="P49" s="355"/>
      <c r="Q49" s="357"/>
      <c r="R49" s="356"/>
      <c r="S49" s="357"/>
      <c r="T49" s="357"/>
      <c r="U49" s="358"/>
      <c r="V49" s="198"/>
      <c r="W49" s="597"/>
      <c r="X49" s="598"/>
      <c r="Y49" s="200"/>
      <c r="Z49" s="69"/>
      <c r="AA49" s="187"/>
      <c r="AB49" s="377">
        <f>AB42</f>
        <v>1</v>
      </c>
      <c r="AC49" s="378">
        <f>AC42</f>
        <v>1</v>
      </c>
      <c r="AD49" s="539" t="e">
        <f>IF(VLOOKUP(A49,Para1!$B$67:$E$72,2,FALSE)="1.",VLOOKUP(A49,Para1!$B$67:$E$72,3,FALSE),"")</f>
        <v>#N/A</v>
      </c>
      <c r="AE49" s="188" t="str">
        <f>IF((AB49+AC49)=0,"",IF(ISNA(AD49),"",IF(AD49="","",VLOOKUP(AD49,Para1!$D$67:$G$79,3,FALSE)*(IF(AB49+AC49=1,0.5,1)))))</f>
        <v/>
      </c>
      <c r="AF49" s="188" t="str">
        <f>IF(AB49+AC49=0,"",IF(ISNA(AD50),"",IF(AD50="","",VLOOKUP(AD50,Para1!$D$67:$G$79,4,FALSE)*(IF(AB49+AC49=1,0.5,1)))))</f>
        <v/>
      </c>
      <c r="AG49" s="188">
        <f t="shared" si="1"/>
        <v>0</v>
      </c>
      <c r="AH49" s="187">
        <f t="shared" si="2"/>
        <v>0.17500000000000002</v>
      </c>
    </row>
    <row r="50" spans="1:34" ht="16.5" customHeight="1">
      <c r="A50" s="112" t="s">
        <v>38</v>
      </c>
      <c r="B50" s="425" t="str">
        <f>IF(B49=Para1!$F$153,Para1!$F$107,IF(B49=Para1!$F$107,Para1!$F$148,IF(B49=Para1!$F$148,Para1!$F$109,IF(B49=Para1!$F$109,Para1!$F$118,IF(B49=Para1!$F$118,Para1!$F$173,IF(B49=Para1!$F$173,Para1!$F$176,Para1!$F$153))))))</f>
        <v>Mi</v>
      </c>
      <c r="C50" s="256"/>
      <c r="D50" s="359"/>
      <c r="E50" s="355"/>
      <c r="F50" s="355"/>
      <c r="G50" s="357"/>
      <c r="H50" s="359"/>
      <c r="I50" s="355"/>
      <c r="J50" s="355"/>
      <c r="K50" s="357"/>
      <c r="L50" s="111">
        <f t="shared" si="3"/>
        <v>0</v>
      </c>
      <c r="M50" s="141">
        <f t="shared" si="4"/>
        <v>0.35000000000000003</v>
      </c>
      <c r="N50" s="189">
        <f t="shared" si="5"/>
        <v>-6.299999999999998</v>
      </c>
      <c r="O50" s="193"/>
      <c r="P50" s="355"/>
      <c r="Q50" s="357"/>
      <c r="R50" s="356"/>
      <c r="S50" s="357"/>
      <c r="T50" s="357"/>
      <c r="U50" s="358"/>
      <c r="V50" s="198"/>
      <c r="W50" s="597"/>
      <c r="X50" s="598"/>
      <c r="Y50" s="200"/>
      <c r="Z50" s="69"/>
      <c r="AA50" s="187"/>
      <c r="AB50" s="377">
        <f t="shared" ref="AB50:AC50" si="19">AB43</f>
        <v>1</v>
      </c>
      <c r="AC50" s="378">
        <f t="shared" si="19"/>
        <v>1</v>
      </c>
      <c r="AD50" s="539" t="e">
        <f>IF(VLOOKUP(A50,Para1!$B$67:$E$72,2,FALSE)="1.",VLOOKUP(A50,Para1!$B$67:$E$72,3,FALSE),"")</f>
        <v>#N/A</v>
      </c>
      <c r="AE50" s="188" t="str">
        <f>IF((AB50+AC50)=0,"",IF(ISNA(AD50),"",IF(AD50="","",VLOOKUP(AD50,Para1!$D$67:$G$79,3,FALSE)*(IF(AB50+AC50=1,0.5,1)))))</f>
        <v/>
      </c>
      <c r="AF50" s="188" t="str">
        <f>IF(AB50+AC50=0,"",IF(ISNA(AD51),"",IF(AD51="","",VLOOKUP(AD51,Para1!$D$67:$G$79,4,FALSE)*(IF(AB50+AC50=1,0.5,1)))))</f>
        <v/>
      </c>
      <c r="AG50" s="188">
        <f t="shared" si="1"/>
        <v>0</v>
      </c>
      <c r="AH50" s="187">
        <f t="shared" si="2"/>
        <v>0.17500000000000002</v>
      </c>
    </row>
    <row r="51" spans="1:34" ht="16.5" customHeight="1">
      <c r="A51" s="112" t="s">
        <v>39</v>
      </c>
      <c r="B51" s="425" t="str">
        <f>IF(B50=Para1!$F$153,Para1!$F$107,IF(B50=Para1!$F$107,Para1!$F$148,IF(B50=Para1!$F$148,Para1!$F$109,IF(B50=Para1!$F$109,Para1!$F$118,IF(B50=Para1!$F$118,Para1!$F$173,IF(B50=Para1!$F$173,Para1!$F$176,Para1!$F$153))))))</f>
        <v>Do</v>
      </c>
      <c r="C51" s="256"/>
      <c r="D51" s="359"/>
      <c r="E51" s="355"/>
      <c r="F51" s="355"/>
      <c r="G51" s="357"/>
      <c r="H51" s="359"/>
      <c r="I51" s="355"/>
      <c r="J51" s="355"/>
      <c r="K51" s="357"/>
      <c r="L51" s="111">
        <f t="shared" si="3"/>
        <v>0</v>
      </c>
      <c r="M51" s="141">
        <f t="shared" si="4"/>
        <v>0.35000000000000003</v>
      </c>
      <c r="N51" s="189">
        <f t="shared" si="5"/>
        <v>-6.6499999999999977</v>
      </c>
      <c r="O51" s="192"/>
      <c r="P51" s="355"/>
      <c r="Q51" s="357"/>
      <c r="R51" s="356"/>
      <c r="S51" s="357"/>
      <c r="T51" s="357"/>
      <c r="U51" s="358"/>
      <c r="V51" s="198"/>
      <c r="W51" s="597"/>
      <c r="X51" s="598"/>
      <c r="Y51" s="200"/>
      <c r="Z51" s="69"/>
      <c r="AA51" s="187"/>
      <c r="AB51" s="377">
        <f t="shared" ref="AB51:AC51" si="20">AB44</f>
        <v>1</v>
      </c>
      <c r="AC51" s="378">
        <f t="shared" si="20"/>
        <v>1</v>
      </c>
      <c r="AD51" s="539" t="e">
        <f>IF(VLOOKUP(A51,Para1!$B$67:$E$72,2,FALSE)="1.",VLOOKUP(A51,Para1!$B$67:$E$72,3,FALSE),"")</f>
        <v>#N/A</v>
      </c>
      <c r="AE51" s="188" t="str">
        <f>IF((AB51+AC51)=0,"",IF(ISNA(AD51),"",IF(AD51="","",VLOOKUP(AD51,Para1!$D$67:$G$79,3,FALSE)*(IF(AB51+AC51=1,0.5,1)))))</f>
        <v/>
      </c>
      <c r="AF51" s="188" t="str">
        <f>IF(AB51+AC51=0,"",IF(ISNA(AD52),"",IF(AD52="","",VLOOKUP(AD52,Para1!$D$67:$G$79,4,FALSE)*(IF(AB51+AC51=1,0.5,1)))))</f>
        <v/>
      </c>
      <c r="AG51" s="188">
        <f t="shared" si="1"/>
        <v>0</v>
      </c>
      <c r="AH51" s="187">
        <f t="shared" si="2"/>
        <v>0.17500000000000002</v>
      </c>
    </row>
    <row r="52" spans="1:34" ht="16.5" customHeight="1">
      <c r="A52" s="112" t="s">
        <v>40</v>
      </c>
      <c r="B52" s="425" t="str">
        <f>IF(B51=Para1!$F$153,Para1!$F$107,IF(B51=Para1!$F$107,Para1!$F$148,IF(B51=Para1!$F$148,Para1!$F$109,IF(B51=Para1!$F$109,Para1!$F$118,IF(B51=Para1!$F$118,Para1!$F$173,IF(B51=Para1!$F$173,Para1!$F$176,Para1!$F$153))))))</f>
        <v>Fr</v>
      </c>
      <c r="C52" s="256"/>
      <c r="D52" s="359"/>
      <c r="E52" s="355"/>
      <c r="F52" s="355"/>
      <c r="G52" s="357"/>
      <c r="H52" s="359"/>
      <c r="I52" s="355"/>
      <c r="J52" s="355"/>
      <c r="K52" s="357"/>
      <c r="L52" s="111">
        <f t="shared" si="3"/>
        <v>0</v>
      </c>
      <c r="M52" s="141">
        <f t="shared" si="4"/>
        <v>0.35000000000000003</v>
      </c>
      <c r="N52" s="189">
        <f t="shared" si="5"/>
        <v>-6.9999999999999973</v>
      </c>
      <c r="O52" s="192"/>
      <c r="P52" s="355"/>
      <c r="Q52" s="357"/>
      <c r="R52" s="356"/>
      <c r="S52" s="357"/>
      <c r="T52" s="357"/>
      <c r="U52" s="358"/>
      <c r="V52" s="197"/>
      <c r="W52" s="597"/>
      <c r="X52" s="598"/>
      <c r="Y52" s="200"/>
      <c r="Z52" s="69"/>
      <c r="AA52" s="187"/>
      <c r="AB52" s="377">
        <f t="shared" ref="AB52:AC52" si="21">AB45</f>
        <v>1</v>
      </c>
      <c r="AC52" s="378">
        <f t="shared" si="21"/>
        <v>1</v>
      </c>
      <c r="AD52" s="539" t="e">
        <f>IF(VLOOKUP(A52,Para1!$B$67:$E$72,2,FALSE)="1.",VLOOKUP(A52,Para1!$B$67:$E$72,3,FALSE),"")</f>
        <v>#N/A</v>
      </c>
      <c r="AE52" s="188" t="str">
        <f>IF((AB52+AC52)=0,"",IF(ISNA(AD52),"",IF(AD52="","",VLOOKUP(AD52,Para1!$D$67:$G$79,3,FALSE)*(IF(AB52+AC52=1,0.5,1)))))</f>
        <v/>
      </c>
      <c r="AF52" s="188" t="str">
        <f>IF(AB52+AC52=0,"",IF(ISNA(AD53),"",IF(AD53="","",VLOOKUP(AD53,Para1!$D$67:$G$79,4,FALSE)*(IF(AB52+AC52=1,0.5,1)))))</f>
        <v/>
      </c>
      <c r="AG52" s="188">
        <f t="shared" si="1"/>
        <v>0</v>
      </c>
      <c r="AH52" s="187">
        <f t="shared" si="2"/>
        <v>0.17500000000000002</v>
      </c>
    </row>
    <row r="53" spans="1:34" ht="16.5" customHeight="1">
      <c r="A53" s="112" t="s">
        <v>41</v>
      </c>
      <c r="B53" s="425" t="str">
        <f>IF(B52=Para1!$F$153,Para1!$F$107,IF(B52=Para1!$F$107,Para1!$F$148,IF(B52=Para1!$F$148,Para1!$F$109,IF(B52=Para1!$F$109,Para1!$F$118,IF(B52=Para1!$F$118,Para1!$F$173,IF(B52=Para1!$F$173,Para1!$F$176,Para1!$F$153))))))</f>
        <v>Sa</v>
      </c>
      <c r="C53" s="256"/>
      <c r="D53" s="359"/>
      <c r="E53" s="355"/>
      <c r="F53" s="355"/>
      <c r="G53" s="357"/>
      <c r="H53" s="359"/>
      <c r="I53" s="355"/>
      <c r="J53" s="355"/>
      <c r="K53" s="357"/>
      <c r="L53" s="111">
        <f t="shared" si="3"/>
        <v>0</v>
      </c>
      <c r="M53" s="141">
        <f t="shared" si="4"/>
        <v>0</v>
      </c>
      <c r="N53" s="189">
        <f t="shared" si="5"/>
        <v>-6.9999999999999973</v>
      </c>
      <c r="O53" s="193"/>
      <c r="P53" s="355"/>
      <c r="Q53" s="357"/>
      <c r="R53" s="356"/>
      <c r="S53" s="357"/>
      <c r="T53" s="357"/>
      <c r="U53" s="358"/>
      <c r="V53" s="198"/>
      <c r="W53" s="597"/>
      <c r="X53" s="598"/>
      <c r="Y53" s="200"/>
      <c r="Z53" s="69"/>
      <c r="AA53" s="187"/>
      <c r="AB53" s="377">
        <f t="shared" ref="AB53:AC53" si="22">AB46</f>
        <v>0</v>
      </c>
      <c r="AC53" s="378">
        <f t="shared" si="22"/>
        <v>0</v>
      </c>
      <c r="AD53" s="539" t="e">
        <f>IF(VLOOKUP(A53,Para1!$B$67:$E$72,2,FALSE)="1.",VLOOKUP(A53,Para1!$B$67:$E$72,3,FALSE),"")</f>
        <v>#N/A</v>
      </c>
      <c r="AE53" s="188" t="str">
        <f>IF((AB53+AC53)=0,"",IF(ISNA(AD53),"",IF(AD53="","",VLOOKUP(AD53,Para1!$D$67:$G$79,3,FALSE)*(IF(AB53+AC53=1,0.5,1)))))</f>
        <v/>
      </c>
      <c r="AF53" s="188" t="str">
        <f>IF(AB53+AC53=0,"",IF(ISNA(AD54),"",IF(AD54="","",VLOOKUP(AD54,Para1!$D$67:$G$79,4,FALSE)*(IF(AB53+AC53=1,0.5,1)))))</f>
        <v/>
      </c>
      <c r="AG53" s="188">
        <f t="shared" si="1"/>
        <v>0</v>
      </c>
      <c r="AH53" s="187">
        <f t="shared" si="2"/>
        <v>0</v>
      </c>
    </row>
    <row r="54" spans="1:34" ht="16.5" customHeight="1" thickBot="1">
      <c r="A54" s="215" t="s">
        <v>47</v>
      </c>
      <c r="B54" s="425" t="str">
        <f>IF(B53=Para1!$F$153,Para1!$F$107,IF(B53=Para1!$F$107,Para1!$F$148,IF(B53=Para1!$F$148,Para1!$F$109,IF(B53=Para1!$F$109,Para1!$F$118,IF(B53=Para1!$F$118,Para1!$F$173,IF(B53=Para1!$F$173,Para1!$F$176,Para1!$F$153))))))</f>
        <v>So</v>
      </c>
      <c r="C54" s="256"/>
      <c r="D54" s="359"/>
      <c r="E54" s="355"/>
      <c r="F54" s="355"/>
      <c r="G54" s="357"/>
      <c r="H54" s="359"/>
      <c r="I54" s="355"/>
      <c r="J54" s="355"/>
      <c r="K54" s="357"/>
      <c r="L54" s="116">
        <f t="shared" si="3"/>
        <v>0</v>
      </c>
      <c r="M54" s="141">
        <f t="shared" si="4"/>
        <v>0</v>
      </c>
      <c r="N54" s="189">
        <f t="shared" si="5"/>
        <v>-6.9999999999999973</v>
      </c>
      <c r="O54" s="193"/>
      <c r="P54" s="355"/>
      <c r="Q54" s="357"/>
      <c r="R54" s="356"/>
      <c r="S54" s="357"/>
      <c r="T54" s="357"/>
      <c r="U54" s="358"/>
      <c r="V54" s="198"/>
      <c r="W54" s="597"/>
      <c r="X54" s="598"/>
      <c r="Y54" s="200"/>
      <c r="Z54" s="69"/>
      <c r="AA54" s="187"/>
      <c r="AB54" s="379">
        <f t="shared" ref="AB54:AC54" si="23">AB47</f>
        <v>0</v>
      </c>
      <c r="AC54" s="380">
        <f t="shared" si="23"/>
        <v>0</v>
      </c>
      <c r="AD54" s="539" t="e">
        <f>IF(VLOOKUP(A54,Para1!$B$67:$E$72,2,FALSE)="1.",VLOOKUP(A54,Para1!$B$67:$E$72,3,FALSE),"")</f>
        <v>#N/A</v>
      </c>
      <c r="AE54" s="188" t="str">
        <f>IF((AB54+AC54)=0,"",IF(ISNA(AD54),"",IF(AD54="","",VLOOKUP(AD54,Para1!$D$67:$G$79,3,FALSE)*(IF(AB54+AC54=1,0.5,1)))))</f>
        <v/>
      </c>
      <c r="AF54" s="188" t="str">
        <f>IF(AB54+AC54=0,"",IF(ISNA(Februar!AD24),"",IF(Februar!AD24="","",VLOOKUP(Februar!AD24,Para1!$D$67:$G$79,4,FALSE)*(IF(AB54+AC54=1,0.5,1)))))</f>
        <v/>
      </c>
      <c r="AG54" s="188">
        <f t="shared" si="1"/>
        <v>0</v>
      </c>
      <c r="AH54" s="187">
        <f t="shared" si="2"/>
        <v>0</v>
      </c>
    </row>
    <row r="55" spans="1:34" ht="15" thickTop="1">
      <c r="A55" s="47"/>
      <c r="B55" s="37"/>
      <c r="C55" s="16"/>
      <c r="D55" s="38"/>
      <c r="E55" s="38"/>
      <c r="F55" s="38"/>
      <c r="G55" s="38"/>
      <c r="H55" s="38"/>
      <c r="I55" s="38"/>
      <c r="J55" s="38"/>
      <c r="K55" s="464" t="str">
        <f>Para1!F184&amp;" (hh:mm)"</f>
        <v>Total (hh:mm)</v>
      </c>
      <c r="L55" s="39">
        <f>SUM(L24:L54)</f>
        <v>0</v>
      </c>
      <c r="M55" s="44">
        <f>SUM(M24:M54)</f>
        <v>6.9999999999999973</v>
      </c>
      <c r="N55" s="44"/>
      <c r="O55" s="194"/>
      <c r="P55" s="110">
        <f t="shared" ref="P55:U55" si="24">SUM(P24:P54)</f>
        <v>0</v>
      </c>
      <c r="Q55" s="36">
        <f t="shared" si="24"/>
        <v>0</v>
      </c>
      <c r="R55" s="36">
        <f>SUM(R24:R54)</f>
        <v>0</v>
      </c>
      <c r="S55" s="36">
        <f>SUM(S24:S54)</f>
        <v>0</v>
      </c>
      <c r="T55" s="36">
        <f t="shared" si="24"/>
        <v>0</v>
      </c>
      <c r="U55" s="44">
        <f t="shared" si="24"/>
        <v>0</v>
      </c>
      <c r="V55" s="201"/>
      <c r="W55" s="203"/>
      <c r="X55" s="203"/>
      <c r="AA55" s="188"/>
      <c r="AB55" s="884" t="str">
        <f>Para1!F177&amp;" "&amp;Para1!F170&amp;" "&amp;Para1!F171</f>
        <v>Soll pro Halbtag</v>
      </c>
      <c r="AC55" s="885"/>
      <c r="AD55" s="188">
        <f>SUM(AG24:AG54)</f>
        <v>0</v>
      </c>
      <c r="AE55" s="540">
        <f>SUM(AE24:AE54)</f>
        <v>0</v>
      </c>
      <c r="AF55" s="540">
        <f>SUM(AF24:AF54)</f>
        <v>0</v>
      </c>
      <c r="AH55" s="602"/>
    </row>
    <row r="56" spans="1:34" ht="15" thickBot="1">
      <c r="J56" s="19"/>
      <c r="K56" s="766" t="str">
        <f>Para1!F184&amp;" ("&amp;Para1!F106&amp;")"</f>
        <v>Total (dezimal)</v>
      </c>
      <c r="L56" s="767">
        <f>L55*24</f>
        <v>0</v>
      </c>
      <c r="M56" s="768">
        <f>M55*24</f>
        <v>167.99999999999994</v>
      </c>
      <c r="N56" s="768"/>
      <c r="O56" s="769"/>
      <c r="P56" s="770">
        <f t="shared" ref="P56:U56" si="25">P55*24</f>
        <v>0</v>
      </c>
      <c r="Q56" s="768">
        <f t="shared" si="25"/>
        <v>0</v>
      </c>
      <c r="R56" s="768">
        <f t="shared" si="25"/>
        <v>0</v>
      </c>
      <c r="S56" s="768">
        <f>S55*24</f>
        <v>0</v>
      </c>
      <c r="T56" s="768">
        <f t="shared" si="25"/>
        <v>0</v>
      </c>
      <c r="U56" s="768">
        <f t="shared" si="25"/>
        <v>0</v>
      </c>
      <c r="V56" s="202"/>
      <c r="W56" s="195"/>
      <c r="X56" s="195"/>
      <c r="AB56" s="882">
        <f>(C8*24+((AE55+AF55)/100*H3))/(SUM(AB24:AC54)-AD55)/24</f>
        <v>0.17500000000000002</v>
      </c>
      <c r="AC56" s="883"/>
    </row>
    <row r="57" spans="1:34" ht="15" thickTop="1">
      <c r="B57" s="40"/>
      <c r="C57" s="40"/>
      <c r="G57" s="19"/>
      <c r="W57" s="16"/>
      <c r="X57" s="16"/>
    </row>
    <row r="58" spans="1:34">
      <c r="W58" s="130"/>
      <c r="X58" s="130" t="str">
        <f>Para1!G2</f>
        <v>AZE v1_01 02.12.2020</v>
      </c>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row>
  </sheetData>
  <sheetProtection password="CC4A" sheet="1" objects="1" scenarios="1"/>
  <mergeCells count="49">
    <mergeCell ref="A1:B1"/>
    <mergeCell ref="A3:B3"/>
    <mergeCell ref="M3:N3"/>
    <mergeCell ref="P21:U21"/>
    <mergeCell ref="C1:E1"/>
    <mergeCell ref="C7:D7"/>
    <mergeCell ref="H1:I1"/>
    <mergeCell ref="L21:N21"/>
    <mergeCell ref="N8:O8"/>
    <mergeCell ref="N7:O7"/>
    <mergeCell ref="U14:V14"/>
    <mergeCell ref="C12:D12"/>
    <mergeCell ref="C3:D3"/>
    <mergeCell ref="E3:G3"/>
    <mergeCell ref="C11:D11"/>
    <mergeCell ref="C10:D10"/>
    <mergeCell ref="AB56:AC56"/>
    <mergeCell ref="AB55:AC55"/>
    <mergeCell ref="W22:W23"/>
    <mergeCell ref="Y26:Z26"/>
    <mergeCell ref="Y24:Z24"/>
    <mergeCell ref="Y27:Z27"/>
    <mergeCell ref="X22:X23"/>
    <mergeCell ref="Y25:Z25"/>
    <mergeCell ref="AB22:AB23"/>
    <mergeCell ref="M22:M23"/>
    <mergeCell ref="A23:B23"/>
    <mergeCell ref="D22:G22"/>
    <mergeCell ref="H22:K22"/>
    <mergeCell ref="AB21:AC21"/>
    <mergeCell ref="W21:X21"/>
    <mergeCell ref="Y21:Z21"/>
    <mergeCell ref="AC22:AC23"/>
    <mergeCell ref="C9:D9"/>
    <mergeCell ref="C8:D8"/>
    <mergeCell ref="A60:B60"/>
    <mergeCell ref="D60:E60"/>
    <mergeCell ref="T60:X60"/>
    <mergeCell ref="K60:O60"/>
    <mergeCell ref="U15:V15"/>
    <mergeCell ref="N22:N23"/>
    <mergeCell ref="Q22:Q23"/>
    <mergeCell ref="P22:P23"/>
    <mergeCell ref="R22:R23"/>
    <mergeCell ref="U22:U23"/>
    <mergeCell ref="T22:T23"/>
    <mergeCell ref="S22:S23"/>
    <mergeCell ref="A22:B22"/>
    <mergeCell ref="L22:L23"/>
  </mergeCells>
  <phoneticPr fontId="0" type="noConversion"/>
  <conditionalFormatting sqref="N25:N56">
    <cfRule type="cellIs" dxfId="132" priority="24" operator="equal">
      <formula>N24-M25</formula>
    </cfRule>
  </conditionalFormatting>
  <conditionalFormatting sqref="N24">
    <cfRule type="cellIs" dxfId="131" priority="22" operator="equal">
      <formula>0</formula>
    </cfRule>
  </conditionalFormatting>
  <conditionalFormatting sqref="A24:C54 L24:M54">
    <cfRule type="expression" dxfId="130" priority="16">
      <formula>$M24=0</formula>
    </cfRule>
  </conditionalFormatting>
  <conditionalFormatting sqref="W26:W54 AB26:AB54 D26:G54">
    <cfRule type="expression" dxfId="129" priority="9">
      <formula>$AB26=0</formula>
    </cfRule>
  </conditionalFormatting>
  <conditionalFormatting sqref="H26:K54 X26:X54 AC26:AC54">
    <cfRule type="expression" dxfId="128" priority="8">
      <formula>$AC26=0</formula>
    </cfRule>
  </conditionalFormatting>
  <conditionalFormatting sqref="P26:U54">
    <cfRule type="expression" dxfId="127" priority="4">
      <formula>$AB26+$AC26=0</formula>
    </cfRule>
    <cfRule type="expression" dxfId="126" priority="5">
      <formula>$AB26+$AC26=1</formula>
    </cfRule>
  </conditionalFormatting>
  <conditionalFormatting sqref="P26:U54 W26:X54 AB26:AC54 D26:K54">
    <cfRule type="expression" dxfId="125" priority="3">
      <formula>$AE26=0</formula>
    </cfRule>
  </conditionalFormatting>
  <pageMargins left="0.39370078740157483" right="0.39370078740157483" top="0.78740157480314965" bottom="0.39370078740157483" header="0.27559055118110237" footer="0.15748031496062992"/>
  <pageSetup paperSize="9" scale="54" orientation="landscape" verticalDpi="300" r:id="rId1"/>
  <headerFooter alignWithMargins="0">
    <oddHeader>&amp;C&amp;"Arial,Fett Kursiv"&amp;16Zeiterfassung -  &amp;A</oddHeader>
    <oddFooter>&amp;L&amp;Z&amp;F</oddFooter>
  </headerFooter>
  <cellWatches>
    <cellWatch r="Y26"/>
  </cellWatches>
  <legacyDrawing r:id="rId2"/>
  <extLst>
    <ext xmlns:x14="http://schemas.microsoft.com/office/spreadsheetml/2009/9/main" uri="{78C0D931-6437-407d-A8EE-F0AAD7539E65}">
      <x14:conditionalFormattings>
        <x14:conditionalFormatting xmlns:xm="http://schemas.microsoft.com/office/excel/2006/main">
          <x14:cfRule type="expression" priority="2" id="{FFE3A5C1-27BA-46BC-BE4E-14AC3E9F9C11}">
            <xm:f>OR('Persönliche Daten (pers. data)'!$K$5="Nein",'Persönliche Daten (pers. data)'!$K$5="no")</xm:f>
            <x14:dxf>
              <font>
                <color theme="0"/>
              </font>
              <fill>
                <patternFill patternType="none">
                  <bgColor auto="1"/>
                </patternFill>
              </fill>
              <border>
                <left/>
                <right/>
                <top style="thin">
                  <color auto="1"/>
                </top>
                <bottom/>
                <vertical/>
                <horizontal/>
              </border>
            </x14:dxf>
          </x14:cfRule>
          <xm:sqref>L18:Q18</xm:sqref>
        </x14:conditionalFormatting>
        <x14:conditionalFormatting xmlns:xm="http://schemas.microsoft.com/office/excel/2006/main">
          <x14:cfRule type="expression" priority="1" id="{A24D7831-1844-43B5-B0D1-81C5ADA61991}">
            <xm:f>OR('Persönliche Daten (pers. data)'!$K$5="Nein",'Persönliche Daten (pers. data)'!$K$5="no")</xm:f>
            <x14:dxf>
              <font>
                <color theme="0"/>
              </font>
              <border>
                <left/>
                <right/>
                <top/>
                <bottom/>
                <vertical/>
                <horizontal/>
              </border>
            </x14:dxf>
          </x14:cfRule>
          <xm:sqref>G14:I17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pageSetUpPr fitToPage="1"/>
  </sheetPr>
  <dimension ref="A1:AJ60"/>
  <sheetViews>
    <sheetView showGridLines="0" topLeftCell="A13" zoomScale="75" zoomScaleNormal="75" workbookViewId="0">
      <selection activeCell="AC51" sqref="AC51"/>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228" customWidth="1"/>
    <col min="23" max="23" width="11.83203125" style="228" customWidth="1"/>
    <col min="24" max="27" width="11.83203125" style="11" customWidth="1"/>
    <col min="28" max="28" width="11.83203125" style="228" customWidth="1"/>
    <col min="29" max="29" width="11.83203125" style="11" customWidth="1"/>
    <col min="30" max="30" width="11.83203125" style="11" hidden="1" customWidth="1"/>
    <col min="31" max="34" width="11.5" style="11" hidden="1" customWidth="1"/>
    <col min="35" max="16384" width="11.5" style="11"/>
  </cols>
  <sheetData>
    <row r="1" spans="1:36">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36" ht="6" customHeight="1">
      <c r="O2" s="59"/>
      <c r="T2" s="11"/>
      <c r="V2" s="73"/>
      <c r="W2" s="11"/>
    </row>
    <row r="3" spans="1:36">
      <c r="A3" s="894" t="str">
        <f>Para1!F168</f>
        <v xml:space="preserve">Pers-Nr.: </v>
      </c>
      <c r="B3" s="894"/>
      <c r="C3" s="902">
        <f>'Jahresübersicht (Overview)'!C4</f>
        <v>0</v>
      </c>
      <c r="D3" s="902"/>
      <c r="E3" s="903" t="str">
        <f>Para1!F96&amp;": "</f>
        <v xml:space="preserve">Beschäftigungsgrad: </v>
      </c>
      <c r="F3" s="903"/>
      <c r="G3" s="903"/>
      <c r="H3" s="444">
        <f>'Jahresübersicht (Overview)'!D$8</f>
        <v>100</v>
      </c>
      <c r="I3" s="8" t="s">
        <v>248</v>
      </c>
      <c r="L3" s="328" t="str">
        <f>Para1!F111</f>
        <v xml:space="preserve">Eintrittsdatum: </v>
      </c>
      <c r="M3" s="895">
        <f>'Jahresübersicht (Overview)'!$G$4</f>
        <v>0</v>
      </c>
      <c r="N3" s="895"/>
      <c r="O3" s="311"/>
      <c r="T3" s="11"/>
      <c r="V3" s="73"/>
      <c r="W3" s="11"/>
      <c r="AB3" s="73"/>
      <c r="AC3" s="16"/>
      <c r="AD3" s="16"/>
    </row>
    <row r="4" spans="1:36" ht="6" customHeight="1">
      <c r="A4" s="12"/>
      <c r="B4" s="13"/>
      <c r="C4" s="13"/>
      <c r="D4" s="14"/>
      <c r="E4" s="14"/>
      <c r="F4" s="14"/>
      <c r="G4" s="14"/>
      <c r="H4" s="14"/>
      <c r="I4" s="14"/>
      <c r="J4" s="14"/>
      <c r="K4" s="14"/>
      <c r="L4" s="14"/>
      <c r="M4" s="15"/>
      <c r="N4" s="15"/>
      <c r="O4" s="15"/>
      <c r="P4" s="13"/>
      <c r="Q4" s="13"/>
      <c r="R4" s="13"/>
      <c r="S4" s="13"/>
      <c r="T4" s="60"/>
      <c r="U4" s="126"/>
      <c r="V4" s="196"/>
      <c r="W4" s="196"/>
      <c r="X4" s="13"/>
      <c r="Y4" s="13"/>
      <c r="Z4" s="16"/>
      <c r="AB4" s="73"/>
      <c r="AC4" s="16"/>
      <c r="AD4" s="16"/>
    </row>
    <row r="5" spans="1:36" ht="6" customHeight="1">
      <c r="Z5" s="234"/>
      <c r="AB5" s="73"/>
      <c r="AC5" s="16"/>
      <c r="AD5" s="16"/>
    </row>
    <row r="6" spans="1:36" ht="15" customHeight="1">
      <c r="AB6" s="73"/>
      <c r="AC6" s="16"/>
      <c r="AD6" s="16"/>
    </row>
    <row r="7" spans="1:36" ht="15" customHeight="1">
      <c r="A7" s="11"/>
      <c r="B7" s="328" t="str">
        <f>Para1!F93</f>
        <v>Arbeitszeit</v>
      </c>
      <c r="C7" s="898" t="s">
        <v>103</v>
      </c>
      <c r="D7" s="898"/>
      <c r="F7" s="19"/>
      <c r="H7" s="165" t="str">
        <f>Para1!F115</f>
        <v>Ferien</v>
      </c>
      <c r="I7" s="160" t="s">
        <v>103</v>
      </c>
      <c r="J7" s="7"/>
      <c r="L7" s="19"/>
      <c r="M7" s="165" t="str">
        <f>Para1!F136</f>
        <v>Kompensation</v>
      </c>
      <c r="N7" s="900" t="str">
        <f>Para1!F84</f>
        <v>akt. Mt.</v>
      </c>
      <c r="O7" s="900"/>
      <c r="P7" s="333" t="str">
        <f>Para1!F203</f>
        <v>VorMt(e)</v>
      </c>
      <c r="Q7" s="163" t="str">
        <f>Para1!F174</f>
        <v>Saldo</v>
      </c>
      <c r="T7" s="9" t="str">
        <f>Para1!F83</f>
        <v>Absenzen</v>
      </c>
      <c r="U7" s="7" t="s">
        <v>103</v>
      </c>
      <c r="V7" s="7"/>
      <c r="W7" s="140" t="str">
        <f>Para1!F84</f>
        <v>akt. Mt.</v>
      </c>
      <c r="X7" s="140" t="str">
        <f>Para1!F203</f>
        <v>VorMt(e)</v>
      </c>
      <c r="Y7" s="18" t="str">
        <f>Para1!F174</f>
        <v>Saldo</v>
      </c>
      <c r="AB7" s="301"/>
      <c r="AC7" s="301"/>
      <c r="AD7" s="275"/>
      <c r="AE7" s="59"/>
      <c r="AF7" s="59"/>
      <c r="AG7" s="162"/>
      <c r="AH7" s="162"/>
      <c r="AI7" s="165"/>
      <c r="AJ7" s="64"/>
    </row>
    <row r="8" spans="1:36" ht="15" customHeight="1" thickBot="1">
      <c r="B8" s="9" t="str">
        <f>Para1!F177</f>
        <v>Soll</v>
      </c>
      <c r="C8" s="848">
        <f>Para1!E60/100*H3/24</f>
        <v>7</v>
      </c>
      <c r="D8" s="848"/>
      <c r="F8" s="19"/>
      <c r="H8" s="162" t="str">
        <f>Para1!F174&amp;" "&amp;Para1!F88&amp;" "&amp;Para1!F154</f>
        <v>Saldo Anfang Monat</v>
      </c>
      <c r="I8" s="159" t="e">
        <f>Januar!I11</f>
        <v>#N/A</v>
      </c>
      <c r="J8" s="7"/>
      <c r="M8" s="162" t="str">
        <f>Para1!F133</f>
        <v>JAZ-Kompensation</v>
      </c>
      <c r="N8" s="899">
        <f>SUMIF($W$24:$W$54,"k",$AH$24:$AH$54)+SUMIF($X$24:$X$54,"k",$AH$24:$AH$54)</f>
        <v>0</v>
      </c>
      <c r="O8" s="899"/>
      <c r="P8" s="732">
        <f>Januar!Q8</f>
        <v>0</v>
      </c>
      <c r="Q8" s="166">
        <f>N8+P8</f>
        <v>0</v>
      </c>
      <c r="T8" s="20" t="str">
        <f>Para1!F139</f>
        <v>Krankheit</v>
      </c>
      <c r="U8" s="7"/>
      <c r="V8" s="7"/>
      <c r="W8" s="734">
        <f>P55</f>
        <v>0</v>
      </c>
      <c r="X8" s="734">
        <f>Januar!Y8</f>
        <v>0</v>
      </c>
      <c r="Y8" s="306">
        <f t="shared" ref="Y8:Y17" si="0">SUM(W8:X8)</f>
        <v>0</v>
      </c>
      <c r="AB8" s="302"/>
      <c r="AC8" s="302"/>
      <c r="AD8" s="155"/>
      <c r="AE8" s="59"/>
      <c r="AF8" s="59"/>
      <c r="AG8" s="302"/>
      <c r="AH8" s="302"/>
      <c r="AI8" s="155"/>
      <c r="AJ8" s="64"/>
    </row>
    <row r="9" spans="1:36"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T9" s="20" t="str">
        <f>Para1!F196</f>
        <v>Unfall</v>
      </c>
      <c r="U9" s="7" t="str">
        <f>Para1!F98</f>
        <v>betriebsbedingt</v>
      </c>
      <c r="V9" s="7"/>
      <c r="W9" s="734">
        <f>Q55</f>
        <v>0</v>
      </c>
      <c r="X9" s="748">
        <f>Januar!Y9</f>
        <v>0</v>
      </c>
      <c r="Y9" s="306">
        <f t="shared" si="0"/>
        <v>0</v>
      </c>
      <c r="AB9" s="302"/>
      <c r="AC9" s="302"/>
      <c r="AD9" s="155"/>
      <c r="AE9" s="59"/>
      <c r="AF9" s="59"/>
      <c r="AG9" s="16"/>
      <c r="AH9" s="16"/>
      <c r="AI9" s="16"/>
      <c r="AJ9" s="64"/>
    </row>
    <row r="10" spans="1:36" ht="15" customHeight="1">
      <c r="B10" s="22" t="str">
        <f>Para1!F108</f>
        <v>Differenz</v>
      </c>
      <c r="C10" s="905">
        <f>C9-C8</f>
        <v>-7</v>
      </c>
      <c r="D10" s="905"/>
      <c r="F10" s="19"/>
      <c r="H10" s="162" t="str">
        <f>"./. "&amp;Para1!F117</f>
        <v>./. Ferienkürzung</v>
      </c>
      <c r="I10" s="210">
        <v>0</v>
      </c>
      <c r="J10" s="7"/>
      <c r="T10" s="8"/>
      <c r="U10" s="7" t="str">
        <f>Para1!F163&amp;" "&amp;Para1!F99</f>
        <v>nicht betr.</v>
      </c>
      <c r="V10" s="7"/>
      <c r="W10" s="734">
        <f>R55</f>
        <v>0</v>
      </c>
      <c r="X10" s="748">
        <f>Januar!Y10</f>
        <v>0</v>
      </c>
      <c r="Y10" s="306">
        <f t="shared" si="0"/>
        <v>0</v>
      </c>
      <c r="AB10" s="302"/>
      <c r="AC10" s="302"/>
      <c r="AD10" s="155"/>
      <c r="AE10" s="59"/>
      <c r="AF10" s="59"/>
      <c r="AG10" s="160"/>
      <c r="AH10" s="160"/>
      <c r="AI10" s="167"/>
      <c r="AJ10" s="16"/>
    </row>
    <row r="11" spans="1:36" ht="15" customHeight="1" thickBot="1">
      <c r="B11" s="20" t="str">
        <f>Para1!F190</f>
        <v>Übertrag Vormnt</v>
      </c>
      <c r="C11" s="905">
        <f>Januar!C12</f>
        <v>-7</v>
      </c>
      <c r="D11" s="905"/>
      <c r="F11" s="19"/>
      <c r="H11" s="165" t="str">
        <f>Para1!F174&amp;" "&amp;Para1!F113&amp;" "&amp;Para1!F154</f>
        <v>Saldo Ende Monat</v>
      </c>
      <c r="I11" s="166" t="e">
        <f>$I$8-$I$9-$I$10</f>
        <v>#N/A</v>
      </c>
      <c r="L11" s="445" t="str">
        <f>Para1!F103&amp;" "&amp;Para1!F120&amp;" "&amp;Para1!F83&amp;" in "&amp;Para1!F182&amp;":"</f>
        <v>Buchstaben für Absenzen in Tage:</v>
      </c>
      <c r="M11" s="446"/>
      <c r="N11" s="446"/>
      <c r="O11" s="446"/>
      <c r="P11" s="446"/>
      <c r="Q11" s="447"/>
      <c r="T11" s="20" t="str">
        <f>Para1!F140</f>
        <v>Kurzurlaub</v>
      </c>
      <c r="U11" s="8"/>
      <c r="V11" s="8"/>
      <c r="W11" s="734">
        <f>S55</f>
        <v>0</v>
      </c>
      <c r="X11" s="748">
        <f>Januar!Y11</f>
        <v>0</v>
      </c>
      <c r="Y11" s="306">
        <f t="shared" si="0"/>
        <v>0</v>
      </c>
      <c r="AB11" s="302"/>
      <c r="AC11" s="302"/>
      <c r="AD11" s="155"/>
      <c r="AE11" s="59"/>
      <c r="AF11" s="59"/>
      <c r="AG11" s="159"/>
      <c r="AH11" s="160"/>
      <c r="AI11" s="168"/>
      <c r="AJ11" s="16"/>
    </row>
    <row r="12" spans="1:36" ht="15" customHeight="1" thickTop="1" thickBot="1">
      <c r="A12" s="127"/>
      <c r="B12" s="330" t="str">
        <f>Para1!F174</f>
        <v>Saldo</v>
      </c>
      <c r="C12" s="901">
        <f>C10+C11</f>
        <v>-14</v>
      </c>
      <c r="D12" s="901"/>
      <c r="F12" s="19"/>
      <c r="G12" s="7"/>
      <c r="J12" s="7"/>
      <c r="L12" s="448" t="s">
        <v>492</v>
      </c>
      <c r="M12" s="449" t="str">
        <f>Para1!F115</f>
        <v>Ferien</v>
      </c>
      <c r="N12" s="449"/>
      <c r="O12" s="449"/>
      <c r="P12" s="449"/>
      <c r="Q12" s="450"/>
      <c r="T12" s="25" t="str">
        <f>Para1!F206</f>
        <v>Weiterbildung auf Arbeitszeit</v>
      </c>
      <c r="U12" s="7"/>
      <c r="V12" s="7"/>
      <c r="W12" s="734">
        <f>T55</f>
        <v>0</v>
      </c>
      <c r="X12" s="748">
        <f>Januar!Y12</f>
        <v>0</v>
      </c>
      <c r="Y12" s="306">
        <f t="shared" si="0"/>
        <v>0</v>
      </c>
      <c r="AB12" s="302"/>
      <c r="AC12" s="302"/>
      <c r="AD12" s="155"/>
      <c r="AE12" s="59"/>
      <c r="AF12" s="59"/>
      <c r="AG12" s="159"/>
      <c r="AH12" s="160"/>
      <c r="AI12" s="168"/>
      <c r="AJ12" s="16"/>
    </row>
    <row r="13" spans="1:36" ht="15" customHeight="1" thickTop="1">
      <c r="B13" s="330"/>
      <c r="C13" s="274"/>
      <c r="D13" s="81"/>
      <c r="F13" s="19"/>
      <c r="J13" s="7"/>
      <c r="L13" s="448" t="s">
        <v>493</v>
      </c>
      <c r="M13" s="449" t="str">
        <f>Para1!F157</f>
        <v>Mutter- und Vaterschaftsurlaub</v>
      </c>
      <c r="N13" s="449"/>
      <c r="O13" s="449"/>
      <c r="P13" s="449"/>
      <c r="Q13" s="451"/>
      <c r="T13" s="20" t="str">
        <f>Para1!F165</f>
        <v>Öffentliches Amt</v>
      </c>
      <c r="U13" s="7"/>
      <c r="V13" s="7"/>
      <c r="W13" s="734">
        <f>U55</f>
        <v>0</v>
      </c>
      <c r="X13" s="748">
        <f>Januar!Y13</f>
        <v>0</v>
      </c>
      <c r="Y13" s="306">
        <f t="shared" si="0"/>
        <v>0</v>
      </c>
      <c r="AB13" s="302"/>
      <c r="AC13" s="302"/>
      <c r="AD13" s="155"/>
      <c r="AE13" s="59"/>
      <c r="AF13" s="59"/>
      <c r="AG13" s="159"/>
      <c r="AH13" s="161"/>
      <c r="AI13" s="168"/>
      <c r="AJ13" s="16"/>
    </row>
    <row r="14" spans="1:36" ht="15" customHeight="1">
      <c r="F14" s="19"/>
      <c r="H14" s="9" t="str">
        <f>Para1!F142</f>
        <v>Langzeitkonto</v>
      </c>
      <c r="I14" s="160" t="s">
        <v>103</v>
      </c>
      <c r="J14" s="11"/>
      <c r="L14" s="448" t="s">
        <v>494</v>
      </c>
      <c r="M14" s="449" t="str">
        <f>Para1!F149</f>
        <v>Militär/Zivilsch./Zivildienst</v>
      </c>
      <c r="N14" s="449"/>
      <c r="O14" s="449"/>
      <c r="P14" s="449"/>
      <c r="Q14" s="451"/>
      <c r="T14" s="24" t="str">
        <f>Para1!F198</f>
        <v>Urlaub</v>
      </c>
      <c r="U14" s="853" t="str">
        <f>Para1!F100</f>
        <v>bezahlt</v>
      </c>
      <c r="V14" s="853"/>
      <c r="W14" s="738">
        <f>SUMIF($W$24:$W$54,"b",$AH$24:$AH$54)+SUMIF($X$24:$X$54,"b",$AH$24:$AH$54)</f>
        <v>0</v>
      </c>
      <c r="X14" s="748">
        <f>Januar!Y14</f>
        <v>0</v>
      </c>
      <c r="Y14" s="155">
        <f t="shared" si="0"/>
        <v>0</v>
      </c>
      <c r="Z14" s="535"/>
      <c r="AA14" s="536"/>
      <c r="AB14" s="155"/>
      <c r="AC14" s="155"/>
      <c r="AD14" s="155"/>
      <c r="AE14" s="19"/>
      <c r="AF14" s="19"/>
      <c r="AG14" s="164"/>
      <c r="AH14" s="160"/>
      <c r="AI14" s="204"/>
      <c r="AJ14" s="16"/>
    </row>
    <row r="15" spans="1:36" ht="15" customHeight="1">
      <c r="H15" s="140" t="str">
        <f>Para1!F174&amp;" "&amp;Para1!F88&amp;" "&amp;Para1!F154</f>
        <v>Saldo Anfang Monat</v>
      </c>
      <c r="I15" s="299">
        <f>Januar!I17</f>
        <v>0</v>
      </c>
      <c r="J15" s="6"/>
      <c r="K15" s="6"/>
      <c r="L15" s="448" t="s">
        <v>495</v>
      </c>
      <c r="M15" s="449" t="str">
        <f>Para1!F133</f>
        <v>JAZ-Kompensation</v>
      </c>
      <c r="N15" s="449"/>
      <c r="O15" s="449"/>
      <c r="P15" s="449"/>
      <c r="Q15" s="451"/>
      <c r="T15" s="24"/>
      <c r="U15" s="853" t="str">
        <f>Para1!F194</f>
        <v>unbezahlt</v>
      </c>
      <c r="V15" s="853"/>
      <c r="W15" s="738">
        <f>SUMIF($W$24:$W$54,"u",$AH$24:$AH$54)+SUMIF($X$24:$X$54,"u",$AH$24:$AH$54)</f>
        <v>0</v>
      </c>
      <c r="X15" s="748">
        <f>Januar!Y15</f>
        <v>0</v>
      </c>
      <c r="Y15" s="155">
        <f t="shared" si="0"/>
        <v>0</v>
      </c>
      <c r="Z15" s="536"/>
      <c r="AA15" s="536"/>
      <c r="AB15" s="16"/>
      <c r="AC15" s="16"/>
      <c r="AD15" s="16"/>
      <c r="AE15" s="16"/>
      <c r="AF15" s="16"/>
      <c r="AG15" s="16"/>
      <c r="AH15" s="16"/>
      <c r="AI15" s="16"/>
      <c r="AJ15" s="16"/>
    </row>
    <row r="16" spans="1:36" ht="15" customHeight="1">
      <c r="F16" s="11"/>
      <c r="G16" s="11"/>
      <c r="H16" s="140" t="str">
        <f>"./. "&amp;Para1!F145</f>
        <v>./. LZK-Bezug</v>
      </c>
      <c r="I16" s="299">
        <f>SUMIF($W$24:$W$54,"l",$AH$24:$AH$54)+SUMIF($X$24:$X$54,"l",$AH$24:$AH$54)</f>
        <v>0</v>
      </c>
      <c r="J16" s="6"/>
      <c r="K16" s="6"/>
      <c r="L16" s="452" t="s">
        <v>496</v>
      </c>
      <c r="M16" s="456" t="str">
        <f>Para1!F198&amp;" "&amp;Para1!F100</f>
        <v>Urlaub bezahlt</v>
      </c>
      <c r="N16" s="453"/>
      <c r="O16" s="454"/>
      <c r="P16" s="455"/>
      <c r="Q16" s="451"/>
      <c r="R16" s="16"/>
      <c r="S16" s="16"/>
      <c r="T16" s="24" t="str">
        <f>Para1!F157</f>
        <v>Mutter- und Vaterschaftsurlaub</v>
      </c>
      <c r="U16" s="73"/>
      <c r="V16" s="11"/>
      <c r="W16" s="738">
        <f>SUMIF($W$24:$W$54,"m",$AH$24:$AH$54)+SUMIF($X$24:$X$54,"m",$AH$24:$AH$54)</f>
        <v>0</v>
      </c>
      <c r="X16" s="748">
        <f>Januar!Y16</f>
        <v>0</v>
      </c>
      <c r="Y16" s="155">
        <f t="shared" si="0"/>
        <v>0</v>
      </c>
      <c r="Z16" s="536"/>
      <c r="AA16" s="536"/>
      <c r="AB16" s="11"/>
    </row>
    <row r="17" spans="1:34" ht="15" customHeight="1" thickBot="1">
      <c r="G17" s="162"/>
      <c r="H17" s="328" t="str">
        <f>Para1!F174&amp;" "&amp;Para1!F113&amp;" "&amp;Para1!F154</f>
        <v>Saldo Ende Monat</v>
      </c>
      <c r="I17" s="732">
        <f>I15-I16</f>
        <v>0</v>
      </c>
      <c r="J17" s="6"/>
      <c r="K17" s="6"/>
      <c r="L17" s="452" t="s">
        <v>497</v>
      </c>
      <c r="M17" s="456" t="str">
        <f>Para1!F198&amp;" "&amp;Para1!F194</f>
        <v>Urlaub unbezahlt</v>
      </c>
      <c r="N17" s="453"/>
      <c r="O17" s="454"/>
      <c r="P17" s="455"/>
      <c r="Q17" s="451"/>
      <c r="R17" s="19"/>
      <c r="S17" s="19"/>
      <c r="T17" s="24" t="str">
        <f>Para1!F149</f>
        <v>Militär/Zivilsch./Zivildienst</v>
      </c>
      <c r="U17" s="73"/>
      <c r="V17" s="11"/>
      <c r="W17" s="738">
        <f>SUMIF($W$24:$W$54,"z",$AH$24:$AH$54)+SUMIF($X$24:$X$54,"z",$AH$24:$AH$54)</f>
        <v>0</v>
      </c>
      <c r="X17" s="748">
        <f>Januar!Y17</f>
        <v>0</v>
      </c>
      <c r="Y17" s="155">
        <f t="shared" si="0"/>
        <v>0</v>
      </c>
      <c r="Z17" s="536"/>
      <c r="AA17" s="536"/>
      <c r="AB17" s="11"/>
    </row>
    <row r="18" spans="1:34" ht="15" customHeight="1" thickTop="1" thickBot="1">
      <c r="F18" s="615" t="str">
        <f>IF(AND(Information!H8="Nein",I16&gt;0),"ACHTUNG: Langzeitkontobezug ohne entsprechendes Konto!!","")</f>
        <v/>
      </c>
      <c r="G18" s="25"/>
      <c r="H18" s="273"/>
      <c r="I18" s="7"/>
      <c r="J18" s="6"/>
      <c r="K18" s="6"/>
      <c r="L18" s="448" t="s">
        <v>498</v>
      </c>
      <c r="M18" s="456" t="str">
        <f>Para1!F142</f>
        <v>Langzeitkonto</v>
      </c>
      <c r="N18" s="453"/>
      <c r="O18" s="454"/>
      <c r="P18" s="455"/>
      <c r="Q18" s="451"/>
      <c r="R18" s="329"/>
      <c r="S18" s="19"/>
      <c r="T18" s="9" t="str">
        <f>Para1!F184</f>
        <v>Total</v>
      </c>
      <c r="U18" s="11"/>
      <c r="V18" s="11"/>
      <c r="W18" s="733">
        <f>SUM(W8:W17)</f>
        <v>0</v>
      </c>
      <c r="X18" s="733">
        <f>SUM(X8:X17)</f>
        <v>0</v>
      </c>
      <c r="Y18" s="733">
        <f>SUM(Y8:Y17)</f>
        <v>0</v>
      </c>
      <c r="Z18" s="16"/>
      <c r="AB18" s="11"/>
    </row>
    <row r="19" spans="1:34" ht="15" customHeight="1" thickTop="1">
      <c r="F19" s="72"/>
      <c r="G19" s="25"/>
      <c r="H19" s="273"/>
      <c r="I19" s="7"/>
      <c r="J19" s="6"/>
      <c r="K19" s="6"/>
      <c r="L19" s="21"/>
      <c r="N19" s="300"/>
      <c r="O19" s="300"/>
      <c r="P19" s="19"/>
      <c r="Q19" s="300"/>
      <c r="R19" s="300"/>
      <c r="S19" s="19"/>
      <c r="T19" s="19"/>
      <c r="U19" s="160"/>
      <c r="V19" s="160"/>
      <c r="W19" s="16"/>
      <c r="X19" s="16"/>
      <c r="Y19" s="23"/>
      <c r="AB19" s="11"/>
    </row>
    <row r="20" spans="1:34" ht="15" customHeight="1" thickBot="1">
      <c r="A20" s="424" t="str">
        <f>Para1!J222</f>
        <v>(Bitte das Guthaben in Stunden und Minuten eingeben.)</v>
      </c>
      <c r="B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row>
    <row r="24" spans="1:34" ht="16.5" customHeight="1" thickTop="1">
      <c r="A24" s="30" t="s">
        <v>5</v>
      </c>
      <c r="B24" s="303" t="str">
        <f>IF(Januar!B54=Para1!$F$153,Para1!$F$107,IF(Januar!B54=Para1!$F$107,Para1!$F$148,IF(Januar!B54=Para1!$F$148,Para1!$F$109,IF(Januar!B54=Para1!$F$109,Para1!$F$118,IF(Januar!B54=Para1!$F$118,Para1!$F$173,IF(Januar!B54=Para1!$F$173,Para1!$F$176,Para1!$F$153))))))</f>
        <v>Mo</v>
      </c>
      <c r="C24" s="305"/>
      <c r="D24" s="355"/>
      <c r="E24" s="355"/>
      <c r="F24" s="355"/>
      <c r="G24" s="357"/>
      <c r="H24" s="359"/>
      <c r="I24" s="355"/>
      <c r="J24" s="355"/>
      <c r="K24" s="357"/>
      <c r="L24" s="111">
        <f t="shared" ref="L24:L51" si="1">SUM((G24-D24),(K24-H24))-SUM((F24-E24),(J24-I24))</f>
        <v>0</v>
      </c>
      <c r="M24" s="141">
        <f t="shared" ref="M24:M51" si="2">IF(AE24=0,0,IF(AB24,$AB$56,0)+IF(AC24,$AB$56,0)-IF(AE24="",0,(AE24/4800*$H$3)+(AE24/4800*$H$3)))-IF(AF24="",0,(AF24/4800*$H$3)+(AF24/4800*$H$3))</f>
        <v>0.35000000000000003</v>
      </c>
      <c r="N24" s="45">
        <f>$C$11+$L24-M24+SUM($P24:$U24)+IF(OR($W24="f",$W24="m",$W24="z",$W24="u",$W24="b",$W24="l"),$AH24,0)+IF(OR($X24="f",$X24="m",$X24="z",$X24="u",$X24="b",$X24="l"),$AH24,0)</f>
        <v>-7.35</v>
      </c>
      <c r="O24" s="193"/>
      <c r="P24" s="355"/>
      <c r="Q24" s="357"/>
      <c r="R24" s="356"/>
      <c r="S24" s="357"/>
      <c r="T24" s="357"/>
      <c r="U24" s="358"/>
      <c r="V24" s="198"/>
      <c r="W24" s="373"/>
      <c r="X24" s="599"/>
      <c r="Y24" s="232"/>
      <c r="Z24" s="231"/>
      <c r="AA24" s="668"/>
      <c r="AB24" s="375">
        <f>Januar!AB48</f>
        <v>1</v>
      </c>
      <c r="AC24" s="375">
        <f>Januar!AC48</f>
        <v>1</v>
      </c>
      <c r="AD24" s="188" t="e">
        <f>IF(VLOOKUP(A24,Para1!$B$67:$E$72,2,FALSE)="2.",VLOOKUP(A24,Para1!$B$67:$E$72,3,FALSE),"")</f>
        <v>#N/A</v>
      </c>
      <c r="AE24" s="540" t="str">
        <f>IF((AB24+AC24)=0,"",IF(ISNA(AD24),"",IF(AD24="","",VLOOKUP(AD24,Para1!$D$67:$G$79,3,FALSE)*(IF(AB24+AC24=1,0.5,1)))))</f>
        <v/>
      </c>
      <c r="AF24" s="540" t="str">
        <f>IF(AB24+AC24=0,"",IF(ISNA(AD25),"",IF(AD25="","",VLOOKUP(AD25,Para1!$D$67:$G$79,4,FALSE)*(IF(AB24+AC24=1,0.5,1)))))</f>
        <v/>
      </c>
      <c r="AG24" s="188">
        <f>IF(AE24=0,AB24+AC24,0)</f>
        <v>0</v>
      </c>
      <c r="AH24" s="187">
        <f>IF((AB24+AC24)=0,0,M24/(AB24+AC24))</f>
        <v>0.17500000000000002</v>
      </c>
    </row>
    <row r="25" spans="1:34" ht="16.5" customHeight="1">
      <c r="A25" s="30" t="s">
        <v>7</v>
      </c>
      <c r="B25" s="303" t="str">
        <f>IF(B24=Para1!$F$153,Para1!$F$107,IF(B24=Para1!$F$107,Para1!$F$148,IF(B24=Para1!$F$148,Para1!$F$109,IF(B24=Para1!$F$109,Para1!$F$118,IF(B24=Para1!$F$118,Para1!$F$173,IF(B24=Para1!$F$173,Para1!$F$176,Para1!$F$153))))))</f>
        <v>Di</v>
      </c>
      <c r="C25" s="305"/>
      <c r="D25" s="355"/>
      <c r="E25" s="355"/>
      <c r="F25" s="355"/>
      <c r="G25" s="357"/>
      <c r="H25" s="359"/>
      <c r="I25" s="355"/>
      <c r="J25" s="355"/>
      <c r="K25" s="357"/>
      <c r="L25" s="111">
        <f t="shared" si="1"/>
        <v>0</v>
      </c>
      <c r="M25" s="141">
        <f t="shared" si="2"/>
        <v>0.35000000000000003</v>
      </c>
      <c r="N25" s="45">
        <f>$N24+$L25-M25+SUM($P25:$U25)+IF(OR($W25="f",$W25="m",$W25="z",$W25="u",$W25="b",$W25="l"),$AH25,0)+IF(OR($X25="f",$X25="m",$X25="z",$X25="u",$X25="b",$X25="l"),$AH25,0)</f>
        <v>-7.6999999999999993</v>
      </c>
      <c r="O25" s="193"/>
      <c r="P25" s="355"/>
      <c r="Q25" s="357"/>
      <c r="R25" s="356"/>
      <c r="S25" s="357"/>
      <c r="T25" s="357"/>
      <c r="U25" s="358"/>
      <c r="V25" s="198"/>
      <c r="W25" s="373"/>
      <c r="X25" s="599"/>
      <c r="Y25" s="200"/>
      <c r="Z25" s="69"/>
      <c r="AA25" s="128"/>
      <c r="AB25" s="360">
        <f>Januar!AB49</f>
        <v>1</v>
      </c>
      <c r="AC25" s="360">
        <f>Januar!AC49</f>
        <v>1</v>
      </c>
      <c r="AD25" s="188" t="str">
        <f>IF(VLOOKUP(A25,Para1!$B$67:$E$72,2,FALSE)="3.",VLOOKUP(A25,Para1!$B$67:$E$72,3,FALSE),"")</f>
        <v/>
      </c>
      <c r="AE25" s="540" t="str">
        <f>IF((AB25+AC25)=0,"",IF(ISNA(AD25),"",IF(AD25="","",VLOOKUP(AD25,Para1!$D$67:$G$79,3,FALSE)*(IF(AB25+AC25=1,0.5,1)))))</f>
        <v/>
      </c>
      <c r="AF25" s="540" t="str">
        <f>IF(AB25+AC25=0,"",IF(ISNA(AD26),"",IF(AD26="","",VLOOKUP(AD26,Para1!$D$67:$G$79,4,FALSE)*(IF(AB25+AC25=1,0.5,1)))))</f>
        <v/>
      </c>
      <c r="AG25" s="188">
        <f t="shared" ref="AG25:AG54" si="3">IF(AE25=0,AB25+AC25,0)</f>
        <v>0</v>
      </c>
      <c r="AH25" s="187">
        <f t="shared" ref="AH25:AH54" si="4">IF((AB25+AC25)=0,0,M25/(AB25+AC25))</f>
        <v>0.17500000000000002</v>
      </c>
    </row>
    <row r="26" spans="1:34" ht="16.5" customHeight="1">
      <c r="A26" s="30" t="s">
        <v>9</v>
      </c>
      <c r="B26" s="303" t="str">
        <f>IF(B25=Para1!$F$153,Para1!$F$107,IF(B25=Para1!$F$107,Para1!$F$148,IF(B25=Para1!$F$148,Para1!$F$109,IF(B25=Para1!$F$109,Para1!$F$118,IF(B25=Para1!$F$118,Para1!$F$173,IF(B25=Para1!$F$173,Para1!$F$176,Para1!$F$153))))))</f>
        <v>Mi</v>
      </c>
      <c r="C26" s="305"/>
      <c r="D26" s="355"/>
      <c r="E26" s="355"/>
      <c r="F26" s="355"/>
      <c r="G26" s="357"/>
      <c r="H26" s="359"/>
      <c r="I26" s="355"/>
      <c r="J26" s="355"/>
      <c r="K26" s="357"/>
      <c r="L26" s="111">
        <f t="shared" si="1"/>
        <v>0</v>
      </c>
      <c r="M26" s="141">
        <f t="shared" si="2"/>
        <v>0.35000000000000003</v>
      </c>
      <c r="N26" s="45">
        <f t="shared" ref="N26:N54" si="5">$N25+$L26-M26+SUM($P26:$U26)+IF(OR($W26="f",$W26="m",$W26="z",$W26="u",$W26="b",$W26="l"),$AH26,0)+IF(OR($X26="f",$X26="m",$X26="z",$X26="u",$X26="b",$X26="l"),$AH26,0)</f>
        <v>-8.0499999999999989</v>
      </c>
      <c r="O26" s="193"/>
      <c r="P26" s="355"/>
      <c r="Q26" s="357"/>
      <c r="R26" s="356"/>
      <c r="S26" s="357"/>
      <c r="T26" s="357"/>
      <c r="U26" s="358"/>
      <c r="V26" s="198"/>
      <c r="W26" s="373"/>
      <c r="X26" s="599"/>
      <c r="Y26" s="200"/>
      <c r="Z26" s="69"/>
      <c r="AA26" s="128"/>
      <c r="AB26" s="360">
        <f>Januar!AB50</f>
        <v>1</v>
      </c>
      <c r="AC26" s="360">
        <f>Januar!AC50</f>
        <v>1</v>
      </c>
      <c r="AD26" s="188" t="e">
        <f>IF(VLOOKUP(A26,Para1!$B$67:$E$72,2,FALSE)="3.",VLOOKUP(A26,Para1!$B$67:$E$72,3,FALSE),"")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0.17500000000000002</v>
      </c>
    </row>
    <row r="27" spans="1:34" ht="16.5" customHeight="1">
      <c r="A27" s="30" t="s">
        <v>11</v>
      </c>
      <c r="B27" s="303" t="str">
        <f>IF(B26=Para1!$F$153,Para1!$F$107,IF(B26=Para1!$F$107,Para1!$F$148,IF(B26=Para1!$F$148,Para1!$F$109,IF(B26=Para1!$F$109,Para1!$F$118,IF(B26=Para1!$F$118,Para1!$F$173,IF(B26=Para1!$F$173,Para1!$F$176,Para1!$F$153))))))</f>
        <v>Do</v>
      </c>
      <c r="C27" s="305"/>
      <c r="D27" s="355"/>
      <c r="E27" s="355"/>
      <c r="F27" s="355"/>
      <c r="G27" s="357"/>
      <c r="H27" s="359"/>
      <c r="I27" s="355"/>
      <c r="J27" s="355"/>
      <c r="K27" s="357"/>
      <c r="L27" s="111">
        <f t="shared" si="1"/>
        <v>0</v>
      </c>
      <c r="M27" s="141">
        <f t="shared" si="2"/>
        <v>0.35000000000000003</v>
      </c>
      <c r="N27" s="45">
        <f t="shared" si="5"/>
        <v>-8.3999999999999986</v>
      </c>
      <c r="O27" s="192"/>
      <c r="P27" s="355"/>
      <c r="Q27" s="357"/>
      <c r="R27" s="356"/>
      <c r="S27" s="357"/>
      <c r="T27" s="357"/>
      <c r="U27" s="358"/>
      <c r="V27" s="198"/>
      <c r="W27" s="374"/>
      <c r="X27" s="599"/>
      <c r="Y27" s="200"/>
      <c r="Z27" s="69"/>
      <c r="AA27" s="128"/>
      <c r="AB27" s="360">
        <f>Januar!AB51</f>
        <v>1</v>
      </c>
      <c r="AC27" s="360">
        <f>Januar!AC51</f>
        <v>1</v>
      </c>
      <c r="AD27" s="188" t="str">
        <f>IF(VLOOKUP(A27,Para1!$B$67:$E$72,2,FALSE)="3.",VLOOKUP(A27,Para1!$B$67:$E$72,3,FALSE),"")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0.17500000000000002</v>
      </c>
    </row>
    <row r="28" spans="1:34" ht="16.5" customHeight="1">
      <c r="A28" s="30" t="s">
        <v>13</v>
      </c>
      <c r="B28" s="303" t="str">
        <f>IF(B27=Para1!$F$153,Para1!$F$107,IF(B27=Para1!$F$107,Para1!$F$148,IF(B27=Para1!$F$148,Para1!$F$109,IF(B27=Para1!$F$109,Para1!$F$118,IF(B27=Para1!$F$118,Para1!$F$173,IF(B27=Para1!$F$173,Para1!$F$176,Para1!$F$153))))))</f>
        <v>Fr</v>
      </c>
      <c r="C28" s="305"/>
      <c r="D28" s="355"/>
      <c r="E28" s="355"/>
      <c r="F28" s="355"/>
      <c r="G28" s="357"/>
      <c r="H28" s="359"/>
      <c r="I28" s="355"/>
      <c r="J28" s="355"/>
      <c r="K28" s="357"/>
      <c r="L28" s="111">
        <f t="shared" si="1"/>
        <v>0</v>
      </c>
      <c r="M28" s="141">
        <f t="shared" si="2"/>
        <v>0.35000000000000003</v>
      </c>
      <c r="N28" s="45">
        <f t="shared" si="5"/>
        <v>-8.7499999999999982</v>
      </c>
      <c r="O28" s="192"/>
      <c r="P28" s="355"/>
      <c r="Q28" s="357"/>
      <c r="R28" s="356"/>
      <c r="S28" s="357"/>
      <c r="T28" s="357"/>
      <c r="U28" s="358"/>
      <c r="V28" s="197"/>
      <c r="W28" s="374"/>
      <c r="X28" s="599"/>
      <c r="Y28" s="200"/>
      <c r="Z28" s="69"/>
      <c r="AA28" s="128"/>
      <c r="AB28" s="360">
        <f>Januar!AB52</f>
        <v>1</v>
      </c>
      <c r="AC28" s="360">
        <f>Januar!AC52</f>
        <v>1</v>
      </c>
      <c r="AD28" s="188" t="str">
        <f>IF(VLOOKUP(A28,Para1!$B$67:$E$72,2,FALSE)="3.",VLOOKUP(A28,Para1!$B$67:$E$72,3,FALSE),"")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0.17500000000000002</v>
      </c>
    </row>
    <row r="29" spans="1:34" s="113" customFormat="1" ht="16.5" customHeight="1">
      <c r="A29" s="30" t="s">
        <v>15</v>
      </c>
      <c r="B29" s="303" t="str">
        <f>IF(B28=Para1!$F$153,Para1!$F$107,IF(B28=Para1!$F$107,Para1!$F$148,IF(B28=Para1!$F$148,Para1!$F$109,IF(B28=Para1!$F$109,Para1!$F$118,IF(B28=Para1!$F$118,Para1!$F$173,IF(B28=Para1!$F$173,Para1!$F$176,Para1!$F$153))))))</f>
        <v>Sa</v>
      </c>
      <c r="C29" s="305"/>
      <c r="D29" s="355"/>
      <c r="E29" s="355"/>
      <c r="F29" s="355"/>
      <c r="G29" s="357"/>
      <c r="H29" s="359"/>
      <c r="I29" s="355"/>
      <c r="J29" s="355"/>
      <c r="K29" s="357"/>
      <c r="L29" s="111">
        <f t="shared" si="1"/>
        <v>0</v>
      </c>
      <c r="M29" s="141">
        <f t="shared" si="2"/>
        <v>0</v>
      </c>
      <c r="N29" s="45">
        <f t="shared" si="5"/>
        <v>-8.7499999999999982</v>
      </c>
      <c r="O29" s="193"/>
      <c r="P29" s="355"/>
      <c r="Q29" s="357"/>
      <c r="R29" s="356"/>
      <c r="S29" s="357"/>
      <c r="T29" s="357"/>
      <c r="U29" s="358"/>
      <c r="V29" s="198"/>
      <c r="W29" s="373"/>
      <c r="X29" s="599"/>
      <c r="Y29" s="233"/>
      <c r="Z29" s="114"/>
      <c r="AA29" s="128"/>
      <c r="AB29" s="360">
        <f>Januar!AB53</f>
        <v>0</v>
      </c>
      <c r="AC29" s="360">
        <f>Januar!AC53</f>
        <v>0</v>
      </c>
      <c r="AD29" s="188" t="e">
        <f>IF(VLOOKUP(A29,Para1!$B$67:$E$72,2,FALSE)="3.",VLOOKUP(A29,Para1!$B$67:$E$72,3,FALSE),"")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v>
      </c>
    </row>
    <row r="30" spans="1:34" s="113" customFormat="1" ht="16.5" customHeight="1">
      <c r="A30" s="30" t="s">
        <v>17</v>
      </c>
      <c r="B30" s="303" t="str">
        <f>IF(B29=Para1!$F$153,Para1!$F$107,IF(B29=Para1!$F$107,Para1!$F$148,IF(B29=Para1!$F$148,Para1!$F$109,IF(B29=Para1!$F$109,Para1!$F$118,IF(B29=Para1!$F$118,Para1!$F$173,IF(B29=Para1!$F$173,Para1!$F$176,Para1!$F$153))))))</f>
        <v>So</v>
      </c>
      <c r="C30" s="305"/>
      <c r="D30" s="355"/>
      <c r="E30" s="355"/>
      <c r="F30" s="355"/>
      <c r="G30" s="357"/>
      <c r="H30" s="359"/>
      <c r="I30" s="355"/>
      <c r="J30" s="355"/>
      <c r="K30" s="357"/>
      <c r="L30" s="111">
        <f t="shared" si="1"/>
        <v>0</v>
      </c>
      <c r="M30" s="141">
        <f t="shared" si="2"/>
        <v>0</v>
      </c>
      <c r="N30" s="45">
        <f t="shared" si="5"/>
        <v>-8.7499999999999982</v>
      </c>
      <c r="O30" s="193"/>
      <c r="P30" s="355"/>
      <c r="Q30" s="357"/>
      <c r="R30" s="356"/>
      <c r="S30" s="357"/>
      <c r="T30" s="357"/>
      <c r="U30" s="358"/>
      <c r="V30" s="198"/>
      <c r="W30" s="373"/>
      <c r="X30" s="599"/>
      <c r="Y30" s="233"/>
      <c r="Z30" s="114"/>
      <c r="AA30" s="128"/>
      <c r="AB30" s="360">
        <f>Januar!AB54</f>
        <v>0</v>
      </c>
      <c r="AC30" s="360">
        <f>Januar!AC54</f>
        <v>0</v>
      </c>
      <c r="AD30" s="188" t="e">
        <f>IF(VLOOKUP(A30,Para1!$B$67:$E$72,2,FALSE)="3.",VLOOKUP(A30,Para1!$B$67:$E$72,3,FALSE),"")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v>
      </c>
    </row>
    <row r="31" spans="1:34" ht="16.5" customHeight="1">
      <c r="A31" s="30" t="s">
        <v>19</v>
      </c>
      <c r="B31" s="303" t="str">
        <f>IF(B30=Para1!$F$153,Para1!$F$107,IF(B30=Para1!$F$107,Para1!$F$148,IF(B30=Para1!$F$148,Para1!$F$109,IF(B30=Para1!$F$109,Para1!$F$118,IF(B30=Para1!$F$118,Para1!$F$173,IF(B30=Para1!$F$173,Para1!$F$176,Para1!$F$153))))))</f>
        <v>Mo</v>
      </c>
      <c r="C31" s="305"/>
      <c r="D31" s="355"/>
      <c r="E31" s="355"/>
      <c r="F31" s="355"/>
      <c r="G31" s="357"/>
      <c r="H31" s="359"/>
      <c r="I31" s="355"/>
      <c r="J31" s="355"/>
      <c r="K31" s="357"/>
      <c r="L31" s="111">
        <f t="shared" si="1"/>
        <v>0</v>
      </c>
      <c r="M31" s="141">
        <f t="shared" si="2"/>
        <v>0.35000000000000003</v>
      </c>
      <c r="N31" s="45">
        <f t="shared" si="5"/>
        <v>-9.0999999999999979</v>
      </c>
      <c r="O31" s="193"/>
      <c r="P31" s="355"/>
      <c r="Q31" s="357"/>
      <c r="R31" s="356"/>
      <c r="S31" s="357"/>
      <c r="T31" s="357"/>
      <c r="U31" s="358"/>
      <c r="V31" s="198"/>
      <c r="W31" s="373"/>
      <c r="X31" s="599"/>
      <c r="Y31" s="200"/>
      <c r="Z31" s="69"/>
      <c r="AA31" s="128"/>
      <c r="AB31" s="360">
        <f>AB24</f>
        <v>1</v>
      </c>
      <c r="AC31" s="360">
        <f>AC24</f>
        <v>1</v>
      </c>
      <c r="AD31" s="188" t="e">
        <f>IF(VLOOKUP(A31,Para1!$B$67:$E$72,2,FALSE)="3.",VLOOKUP(A31,Para1!$B$67:$E$72,3,FALSE),"")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0.17500000000000002</v>
      </c>
    </row>
    <row r="32" spans="1:34" ht="16.5" customHeight="1">
      <c r="A32" s="30" t="s">
        <v>20</v>
      </c>
      <c r="B32" s="303" t="str">
        <f>IF(B31=Para1!$F$153,Para1!$F$107,IF(B31=Para1!$F$107,Para1!$F$148,IF(B31=Para1!$F$148,Para1!$F$109,IF(B31=Para1!$F$109,Para1!$F$118,IF(B31=Para1!$F$118,Para1!$F$173,IF(B31=Para1!$F$173,Para1!$F$176,Para1!$F$153))))))</f>
        <v>Di</v>
      </c>
      <c r="C32" s="305"/>
      <c r="D32" s="355"/>
      <c r="E32" s="355"/>
      <c r="F32" s="355"/>
      <c r="G32" s="357"/>
      <c r="H32" s="359"/>
      <c r="I32" s="355"/>
      <c r="J32" s="355"/>
      <c r="K32" s="357"/>
      <c r="L32" s="111">
        <f t="shared" si="1"/>
        <v>0</v>
      </c>
      <c r="M32" s="141">
        <f t="shared" si="2"/>
        <v>0.35000000000000003</v>
      </c>
      <c r="N32" s="45">
        <f t="shared" si="5"/>
        <v>-9.4499999999999975</v>
      </c>
      <c r="O32" s="193"/>
      <c r="P32" s="355"/>
      <c r="Q32" s="357"/>
      <c r="R32" s="356"/>
      <c r="S32" s="357"/>
      <c r="T32" s="357"/>
      <c r="U32" s="358"/>
      <c r="V32" s="198"/>
      <c r="W32" s="373"/>
      <c r="X32" s="599"/>
      <c r="Y32" s="200"/>
      <c r="Z32" s="69"/>
      <c r="AA32" s="128"/>
      <c r="AB32" s="360">
        <f t="shared" ref="AB32:AC32" si="6">AB25</f>
        <v>1</v>
      </c>
      <c r="AC32" s="360">
        <f t="shared" si="6"/>
        <v>1</v>
      </c>
      <c r="AD32" s="188" t="e">
        <f>IF(VLOOKUP(A32,Para1!$B$67:$E$72,2,FALSE)="3.",VLOOKUP(A32,Para1!$B$67:$E$72,3,FALSE),"")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0.17500000000000002</v>
      </c>
    </row>
    <row r="33" spans="1:34" ht="16.5" customHeight="1">
      <c r="A33" s="30" t="s">
        <v>21</v>
      </c>
      <c r="B33" s="303" t="str">
        <f>IF(B32=Para1!$F$153,Para1!$F$107,IF(B32=Para1!$F$107,Para1!$F$148,IF(B32=Para1!$F$148,Para1!$F$109,IF(B32=Para1!$F$109,Para1!$F$118,IF(B32=Para1!$F$118,Para1!$F$173,IF(B32=Para1!$F$173,Para1!$F$176,Para1!$F$153))))))</f>
        <v>Mi</v>
      </c>
      <c r="C33" s="305"/>
      <c r="D33" s="355"/>
      <c r="E33" s="355"/>
      <c r="F33" s="355"/>
      <c r="G33" s="357"/>
      <c r="H33" s="359"/>
      <c r="I33" s="355"/>
      <c r="J33" s="355"/>
      <c r="K33" s="357"/>
      <c r="L33" s="111">
        <f t="shared" si="1"/>
        <v>0</v>
      </c>
      <c r="M33" s="141">
        <f t="shared" si="2"/>
        <v>0.35000000000000003</v>
      </c>
      <c r="N33" s="45">
        <f t="shared" si="5"/>
        <v>-9.7999999999999972</v>
      </c>
      <c r="O33" s="193"/>
      <c r="P33" s="355"/>
      <c r="Q33" s="357"/>
      <c r="R33" s="356"/>
      <c r="S33" s="357"/>
      <c r="T33" s="357"/>
      <c r="U33" s="358"/>
      <c r="V33" s="198"/>
      <c r="W33" s="373"/>
      <c r="X33" s="599"/>
      <c r="Y33" s="200"/>
      <c r="Z33" s="69"/>
      <c r="AA33" s="128"/>
      <c r="AB33" s="360">
        <f t="shared" ref="AB33:AC33" si="7">AB26</f>
        <v>1</v>
      </c>
      <c r="AC33" s="360">
        <f t="shared" si="7"/>
        <v>1</v>
      </c>
      <c r="AD33" s="188" t="e">
        <f>IF(VLOOKUP(A33,Para1!$B$67:$E$72,2,FALSE)="3.",VLOOKUP(A33,Para1!$B$67:$E$72,3,FALSE),"")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0.17500000000000002</v>
      </c>
    </row>
    <row r="34" spans="1:34" ht="16.5" customHeight="1">
      <c r="A34" s="30" t="s">
        <v>22</v>
      </c>
      <c r="B34" s="303" t="str">
        <f>IF(B33=Para1!$F$153,Para1!$F$107,IF(B33=Para1!$F$107,Para1!$F$148,IF(B33=Para1!$F$148,Para1!$F$109,IF(B33=Para1!$F$109,Para1!$F$118,IF(B33=Para1!$F$118,Para1!$F$173,IF(B33=Para1!$F$173,Para1!$F$176,Para1!$F$153))))))</f>
        <v>Do</v>
      </c>
      <c r="C34" s="305"/>
      <c r="D34" s="355"/>
      <c r="E34" s="355"/>
      <c r="F34" s="355"/>
      <c r="G34" s="357"/>
      <c r="H34" s="359"/>
      <c r="I34" s="355"/>
      <c r="J34" s="355"/>
      <c r="K34" s="357"/>
      <c r="L34" s="111">
        <f t="shared" si="1"/>
        <v>0</v>
      </c>
      <c r="M34" s="141">
        <f t="shared" si="2"/>
        <v>0.35000000000000003</v>
      </c>
      <c r="N34" s="45">
        <f t="shared" si="5"/>
        <v>-10.149999999999997</v>
      </c>
      <c r="O34" s="192"/>
      <c r="P34" s="355"/>
      <c r="Q34" s="357"/>
      <c r="R34" s="356"/>
      <c r="S34" s="357"/>
      <c r="T34" s="357"/>
      <c r="U34" s="358"/>
      <c r="V34" s="198"/>
      <c r="W34" s="374"/>
      <c r="X34" s="599"/>
      <c r="Y34" s="200"/>
      <c r="Z34" s="69"/>
      <c r="AA34" s="128"/>
      <c r="AB34" s="360">
        <f t="shared" ref="AB34:AC34" si="8">AB27</f>
        <v>1</v>
      </c>
      <c r="AC34" s="360">
        <f t="shared" si="8"/>
        <v>1</v>
      </c>
      <c r="AD34" s="188" t="e">
        <f>IF(VLOOKUP(A34,Para1!$B$67:$E$72,2,FALSE)="3.",VLOOKUP(A34,Para1!$B$67:$E$72,3,FALSE),"")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0.17500000000000002</v>
      </c>
    </row>
    <row r="35" spans="1:34" ht="16.5" customHeight="1">
      <c r="A35" s="30" t="s">
        <v>23</v>
      </c>
      <c r="B35" s="303" t="str">
        <f>IF(B34=Para1!$F$153,Para1!$F$107,IF(B34=Para1!$F$107,Para1!$F$148,IF(B34=Para1!$F$148,Para1!$F$109,IF(B34=Para1!$F$109,Para1!$F$118,IF(B34=Para1!$F$118,Para1!$F$173,IF(B34=Para1!$F$173,Para1!$F$176,Para1!$F$153))))))</f>
        <v>Fr</v>
      </c>
      <c r="C35" s="305"/>
      <c r="D35" s="355"/>
      <c r="E35" s="355"/>
      <c r="F35" s="355"/>
      <c r="G35" s="357"/>
      <c r="H35" s="359"/>
      <c r="I35" s="355"/>
      <c r="J35" s="355"/>
      <c r="K35" s="357"/>
      <c r="L35" s="111">
        <f t="shared" si="1"/>
        <v>0</v>
      </c>
      <c r="M35" s="141">
        <f t="shared" si="2"/>
        <v>0.35000000000000003</v>
      </c>
      <c r="N35" s="45">
        <f t="shared" si="5"/>
        <v>-10.499999999999996</v>
      </c>
      <c r="O35" s="192"/>
      <c r="P35" s="355"/>
      <c r="Q35" s="357"/>
      <c r="R35" s="356"/>
      <c r="S35" s="357"/>
      <c r="T35" s="357"/>
      <c r="U35" s="358"/>
      <c r="V35" s="197"/>
      <c r="W35" s="374"/>
      <c r="X35" s="599"/>
      <c r="Y35" s="200"/>
      <c r="Z35" s="69"/>
      <c r="AA35" s="128"/>
      <c r="AB35" s="360">
        <f t="shared" ref="AB35:AC35" si="9">AB28</f>
        <v>1</v>
      </c>
      <c r="AC35" s="360">
        <f t="shared" si="9"/>
        <v>1</v>
      </c>
      <c r="AD35" s="188" t="e">
        <f>IF(VLOOKUP(A35,Para1!$B$67:$E$72,2,FALSE)="3.",VLOOKUP(A35,Para1!$B$67:$E$72,3,FALSE),"")</f>
        <v>#N/A</v>
      </c>
      <c r="AE35" s="540" t="str">
        <f>IF((AB35+AC35)=0,"",IF(ISNA(AD35),"",IF(AD35="","",VLOOKUP(AD35,Para1!$D$67:$G$79,3,FALSE)*(IF(AB35+AC35=1,0.5,1)))))</f>
        <v/>
      </c>
      <c r="AF35" s="540" t="str">
        <f>IF(AB35+AC35=0,"",IF(ISNA(AD36),"",IF(AD36="","",VLOOKUP(AD36,Para1!$D$67:$G$79,4,FALSE)*(IF(AB35+AC35=1,0.5,1)))))</f>
        <v/>
      </c>
      <c r="AG35" s="188">
        <f t="shared" si="3"/>
        <v>0</v>
      </c>
      <c r="AH35" s="187">
        <f t="shared" si="4"/>
        <v>0.17500000000000002</v>
      </c>
    </row>
    <row r="36" spans="1:34" s="113" customFormat="1" ht="16.5" customHeight="1">
      <c r="A36" s="30" t="s">
        <v>24</v>
      </c>
      <c r="B36" s="303" t="str">
        <f>IF(B35=Para1!$F$153,Para1!$F$107,IF(B35=Para1!$F$107,Para1!$F$148,IF(B35=Para1!$F$148,Para1!$F$109,IF(B35=Para1!$F$109,Para1!$F$118,IF(B35=Para1!$F$118,Para1!$F$173,IF(B35=Para1!$F$173,Para1!$F$176,Para1!$F$153))))))</f>
        <v>Sa</v>
      </c>
      <c r="C36" s="305"/>
      <c r="D36" s="355"/>
      <c r="E36" s="355"/>
      <c r="F36" s="355"/>
      <c r="G36" s="357"/>
      <c r="H36" s="359"/>
      <c r="I36" s="355"/>
      <c r="J36" s="355"/>
      <c r="K36" s="357"/>
      <c r="L36" s="111">
        <f t="shared" si="1"/>
        <v>0</v>
      </c>
      <c r="M36" s="141">
        <f t="shared" si="2"/>
        <v>0</v>
      </c>
      <c r="N36" s="45">
        <f t="shared" si="5"/>
        <v>-10.499999999999996</v>
      </c>
      <c r="O36" s="193"/>
      <c r="P36" s="355"/>
      <c r="Q36" s="357"/>
      <c r="R36" s="356"/>
      <c r="S36" s="357"/>
      <c r="T36" s="357"/>
      <c r="U36" s="358"/>
      <c r="V36" s="198"/>
      <c r="W36" s="373"/>
      <c r="X36" s="599"/>
      <c r="Y36" s="200"/>
      <c r="Z36" s="69"/>
      <c r="AA36" s="128"/>
      <c r="AB36" s="360">
        <f t="shared" ref="AB36:AC36" si="10">AB29</f>
        <v>0</v>
      </c>
      <c r="AC36" s="360">
        <f t="shared" si="10"/>
        <v>0</v>
      </c>
      <c r="AD36" s="188" t="str">
        <f>IF(VLOOKUP(A36,Para1!$B$67:$E$72,2,FALSE)="3.",VLOOKUP(A36,Para1!$B$67:$E$72,3,FALSE),"")</f>
        <v/>
      </c>
      <c r="AE36" s="540" t="str">
        <f>IF((AB36+AC36)=0,"",IF(ISNA(AD36),"",IF(AD36="","",VLOOKUP(AD36,Para1!$D$67:$G$79,3,FALSE)*(IF(AB36+AC36=1,0.5,1)))))</f>
        <v/>
      </c>
      <c r="AF36" s="540" t="str">
        <f>IF(AB36+AC36=0,"",IF(ISNA(AD37),"",IF(AD37="","",VLOOKUP(AD37,Para1!$D$67:$G$79,4,FALSE)*(IF(AB36+AC36=1,0.5,1)))))</f>
        <v/>
      </c>
      <c r="AG36" s="188">
        <f t="shared" si="3"/>
        <v>0</v>
      </c>
      <c r="AH36" s="187">
        <f t="shared" si="4"/>
        <v>0</v>
      </c>
    </row>
    <row r="37" spans="1:34" s="113" customFormat="1" ht="16.5" customHeight="1">
      <c r="A37" s="30" t="s">
        <v>25</v>
      </c>
      <c r="B37" s="303" t="str">
        <f>IF(B36=Para1!$F$153,Para1!$F$107,IF(B36=Para1!$F$107,Para1!$F$148,IF(B36=Para1!$F$148,Para1!$F$109,IF(B36=Para1!$F$109,Para1!$F$118,IF(B36=Para1!$F$118,Para1!$F$173,IF(B36=Para1!$F$173,Para1!$F$176,Para1!$F$153))))))</f>
        <v>So</v>
      </c>
      <c r="C37" s="305"/>
      <c r="D37" s="355"/>
      <c r="E37" s="355"/>
      <c r="F37" s="355"/>
      <c r="G37" s="357"/>
      <c r="H37" s="359"/>
      <c r="I37" s="355"/>
      <c r="J37" s="355"/>
      <c r="K37" s="357"/>
      <c r="L37" s="111">
        <f t="shared" si="1"/>
        <v>0</v>
      </c>
      <c r="M37" s="141">
        <f t="shared" si="2"/>
        <v>0</v>
      </c>
      <c r="N37" s="45">
        <f t="shared" si="5"/>
        <v>-10.499999999999996</v>
      </c>
      <c r="O37" s="193"/>
      <c r="P37" s="355"/>
      <c r="Q37" s="357"/>
      <c r="R37" s="356"/>
      <c r="S37" s="357"/>
      <c r="T37" s="357"/>
      <c r="U37" s="358"/>
      <c r="V37" s="198"/>
      <c r="W37" s="373"/>
      <c r="X37" s="599"/>
      <c r="Y37" s="200"/>
      <c r="Z37" s="69"/>
      <c r="AA37" s="128"/>
      <c r="AB37" s="360">
        <f t="shared" ref="AB37:AC37" si="11">AB30</f>
        <v>0</v>
      </c>
      <c r="AC37" s="360">
        <f t="shared" si="11"/>
        <v>0</v>
      </c>
      <c r="AD37" s="188" t="e">
        <f>IF(VLOOKUP(A37,Para1!$B$67:$E$72,2,FALSE)="3.",VLOOKUP(A37,Para1!$B$67:$E$72,3,FALSE),"")</f>
        <v>#N/A</v>
      </c>
      <c r="AE37" s="540" t="str">
        <f>IF((AB37+AC37)=0,"",IF(ISNA(AD37),"",IF(AD37="","",VLOOKUP(AD37,Para1!$D$67:$G$79,3,FALSE)*(IF(AB37+AC37=1,0.5,1)))))</f>
        <v/>
      </c>
      <c r="AF37" s="540" t="str">
        <f>IF(AB37+AC37=0,"",IF(ISNA(AD38),"",IF(AD38="","",VLOOKUP(AD38,Para1!$D$67:$G$79,4,FALSE)*(IF(AB37+AC37=1,0.5,1)))))</f>
        <v/>
      </c>
      <c r="AG37" s="188">
        <f t="shared" si="3"/>
        <v>0</v>
      </c>
      <c r="AH37" s="187">
        <f t="shared" si="4"/>
        <v>0</v>
      </c>
    </row>
    <row r="38" spans="1:34" ht="16.5" customHeight="1">
      <c r="A38" s="30" t="s">
        <v>26</v>
      </c>
      <c r="B38" s="303" t="str">
        <f>IF(B37=Para1!$F$153,Para1!$F$107,IF(B37=Para1!$F$107,Para1!$F$148,IF(B37=Para1!$F$148,Para1!$F$109,IF(B37=Para1!$F$109,Para1!$F$118,IF(B37=Para1!$F$118,Para1!$F$173,IF(B37=Para1!$F$173,Para1!$F$176,Para1!$F$153))))))</f>
        <v>Mo</v>
      </c>
      <c r="C38" s="305"/>
      <c r="D38" s="355"/>
      <c r="E38" s="355"/>
      <c r="F38" s="355"/>
      <c r="G38" s="357"/>
      <c r="H38" s="359"/>
      <c r="I38" s="355"/>
      <c r="J38" s="355"/>
      <c r="K38" s="357"/>
      <c r="L38" s="111">
        <f t="shared" si="1"/>
        <v>0</v>
      </c>
      <c r="M38" s="141">
        <f t="shared" si="2"/>
        <v>0.35000000000000003</v>
      </c>
      <c r="N38" s="45">
        <f t="shared" si="5"/>
        <v>-10.849999999999996</v>
      </c>
      <c r="O38" s="193"/>
      <c r="P38" s="355"/>
      <c r="Q38" s="357"/>
      <c r="R38" s="356"/>
      <c r="S38" s="357"/>
      <c r="T38" s="357"/>
      <c r="U38" s="358"/>
      <c r="V38" s="198"/>
      <c r="W38" s="373"/>
      <c r="X38" s="599"/>
      <c r="Y38" s="200"/>
      <c r="Z38" s="69"/>
      <c r="AA38" s="128"/>
      <c r="AB38" s="360">
        <f>AB31</f>
        <v>1</v>
      </c>
      <c r="AC38" s="360">
        <f>AC31</f>
        <v>1</v>
      </c>
      <c r="AD38" s="188" t="e">
        <f>IF(VLOOKUP(A38,Para1!$B$67:$E$72,2,FALSE)="3.",VLOOKUP(A38,Para1!$B$67:$E$72,3,FALSE),"")</f>
        <v>#N/A</v>
      </c>
      <c r="AE38" s="540" t="str">
        <f>IF((AB38+AC38)=0,"",IF(ISNA(AD38),"",IF(AD38="","",VLOOKUP(AD38,Para1!$D$67:$G$79,3,FALSE)*(IF(AB38+AC38=1,0.5,1)))))</f>
        <v/>
      </c>
      <c r="AF38" s="540" t="str">
        <f>IF(AB38+AC38=0,"",IF(ISNA(AD39),"",IF(AD39="","",VLOOKUP(AD39,Para1!$D$67:$G$79,4,FALSE)*(IF(AB38+AC38=1,0.5,1)))))</f>
        <v/>
      </c>
      <c r="AG38" s="188">
        <f t="shared" si="3"/>
        <v>0</v>
      </c>
      <c r="AH38" s="187">
        <f t="shared" si="4"/>
        <v>0.17500000000000002</v>
      </c>
    </row>
    <row r="39" spans="1:34" ht="16.5" customHeight="1">
      <c r="A39" s="30" t="s">
        <v>27</v>
      </c>
      <c r="B39" s="303" t="str">
        <f>IF(B38=Para1!$F$153,Para1!$F$107,IF(B38=Para1!$F$107,Para1!$F$148,IF(B38=Para1!$F$148,Para1!$F$109,IF(B38=Para1!$F$109,Para1!$F$118,IF(B38=Para1!$F$118,Para1!$F$173,IF(B38=Para1!$F$173,Para1!$F$176,Para1!$F$153))))))</f>
        <v>Di</v>
      </c>
      <c r="C39" s="305"/>
      <c r="D39" s="355"/>
      <c r="E39" s="355"/>
      <c r="F39" s="355"/>
      <c r="G39" s="357"/>
      <c r="H39" s="359"/>
      <c r="I39" s="355"/>
      <c r="J39" s="355"/>
      <c r="K39" s="357"/>
      <c r="L39" s="111">
        <f t="shared" si="1"/>
        <v>0</v>
      </c>
      <c r="M39" s="141">
        <f t="shared" si="2"/>
        <v>0.35000000000000003</v>
      </c>
      <c r="N39" s="45">
        <f t="shared" si="5"/>
        <v>-11.199999999999996</v>
      </c>
      <c r="O39" s="193"/>
      <c r="P39" s="355"/>
      <c r="Q39" s="357"/>
      <c r="R39" s="356"/>
      <c r="S39" s="357"/>
      <c r="T39" s="357"/>
      <c r="U39" s="358"/>
      <c r="V39" s="198"/>
      <c r="W39" s="373"/>
      <c r="X39" s="599"/>
      <c r="Y39" s="200"/>
      <c r="Z39" s="69"/>
      <c r="AA39" s="128"/>
      <c r="AB39" s="360">
        <f t="shared" ref="AB39:AC44" si="12">AB32</f>
        <v>1</v>
      </c>
      <c r="AC39" s="360">
        <f t="shared" si="12"/>
        <v>1</v>
      </c>
      <c r="AD39" s="188" t="e">
        <f>IF(VLOOKUP(A39,Para1!$B$67:$E$72,2,FALSE)="3.",VLOOKUP(A39,Para1!$B$67:$E$72,3,FALSE),"")</f>
        <v>#N/A</v>
      </c>
      <c r="AE39" s="540" t="str">
        <f>IF((AB39+AC39)=0,"",IF(ISNA(AD39),"",IF(AD39="","",VLOOKUP(AD39,Para1!$D$67:$G$79,3,FALSE)*(IF(AB39+AC39=1,0.5,1)))))</f>
        <v/>
      </c>
      <c r="AF39" s="540" t="str">
        <f>IF(AB39+AC39=0,"",IF(ISNA(AD40),"",IF(AD40="","",VLOOKUP(AD40,Para1!$D$67:$G$79,4,FALSE)*(IF(AB39+AC39=1,0.5,1)))))</f>
        <v/>
      </c>
      <c r="AG39" s="188">
        <f t="shared" si="3"/>
        <v>0</v>
      </c>
      <c r="AH39" s="187">
        <f t="shared" si="4"/>
        <v>0.17500000000000002</v>
      </c>
    </row>
    <row r="40" spans="1:34" ht="16.5" customHeight="1">
      <c r="A40" s="30" t="s">
        <v>28</v>
      </c>
      <c r="B40" s="303" t="str">
        <f>IF(B39=Para1!$F$153,Para1!$F$107,IF(B39=Para1!$F$107,Para1!$F$148,IF(B39=Para1!$F$148,Para1!$F$109,IF(B39=Para1!$F$109,Para1!$F$118,IF(B39=Para1!$F$118,Para1!$F$173,IF(B39=Para1!$F$173,Para1!$F$176,Para1!$F$153))))))</f>
        <v>Mi</v>
      </c>
      <c r="C40" s="305"/>
      <c r="D40" s="355"/>
      <c r="E40" s="355"/>
      <c r="F40" s="355"/>
      <c r="G40" s="357"/>
      <c r="H40" s="359"/>
      <c r="I40" s="355"/>
      <c r="J40" s="355"/>
      <c r="K40" s="357"/>
      <c r="L40" s="111">
        <f t="shared" si="1"/>
        <v>0</v>
      </c>
      <c r="M40" s="141">
        <f t="shared" si="2"/>
        <v>0.35000000000000003</v>
      </c>
      <c r="N40" s="45">
        <f t="shared" si="5"/>
        <v>-11.549999999999995</v>
      </c>
      <c r="O40" s="193"/>
      <c r="P40" s="355"/>
      <c r="Q40" s="357"/>
      <c r="R40" s="356"/>
      <c r="S40" s="357"/>
      <c r="T40" s="357"/>
      <c r="U40" s="358"/>
      <c r="V40" s="198"/>
      <c r="W40" s="373"/>
      <c r="X40" s="599"/>
      <c r="Y40" s="200"/>
      <c r="Z40" s="69"/>
      <c r="AA40" s="128"/>
      <c r="AB40" s="360">
        <f t="shared" si="12"/>
        <v>1</v>
      </c>
      <c r="AC40" s="360">
        <f t="shared" si="12"/>
        <v>1</v>
      </c>
      <c r="AD40" s="188" t="e">
        <f>IF(VLOOKUP(A40,Para1!$B$67:$E$72,2,FALSE)="3.",VLOOKUP(A40,Para1!$B$67:$E$72,3,FALSE),"")</f>
        <v>#N/A</v>
      </c>
      <c r="AE40" s="540" t="str">
        <f>IF((AB40+AC40)=0,"",IF(ISNA(AD40),"",IF(AD40="","",VLOOKUP(AD40,Para1!$D$67:$G$79,3,FALSE)*(IF(AB40+AC40=1,0.5,1)))))</f>
        <v/>
      </c>
      <c r="AF40" s="540" t="str">
        <f>IF(AB40+AC40=0,"",IF(ISNA(AD41),"",IF(AD41="","",VLOOKUP(AD41,Para1!$D$67:$G$79,4,FALSE)*(IF(AB40+AC40=1,0.5,1)))))</f>
        <v/>
      </c>
      <c r="AG40" s="188">
        <f t="shared" si="3"/>
        <v>0</v>
      </c>
      <c r="AH40" s="187">
        <f t="shared" si="4"/>
        <v>0.17500000000000002</v>
      </c>
    </row>
    <row r="41" spans="1:34" ht="16.5" customHeight="1">
      <c r="A41" s="30" t="s">
        <v>29</v>
      </c>
      <c r="B41" s="303" t="str">
        <f>IF(B40=Para1!$F$153,Para1!$F$107,IF(B40=Para1!$F$107,Para1!$F$148,IF(B40=Para1!$F$148,Para1!$F$109,IF(B40=Para1!$F$109,Para1!$F$118,IF(B40=Para1!$F$118,Para1!$F$173,IF(B40=Para1!$F$173,Para1!$F$176,Para1!$F$153))))))</f>
        <v>Do</v>
      </c>
      <c r="C41" s="305"/>
      <c r="D41" s="355"/>
      <c r="E41" s="355"/>
      <c r="F41" s="355"/>
      <c r="G41" s="357"/>
      <c r="H41" s="359"/>
      <c r="I41" s="355"/>
      <c r="J41" s="355"/>
      <c r="K41" s="357"/>
      <c r="L41" s="111">
        <f t="shared" si="1"/>
        <v>0</v>
      </c>
      <c r="M41" s="141">
        <f t="shared" si="2"/>
        <v>0.35000000000000003</v>
      </c>
      <c r="N41" s="45">
        <f t="shared" si="5"/>
        <v>-11.899999999999995</v>
      </c>
      <c r="O41" s="192"/>
      <c r="P41" s="355"/>
      <c r="Q41" s="357"/>
      <c r="R41" s="356"/>
      <c r="S41" s="357"/>
      <c r="T41" s="357"/>
      <c r="U41" s="358"/>
      <c r="V41" s="198"/>
      <c r="W41" s="374"/>
      <c r="X41" s="599"/>
      <c r="Y41" s="200"/>
      <c r="Z41" s="69"/>
      <c r="AA41" s="128"/>
      <c r="AB41" s="360">
        <f t="shared" si="12"/>
        <v>1</v>
      </c>
      <c r="AC41" s="360">
        <f t="shared" si="12"/>
        <v>1</v>
      </c>
      <c r="AD41" s="188" t="e">
        <f>IF(VLOOKUP(A41,Para1!$B$67:$E$72,2,FALSE)="3.",VLOOKUP(A41,Para1!$B$67:$E$72,3,FALSE),"")</f>
        <v>#N/A</v>
      </c>
      <c r="AE41" s="540" t="str">
        <f>IF((AB41+AC41)=0,"",IF(ISNA(AD41),"",IF(AD41="","",VLOOKUP(AD41,Para1!$D$67:$G$79,3,FALSE)*(IF(AB41+AC41=1,0.5,1)))))</f>
        <v/>
      </c>
      <c r="AF41" s="540" t="str">
        <f>IF(AB41+AC41=0,"",IF(ISNA(AD42),"",IF(AD42="","",VLOOKUP(AD42,Para1!$D$67:$G$79,4,FALSE)*(IF(AB41+AC41=1,0.5,1)))))</f>
        <v/>
      </c>
      <c r="AG41" s="188">
        <f t="shared" si="3"/>
        <v>0</v>
      </c>
      <c r="AH41" s="187">
        <f t="shared" si="4"/>
        <v>0.17500000000000002</v>
      </c>
    </row>
    <row r="42" spans="1:34" ht="16.5" customHeight="1">
      <c r="A42" s="30" t="s">
        <v>30</v>
      </c>
      <c r="B42" s="303" t="str">
        <f>IF(B41=Para1!$F$153,Para1!$F$107,IF(B41=Para1!$F$107,Para1!$F$148,IF(B41=Para1!$F$148,Para1!$F$109,IF(B41=Para1!$F$109,Para1!$F$118,IF(B41=Para1!$F$118,Para1!$F$173,IF(B41=Para1!$F$173,Para1!$F$176,Para1!$F$153))))))</f>
        <v>Fr</v>
      </c>
      <c r="C42" s="305"/>
      <c r="D42" s="355"/>
      <c r="E42" s="355"/>
      <c r="F42" s="355"/>
      <c r="G42" s="357"/>
      <c r="H42" s="359"/>
      <c r="I42" s="355"/>
      <c r="J42" s="355"/>
      <c r="K42" s="357"/>
      <c r="L42" s="111">
        <f t="shared" si="1"/>
        <v>0</v>
      </c>
      <c r="M42" s="141">
        <f t="shared" si="2"/>
        <v>0.35000000000000003</v>
      </c>
      <c r="N42" s="45">
        <f t="shared" si="5"/>
        <v>-12.249999999999995</v>
      </c>
      <c r="O42" s="192"/>
      <c r="P42" s="355"/>
      <c r="Q42" s="357"/>
      <c r="R42" s="356"/>
      <c r="S42" s="357"/>
      <c r="T42" s="357"/>
      <c r="U42" s="358"/>
      <c r="V42" s="197"/>
      <c r="W42" s="374"/>
      <c r="X42" s="599"/>
      <c r="Y42" s="200"/>
      <c r="Z42" s="69"/>
      <c r="AA42" s="128"/>
      <c r="AB42" s="360">
        <f t="shared" si="12"/>
        <v>1</v>
      </c>
      <c r="AC42" s="360">
        <f t="shared" si="12"/>
        <v>1</v>
      </c>
      <c r="AD42" s="188" t="e">
        <f>IF(VLOOKUP(A42,Para1!$B$67:$E$72,2,FALSE)="3.",VLOOKUP(A42,Para1!$B$67:$E$72,3,FALSE),"")</f>
        <v>#N/A</v>
      </c>
      <c r="AE42" s="540" t="str">
        <f>IF((AB42+AC42)=0,"",IF(ISNA(AD42),"",IF(AD42="","",VLOOKUP(AD42,Para1!$D$67:$G$79,3,FALSE)*(IF(AB42+AC42=1,0.5,1)))))</f>
        <v/>
      </c>
      <c r="AF42" s="540" t="str">
        <f>IF(AB42+AC42=0,"",IF(ISNA(AD43),"",IF(AD43="","",VLOOKUP(AD43,Para1!$D$67:$G$79,4,FALSE)*(IF(AB42+AC42=1,0.5,1)))))</f>
        <v/>
      </c>
      <c r="AG42" s="188">
        <f t="shared" si="3"/>
        <v>0</v>
      </c>
      <c r="AH42" s="187">
        <f t="shared" si="4"/>
        <v>0.17500000000000002</v>
      </c>
    </row>
    <row r="43" spans="1:34" s="113" customFormat="1" ht="16.5" customHeight="1">
      <c r="A43" s="30" t="s">
        <v>31</v>
      </c>
      <c r="B43" s="303" t="str">
        <f>IF(B42=Para1!$F$153,Para1!$F$107,IF(B42=Para1!$F$107,Para1!$F$148,IF(B42=Para1!$F$148,Para1!$F$109,IF(B42=Para1!$F$109,Para1!$F$118,IF(B42=Para1!$F$118,Para1!$F$173,IF(B42=Para1!$F$173,Para1!$F$176,Para1!$F$153))))))</f>
        <v>Sa</v>
      </c>
      <c r="C43" s="305"/>
      <c r="D43" s="355"/>
      <c r="E43" s="355"/>
      <c r="F43" s="355"/>
      <c r="G43" s="357"/>
      <c r="H43" s="359"/>
      <c r="I43" s="355"/>
      <c r="J43" s="355"/>
      <c r="K43" s="357"/>
      <c r="L43" s="111">
        <f t="shared" si="1"/>
        <v>0</v>
      </c>
      <c r="M43" s="141">
        <f t="shared" si="2"/>
        <v>0</v>
      </c>
      <c r="N43" s="45">
        <f t="shared" si="5"/>
        <v>-12.249999999999995</v>
      </c>
      <c r="O43" s="193"/>
      <c r="P43" s="355"/>
      <c r="Q43" s="357"/>
      <c r="R43" s="356"/>
      <c r="S43" s="357"/>
      <c r="T43" s="357"/>
      <c r="U43" s="358"/>
      <c r="V43" s="198"/>
      <c r="W43" s="373"/>
      <c r="X43" s="599"/>
      <c r="Y43" s="200"/>
      <c r="Z43" s="69"/>
      <c r="AA43" s="128"/>
      <c r="AB43" s="360">
        <f t="shared" si="12"/>
        <v>0</v>
      </c>
      <c r="AC43" s="360">
        <f t="shared" si="12"/>
        <v>0</v>
      </c>
      <c r="AD43" s="188" t="e">
        <f>IF(VLOOKUP(A43,Para1!$B$67:$E$72,2,FALSE)="3.",VLOOKUP(A43,Para1!$B$67:$E$72,3,FALSE),"")</f>
        <v>#N/A</v>
      </c>
      <c r="AE43" s="540" t="str">
        <f>IF((AB43+AC43)=0,"",IF(ISNA(AD43),"",IF(AD43="","",VLOOKUP(AD43,Para1!$D$67:$G$79,3,FALSE)*(IF(AB43+AC43=1,0.5,1)))))</f>
        <v/>
      </c>
      <c r="AF43" s="540" t="str">
        <f>IF(AB43+AC43=0,"",IF(ISNA(AD44),"",IF(AD44="","",VLOOKUP(AD44,Para1!$D$67:$G$79,4,FALSE)*(IF(AB43+AC43=1,0.5,1)))))</f>
        <v/>
      </c>
      <c r="AG43" s="188">
        <f t="shared" si="3"/>
        <v>0</v>
      </c>
      <c r="AH43" s="187">
        <f t="shared" si="4"/>
        <v>0</v>
      </c>
    </row>
    <row r="44" spans="1:34" s="113" customFormat="1" ht="16.5" customHeight="1">
      <c r="A44" s="30" t="s">
        <v>32</v>
      </c>
      <c r="B44" s="303" t="str">
        <f>IF(B43=Para1!$F$153,Para1!$F$107,IF(B43=Para1!$F$107,Para1!$F$148,IF(B43=Para1!$F$148,Para1!$F$109,IF(B43=Para1!$F$109,Para1!$F$118,IF(B43=Para1!$F$118,Para1!$F$173,IF(B43=Para1!$F$173,Para1!$F$176,Para1!$F$153))))))</f>
        <v>So</v>
      </c>
      <c r="C44" s="305"/>
      <c r="D44" s="355"/>
      <c r="E44" s="355"/>
      <c r="F44" s="355"/>
      <c r="G44" s="357"/>
      <c r="H44" s="359"/>
      <c r="I44" s="355"/>
      <c r="J44" s="355"/>
      <c r="K44" s="357"/>
      <c r="L44" s="111">
        <f t="shared" si="1"/>
        <v>0</v>
      </c>
      <c r="M44" s="141">
        <f t="shared" si="2"/>
        <v>0</v>
      </c>
      <c r="N44" s="45">
        <f t="shared" si="5"/>
        <v>-12.249999999999995</v>
      </c>
      <c r="O44" s="193"/>
      <c r="P44" s="355"/>
      <c r="Q44" s="357"/>
      <c r="R44" s="356"/>
      <c r="S44" s="357"/>
      <c r="T44" s="357"/>
      <c r="U44" s="358"/>
      <c r="V44" s="198"/>
      <c r="W44" s="373"/>
      <c r="X44" s="599"/>
      <c r="Y44" s="200"/>
      <c r="Z44" s="69"/>
      <c r="AA44" s="128"/>
      <c r="AB44" s="360">
        <f t="shared" si="12"/>
        <v>0</v>
      </c>
      <c r="AC44" s="360">
        <f t="shared" si="12"/>
        <v>0</v>
      </c>
      <c r="AD44" s="188" t="e">
        <f>IF(VLOOKUP(A44,Para1!$B$67:$E$72,2,FALSE)="3.",VLOOKUP(A44,Para1!$B$67:$E$72,3,FALSE),"")</f>
        <v>#N/A</v>
      </c>
      <c r="AE44" s="540" t="str">
        <f>IF((AB44+AC44)=0,"",IF(ISNA(AD44),"",IF(AD44="","",VLOOKUP(AD44,Para1!$D$67:$G$79,3,FALSE)*(IF(AB44+AC44=1,0.5,1)))))</f>
        <v/>
      </c>
      <c r="AF44" s="540" t="str">
        <f>IF(AB44+AC44=0,"",IF(ISNA(AD45),"",IF(AD45="","",VLOOKUP(AD45,Para1!$D$67:$G$79,4,FALSE)*(IF(AB44+AC44=1,0.5,1)))))</f>
        <v/>
      </c>
      <c r="AG44" s="188">
        <f t="shared" si="3"/>
        <v>0</v>
      </c>
      <c r="AH44" s="187">
        <f t="shared" si="4"/>
        <v>0</v>
      </c>
    </row>
    <row r="45" spans="1:34" ht="16.5" customHeight="1">
      <c r="A45" s="30" t="s">
        <v>33</v>
      </c>
      <c r="B45" s="303" t="str">
        <f>IF(B44=Para1!$F$153,Para1!$F$107,IF(B44=Para1!$F$107,Para1!$F$148,IF(B44=Para1!$F$148,Para1!$F$109,IF(B44=Para1!$F$109,Para1!$F$118,IF(B44=Para1!$F$118,Para1!$F$173,IF(B44=Para1!$F$173,Para1!$F$176,Para1!$F$153))))))</f>
        <v>Mo</v>
      </c>
      <c r="C45" s="305"/>
      <c r="D45" s="355"/>
      <c r="E45" s="355"/>
      <c r="F45" s="355"/>
      <c r="G45" s="357"/>
      <c r="H45" s="359"/>
      <c r="I45" s="355"/>
      <c r="J45" s="355"/>
      <c r="K45" s="357"/>
      <c r="L45" s="111">
        <f t="shared" si="1"/>
        <v>0</v>
      </c>
      <c r="M45" s="141">
        <f t="shared" si="2"/>
        <v>0.35000000000000003</v>
      </c>
      <c r="N45" s="45">
        <f t="shared" si="5"/>
        <v>-12.599999999999994</v>
      </c>
      <c r="O45" s="193"/>
      <c r="P45" s="355"/>
      <c r="Q45" s="357"/>
      <c r="R45" s="356"/>
      <c r="S45" s="357"/>
      <c r="T45" s="357"/>
      <c r="U45" s="358"/>
      <c r="V45" s="198"/>
      <c r="W45" s="373"/>
      <c r="X45" s="599"/>
      <c r="Y45" s="200"/>
      <c r="Z45" s="69"/>
      <c r="AA45" s="128"/>
      <c r="AB45" s="360">
        <f>AB38</f>
        <v>1</v>
      </c>
      <c r="AC45" s="360">
        <f>AC38</f>
        <v>1</v>
      </c>
      <c r="AD45" s="188" t="e">
        <f>IF(VLOOKUP(A45,Para1!$B$67:$E$72,2,FALSE)="3.",VLOOKUP(A45,Para1!$B$67:$E$72,3,FALSE),"")</f>
        <v>#N/A</v>
      </c>
      <c r="AE45" s="540" t="str">
        <f>IF((AB45+AC45)=0,"",IF(ISNA(AD45),"",IF(AD45="","",VLOOKUP(AD45,Para1!$D$67:$G$79,3,FALSE)*(IF(AB45+AC45=1,0.5,1)))))</f>
        <v/>
      </c>
      <c r="AF45" s="540" t="str">
        <f>IF(AB45+AC45=0,"",IF(ISNA(AD46),"",IF(AD46="","",VLOOKUP(AD46,Para1!$D$67:$G$79,4,FALSE)*(IF(AB45+AC45=1,0.5,1)))))</f>
        <v/>
      </c>
      <c r="AG45" s="188">
        <f t="shared" si="3"/>
        <v>0</v>
      </c>
      <c r="AH45" s="187">
        <f t="shared" si="4"/>
        <v>0.17500000000000002</v>
      </c>
    </row>
    <row r="46" spans="1:34" ht="16.5" customHeight="1">
      <c r="A46" s="30" t="s">
        <v>34</v>
      </c>
      <c r="B46" s="303" t="str">
        <f>IF(B45=Para1!$F$153,Para1!$F$107,IF(B45=Para1!$F$107,Para1!$F$148,IF(B45=Para1!$F$148,Para1!$F$109,IF(B45=Para1!$F$109,Para1!$F$118,IF(B45=Para1!$F$118,Para1!$F$173,IF(B45=Para1!$F$173,Para1!$F$176,Para1!$F$153))))))</f>
        <v>Di</v>
      </c>
      <c r="C46" s="305"/>
      <c r="D46" s="355"/>
      <c r="E46" s="355"/>
      <c r="F46" s="355"/>
      <c r="G46" s="357"/>
      <c r="H46" s="359"/>
      <c r="I46" s="355"/>
      <c r="J46" s="355"/>
      <c r="K46" s="357"/>
      <c r="L46" s="111">
        <f t="shared" si="1"/>
        <v>0</v>
      </c>
      <c r="M46" s="141">
        <f t="shared" si="2"/>
        <v>0.35000000000000003</v>
      </c>
      <c r="N46" s="45">
        <f t="shared" si="5"/>
        <v>-12.949999999999994</v>
      </c>
      <c r="O46" s="193"/>
      <c r="P46" s="355"/>
      <c r="Q46" s="357"/>
      <c r="R46" s="356"/>
      <c r="S46" s="357"/>
      <c r="T46" s="357"/>
      <c r="U46" s="358"/>
      <c r="V46" s="198"/>
      <c r="W46" s="373"/>
      <c r="X46" s="599"/>
      <c r="Y46" s="200"/>
      <c r="Z46" s="69"/>
      <c r="AA46" s="128"/>
      <c r="AB46" s="360">
        <f t="shared" ref="AB46:AC51" si="13">AB39</f>
        <v>1</v>
      </c>
      <c r="AC46" s="360">
        <f t="shared" si="13"/>
        <v>1</v>
      </c>
      <c r="AD46" s="188" t="str">
        <f>IF(VLOOKUP(A46,Para1!$B$67:$E$72,2,FALSE)="3.",VLOOKUP(A46,Para1!$B$67:$E$72,3,FALSE),"")</f>
        <v/>
      </c>
      <c r="AE46" s="540" t="str">
        <f>IF((AB46+AC46)=0,"",IF(ISNA(AD46),"",IF(AD46="","",VLOOKUP(AD46,Para1!$D$67:$G$79,3,FALSE)*(IF(AB46+AC46=1,0.5,1)))))</f>
        <v/>
      </c>
      <c r="AF46" s="540" t="str">
        <f>IF(AB46+AC46=0,"",IF(ISNA(AD47),"",IF(AD47="","",VLOOKUP(AD47,Para1!$D$67:$G$79,4,FALSE)*(IF(AB46+AC46=1,0.5,1)))))</f>
        <v/>
      </c>
      <c r="AG46" s="188">
        <f t="shared" si="3"/>
        <v>0</v>
      </c>
      <c r="AH46" s="187">
        <f t="shared" si="4"/>
        <v>0.17500000000000002</v>
      </c>
    </row>
    <row r="47" spans="1:34" ht="16.5" customHeight="1">
      <c r="A47" s="30" t="s">
        <v>35</v>
      </c>
      <c r="B47" s="303" t="str">
        <f>IF(B46=Para1!$F$153,Para1!$F$107,IF(B46=Para1!$F$107,Para1!$F$148,IF(B46=Para1!$F$148,Para1!$F$109,IF(B46=Para1!$F$109,Para1!$F$118,IF(B46=Para1!$F$118,Para1!$F$173,IF(B46=Para1!$F$173,Para1!$F$176,Para1!$F$153))))))</f>
        <v>Mi</v>
      </c>
      <c r="C47" s="305"/>
      <c r="D47" s="355"/>
      <c r="E47" s="355"/>
      <c r="F47" s="355"/>
      <c r="G47" s="357"/>
      <c r="H47" s="359"/>
      <c r="I47" s="355"/>
      <c r="J47" s="355"/>
      <c r="K47" s="357"/>
      <c r="L47" s="111">
        <f t="shared" si="1"/>
        <v>0</v>
      </c>
      <c r="M47" s="141">
        <f t="shared" si="2"/>
        <v>0.35000000000000003</v>
      </c>
      <c r="N47" s="45">
        <f t="shared" si="5"/>
        <v>-13.299999999999994</v>
      </c>
      <c r="O47" s="193"/>
      <c r="P47" s="355"/>
      <c r="Q47" s="357"/>
      <c r="R47" s="356"/>
      <c r="S47" s="357"/>
      <c r="T47" s="357"/>
      <c r="U47" s="358"/>
      <c r="V47" s="198"/>
      <c r="W47" s="373"/>
      <c r="X47" s="599"/>
      <c r="Y47" s="200"/>
      <c r="Z47" s="69"/>
      <c r="AA47" s="128"/>
      <c r="AB47" s="360">
        <f t="shared" si="13"/>
        <v>1</v>
      </c>
      <c r="AC47" s="360">
        <f t="shared" si="13"/>
        <v>1</v>
      </c>
      <c r="AD47" s="188" t="str">
        <f>IF(VLOOKUP(A47,Para1!$B$67:$E$72,2,FALSE)="3.",VLOOKUP(A47,Para1!$B$67:$E$72,3,FALSE),"")</f>
        <v/>
      </c>
      <c r="AE47" s="540" t="str">
        <f>IF((AB47+AC47)=0,"",IF(ISNA(AD47),"",IF(AD47="","",VLOOKUP(AD47,Para1!$D$67:$G$79,3,FALSE)*(IF(AB47+AC47=1,0.5,1)))))</f>
        <v/>
      </c>
      <c r="AF47" s="540" t="str">
        <f>IF(AB47+AC47=0,"",IF(ISNA(AD48),"",IF(AD48="","",VLOOKUP(AD48,Para1!$D$67:$G$79,4,FALSE)*(IF(AB47+AC47=1,0.5,1)))))</f>
        <v/>
      </c>
      <c r="AG47" s="188">
        <f t="shared" si="3"/>
        <v>0</v>
      </c>
      <c r="AH47" s="187">
        <f t="shared" si="4"/>
        <v>0.17500000000000002</v>
      </c>
    </row>
    <row r="48" spans="1:34" ht="16.5" customHeight="1">
      <c r="A48" s="30" t="s">
        <v>36</v>
      </c>
      <c r="B48" s="303" t="str">
        <f>IF(B47=Para1!$F$153,Para1!$F$107,IF(B47=Para1!$F$107,Para1!$F$148,IF(B47=Para1!$F$148,Para1!$F$109,IF(B47=Para1!$F$109,Para1!$F$118,IF(B47=Para1!$F$118,Para1!$F$173,IF(B47=Para1!$F$173,Para1!$F$176,Para1!$F$153))))))</f>
        <v>Do</v>
      </c>
      <c r="C48" s="305"/>
      <c r="D48" s="355"/>
      <c r="E48" s="355"/>
      <c r="F48" s="355"/>
      <c r="G48" s="357"/>
      <c r="H48" s="359"/>
      <c r="I48" s="355"/>
      <c r="J48" s="355"/>
      <c r="K48" s="357"/>
      <c r="L48" s="111">
        <f t="shared" si="1"/>
        <v>0</v>
      </c>
      <c r="M48" s="141">
        <f t="shared" si="2"/>
        <v>0.35000000000000003</v>
      </c>
      <c r="N48" s="45">
        <f t="shared" si="5"/>
        <v>-13.649999999999993</v>
      </c>
      <c r="O48" s="192"/>
      <c r="P48" s="355"/>
      <c r="Q48" s="357"/>
      <c r="R48" s="356"/>
      <c r="S48" s="357"/>
      <c r="T48" s="357"/>
      <c r="U48" s="358"/>
      <c r="V48" s="198"/>
      <c r="W48" s="374"/>
      <c r="X48" s="599"/>
      <c r="Y48" s="200"/>
      <c r="Z48" s="69"/>
      <c r="AA48" s="128"/>
      <c r="AB48" s="360">
        <f t="shared" si="13"/>
        <v>1</v>
      </c>
      <c r="AC48" s="360">
        <f t="shared" si="13"/>
        <v>1</v>
      </c>
      <c r="AD48" s="188" t="e">
        <f>IF(VLOOKUP(A48,Para1!$B$67:$E$72,2,FALSE)="3.",VLOOKUP(A48,Para1!$B$67:$E$72,3,FALSE),"")</f>
        <v>#N/A</v>
      </c>
      <c r="AE48" s="540" t="str">
        <f>IF((AB48+AC48)=0,"",IF(ISNA(AD48),"",IF(AD48="","",VLOOKUP(AD48,Para1!$D$67:$G$79,3,FALSE)*(IF(AB48+AC48=1,0.5,1)))))</f>
        <v/>
      </c>
      <c r="AF48" s="540" t="str">
        <f>IF(AB48+AC48=0,"",IF(ISNA(AD49),"",IF(AD49="","",VLOOKUP(AD49,Para1!$D$67:$G$79,4,FALSE)*(IF(AB48+AC48=1,0.5,1)))))</f>
        <v/>
      </c>
      <c r="AG48" s="188">
        <f t="shared" si="3"/>
        <v>0</v>
      </c>
      <c r="AH48" s="187">
        <f t="shared" si="4"/>
        <v>0.17500000000000002</v>
      </c>
    </row>
    <row r="49" spans="1:34" ht="16.5" customHeight="1">
      <c r="A49" s="30" t="s">
        <v>37</v>
      </c>
      <c r="B49" s="303" t="str">
        <f>IF(B48=Para1!$F$153,Para1!$F$107,IF(B48=Para1!$F$107,Para1!$F$148,IF(B48=Para1!$F$148,Para1!$F$109,IF(B48=Para1!$F$109,Para1!$F$118,IF(B48=Para1!$F$118,Para1!$F$173,IF(B48=Para1!$F$173,Para1!$F$176,Para1!$F$153))))))</f>
        <v>Fr</v>
      </c>
      <c r="C49" s="305"/>
      <c r="D49" s="355"/>
      <c r="E49" s="355"/>
      <c r="F49" s="355"/>
      <c r="G49" s="357"/>
      <c r="H49" s="359"/>
      <c r="I49" s="355"/>
      <c r="J49" s="355"/>
      <c r="K49" s="357"/>
      <c r="L49" s="111">
        <f t="shared" si="1"/>
        <v>0</v>
      </c>
      <c r="M49" s="141">
        <f t="shared" si="2"/>
        <v>0.35000000000000003</v>
      </c>
      <c r="N49" s="45">
        <f t="shared" si="5"/>
        <v>-13.999999999999993</v>
      </c>
      <c r="O49" s="192"/>
      <c r="P49" s="355"/>
      <c r="Q49" s="357"/>
      <c r="R49" s="356"/>
      <c r="S49" s="357"/>
      <c r="T49" s="357"/>
      <c r="U49" s="358"/>
      <c r="V49" s="197"/>
      <c r="W49" s="374"/>
      <c r="X49" s="599"/>
      <c r="Y49" s="200"/>
      <c r="Z49" s="69"/>
      <c r="AA49" s="128"/>
      <c r="AB49" s="360">
        <f t="shared" si="13"/>
        <v>1</v>
      </c>
      <c r="AC49" s="360">
        <f t="shared" si="13"/>
        <v>1</v>
      </c>
      <c r="AD49" s="188" t="e">
        <f>IF(VLOOKUP(A49,Para1!$B$67:$E$72,2,FALSE)="3.",VLOOKUP(A49,Para1!$B$67:$E$72,3,FALSE),"")</f>
        <v>#N/A</v>
      </c>
      <c r="AE49" s="540" t="str">
        <f>IF((AB49+AC49)=0,"",IF(ISNA(AD49),"",IF(AD49="","",VLOOKUP(AD49,Para1!$D$67:$G$79,3,FALSE)*(IF(AB49+AC49=1,0.5,1)))))</f>
        <v/>
      </c>
      <c r="AF49" s="540" t="str">
        <f>IF(AB49+AC49=0,"",IF(ISNA(AD50),"",IF(AD50="","",VLOOKUP(AD50,Para1!$D$67:$G$79,4,FALSE)*(IF(AB49+AC49=1,0.5,1)))))</f>
        <v/>
      </c>
      <c r="AG49" s="188">
        <f t="shared" si="3"/>
        <v>0</v>
      </c>
      <c r="AH49" s="187">
        <f t="shared" si="4"/>
        <v>0.17500000000000002</v>
      </c>
    </row>
    <row r="50" spans="1:34" s="113" customFormat="1" ht="16.5" customHeight="1">
      <c r="A50" s="30" t="s">
        <v>38</v>
      </c>
      <c r="B50" s="303" t="str">
        <f>IF(B49=Para1!$F$153,Para1!$F$107,IF(B49=Para1!$F$107,Para1!$F$148,IF(B49=Para1!$F$148,Para1!$F$109,IF(B49=Para1!$F$109,Para1!$F$118,IF(B49=Para1!$F$118,Para1!$F$173,IF(B49=Para1!$F$173,Para1!$F$176,Para1!$F$153))))))</f>
        <v>Sa</v>
      </c>
      <c r="C50" s="305"/>
      <c r="D50" s="355"/>
      <c r="E50" s="355"/>
      <c r="F50" s="355"/>
      <c r="G50" s="357"/>
      <c r="H50" s="359"/>
      <c r="I50" s="355"/>
      <c r="J50" s="355"/>
      <c r="K50" s="357"/>
      <c r="L50" s="111">
        <f t="shared" si="1"/>
        <v>0</v>
      </c>
      <c r="M50" s="141">
        <f t="shared" si="2"/>
        <v>0</v>
      </c>
      <c r="N50" s="45">
        <f t="shared" si="5"/>
        <v>-13.999999999999993</v>
      </c>
      <c r="O50" s="193"/>
      <c r="P50" s="355"/>
      <c r="Q50" s="357"/>
      <c r="R50" s="356"/>
      <c r="S50" s="357"/>
      <c r="T50" s="357"/>
      <c r="U50" s="358"/>
      <c r="V50" s="198"/>
      <c r="W50" s="373"/>
      <c r="X50" s="599"/>
      <c r="Y50" s="200"/>
      <c r="Z50" s="69"/>
      <c r="AA50" s="128"/>
      <c r="AB50" s="360">
        <f t="shared" si="13"/>
        <v>0</v>
      </c>
      <c r="AC50" s="360">
        <f t="shared" si="13"/>
        <v>0</v>
      </c>
      <c r="AD50" s="188" t="e">
        <f>IF(VLOOKUP(A50,Para1!$B$67:$E$72,2,FALSE)="3.",VLOOKUP(A50,Para1!$B$67:$E$72,3,FALSE),"")</f>
        <v>#N/A</v>
      </c>
      <c r="AE50" s="540" t="str">
        <f>IF((AB50+AC50)=0,"",IF(ISNA(AD50),"",IF(AD50="","",VLOOKUP(AD50,Para1!$D$67:$G$79,3,FALSE)*(IF(AB50+AC50=1,0.5,1)))))</f>
        <v/>
      </c>
      <c r="AF50" s="540" t="str">
        <f>IF(AB50+AC50=0,"",IF(ISNA(AD51),"",IF(AD51="","",VLOOKUP(AD51,Para1!$D$67:$G$79,4,FALSE)*(IF(AB50+AC50=1,0.5,1)))))</f>
        <v/>
      </c>
      <c r="AG50" s="188">
        <f t="shared" si="3"/>
        <v>0</v>
      </c>
      <c r="AH50" s="187">
        <f t="shared" si="4"/>
        <v>0</v>
      </c>
    </row>
    <row r="51" spans="1:34" s="113" customFormat="1" ht="16.5" customHeight="1" thickBot="1">
      <c r="A51" s="30" t="s">
        <v>39</v>
      </c>
      <c r="B51" s="303" t="str">
        <f>IF(B50=Para1!$F$153,Para1!$F$107,IF(B50=Para1!$F$107,Para1!$F$148,IF(B50=Para1!$F$148,Para1!$F$109,IF(B50=Para1!$F$109,Para1!$F$118,IF(B50=Para1!$F$118,Para1!$F$173,IF(B50=Para1!$F$173,Para1!$F$176,Para1!$F$153))))))</f>
        <v>So</v>
      </c>
      <c r="C51" s="305"/>
      <c r="D51" s="355"/>
      <c r="E51" s="355"/>
      <c r="F51" s="355"/>
      <c r="G51" s="357"/>
      <c r="H51" s="359"/>
      <c r="I51" s="355"/>
      <c r="J51" s="355"/>
      <c r="K51" s="357"/>
      <c r="L51" s="111">
        <f t="shared" si="1"/>
        <v>0</v>
      </c>
      <c r="M51" s="141">
        <f t="shared" si="2"/>
        <v>0</v>
      </c>
      <c r="N51" s="45">
        <f t="shared" si="5"/>
        <v>-13.999999999999993</v>
      </c>
      <c r="O51" s="193"/>
      <c r="P51" s="355"/>
      <c r="Q51" s="357"/>
      <c r="R51" s="356"/>
      <c r="S51" s="357"/>
      <c r="T51" s="357"/>
      <c r="U51" s="358"/>
      <c r="V51" s="198"/>
      <c r="W51" s="373"/>
      <c r="X51" s="599"/>
      <c r="Y51" s="200"/>
      <c r="Z51" s="69"/>
      <c r="AA51" s="128"/>
      <c r="AB51" s="361">
        <f t="shared" si="13"/>
        <v>0</v>
      </c>
      <c r="AC51" s="361">
        <f t="shared" si="13"/>
        <v>0</v>
      </c>
      <c r="AD51" s="188" t="e">
        <f>IF(VLOOKUP(A51,Para1!$B$67:$E$72,2,FALSE)="3.",VLOOKUP(A51,Para1!$B$67:$E$72,3,FALSE),"")</f>
        <v>#N/A</v>
      </c>
      <c r="AE51" s="540" t="str">
        <f>IF((AB51+AC51)=0,"",IF(ISNA(AD51),"",IF(AD51="","",VLOOKUP(AD51,Para1!$D$67:$G$79,3,FALSE)*(IF(AB51+AC51=1,0.5,1)))))</f>
        <v/>
      </c>
      <c r="AF51" s="540" t="str">
        <f>IF(AB51+AC51=0,"",IF(ISNA(Maerz!AD24),"",IF(Maerz!AD24="","",VLOOKUP(Maerz!AD24,Para1!$D$67:$G$79,4,FALSE)*(IF(AB51+AC51=1,0.5,1)))))</f>
        <v/>
      </c>
      <c r="AG51" s="188">
        <f t="shared" si="3"/>
        <v>0</v>
      </c>
      <c r="AH51" s="187">
        <f t="shared" si="4"/>
        <v>0</v>
      </c>
    </row>
    <row r="52" spans="1:34" s="50" customFormat="1" ht="16.5" customHeight="1" thickTop="1">
      <c r="A52" s="30"/>
      <c r="B52" s="303"/>
      <c r="C52" s="305"/>
      <c r="D52" s="121"/>
      <c r="E52" s="121"/>
      <c r="F52" s="121"/>
      <c r="G52" s="122"/>
      <c r="H52" s="131"/>
      <c r="I52" s="121"/>
      <c r="J52" s="121"/>
      <c r="K52" s="122"/>
      <c r="L52" s="111"/>
      <c r="M52" s="141"/>
      <c r="N52" s="45">
        <f t="shared" si="5"/>
        <v>-13.999999999999993</v>
      </c>
      <c r="O52" s="193"/>
      <c r="P52" s="121"/>
      <c r="Q52" s="122"/>
      <c r="R52" s="123"/>
      <c r="S52" s="122"/>
      <c r="T52" s="122"/>
      <c r="U52" s="124"/>
      <c r="V52" s="198"/>
      <c r="W52" s="791"/>
      <c r="X52" s="739"/>
      <c r="Y52" s="200"/>
      <c r="Z52" s="69"/>
      <c r="AA52" s="128"/>
      <c r="AB52" s="792"/>
      <c r="AC52" s="792"/>
      <c r="AD52" s="188" t="e">
        <f>IF(VLOOKUP(A52,Para1!$B$67:$E$72,2,FALSE)="3.",VLOOKUP(A52,Para1!$B$67:$E$72,3,FALSE),"")</f>
        <v>#N/A</v>
      </c>
      <c r="AE52" s="540" t="str">
        <f>IF((AB52+AC52)=0,"",IF(ISNA(AD52),"",IF(AD52="","",VLOOKUP(AD52,Para1!$D$67:$G$79,3,FALSE)*(IF(AB52+AC52=1,0.5,1)))))</f>
        <v/>
      </c>
      <c r="AF52" s="540"/>
      <c r="AG52" s="188">
        <f t="shared" si="3"/>
        <v>0</v>
      </c>
      <c r="AH52" s="187">
        <f t="shared" si="4"/>
        <v>0</v>
      </c>
    </row>
    <row r="53" spans="1:34" ht="16.5" customHeight="1">
      <c r="A53" s="117"/>
      <c r="B53" s="303"/>
      <c r="C53" s="305"/>
      <c r="D53" s="366"/>
      <c r="E53" s="366"/>
      <c r="F53" s="366"/>
      <c r="G53" s="367"/>
      <c r="H53" s="368"/>
      <c r="I53" s="366"/>
      <c r="J53" s="366"/>
      <c r="K53" s="532"/>
      <c r="L53" s="111"/>
      <c r="M53" s="141"/>
      <c r="N53" s="45">
        <f>$N52+$L53-M53+SUM($P53:$U53)+IF(OR($W53="f",$W53="m",$W53="z",$W53="u",$W53="b",$W53="l"),$AH53,0)+IF(OR($X53="f",$X53="m",$X53="z",$X53="u",$X53="b",$X53="l"),$AH53,0)</f>
        <v>-13.999999999999993</v>
      </c>
      <c r="O53" s="192"/>
      <c r="P53" s="366"/>
      <c r="Q53" s="367"/>
      <c r="R53" s="439"/>
      <c r="S53" s="367"/>
      <c r="T53" s="367"/>
      <c r="U53" s="532"/>
      <c r="V53" s="197"/>
      <c r="W53" s="530"/>
      <c r="X53" s="599"/>
      <c r="Y53" s="200"/>
      <c r="Z53" s="69"/>
      <c r="AA53" s="128"/>
      <c r="AB53" s="241"/>
      <c r="AC53" s="241"/>
      <c r="AD53" s="188" t="e">
        <f>IF(VLOOKUP(A53,Para1!$B$67:$E$72,2,FALSE)="3.",VLOOKUP(A53,Para1!$B$67:$E$72,3,FALSE),"")</f>
        <v>#N/A</v>
      </c>
      <c r="AE53" s="540" t="str">
        <f>IF((AB53+AC53)=0,"",IF(ISNA(AD53),"",IF(AD53="","",VLOOKUP(AD53,Para1!$D$67:$G$79,3,FALSE)*(IF(AB53+AC53=1,0.5,1)))))</f>
        <v/>
      </c>
      <c r="AF53" s="540"/>
      <c r="AG53" s="188">
        <f t="shared" si="3"/>
        <v>0</v>
      </c>
      <c r="AH53" s="187">
        <f t="shared" si="4"/>
        <v>0</v>
      </c>
    </row>
    <row r="54" spans="1:34" ht="16.5" customHeight="1" thickBot="1">
      <c r="A54" s="115"/>
      <c r="B54" s="304"/>
      <c r="C54" s="305"/>
      <c r="D54" s="362"/>
      <c r="E54" s="362"/>
      <c r="F54" s="362"/>
      <c r="G54" s="363"/>
      <c r="H54" s="364"/>
      <c r="I54" s="362"/>
      <c r="J54" s="362"/>
      <c r="K54" s="365"/>
      <c r="L54" s="116"/>
      <c r="M54" s="141"/>
      <c r="N54" s="45">
        <f t="shared" si="5"/>
        <v>-13.999999999999993</v>
      </c>
      <c r="O54" s="192"/>
      <c r="P54" s="362"/>
      <c r="Q54" s="363"/>
      <c r="R54" s="533"/>
      <c r="S54" s="363"/>
      <c r="T54" s="363"/>
      <c r="U54" s="534"/>
      <c r="V54" s="197"/>
      <c r="W54" s="530"/>
      <c r="X54" s="599"/>
      <c r="Y54" s="200"/>
      <c r="Z54" s="69"/>
      <c r="AA54" s="128"/>
      <c r="AB54" s="242"/>
      <c r="AC54" s="242"/>
      <c r="AD54" s="188" t="e">
        <f>IF(VLOOKUP(A54,Para1!$B$67:$E$72,2,FALSE)="3.",VLOOKUP(A54,Para1!$B$67:$E$72,3,FALSE),"")</f>
        <v>#N/A</v>
      </c>
      <c r="AE54" s="540" t="str">
        <f>IF((AB54+AC54)=0,"",IF(ISNA(AD54),"",IF(AD54="","",VLOOKUP(AD54,Para1!$D$67:$G$79,3,FALSE)*(IF(AB54+AC54=1,0.5,1)))))</f>
        <v/>
      </c>
      <c r="AF54" s="540"/>
      <c r="AG54" s="188">
        <f t="shared" si="3"/>
        <v>0</v>
      </c>
      <c r="AH54" s="187">
        <f t="shared" si="4"/>
        <v>0</v>
      </c>
    </row>
    <row r="55" spans="1:34" ht="15" thickTop="1">
      <c r="A55" s="47"/>
      <c r="B55" s="37"/>
      <c r="C55" s="16"/>
      <c r="D55" s="38"/>
      <c r="E55" s="38"/>
      <c r="F55" s="38"/>
      <c r="G55" s="38"/>
      <c r="H55" s="38"/>
      <c r="I55" s="38"/>
      <c r="J55" s="38"/>
      <c r="K55" s="464" t="str">
        <f>Para1!F184&amp;" (hh:mm)"</f>
        <v>Total (hh:mm)</v>
      </c>
      <c r="L55" s="39">
        <f>SUM(L24:L54)</f>
        <v>0</v>
      </c>
      <c r="M55" s="145">
        <f>SUM(M24:M54)</f>
        <v>6.9999999999999973</v>
      </c>
      <c r="N55" s="235"/>
      <c r="O55" s="193"/>
      <c r="P55" s="110">
        <f t="shared" ref="P55:U55" si="14">SUM(P24:P54)</f>
        <v>0</v>
      </c>
      <c r="Q55" s="36">
        <f t="shared" si="14"/>
        <v>0</v>
      </c>
      <c r="R55" s="36">
        <f t="shared" si="14"/>
        <v>0</v>
      </c>
      <c r="S55" s="36">
        <f t="shared" si="14"/>
        <v>0</v>
      </c>
      <c r="T55" s="36">
        <f t="shared" si="14"/>
        <v>0</v>
      </c>
      <c r="U55" s="44">
        <f t="shared" si="14"/>
        <v>0</v>
      </c>
      <c r="V55" s="201"/>
      <c r="W55" s="230"/>
      <c r="X55" s="203"/>
      <c r="AB55" s="884" t="str">
        <f>Para1!F177&amp;" "&amp;Para1!F170&amp;" "&amp;Para1!F171</f>
        <v>Soll pro Halbtag</v>
      </c>
      <c r="AC55" s="885"/>
      <c r="AD55" s="188">
        <f>SUM(AG24:AG54)</f>
        <v>0</v>
      </c>
      <c r="AE55" s="540">
        <f>SUM(AE24:AE54)</f>
        <v>0</v>
      </c>
      <c r="AF55" s="540">
        <f>SUM(AF24:AF54)</f>
        <v>0</v>
      </c>
      <c r="AG55" s="188"/>
    </row>
    <row r="56" spans="1:34" ht="15" thickBot="1">
      <c r="A56" s="48"/>
      <c r="B56" s="40"/>
      <c r="C56" s="40"/>
      <c r="D56" s="41"/>
      <c r="E56" s="41"/>
      <c r="F56" s="41"/>
      <c r="G56" s="19"/>
      <c r="H56" s="19"/>
      <c r="I56" s="19"/>
      <c r="J56" s="19"/>
      <c r="K56" s="766" t="str">
        <f>Para1!F184&amp;" ("&amp;Para1!F106&amp;")"</f>
        <v>Total (dezimal)</v>
      </c>
      <c r="L56" s="767">
        <f>L55*24</f>
        <v>0</v>
      </c>
      <c r="M56" s="771">
        <f>M55*24</f>
        <v>167.99999999999994</v>
      </c>
      <c r="N56" s="772"/>
      <c r="O56" s="773"/>
      <c r="P56" s="770">
        <f t="shared" ref="P56:U56" si="15">P55*24</f>
        <v>0</v>
      </c>
      <c r="Q56" s="768">
        <f t="shared" si="15"/>
        <v>0</v>
      </c>
      <c r="R56" s="768">
        <f t="shared" si="15"/>
        <v>0</v>
      </c>
      <c r="S56" s="768">
        <f t="shared" si="15"/>
        <v>0</v>
      </c>
      <c r="T56" s="768">
        <f t="shared" si="15"/>
        <v>0</v>
      </c>
      <c r="U56" s="768">
        <f t="shared" si="15"/>
        <v>0</v>
      </c>
      <c r="V56" s="202"/>
      <c r="W56" s="229"/>
      <c r="X56" s="195"/>
      <c r="AB56" s="882">
        <f>(C8*24+((AE55+AF55)/100*H3))/(SUM(AB24:AC54)-AD55)/24</f>
        <v>0.17500000000000002</v>
      </c>
      <c r="AC56" s="883"/>
      <c r="AE56" s="319"/>
      <c r="AF56" s="319"/>
    </row>
    <row r="57" spans="1:34" ht="15" thickTop="1">
      <c r="AB57" s="341"/>
      <c r="AC57" s="321"/>
    </row>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D60:E60"/>
    <mergeCell ref="K60:O60"/>
    <mergeCell ref="A22:B22"/>
    <mergeCell ref="C12:D12"/>
    <mergeCell ref="C11:D11"/>
    <mergeCell ref="C10:D10"/>
    <mergeCell ref="C9:D9"/>
    <mergeCell ref="C8:D8"/>
    <mergeCell ref="A23:B23"/>
    <mergeCell ref="D22:G22"/>
    <mergeCell ref="H22:K22"/>
    <mergeCell ref="N8:O8"/>
    <mergeCell ref="T60:X60"/>
    <mergeCell ref="AB55:AC55"/>
    <mergeCell ref="AB56:AC56"/>
    <mergeCell ref="Y21:Z21"/>
    <mergeCell ref="AB21:AC21"/>
    <mergeCell ref="AC22:AC23"/>
    <mergeCell ref="W22:W23"/>
    <mergeCell ref="AB22:AB23"/>
    <mergeCell ref="X22:X23"/>
    <mergeCell ref="U22:U23"/>
    <mergeCell ref="W21:X21"/>
    <mergeCell ref="A1:B1"/>
    <mergeCell ref="A3:B3"/>
    <mergeCell ref="H1:I1"/>
    <mergeCell ref="M3:N3"/>
    <mergeCell ref="C7:D7"/>
    <mergeCell ref="C1:E1"/>
    <mergeCell ref="N7:O7"/>
    <mergeCell ref="U14:V14"/>
    <mergeCell ref="U15:V15"/>
    <mergeCell ref="L21:N21"/>
    <mergeCell ref="P21:U21"/>
    <mergeCell ref="P22:P23"/>
    <mergeCell ref="M22:M23"/>
    <mergeCell ref="S22:S23"/>
    <mergeCell ref="T22:T23"/>
    <mergeCell ref="L22:L23"/>
    <mergeCell ref="N22:N23"/>
    <mergeCell ref="Q22:Q23"/>
    <mergeCell ref="R22:R23"/>
  </mergeCells>
  <phoneticPr fontId="0" type="noConversion"/>
  <conditionalFormatting sqref="D24:G54 W24:W54 AB24:AB52">
    <cfRule type="expression" dxfId="122" priority="16">
      <formula>$AB24=0</formula>
    </cfRule>
  </conditionalFormatting>
  <conditionalFormatting sqref="H24:K54 X24:X54 AC24:AC52">
    <cfRule type="expression" dxfId="121" priority="15">
      <formula>$AC24=0</formula>
    </cfRule>
  </conditionalFormatting>
  <conditionalFormatting sqref="P24:U54">
    <cfRule type="expression" dxfId="120" priority="4">
      <formula>$AB24+$AC24=1</formula>
    </cfRule>
    <cfRule type="expression" dxfId="119" priority="13">
      <formula>$AB24+$AC24=0</formula>
    </cfRule>
  </conditionalFormatting>
  <conditionalFormatting sqref="A24:C54 L24:M54">
    <cfRule type="expression" dxfId="118" priority="12">
      <formula>$M24=0</formula>
    </cfRule>
  </conditionalFormatting>
  <conditionalFormatting sqref="N24:N54">
    <cfRule type="cellIs" dxfId="117" priority="11" operator="equal">
      <formula>N23-M24</formula>
    </cfRule>
  </conditionalFormatting>
  <conditionalFormatting sqref="N24">
    <cfRule type="expression" dxfId="116" priority="10">
      <formula>$L$24=0</formula>
    </cfRule>
  </conditionalFormatting>
  <conditionalFormatting sqref="D24:K54 P24:U54 W24:X54 AB24:AC52">
    <cfRule type="expression" dxfId="115" priority="3">
      <formula>$AE$24=0</formula>
    </cfRule>
  </conditionalFormatting>
  <pageMargins left="0.38" right="0.38" top="0.79" bottom="0.39370078740157483" header="0.28999999999999998" footer="0.15748031496062992"/>
  <pageSetup paperSize="9" scale="54"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9B063DEC-C317-4A73-915D-3E64743C2F7B}">
            <xm:f>OR('Persönliche Daten (pers. data)'!$K$5="Nein",'Persönliche Daten (pers. data)'!$K$5="no")</xm:f>
            <x14:dxf>
              <font>
                <color theme="0"/>
              </font>
              <fill>
                <patternFill patternType="none">
                  <bgColor auto="1"/>
                </patternFill>
              </fill>
              <border>
                <left/>
                <right/>
                <top/>
                <bottom/>
                <vertical/>
                <horizontal/>
              </border>
            </x14:dxf>
          </x14:cfRule>
          <xm:sqref>G14:I17</xm:sqref>
        </x14:conditionalFormatting>
        <x14:conditionalFormatting xmlns:xm="http://schemas.microsoft.com/office/excel/2006/main">
          <x14:cfRule type="expression" priority="1" id="{1A77CCE9-4101-4514-8F37-F69722EA2D7D}">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pageSetUpPr fitToPage="1"/>
  </sheetPr>
  <dimension ref="A1:AH60"/>
  <sheetViews>
    <sheetView showGridLines="0" zoomScale="75" zoomScaleNormal="75" workbookViewId="0">
      <selection activeCell="AI30" sqref="AI30"/>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228" customWidth="1"/>
    <col min="23" max="23" width="11.83203125" style="228" customWidth="1"/>
    <col min="24" max="27" width="11.83203125" style="11" customWidth="1"/>
    <col min="28" max="28" width="11.83203125" style="228" customWidth="1"/>
    <col min="29" max="29" width="11.83203125" style="11" customWidth="1"/>
    <col min="30" max="33" width="11.5" style="11" hidden="1" customWidth="1"/>
    <col min="34"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(Overview)'!E$8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60"/>
      <c r="U4" s="126"/>
      <c r="V4" s="196"/>
      <c r="W4" s="196"/>
      <c r="X4" s="13"/>
      <c r="Y4" s="13"/>
      <c r="Z4" s="16"/>
      <c r="AB4" s="73"/>
      <c r="AC4" s="16"/>
    </row>
    <row r="5" spans="1:29" ht="6" customHeight="1">
      <c r="Z5" s="234"/>
      <c r="AB5" s="73"/>
      <c r="AC5" s="16"/>
    </row>
    <row r="6" spans="1:29" ht="15" customHeight="1">
      <c r="AB6" s="73"/>
      <c r="AC6" s="16"/>
    </row>
    <row r="7" spans="1:29" ht="15" customHeight="1">
      <c r="A7" s="11"/>
      <c r="B7" s="328" t="str">
        <f>Para1!F93</f>
        <v>Arbeitszeit</v>
      </c>
      <c r="C7" s="898" t="s">
        <v>103</v>
      </c>
      <c r="D7" s="898"/>
      <c r="F7" s="19"/>
      <c r="H7" s="165" t="str">
        <f>Para1!F115</f>
        <v>Ferien</v>
      </c>
      <c r="I7" s="160" t="s">
        <v>103</v>
      </c>
      <c r="J7" s="7"/>
      <c r="L7" s="19"/>
      <c r="M7" s="165" t="str">
        <f>Para1!F136</f>
        <v>Kompensation</v>
      </c>
      <c r="N7" s="900" t="str">
        <f>Para1!F84</f>
        <v>akt. Mt.</v>
      </c>
      <c r="O7" s="900"/>
      <c r="P7" s="333" t="str">
        <f>Para1!F203</f>
        <v>VorMt(e)</v>
      </c>
      <c r="Q7" s="163" t="str">
        <f>Para1!F174</f>
        <v>Saldo</v>
      </c>
      <c r="T7" s="9" t="str">
        <f>Para1!F83</f>
        <v>Absenzen</v>
      </c>
      <c r="U7" s="7" t="s">
        <v>103</v>
      </c>
      <c r="V7" s="7"/>
      <c r="W7" s="140" t="str">
        <f>Para1!F84</f>
        <v>akt. Mt.</v>
      </c>
      <c r="X7" s="140" t="str">
        <f>Para1!F203</f>
        <v>VorMt(e)</v>
      </c>
      <c r="Y7" s="18" t="str">
        <f>Para1!F174</f>
        <v>Saldo</v>
      </c>
      <c r="AB7" s="73"/>
      <c r="AC7" s="16"/>
    </row>
    <row r="8" spans="1:29" ht="15" customHeight="1" thickBot="1">
      <c r="B8" s="9" t="str">
        <f>Para1!F177</f>
        <v>Soll</v>
      </c>
      <c r="C8" s="848">
        <f>Para1!G60/100*H3/24</f>
        <v>8.0499999999999989</v>
      </c>
      <c r="D8" s="848"/>
      <c r="F8" s="19"/>
      <c r="H8" s="162" t="str">
        <f>Para1!F174&amp;" "&amp;Para1!F88&amp;" "&amp;Para1!F154</f>
        <v>Saldo Anfang Monat</v>
      </c>
      <c r="I8" s="159" t="e">
        <f>Februar!I11</f>
        <v>#N/A</v>
      </c>
      <c r="J8" s="7"/>
      <c r="M8" s="162" t="str">
        <f>Para1!F133</f>
        <v>JAZ-Kompensation</v>
      </c>
      <c r="N8" s="899">
        <f>SUMIF($W$24:$W$54,"k",$AH$24:$AH$54)+SUMIF($X$24:$X$54,"k",$AH$24:$AH$54)</f>
        <v>0</v>
      </c>
      <c r="O8" s="899"/>
      <c r="P8" s="732">
        <f>Februar!Q8</f>
        <v>0</v>
      </c>
      <c r="Q8" s="166">
        <f>N8+P8</f>
        <v>0</v>
      </c>
      <c r="T8" s="20" t="str">
        <f>Para1!F139</f>
        <v>Krankheit</v>
      </c>
      <c r="U8" s="7"/>
      <c r="V8" s="7"/>
      <c r="W8" s="734">
        <f>P55</f>
        <v>0</v>
      </c>
      <c r="X8" s="734">
        <f>Februar!Y8</f>
        <v>0</v>
      </c>
      <c r="Y8" s="306">
        <f t="shared" ref="Y8:Y17" si="0">SUM(W8:X8)</f>
        <v>0</v>
      </c>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T9" s="20" t="str">
        <f>Para1!F196</f>
        <v>Unfall</v>
      </c>
      <c r="U9" s="7" t="str">
        <f>Para1!F98</f>
        <v>betriebsbedingt</v>
      </c>
      <c r="V9" s="7"/>
      <c r="W9" s="734">
        <f>Q55</f>
        <v>0</v>
      </c>
      <c r="X9" s="748">
        <f>Februar!Y9</f>
        <v>0</v>
      </c>
      <c r="Y9" s="306">
        <f t="shared" si="0"/>
        <v>0</v>
      </c>
    </row>
    <row r="10" spans="1:29" ht="15" customHeight="1">
      <c r="B10" s="22" t="str">
        <f>Para1!F108</f>
        <v>Differenz</v>
      </c>
      <c r="C10" s="905">
        <f>C9-C8</f>
        <v>-8.0499999999999989</v>
      </c>
      <c r="D10" s="905"/>
      <c r="F10" s="19"/>
      <c r="H10" s="162" t="str">
        <f>"./. "&amp;Para1!F117</f>
        <v>./. Ferienkürzung</v>
      </c>
      <c r="I10" s="210">
        <v>0</v>
      </c>
      <c r="J10" s="7"/>
      <c r="T10" s="8"/>
      <c r="U10" s="7" t="str">
        <f>Para1!F163&amp;" "&amp;Para1!F99</f>
        <v>nicht betr.</v>
      </c>
      <c r="V10" s="7"/>
      <c r="W10" s="734">
        <f>R55</f>
        <v>0</v>
      </c>
      <c r="X10" s="748">
        <f>Februar!Y10</f>
        <v>0</v>
      </c>
      <c r="Y10" s="306">
        <f t="shared" si="0"/>
        <v>0</v>
      </c>
      <c r="AB10" s="11"/>
    </row>
    <row r="11" spans="1:29" ht="15" customHeight="1" thickBot="1">
      <c r="B11" s="20" t="str">
        <f>Para1!F190</f>
        <v>Übertrag Vormnt</v>
      </c>
      <c r="C11" s="905">
        <f>Februar!C12</f>
        <v>-14</v>
      </c>
      <c r="D11" s="905"/>
      <c r="F11" s="19"/>
      <c r="H11" s="165" t="str">
        <f>Para1!F174&amp;" "&amp;Para1!F113&amp;" "&amp;Para1!F154</f>
        <v>Saldo Ende Monat</v>
      </c>
      <c r="I11" s="166" t="e">
        <f>$I$8-$I$9-$I$10</f>
        <v>#N/A</v>
      </c>
      <c r="L11" s="445" t="str">
        <f>Para1!F103&amp;" "&amp;Para1!F120&amp;" "&amp;Para1!F83&amp;" in "&amp;Para1!F182&amp;":"</f>
        <v>Buchstaben für Absenzen in Tage:</v>
      </c>
      <c r="M11" s="446"/>
      <c r="N11" s="446"/>
      <c r="O11" s="446"/>
      <c r="P11" s="446"/>
      <c r="Q11" s="447"/>
      <c r="T11" s="20" t="str">
        <f>Para1!F140</f>
        <v>Kurzurlaub</v>
      </c>
      <c r="U11" s="8"/>
      <c r="V11" s="8"/>
      <c r="W11" s="734">
        <f>S55</f>
        <v>0</v>
      </c>
      <c r="X11" s="748">
        <f>Februar!Y11</f>
        <v>0</v>
      </c>
      <c r="Y11" s="306">
        <f t="shared" si="0"/>
        <v>0</v>
      </c>
      <c r="AB11" s="11"/>
    </row>
    <row r="12" spans="1:29" ht="15" customHeight="1" thickTop="1" thickBot="1">
      <c r="A12" s="127"/>
      <c r="B12" s="330" t="str">
        <f>Para1!F174</f>
        <v>Saldo</v>
      </c>
      <c r="C12" s="901">
        <f>C10+C11</f>
        <v>-22.049999999999997</v>
      </c>
      <c r="D12" s="901"/>
      <c r="F12" s="19"/>
      <c r="G12" s="7"/>
      <c r="J12" s="7"/>
      <c r="L12" s="448" t="s">
        <v>492</v>
      </c>
      <c r="M12" s="449" t="str">
        <f>Para1!F115</f>
        <v>Ferien</v>
      </c>
      <c r="N12" s="449"/>
      <c r="O12" s="449"/>
      <c r="P12" s="449"/>
      <c r="Q12" s="450"/>
      <c r="T12" s="25" t="str">
        <f>Para1!F206</f>
        <v>Weiterbildung auf Arbeitszeit</v>
      </c>
      <c r="U12" s="7"/>
      <c r="V12" s="7"/>
      <c r="W12" s="734">
        <f>T55</f>
        <v>0</v>
      </c>
      <c r="X12" s="748">
        <f>Februar!Y12</f>
        <v>0</v>
      </c>
      <c r="Y12" s="306">
        <f t="shared" si="0"/>
        <v>0</v>
      </c>
      <c r="AB12" s="11"/>
    </row>
    <row r="13" spans="1:29" ht="15" customHeight="1" thickTop="1">
      <c r="B13" s="330"/>
      <c r="C13" s="274"/>
      <c r="D13" s="81"/>
      <c r="F13" s="19"/>
      <c r="J13" s="7"/>
      <c r="L13" s="448" t="s">
        <v>493</v>
      </c>
      <c r="M13" s="449" t="str">
        <f>Para1!F157</f>
        <v>Mutter- und Vaterschaftsurlaub</v>
      </c>
      <c r="N13" s="449"/>
      <c r="O13" s="449"/>
      <c r="P13" s="449"/>
      <c r="Q13" s="451"/>
      <c r="T13" s="20" t="str">
        <f>Para1!F165</f>
        <v>Öffentliches Amt</v>
      </c>
      <c r="U13" s="7"/>
      <c r="V13" s="7"/>
      <c r="W13" s="734">
        <f>U55</f>
        <v>0</v>
      </c>
      <c r="X13" s="748">
        <f>Februar!Y13</f>
        <v>0</v>
      </c>
      <c r="Y13" s="306">
        <f t="shared" si="0"/>
        <v>0</v>
      </c>
      <c r="AB13" s="11"/>
    </row>
    <row r="14" spans="1:29" ht="15" customHeight="1">
      <c r="F14" s="19"/>
      <c r="H14" s="9" t="str">
        <f>Para1!F142</f>
        <v>Langzeitkonto</v>
      </c>
      <c r="I14" s="160" t="s">
        <v>103</v>
      </c>
      <c r="J14" s="11"/>
      <c r="L14" s="448" t="s">
        <v>494</v>
      </c>
      <c r="M14" s="449" t="str">
        <f>Para1!F149</f>
        <v>Militär/Zivilsch./Zivildienst</v>
      </c>
      <c r="N14" s="449"/>
      <c r="O14" s="449"/>
      <c r="P14" s="449"/>
      <c r="Q14" s="451"/>
      <c r="T14" s="24" t="str">
        <f>Para1!F198</f>
        <v>Urlaub</v>
      </c>
      <c r="U14" s="853" t="str">
        <f>Para1!F100</f>
        <v>bezahlt</v>
      </c>
      <c r="V14" s="853"/>
      <c r="W14" s="738">
        <f>SUMIF($W$24:$W$54,"b",$AH$24:$AH$54)+SUMIF($X$24:$X$54,"b",$AH$24:$AH$54)</f>
        <v>0</v>
      </c>
      <c r="X14" s="748">
        <f>Februar!Y14</f>
        <v>0</v>
      </c>
      <c r="Y14" s="155">
        <f t="shared" si="0"/>
        <v>0</v>
      </c>
      <c r="Z14" s="535"/>
      <c r="AA14" s="536"/>
      <c r="AB14" s="11"/>
    </row>
    <row r="15" spans="1:29" ht="15" customHeight="1">
      <c r="H15" s="140" t="str">
        <f>Para1!F174&amp;" "&amp;Para1!F88&amp;" "&amp;Para1!F154</f>
        <v>Saldo Anfang Monat</v>
      </c>
      <c r="I15" s="299">
        <f>Februar!I17</f>
        <v>0</v>
      </c>
      <c r="J15" s="6"/>
      <c r="K15" s="6"/>
      <c r="L15" s="448" t="s">
        <v>495</v>
      </c>
      <c r="M15" s="449" t="str">
        <f>Para1!F133</f>
        <v>JAZ-Kompensation</v>
      </c>
      <c r="N15" s="449"/>
      <c r="O15" s="449"/>
      <c r="P15" s="449"/>
      <c r="Q15" s="451"/>
      <c r="T15" s="24"/>
      <c r="U15" s="853" t="str">
        <f>Para1!F194</f>
        <v>unbezahlt</v>
      </c>
      <c r="V15" s="853"/>
      <c r="W15" s="738">
        <f>SUMIF($W$24:$W$54,"u",$AH$24:$AH$54)+SUMIF($X$24:$X$54,"u",$AH$24:$AH$54)</f>
        <v>0</v>
      </c>
      <c r="X15" s="748">
        <f>Februar!Y15</f>
        <v>0</v>
      </c>
      <c r="Y15" s="155">
        <f t="shared" si="0"/>
        <v>0</v>
      </c>
      <c r="Z15" s="536"/>
      <c r="AA15" s="536"/>
      <c r="AB15" s="11"/>
    </row>
    <row r="16" spans="1:29" ht="15" customHeight="1">
      <c r="F16" s="11"/>
      <c r="G16" s="11"/>
      <c r="H16" s="140" t="str">
        <f>"./. "&amp;Para1!F145</f>
        <v>./. LZK-Bezug</v>
      </c>
      <c r="I16" s="299">
        <f>SUMIF($W$24:$W$54,"l",$AH$24:$AH$54)+SUMIF($X$24:$X$54,"l",$AH$24:$AH$54)</f>
        <v>0</v>
      </c>
      <c r="J16" s="6"/>
      <c r="K16" s="6"/>
      <c r="L16" s="452" t="s">
        <v>496</v>
      </c>
      <c r="M16" s="456" t="str">
        <f>Para1!F198&amp;" "&amp;Para1!F100</f>
        <v>Urlaub bezahlt</v>
      </c>
      <c r="N16" s="453"/>
      <c r="O16" s="454"/>
      <c r="P16" s="455"/>
      <c r="Q16" s="451"/>
      <c r="R16" s="16"/>
      <c r="S16" s="16"/>
      <c r="T16" s="24" t="str">
        <f>Para1!F157</f>
        <v>Mutter- und Vaterschaftsurlaub</v>
      </c>
      <c r="U16" s="73"/>
      <c r="V16" s="11"/>
      <c r="W16" s="738">
        <f>SUMIF($W$24:$W$54,"m",$AH$24:$AH$54)+SUMIF($X$24:$X$54,"m",$AH$24:$AH$54)</f>
        <v>0</v>
      </c>
      <c r="X16" s="748">
        <f>Februar!Y16</f>
        <v>0</v>
      </c>
      <c r="Y16" s="155">
        <f t="shared" si="0"/>
        <v>0</v>
      </c>
      <c r="Z16" s="536"/>
      <c r="AA16" s="536"/>
      <c r="AB16" s="11"/>
    </row>
    <row r="17" spans="1:34" ht="15" customHeight="1" thickBot="1">
      <c r="G17" s="162"/>
      <c r="H17" s="328" t="str">
        <f>Para1!F174&amp;" "&amp;Para1!F113&amp;" "&amp;Para1!F154</f>
        <v>Saldo Ende Monat</v>
      </c>
      <c r="I17" s="732">
        <f>I15-I16</f>
        <v>0</v>
      </c>
      <c r="J17" s="6"/>
      <c r="K17" s="6"/>
      <c r="L17" s="452" t="s">
        <v>497</v>
      </c>
      <c r="M17" s="456" t="str">
        <f>Para1!F198&amp;" "&amp;Para1!F194</f>
        <v>Urlaub unbezahlt</v>
      </c>
      <c r="N17" s="453"/>
      <c r="O17" s="454"/>
      <c r="P17" s="455"/>
      <c r="Q17" s="451"/>
      <c r="R17" s="19"/>
      <c r="S17" s="19"/>
      <c r="T17" s="24" t="str">
        <f>Para1!F149</f>
        <v>Militär/Zivilsch./Zivildienst</v>
      </c>
      <c r="U17" s="73"/>
      <c r="V17" s="11"/>
      <c r="W17" s="738">
        <f>SUMIF($W$24:$W$54,"z",$AH$24:$AH$54)+SUMIF($X$24:$X$54,"z",$AH$24:$AH$54)</f>
        <v>0</v>
      </c>
      <c r="X17" s="748">
        <f>Februar!Y17</f>
        <v>0</v>
      </c>
      <c r="Y17" s="155">
        <f t="shared" si="0"/>
        <v>0</v>
      </c>
      <c r="Z17" s="536"/>
      <c r="AA17" s="536"/>
      <c r="AB17" s="11"/>
    </row>
    <row r="18" spans="1:34" ht="15" customHeight="1" thickTop="1" thickBot="1">
      <c r="F18" s="615" t="str">
        <f>IF(AND(Information!H8="Nein",I16&gt;0),"ACHTUNG: Langzeitkontobezug ohne entsprechendes Konto!!","")</f>
        <v/>
      </c>
      <c r="G18" s="25"/>
      <c r="H18" s="273"/>
      <c r="I18" s="7"/>
      <c r="J18" s="6"/>
      <c r="K18" s="6"/>
      <c r="L18" s="448" t="s">
        <v>498</v>
      </c>
      <c r="M18" s="456" t="str">
        <f>Para1!F142</f>
        <v>Langzeitkonto</v>
      </c>
      <c r="N18" s="453"/>
      <c r="O18" s="454"/>
      <c r="P18" s="455"/>
      <c r="Q18" s="451"/>
      <c r="R18" s="329"/>
      <c r="S18" s="19"/>
      <c r="T18" s="9" t="str">
        <f>Para1!F184</f>
        <v>Total</v>
      </c>
      <c r="U18" s="11"/>
      <c r="V18" s="11"/>
      <c r="W18" s="733">
        <f>SUM(W8:W17)</f>
        <v>0</v>
      </c>
      <c r="X18" s="733">
        <f>SUM(X8:X17)</f>
        <v>0</v>
      </c>
      <c r="Y18" s="733">
        <f>SUM(Y8:Y17)</f>
        <v>0</v>
      </c>
      <c r="Z18" s="16"/>
      <c r="AB18" s="11"/>
    </row>
    <row r="19" spans="1:34" ht="15" customHeight="1" thickTop="1">
      <c r="E19" s="19"/>
      <c r="G19" s="72"/>
      <c r="H19" s="72"/>
      <c r="N19" s="300"/>
      <c r="O19" s="300"/>
      <c r="P19" s="19"/>
      <c r="Q19" s="300"/>
      <c r="R19" s="300"/>
      <c r="S19" s="19"/>
      <c r="T19" s="19"/>
      <c r="U19" s="160"/>
      <c r="V19" s="160"/>
      <c r="W19" s="229"/>
      <c r="X19" s="16"/>
      <c r="Y19" s="23"/>
      <c r="AB19" s="11"/>
    </row>
    <row r="20" spans="1:34" ht="15" customHeight="1" thickBot="1">
      <c r="A20" s="424" t="str">
        <f>Para1!J222</f>
        <v>(Bitte das Guthaben in Stunden und Minuten eingeben.)</v>
      </c>
      <c r="B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c r="AD23" s="346"/>
      <c r="AE23" s="346"/>
      <c r="AF23" s="346"/>
    </row>
    <row r="24" spans="1:34" ht="16.5" customHeight="1" thickTop="1">
      <c r="A24" s="112" t="s">
        <v>5</v>
      </c>
      <c r="B24" s="303" t="str">
        <f>IF(Februar!B51=Para1!$F$153,Para1!$F$107,IF(Februar!B51=Para1!$F$107,Para1!$F$148,IF(Februar!B51=Para1!$F$148,Para1!$F$109,IF(Februar!B51=Para1!$F$109,Para1!$F$118,IF(Februar!B51=Para1!$F$118,Para1!$F$173,IF(Februar!B51=Para1!$F$173,Para1!$F$176,Para1!$F$153))))))</f>
        <v>Mo</v>
      </c>
      <c r="C24" s="305"/>
      <c r="D24" s="359"/>
      <c r="E24" s="355"/>
      <c r="F24" s="355"/>
      <c r="G24" s="357"/>
      <c r="H24" s="359"/>
      <c r="I24" s="355"/>
      <c r="J24" s="355"/>
      <c r="K24" s="357"/>
      <c r="L24" s="111">
        <f t="shared" ref="L24:L54" si="1">SUM((G24-D24),(K24-H24))-SUM((F24-E24),(J24-I24))</f>
        <v>0</v>
      </c>
      <c r="M24" s="141">
        <f>IF(AE24=0,0,IF(AB24,$AB$56,0)+IF(AC24,$AB$56,0)-IF(AE24="",0,(AE24/4800*$H$3)+(AE24/4800*$H$3)))-IF(AF24="",0,(AF24/4800*$H$3)+(AF24/4800*$H$3))</f>
        <v>0.35000000000000003</v>
      </c>
      <c r="N24" s="45">
        <f>$C$11+$L24-M24+SUM($P24:$U24)+IF(OR($W24="f",$W24="m",$W24="z",$W24="u",$W24="b",$W24="l"),$AH24,0)+IF(OR($X24="f",$X24="m",$X24="z",$X24="u",$X24="b",$X24="l"),$AH24,0)</f>
        <v>-14.35</v>
      </c>
      <c r="O24" s="193"/>
      <c r="P24" s="359"/>
      <c r="Q24" s="357"/>
      <c r="R24" s="356"/>
      <c r="S24" s="357"/>
      <c r="T24" s="357"/>
      <c r="U24" s="370"/>
      <c r="V24" s="198"/>
      <c r="W24" s="373"/>
      <c r="X24" s="599"/>
      <c r="Y24" s="232"/>
      <c r="Z24" s="231"/>
      <c r="AA24" s="668"/>
      <c r="AB24" s="360">
        <f>Februar!AB46</f>
        <v>1</v>
      </c>
      <c r="AC24" s="360">
        <f>Februar!AC46</f>
        <v>1</v>
      </c>
      <c r="AD24" s="188" t="e">
        <f>IF(VLOOKUP(A24,Para1!$B$67:$E$72,2,FALSE)="3.",VLOOKUP(A24,Para1!$B$67:$E$72,3,FALSE),"")</f>
        <v>#N/A</v>
      </c>
      <c r="AE24" s="540" t="str">
        <f>IF((AB24+AC24)=0,"",IF(ISNA(AD24),"",IF(AD24="","",VLOOKUP(AD24,Para1!$D$67:$G$79,3,FALSE)*(IF(AB24+AC24=1,0.5,1)))))</f>
        <v/>
      </c>
      <c r="AF24" s="540" t="str">
        <f>IF(AB24+AC24=0,"",IF(ISNA(AD25),"",IF(AD25="","",VLOOKUP(AD25,Para1!$D$67:$G$79,4,FALSE)*(IF(AB24+AC24=1,0.5,1)))))</f>
        <v/>
      </c>
      <c r="AG24" s="188">
        <f>IF(AE24=0,AB24+AC24,0)</f>
        <v>0</v>
      </c>
      <c r="AH24" s="187">
        <f>IF((AB24+AC24)=0,0,M24/(AB24+AC24))</f>
        <v>0.17500000000000002</v>
      </c>
    </row>
    <row r="25" spans="1:34" ht="16.5" customHeight="1">
      <c r="A25" s="112" t="s">
        <v>7</v>
      </c>
      <c r="B25" s="303" t="str">
        <f>IF(B24=Para1!$F$153,Para1!$F$107,IF(B24=Para1!$F$107,Para1!$F$148,IF(B24=Para1!$F$148,Para1!$F$109,IF(B24=Para1!$F$109,Para1!$F$118,IF(B24=Para1!$F$118,Para1!$F$173,IF(B24=Para1!$F$173,Para1!$F$176,Para1!$F$153))))))</f>
        <v>Di</v>
      </c>
      <c r="C25" s="305"/>
      <c r="D25" s="359"/>
      <c r="E25" s="355"/>
      <c r="F25" s="355"/>
      <c r="G25" s="357"/>
      <c r="H25" s="359"/>
      <c r="I25" s="355"/>
      <c r="J25" s="355"/>
      <c r="K25" s="357"/>
      <c r="L25" s="111">
        <f>SUM((G25-D25),(K25-H25))-SUM((F25-E25),(J25-I25))</f>
        <v>0</v>
      </c>
      <c r="M25" s="141">
        <f t="shared" ref="M25:M54" si="2">IF(AE25=0,0,IF(AB25,$AB$56,0)+IF(AC25,$AB$56,0)-IF(AE25="",0,(AE25/4800*$H$3)+(AE25/4800*$H$3)))-IF(AF25="",0,(AF25/4800*$H$3)+(AF25/4800*$H$3))</f>
        <v>0.35000000000000003</v>
      </c>
      <c r="N25" s="45">
        <f>$N24+$L25-M25+SUM($P25:$U25)+IF(OR($W25="f",$W25="m",$W25="z",$W25="u",$W25="b",$W25="l"),$AH25,0)+IF(OR($X25="f",$X25="m",$X25="z",$X25="u",$X25="b",$X25="l"),$AH25,0)</f>
        <v>-14.7</v>
      </c>
      <c r="O25" s="193"/>
      <c r="P25" s="359"/>
      <c r="Q25" s="357"/>
      <c r="R25" s="356"/>
      <c r="S25" s="357"/>
      <c r="T25" s="357"/>
      <c r="U25" s="370"/>
      <c r="V25" s="198"/>
      <c r="W25" s="373"/>
      <c r="X25" s="599"/>
      <c r="Y25" s="200"/>
      <c r="Z25" s="69"/>
      <c r="AA25" s="128"/>
      <c r="AB25" s="360">
        <f>Februar!AB47</f>
        <v>1</v>
      </c>
      <c r="AC25" s="360">
        <f>Februar!AC47</f>
        <v>1</v>
      </c>
      <c r="AD25" s="188" t="str">
        <f>IF(VLOOKUP(A25,Para1!$B$67:$E$72,2,FALSE)="3.",VLOOKUP(A25,Para1!$B$67:$E$72,3,FALSE),"")</f>
        <v/>
      </c>
      <c r="AE25" s="540" t="str">
        <f>IF((AB25+AC25)=0,"",IF(ISNA(AD25),"",IF(AD25="","",VLOOKUP(AD25,Para1!$D$67:$G$79,3,FALSE)*(IF(AB25+AC25=1,0.5,1)))))</f>
        <v/>
      </c>
      <c r="AF25" s="540" t="str">
        <f>IF(AB25+AC25=0,"",IF(ISNA(AD26),"",IF(AD26="","",VLOOKUP(AD26,Para1!$D$67:$G$79,4,FALSE)*(IF(AB25+AC25=1,0.5,1)))))</f>
        <v/>
      </c>
      <c r="AG25" s="188">
        <f t="shared" ref="AG25:AG54" si="3">IF(AE25=0,AB25+AC25,0)</f>
        <v>0</v>
      </c>
      <c r="AH25" s="187">
        <f t="shared" ref="AH25:AH54" si="4">IF((AB25+AC25)=0,0,M25/(AB25+AC25))</f>
        <v>0.17500000000000002</v>
      </c>
    </row>
    <row r="26" spans="1:34" ht="16.5" customHeight="1">
      <c r="A26" s="112" t="s">
        <v>9</v>
      </c>
      <c r="B26" s="303" t="str">
        <f>IF(B25=Para1!$F$153,Para1!$F$107,IF(B25=Para1!$F$107,Para1!$F$148,IF(B25=Para1!$F$148,Para1!$F$109,IF(B25=Para1!$F$109,Para1!$F$118,IF(B25=Para1!$F$118,Para1!$F$173,IF(B25=Para1!$F$173,Para1!$F$176,Para1!$F$153))))))</f>
        <v>Mi</v>
      </c>
      <c r="C26" s="305"/>
      <c r="D26" s="359"/>
      <c r="E26" s="355"/>
      <c r="F26" s="355"/>
      <c r="G26" s="357"/>
      <c r="H26" s="359"/>
      <c r="I26" s="355"/>
      <c r="J26" s="355"/>
      <c r="K26" s="357"/>
      <c r="L26" s="111">
        <f>SUM((G26-D26),(K26-H26))-SUM((F26-E26),(J26-I26))</f>
        <v>0</v>
      </c>
      <c r="M26" s="141">
        <f t="shared" si="2"/>
        <v>0.35000000000000003</v>
      </c>
      <c r="N26" s="45">
        <f t="shared" ref="N26:N54" si="5">$N25+$L26-M26+SUM($P26:$U26)+IF(OR($W26="f",$W26="m",$W26="z",$W26="u",$W26="b",$W26="l"),$AH26,0)+IF(OR($X26="f",$X26="m",$X26="z",$X26="u",$X26="b",$X26="l"),$AH26,0)</f>
        <v>-15.049999999999999</v>
      </c>
      <c r="O26" s="192"/>
      <c r="P26" s="359"/>
      <c r="Q26" s="357"/>
      <c r="R26" s="356"/>
      <c r="S26" s="357"/>
      <c r="T26" s="357"/>
      <c r="U26" s="370"/>
      <c r="V26" s="198"/>
      <c r="W26" s="373"/>
      <c r="X26" s="599"/>
      <c r="Y26" s="200"/>
      <c r="Z26" s="69"/>
      <c r="AA26" s="128"/>
      <c r="AB26" s="360">
        <f>Februar!AB48</f>
        <v>1</v>
      </c>
      <c r="AC26" s="360">
        <f>Februar!AC48</f>
        <v>1</v>
      </c>
      <c r="AD26" s="188" t="e">
        <f>IF(VLOOKUP(A26,Para1!$B$67:$E$72,2,FALSE)="3.",VLOOKUP(A26,Para1!$B$67:$E$72,3,FALSE),"")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0.17500000000000002</v>
      </c>
    </row>
    <row r="27" spans="1:34" ht="16.5" customHeight="1">
      <c r="A27" s="112" t="s">
        <v>11</v>
      </c>
      <c r="B27" s="303" t="str">
        <f>IF(B26=Para1!$F$153,Para1!$F$107,IF(B26=Para1!$F$107,Para1!$F$148,IF(B26=Para1!$F$148,Para1!$F$109,IF(B26=Para1!$F$109,Para1!$F$118,IF(B26=Para1!$F$118,Para1!$F$173,IF(B26=Para1!$F$173,Para1!$F$176,Para1!$F$153))))))</f>
        <v>Do</v>
      </c>
      <c r="C27" s="305"/>
      <c r="D27" s="359"/>
      <c r="E27" s="355"/>
      <c r="F27" s="355"/>
      <c r="G27" s="357"/>
      <c r="H27" s="359"/>
      <c r="I27" s="355"/>
      <c r="J27" s="355"/>
      <c r="K27" s="357"/>
      <c r="L27" s="111">
        <f t="shared" si="1"/>
        <v>0</v>
      </c>
      <c r="M27" s="141">
        <f t="shared" si="2"/>
        <v>0.35000000000000003</v>
      </c>
      <c r="N27" s="45">
        <f t="shared" si="5"/>
        <v>-15.399999999999999</v>
      </c>
      <c r="O27" s="192"/>
      <c r="P27" s="359"/>
      <c r="Q27" s="357"/>
      <c r="R27" s="356"/>
      <c r="S27" s="357"/>
      <c r="T27" s="357"/>
      <c r="U27" s="370"/>
      <c r="V27" s="198"/>
      <c r="W27" s="374"/>
      <c r="X27" s="599"/>
      <c r="Y27" s="200"/>
      <c r="Z27" s="69"/>
      <c r="AA27" s="128"/>
      <c r="AB27" s="360">
        <f>Februar!AB49</f>
        <v>1</v>
      </c>
      <c r="AC27" s="360">
        <f>Februar!AC49</f>
        <v>1</v>
      </c>
      <c r="AD27" s="188" t="str">
        <f>IF(VLOOKUP(A27,Para1!$B$67:$E$72,2,FALSE)="3.",VLOOKUP(A27,Para1!$B$67:$E$72,3,FALSE),"")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0.17500000000000002</v>
      </c>
    </row>
    <row r="28" spans="1:34" ht="16.5" customHeight="1">
      <c r="A28" s="112" t="s">
        <v>13</v>
      </c>
      <c r="B28" s="303" t="str">
        <f>IF(B27=Para1!$F$153,Para1!$F$107,IF(B27=Para1!$F$107,Para1!$F$148,IF(B27=Para1!$F$148,Para1!$F$109,IF(B27=Para1!$F$109,Para1!$F$118,IF(B27=Para1!$F$118,Para1!$F$173,IF(B27=Para1!$F$173,Para1!$F$176,Para1!$F$153))))))</f>
        <v>Fr</v>
      </c>
      <c r="C28" s="305"/>
      <c r="D28" s="359"/>
      <c r="E28" s="355"/>
      <c r="F28" s="355"/>
      <c r="G28" s="357"/>
      <c r="H28" s="359"/>
      <c r="I28" s="355"/>
      <c r="J28" s="355"/>
      <c r="K28" s="357"/>
      <c r="L28" s="111">
        <f t="shared" si="1"/>
        <v>0</v>
      </c>
      <c r="M28" s="141">
        <f t="shared" si="2"/>
        <v>0.35000000000000003</v>
      </c>
      <c r="N28" s="45">
        <f t="shared" si="5"/>
        <v>-15.749999999999998</v>
      </c>
      <c r="O28" s="193"/>
      <c r="P28" s="359"/>
      <c r="Q28" s="357"/>
      <c r="R28" s="356"/>
      <c r="S28" s="357"/>
      <c r="T28" s="357"/>
      <c r="U28" s="370"/>
      <c r="V28" s="197"/>
      <c r="W28" s="374"/>
      <c r="X28" s="599"/>
      <c r="Y28" s="200"/>
      <c r="Z28" s="69"/>
      <c r="AA28" s="128"/>
      <c r="AB28" s="360">
        <v>1</v>
      </c>
      <c r="AC28" s="360">
        <v>1</v>
      </c>
      <c r="AD28" s="188" t="str">
        <f>IF(VLOOKUP(A28,Para1!$B$67:$E$72,2,FALSE)="3.",VLOOKUP(A28,Para1!$B$67:$E$72,3,FALSE),"")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0.17500000000000002</v>
      </c>
    </row>
    <row r="29" spans="1:34" s="50" customFormat="1" ht="16.5" customHeight="1">
      <c r="A29" s="112" t="s">
        <v>15</v>
      </c>
      <c r="B29" s="303" t="str">
        <f>IF(B28=Para1!$F$153,Para1!$F$107,IF(B28=Para1!$F$107,Para1!$F$148,IF(B28=Para1!$F$148,Para1!$F$109,IF(B28=Para1!$F$109,Para1!$F$118,IF(B28=Para1!$F$118,Para1!$F$173,IF(B28=Para1!$F$173,Para1!$F$176,Para1!$F$153))))))</f>
        <v>Sa</v>
      </c>
      <c r="C29" s="305"/>
      <c r="D29" s="359"/>
      <c r="E29" s="355"/>
      <c r="F29" s="355"/>
      <c r="G29" s="357"/>
      <c r="H29" s="359"/>
      <c r="I29" s="355"/>
      <c r="J29" s="355"/>
      <c r="K29" s="357"/>
      <c r="L29" s="111">
        <f t="shared" si="1"/>
        <v>0</v>
      </c>
      <c r="M29" s="141">
        <f t="shared" si="2"/>
        <v>0</v>
      </c>
      <c r="N29" s="45">
        <f t="shared" si="5"/>
        <v>-15.749999999999998</v>
      </c>
      <c r="O29" s="193"/>
      <c r="P29" s="359"/>
      <c r="Q29" s="357"/>
      <c r="R29" s="356"/>
      <c r="S29" s="357"/>
      <c r="T29" s="357"/>
      <c r="U29" s="370"/>
      <c r="V29" s="198"/>
      <c r="W29" s="373"/>
      <c r="X29" s="599"/>
      <c r="Y29" s="200"/>
      <c r="Z29" s="69"/>
      <c r="AA29" s="128"/>
      <c r="AB29" s="360">
        <f>Februar!AB51</f>
        <v>0</v>
      </c>
      <c r="AC29" s="360">
        <f>Februar!AC51</f>
        <v>0</v>
      </c>
      <c r="AD29" s="188" t="e">
        <f>IF(VLOOKUP(A29,Para1!$B$67:$E$72,2,FALSE)="3.",VLOOKUP(A29,Para1!$B$67:$E$72,3,FALSE),"")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v>
      </c>
    </row>
    <row r="30" spans="1:34" s="50" customFormat="1" ht="16.5" customHeight="1">
      <c r="A30" s="112" t="s">
        <v>17</v>
      </c>
      <c r="B30" s="303" t="str">
        <f>IF(B29=Para1!$F$153,Para1!$F$107,IF(B29=Para1!$F$107,Para1!$F$148,IF(B29=Para1!$F$148,Para1!$F$109,IF(B29=Para1!$F$109,Para1!$F$118,IF(B29=Para1!$F$118,Para1!$F$173,IF(B29=Para1!$F$173,Para1!$F$176,Para1!$F$153))))))</f>
        <v>So</v>
      </c>
      <c r="C30" s="305"/>
      <c r="D30" s="359"/>
      <c r="E30" s="355"/>
      <c r="F30" s="355"/>
      <c r="G30" s="357"/>
      <c r="H30" s="359"/>
      <c r="I30" s="355"/>
      <c r="J30" s="355"/>
      <c r="K30" s="357"/>
      <c r="L30" s="111">
        <f>SUM((G30-D30),(K30-H30))-SUM((F30-E30),(J30-I30))</f>
        <v>0</v>
      </c>
      <c r="M30" s="141">
        <f t="shared" si="2"/>
        <v>0</v>
      </c>
      <c r="N30" s="45">
        <f t="shared" si="5"/>
        <v>-15.749999999999998</v>
      </c>
      <c r="O30" s="193"/>
      <c r="P30" s="359"/>
      <c r="Q30" s="357"/>
      <c r="R30" s="356"/>
      <c r="S30" s="357"/>
      <c r="T30" s="357"/>
      <c r="U30" s="370"/>
      <c r="V30" s="198"/>
      <c r="W30" s="373"/>
      <c r="X30" s="599"/>
      <c r="Y30" s="200"/>
      <c r="Z30" s="69"/>
      <c r="AA30" s="128"/>
      <c r="AB30" s="360">
        <v>0</v>
      </c>
      <c r="AC30" s="360">
        <v>0</v>
      </c>
      <c r="AD30" s="188" t="e">
        <f>IF(VLOOKUP(A30,Para1!$B$67:$E$72,2,FALSE)="3.",VLOOKUP(A30,Para1!$B$67:$E$72,3,FALSE),"")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v>
      </c>
    </row>
    <row r="31" spans="1:34" ht="16.5" customHeight="1">
      <c r="A31" s="112" t="s">
        <v>19</v>
      </c>
      <c r="B31" s="303" t="str">
        <f>IF(B30=Para1!$F$153,Para1!$F$107,IF(B30=Para1!$F$107,Para1!$F$148,IF(B30=Para1!$F$148,Para1!$F$109,IF(B30=Para1!$F$109,Para1!$F$118,IF(B30=Para1!$F$118,Para1!$F$173,IF(B30=Para1!$F$173,Para1!$F$176,Para1!$F$153))))))</f>
        <v>Mo</v>
      </c>
      <c r="C31" s="305"/>
      <c r="D31" s="359"/>
      <c r="E31" s="355"/>
      <c r="F31" s="355"/>
      <c r="G31" s="357"/>
      <c r="H31" s="359"/>
      <c r="I31" s="355"/>
      <c r="J31" s="355"/>
      <c r="K31" s="357"/>
      <c r="L31" s="111">
        <f t="shared" si="1"/>
        <v>0</v>
      </c>
      <c r="M31" s="141">
        <f t="shared" si="2"/>
        <v>0.35000000000000003</v>
      </c>
      <c r="N31" s="45">
        <f t="shared" si="5"/>
        <v>-16.099999999999998</v>
      </c>
      <c r="O31" s="193"/>
      <c r="P31" s="359"/>
      <c r="Q31" s="357"/>
      <c r="R31" s="356"/>
      <c r="S31" s="357"/>
      <c r="T31" s="357"/>
      <c r="U31" s="370"/>
      <c r="V31" s="198"/>
      <c r="W31" s="373"/>
      <c r="X31" s="599"/>
      <c r="Y31" s="200"/>
      <c r="Z31" s="69"/>
      <c r="AA31" s="128"/>
      <c r="AB31" s="360">
        <f>AB24</f>
        <v>1</v>
      </c>
      <c r="AC31" s="360">
        <f>AC24</f>
        <v>1</v>
      </c>
      <c r="AD31" s="188" t="e">
        <f>IF(VLOOKUP(A31,Para1!$B$67:$E$72,2,FALSE)="3.",VLOOKUP(A31,Para1!$B$67:$E$72,3,FALSE),"")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0.17500000000000002</v>
      </c>
    </row>
    <row r="32" spans="1:34" ht="16.5" customHeight="1">
      <c r="A32" s="112" t="s">
        <v>20</v>
      </c>
      <c r="B32" s="303" t="str">
        <f>IF(B31=Para1!$F$153,Para1!$F$107,IF(B31=Para1!$F$107,Para1!$F$148,IF(B31=Para1!$F$148,Para1!$F$109,IF(B31=Para1!$F$109,Para1!$F$118,IF(B31=Para1!$F$118,Para1!$F$173,IF(B31=Para1!$F$173,Para1!$F$176,Para1!$F$153))))))</f>
        <v>Di</v>
      </c>
      <c r="C32" s="305"/>
      <c r="D32" s="359"/>
      <c r="E32" s="355"/>
      <c r="F32" s="355"/>
      <c r="G32" s="357"/>
      <c r="H32" s="359"/>
      <c r="I32" s="355"/>
      <c r="J32" s="355"/>
      <c r="K32" s="357"/>
      <c r="L32" s="111">
        <f t="shared" si="1"/>
        <v>0</v>
      </c>
      <c r="M32" s="141">
        <f t="shared" si="2"/>
        <v>0.35000000000000003</v>
      </c>
      <c r="N32" s="45">
        <f t="shared" si="5"/>
        <v>-16.45</v>
      </c>
      <c r="O32" s="193"/>
      <c r="P32" s="359"/>
      <c r="Q32" s="357"/>
      <c r="R32" s="356"/>
      <c r="S32" s="357"/>
      <c r="T32" s="357"/>
      <c r="U32" s="370"/>
      <c r="V32" s="198"/>
      <c r="W32" s="373"/>
      <c r="X32" s="599"/>
      <c r="Y32" s="200"/>
      <c r="Z32" s="69"/>
      <c r="AA32" s="128"/>
      <c r="AB32" s="360">
        <f t="shared" ref="AB32:AC32" si="6">AB25</f>
        <v>1</v>
      </c>
      <c r="AC32" s="360">
        <f t="shared" si="6"/>
        <v>1</v>
      </c>
      <c r="AD32" s="188" t="e">
        <f>IF(VLOOKUP(A32,Para1!$B$67:$E$72,2,FALSE)="3.",VLOOKUP(A32,Para1!$B$67:$E$72,3,FALSE),"")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0.17500000000000002</v>
      </c>
    </row>
    <row r="33" spans="1:34" ht="16.5" customHeight="1">
      <c r="A33" s="112" t="s">
        <v>21</v>
      </c>
      <c r="B33" s="303" t="str">
        <f>IF(B32=Para1!$F$153,Para1!$F$107,IF(B32=Para1!$F$107,Para1!$F$148,IF(B32=Para1!$F$148,Para1!$F$109,IF(B32=Para1!$F$109,Para1!$F$118,IF(B32=Para1!$F$118,Para1!$F$173,IF(B32=Para1!$F$173,Para1!$F$176,Para1!$F$153))))))</f>
        <v>Mi</v>
      </c>
      <c r="C33" s="305"/>
      <c r="D33" s="359"/>
      <c r="E33" s="355"/>
      <c r="F33" s="355"/>
      <c r="G33" s="357"/>
      <c r="H33" s="359"/>
      <c r="I33" s="355"/>
      <c r="J33" s="355"/>
      <c r="K33" s="357"/>
      <c r="L33" s="111">
        <f t="shared" si="1"/>
        <v>0</v>
      </c>
      <c r="M33" s="141">
        <f t="shared" si="2"/>
        <v>0.35000000000000003</v>
      </c>
      <c r="N33" s="45">
        <f t="shared" si="5"/>
        <v>-16.8</v>
      </c>
      <c r="O33" s="192"/>
      <c r="P33" s="359"/>
      <c r="Q33" s="357"/>
      <c r="R33" s="356"/>
      <c r="S33" s="357"/>
      <c r="T33" s="357"/>
      <c r="U33" s="370"/>
      <c r="V33" s="198"/>
      <c r="W33" s="373"/>
      <c r="X33" s="599"/>
      <c r="Y33" s="200"/>
      <c r="Z33" s="69"/>
      <c r="AA33" s="128"/>
      <c r="AB33" s="360">
        <f t="shared" ref="AB33:AC33" si="7">AB26</f>
        <v>1</v>
      </c>
      <c r="AC33" s="360">
        <f t="shared" si="7"/>
        <v>1</v>
      </c>
      <c r="AD33" s="188" t="e">
        <f>IF(VLOOKUP(A33,Para1!$B$67:$E$72,2,FALSE)="3.",VLOOKUP(A33,Para1!$B$67:$E$72,3,FALSE),"")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0.17500000000000002</v>
      </c>
    </row>
    <row r="34" spans="1:34" ht="16.5" customHeight="1">
      <c r="A34" s="112" t="s">
        <v>22</v>
      </c>
      <c r="B34" s="303" t="str">
        <f>IF(B33=Para1!$F$153,Para1!$F$107,IF(B33=Para1!$F$107,Para1!$F$148,IF(B33=Para1!$F$148,Para1!$F$109,IF(B33=Para1!$F$109,Para1!$F$118,IF(B33=Para1!$F$118,Para1!$F$173,IF(B33=Para1!$F$173,Para1!$F$176,Para1!$F$153))))))</f>
        <v>Do</v>
      </c>
      <c r="C34" s="305"/>
      <c r="D34" s="359"/>
      <c r="E34" s="355"/>
      <c r="F34" s="355"/>
      <c r="G34" s="357"/>
      <c r="H34" s="359"/>
      <c r="I34" s="355"/>
      <c r="J34" s="355"/>
      <c r="K34" s="357"/>
      <c r="L34" s="111">
        <f t="shared" si="1"/>
        <v>0</v>
      </c>
      <c r="M34" s="141">
        <f t="shared" si="2"/>
        <v>0.35000000000000003</v>
      </c>
      <c r="N34" s="45">
        <f t="shared" si="5"/>
        <v>-17.150000000000002</v>
      </c>
      <c r="O34" s="192"/>
      <c r="P34" s="359"/>
      <c r="Q34" s="357"/>
      <c r="R34" s="356"/>
      <c r="S34" s="357"/>
      <c r="T34" s="357"/>
      <c r="U34" s="370"/>
      <c r="V34" s="198"/>
      <c r="W34" s="374"/>
      <c r="X34" s="599"/>
      <c r="Y34" s="200"/>
      <c r="Z34" s="69"/>
      <c r="AA34" s="128"/>
      <c r="AB34" s="360">
        <f t="shared" ref="AB34:AC34" si="8">AB27</f>
        <v>1</v>
      </c>
      <c r="AC34" s="360">
        <f t="shared" si="8"/>
        <v>1</v>
      </c>
      <c r="AD34" s="188" t="e">
        <f>IF(VLOOKUP(A34,Para1!$B$67:$E$72,2,FALSE)="3.",VLOOKUP(A34,Para1!$B$67:$E$72,3,FALSE),"")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0.17500000000000002</v>
      </c>
    </row>
    <row r="35" spans="1:34" ht="16.5" customHeight="1">
      <c r="A35" s="112" t="s">
        <v>23</v>
      </c>
      <c r="B35" s="303" t="str">
        <f>IF(B34=Para1!$F$153,Para1!$F$107,IF(B34=Para1!$F$107,Para1!$F$148,IF(B34=Para1!$F$148,Para1!$F$109,IF(B34=Para1!$F$109,Para1!$F$118,IF(B34=Para1!$F$118,Para1!$F$173,IF(B34=Para1!$F$173,Para1!$F$176,Para1!$F$153))))))</f>
        <v>Fr</v>
      </c>
      <c r="C35" s="305"/>
      <c r="D35" s="359"/>
      <c r="E35" s="355"/>
      <c r="F35" s="355"/>
      <c r="G35" s="357"/>
      <c r="H35" s="359"/>
      <c r="I35" s="355"/>
      <c r="J35" s="355"/>
      <c r="K35" s="357"/>
      <c r="L35" s="111">
        <f t="shared" si="1"/>
        <v>0</v>
      </c>
      <c r="M35" s="141">
        <f t="shared" si="2"/>
        <v>0.35000000000000003</v>
      </c>
      <c r="N35" s="45">
        <f t="shared" si="5"/>
        <v>-17.500000000000004</v>
      </c>
      <c r="O35" s="193"/>
      <c r="P35" s="359"/>
      <c r="Q35" s="357"/>
      <c r="R35" s="356"/>
      <c r="S35" s="357"/>
      <c r="T35" s="357"/>
      <c r="U35" s="370"/>
      <c r="V35" s="197"/>
      <c r="W35" s="374"/>
      <c r="X35" s="599"/>
      <c r="Y35" s="200"/>
      <c r="Z35" s="69"/>
      <c r="AA35" s="128"/>
      <c r="AB35" s="360">
        <f t="shared" ref="AB35:AC35" si="9">AB28</f>
        <v>1</v>
      </c>
      <c r="AC35" s="360">
        <f t="shared" si="9"/>
        <v>1</v>
      </c>
      <c r="AD35" s="188" t="e">
        <f>IF(VLOOKUP(A35,Para1!$B$67:$E$72,2,FALSE)="3.",VLOOKUP(A35,Para1!$B$67:$E$72,3,FALSE),"")</f>
        <v>#N/A</v>
      </c>
      <c r="AE35" s="540" t="str">
        <f>IF((AB35+AC35)=0,"",IF(ISNA(AD35),"",IF(AD35="","",VLOOKUP(AD35,Para1!$D$67:$G$79,3,FALSE)*(IF(AB35+AC35=1,0.5,1)))))</f>
        <v/>
      </c>
      <c r="AF35" s="540" t="str">
        <f>IF(AB35+AC35=0,"",IF(ISNA(AD36),"",IF(AD36="","",VLOOKUP(AD36,Para1!$D$67:$G$79,4,FALSE)*(IF(AB35+AC35=1,0.5,1)))))</f>
        <v/>
      </c>
      <c r="AG35" s="188">
        <f t="shared" si="3"/>
        <v>0</v>
      </c>
      <c r="AH35" s="187">
        <f t="shared" si="4"/>
        <v>0.17500000000000002</v>
      </c>
    </row>
    <row r="36" spans="1:34" s="50" customFormat="1" ht="16.5" customHeight="1">
      <c r="A36" s="112" t="s">
        <v>24</v>
      </c>
      <c r="B36" s="303" t="str">
        <f>IF(B35=Para1!$F$153,Para1!$F$107,IF(B35=Para1!$F$107,Para1!$F$148,IF(B35=Para1!$F$148,Para1!$F$109,IF(B35=Para1!$F$109,Para1!$F$118,IF(B35=Para1!$F$118,Para1!$F$173,IF(B35=Para1!$F$173,Para1!$F$176,Para1!$F$153))))))</f>
        <v>Sa</v>
      </c>
      <c r="C36" s="305"/>
      <c r="D36" s="359"/>
      <c r="E36" s="355"/>
      <c r="F36" s="355"/>
      <c r="G36" s="357"/>
      <c r="H36" s="359"/>
      <c r="I36" s="355"/>
      <c r="J36" s="355"/>
      <c r="K36" s="357"/>
      <c r="L36" s="111">
        <f t="shared" si="1"/>
        <v>0</v>
      </c>
      <c r="M36" s="141">
        <f t="shared" si="2"/>
        <v>0</v>
      </c>
      <c r="N36" s="45">
        <f t="shared" si="5"/>
        <v>-17.500000000000004</v>
      </c>
      <c r="O36" s="193"/>
      <c r="P36" s="359"/>
      <c r="Q36" s="357"/>
      <c r="R36" s="356"/>
      <c r="S36" s="357"/>
      <c r="T36" s="357"/>
      <c r="U36" s="370"/>
      <c r="V36" s="198"/>
      <c r="W36" s="373"/>
      <c r="X36" s="599"/>
      <c r="Y36" s="200"/>
      <c r="Z36" s="69"/>
      <c r="AA36" s="128"/>
      <c r="AB36" s="360">
        <f t="shared" ref="AB36:AC36" si="10">AB29</f>
        <v>0</v>
      </c>
      <c r="AC36" s="360">
        <f t="shared" si="10"/>
        <v>0</v>
      </c>
      <c r="AD36" s="188" t="str">
        <f>IF(VLOOKUP(A36,Para1!$B$67:$E$72,2,FALSE)="3.",VLOOKUP(A36,Para1!$B$67:$E$72,3,FALSE),"")</f>
        <v/>
      </c>
      <c r="AE36" s="540" t="str">
        <f>IF((AB36+AC36)=0,"",IF(ISNA(AD36),"",IF(AD36="","",VLOOKUP(AD36,Para1!$D$67:$G$79,3,FALSE)*(IF(AB36+AC36=1,0.5,1)))))</f>
        <v/>
      </c>
      <c r="AF36" s="540" t="str">
        <f>IF(AB36+AC36=0,"",IF(ISNA(AD37),"",IF(AD37="","",VLOOKUP(AD37,Para1!$D$67:$G$79,4,FALSE)*(IF(AB36+AC36=1,0.5,1)))))</f>
        <v/>
      </c>
      <c r="AG36" s="188">
        <f t="shared" si="3"/>
        <v>0</v>
      </c>
      <c r="AH36" s="187">
        <f t="shared" si="4"/>
        <v>0</v>
      </c>
    </row>
    <row r="37" spans="1:34" s="50" customFormat="1" ht="16.5" customHeight="1">
      <c r="A37" s="112" t="s">
        <v>25</v>
      </c>
      <c r="B37" s="303" t="str">
        <f>IF(B36=Para1!$F$153,Para1!$F$107,IF(B36=Para1!$F$107,Para1!$F$148,IF(B36=Para1!$F$148,Para1!$F$109,IF(B36=Para1!$F$109,Para1!$F$118,IF(B36=Para1!$F$118,Para1!$F$173,IF(B36=Para1!$F$173,Para1!$F$176,Para1!$F$153))))))</f>
        <v>So</v>
      </c>
      <c r="C37" s="305"/>
      <c r="D37" s="359"/>
      <c r="E37" s="355"/>
      <c r="F37" s="355"/>
      <c r="G37" s="357"/>
      <c r="H37" s="359"/>
      <c r="I37" s="355"/>
      <c r="J37" s="355"/>
      <c r="K37" s="357"/>
      <c r="L37" s="111">
        <f>SUM((G37-D37),(K37-H37))-SUM((F37-E37),(J37-I37))</f>
        <v>0</v>
      </c>
      <c r="M37" s="141">
        <f t="shared" si="2"/>
        <v>0</v>
      </c>
      <c r="N37" s="45">
        <f t="shared" si="5"/>
        <v>-17.500000000000004</v>
      </c>
      <c r="O37" s="193"/>
      <c r="P37" s="359"/>
      <c r="Q37" s="357"/>
      <c r="R37" s="356"/>
      <c r="S37" s="357"/>
      <c r="T37" s="357"/>
      <c r="U37" s="370"/>
      <c r="V37" s="198"/>
      <c r="W37" s="373"/>
      <c r="X37" s="599"/>
      <c r="Y37" s="200"/>
      <c r="Z37" s="69"/>
      <c r="AA37" s="128"/>
      <c r="AB37" s="360">
        <f t="shared" ref="AB37:AC37" si="11">AB30</f>
        <v>0</v>
      </c>
      <c r="AC37" s="360">
        <f t="shared" si="11"/>
        <v>0</v>
      </c>
      <c r="AD37" s="188" t="e">
        <f>IF(VLOOKUP(A37,Para1!$B$67:$E$72,2,FALSE)="3.",VLOOKUP(A37,Para1!$B$67:$E$72,3,FALSE),"")</f>
        <v>#N/A</v>
      </c>
      <c r="AE37" s="540" t="str">
        <f>IF((AB37+AC37)=0,"",IF(ISNA(AD37),"",IF(AD37="","",VLOOKUP(AD37,Para1!$D$67:$G$79,3,FALSE)*(IF(AB37+AC37=1,0.5,1)))))</f>
        <v/>
      </c>
      <c r="AF37" s="540" t="str">
        <f>IF(AB37+AC37=0,"",IF(ISNA(AD38),"",IF(AD38="","",VLOOKUP(AD38,Para1!$D$67:$G$79,4,FALSE)*(IF(AB37+AC37=1,0.5,1)))))</f>
        <v/>
      </c>
      <c r="AG37" s="188">
        <f t="shared" si="3"/>
        <v>0</v>
      </c>
      <c r="AH37" s="187">
        <f t="shared" si="4"/>
        <v>0</v>
      </c>
    </row>
    <row r="38" spans="1:34" ht="16.5" customHeight="1">
      <c r="A38" s="112" t="s">
        <v>26</v>
      </c>
      <c r="B38" s="303" t="str">
        <f>IF(B37=Para1!$F$153,Para1!$F$107,IF(B37=Para1!$F$107,Para1!$F$148,IF(B37=Para1!$F$148,Para1!$F$109,IF(B37=Para1!$F$109,Para1!$F$118,IF(B37=Para1!$F$118,Para1!$F$173,IF(B37=Para1!$F$173,Para1!$F$176,Para1!$F$153))))))</f>
        <v>Mo</v>
      </c>
      <c r="C38" s="305"/>
      <c r="D38" s="359"/>
      <c r="E38" s="355"/>
      <c r="F38" s="355"/>
      <c r="G38" s="357"/>
      <c r="H38" s="359"/>
      <c r="I38" s="355"/>
      <c r="J38" s="355"/>
      <c r="K38" s="357"/>
      <c r="L38" s="111">
        <f t="shared" si="1"/>
        <v>0</v>
      </c>
      <c r="M38" s="141">
        <f t="shared" si="2"/>
        <v>0.35000000000000003</v>
      </c>
      <c r="N38" s="45">
        <f t="shared" si="5"/>
        <v>-17.850000000000005</v>
      </c>
      <c r="O38" s="193"/>
      <c r="P38" s="359"/>
      <c r="Q38" s="357"/>
      <c r="R38" s="356"/>
      <c r="S38" s="357"/>
      <c r="T38" s="357"/>
      <c r="U38" s="370"/>
      <c r="V38" s="198"/>
      <c r="W38" s="373"/>
      <c r="X38" s="599"/>
      <c r="Y38" s="200"/>
      <c r="Z38" s="69"/>
      <c r="AA38" s="128"/>
      <c r="AB38" s="360">
        <f>AB31</f>
        <v>1</v>
      </c>
      <c r="AC38" s="360">
        <f>AC31</f>
        <v>1</v>
      </c>
      <c r="AD38" s="188" t="e">
        <f>IF(VLOOKUP(A38,Para1!$B$67:$E$72,2,FALSE)="3.",VLOOKUP(A38,Para1!$B$67:$E$72,3,FALSE),"")</f>
        <v>#N/A</v>
      </c>
      <c r="AE38" s="540" t="str">
        <f>IF((AB38+AC38)=0,"",IF(ISNA(AD38),"",IF(AD38="","",VLOOKUP(AD38,Para1!$D$67:$G$79,3,FALSE)*(IF(AB38+AC38=1,0.5,1)))))</f>
        <v/>
      </c>
      <c r="AF38" s="540" t="str">
        <f>IF(AB38+AC38=0,"",IF(ISNA(AD39),"",IF(AD39="","",VLOOKUP(AD39,Para1!$D$67:$G$79,4,FALSE)*(IF(AB38+AC38=1,0.5,1)))))</f>
        <v/>
      </c>
      <c r="AG38" s="188">
        <f t="shared" si="3"/>
        <v>0</v>
      </c>
      <c r="AH38" s="187">
        <f t="shared" si="4"/>
        <v>0.17500000000000002</v>
      </c>
    </row>
    <row r="39" spans="1:34" ht="16.5" customHeight="1">
      <c r="A39" s="112" t="s">
        <v>27</v>
      </c>
      <c r="B39" s="303" t="str">
        <f>IF(B38=Para1!$F$153,Para1!$F$107,IF(B38=Para1!$F$107,Para1!$F$148,IF(B38=Para1!$F$148,Para1!$F$109,IF(B38=Para1!$F$109,Para1!$F$118,IF(B38=Para1!$F$118,Para1!$F$173,IF(B38=Para1!$F$173,Para1!$F$176,Para1!$F$153))))))</f>
        <v>Di</v>
      </c>
      <c r="C39" s="305"/>
      <c r="D39" s="359"/>
      <c r="E39" s="355"/>
      <c r="F39" s="355"/>
      <c r="G39" s="357"/>
      <c r="H39" s="359"/>
      <c r="I39" s="355"/>
      <c r="J39" s="355"/>
      <c r="K39" s="357"/>
      <c r="L39" s="111">
        <f t="shared" si="1"/>
        <v>0</v>
      </c>
      <c r="M39" s="141">
        <f t="shared" si="2"/>
        <v>0.35000000000000003</v>
      </c>
      <c r="N39" s="45">
        <f t="shared" si="5"/>
        <v>-18.200000000000006</v>
      </c>
      <c r="O39" s="193"/>
      <c r="P39" s="359"/>
      <c r="Q39" s="357"/>
      <c r="R39" s="356"/>
      <c r="S39" s="357"/>
      <c r="T39" s="357"/>
      <c r="U39" s="370"/>
      <c r="V39" s="198"/>
      <c r="W39" s="373"/>
      <c r="X39" s="599"/>
      <c r="Y39" s="200"/>
      <c r="Z39" s="69"/>
      <c r="AA39" s="128"/>
      <c r="AB39" s="360">
        <f t="shared" ref="AB39:AC39" si="12">AB32</f>
        <v>1</v>
      </c>
      <c r="AC39" s="360">
        <f t="shared" si="12"/>
        <v>1</v>
      </c>
      <c r="AD39" s="188" t="e">
        <f>IF(VLOOKUP(A39,Para1!$B$67:$E$72,2,FALSE)="3.",VLOOKUP(A39,Para1!$B$67:$E$72,3,FALSE),"")</f>
        <v>#N/A</v>
      </c>
      <c r="AE39" s="540" t="str">
        <f>IF((AB39+AC39)=0,"",IF(ISNA(AD39),"",IF(AD39="","",VLOOKUP(AD39,Para1!$D$67:$G$79,3,FALSE)*(IF(AB39+AC39=1,0.5,1)))))</f>
        <v/>
      </c>
      <c r="AF39" s="540" t="str">
        <f>IF(AB39+AC39=0,"",IF(ISNA(AD40),"",IF(AD40="","",VLOOKUP(AD40,Para1!$D$67:$G$79,4,FALSE)*(IF(AB39+AC39=1,0.5,1)))))</f>
        <v/>
      </c>
      <c r="AG39" s="188">
        <f t="shared" si="3"/>
        <v>0</v>
      </c>
      <c r="AH39" s="187">
        <f t="shared" si="4"/>
        <v>0.17500000000000002</v>
      </c>
    </row>
    <row r="40" spans="1:34" ht="16.5" customHeight="1">
      <c r="A40" s="112" t="s">
        <v>28</v>
      </c>
      <c r="B40" s="303" t="str">
        <f>IF(B39=Para1!$F$153,Para1!$F$107,IF(B39=Para1!$F$107,Para1!$F$148,IF(B39=Para1!$F$148,Para1!$F$109,IF(B39=Para1!$F$109,Para1!$F$118,IF(B39=Para1!$F$118,Para1!$F$173,IF(B39=Para1!$F$173,Para1!$F$176,Para1!$F$153))))))</f>
        <v>Mi</v>
      </c>
      <c r="C40" s="305"/>
      <c r="D40" s="359"/>
      <c r="E40" s="355"/>
      <c r="F40" s="355"/>
      <c r="G40" s="357"/>
      <c r="H40" s="359"/>
      <c r="I40" s="355"/>
      <c r="J40" s="355"/>
      <c r="K40" s="357"/>
      <c r="L40" s="111">
        <f t="shared" si="1"/>
        <v>0</v>
      </c>
      <c r="M40" s="141">
        <f t="shared" si="2"/>
        <v>0.35000000000000003</v>
      </c>
      <c r="N40" s="45">
        <f t="shared" si="5"/>
        <v>-18.550000000000008</v>
      </c>
      <c r="O40" s="192"/>
      <c r="P40" s="359"/>
      <c r="Q40" s="357"/>
      <c r="R40" s="356"/>
      <c r="S40" s="357"/>
      <c r="T40" s="357"/>
      <c r="U40" s="370"/>
      <c r="V40" s="198"/>
      <c r="W40" s="373"/>
      <c r="X40" s="599"/>
      <c r="Y40" s="200"/>
      <c r="Z40" s="69"/>
      <c r="AA40" s="128"/>
      <c r="AB40" s="360">
        <f t="shared" ref="AB40:AC40" si="13">AB33</f>
        <v>1</v>
      </c>
      <c r="AC40" s="360">
        <f t="shared" si="13"/>
        <v>1</v>
      </c>
      <c r="AD40" s="188" t="e">
        <f>IF(VLOOKUP(A40,Para1!$B$67:$E$72,2,FALSE)="3.",VLOOKUP(A40,Para1!$B$67:$E$72,3,FALSE),"")</f>
        <v>#N/A</v>
      </c>
      <c r="AE40" s="540" t="str">
        <f>IF((AB40+AC40)=0,"",IF(ISNA(AD40),"",IF(AD40="","",VLOOKUP(AD40,Para1!$D$67:$G$79,3,FALSE)*(IF(AB40+AC40=1,0.5,1)))))</f>
        <v/>
      </c>
      <c r="AF40" s="540" t="str">
        <f>IF(AB40+AC40=0,"",IF(ISNA(AD41),"",IF(AD41="","",VLOOKUP(AD41,Para1!$D$67:$G$79,4,FALSE)*(IF(AB40+AC40=1,0.5,1)))))</f>
        <v/>
      </c>
      <c r="AG40" s="188">
        <f t="shared" si="3"/>
        <v>0</v>
      </c>
      <c r="AH40" s="187">
        <f t="shared" si="4"/>
        <v>0.17500000000000002</v>
      </c>
    </row>
    <row r="41" spans="1:34" ht="16.5" customHeight="1">
      <c r="A41" s="112" t="s">
        <v>29</v>
      </c>
      <c r="B41" s="303" t="str">
        <f>IF(B40=Para1!$F$153,Para1!$F$107,IF(B40=Para1!$F$107,Para1!$F$148,IF(B40=Para1!$F$148,Para1!$F$109,IF(B40=Para1!$F$109,Para1!$F$118,IF(B40=Para1!$F$118,Para1!$F$173,IF(B40=Para1!$F$173,Para1!$F$176,Para1!$F$153))))))</f>
        <v>Do</v>
      </c>
      <c r="C41" s="305"/>
      <c r="D41" s="359"/>
      <c r="E41" s="355"/>
      <c r="F41" s="355"/>
      <c r="G41" s="357"/>
      <c r="H41" s="359"/>
      <c r="I41" s="355"/>
      <c r="J41" s="355"/>
      <c r="K41" s="357"/>
      <c r="L41" s="111">
        <f t="shared" si="1"/>
        <v>0</v>
      </c>
      <c r="M41" s="141">
        <f t="shared" si="2"/>
        <v>0.35000000000000003</v>
      </c>
      <c r="N41" s="45">
        <f t="shared" si="5"/>
        <v>-18.900000000000009</v>
      </c>
      <c r="O41" s="192"/>
      <c r="P41" s="359"/>
      <c r="Q41" s="357"/>
      <c r="R41" s="356"/>
      <c r="S41" s="357"/>
      <c r="T41" s="357"/>
      <c r="U41" s="370"/>
      <c r="V41" s="198"/>
      <c r="W41" s="374"/>
      <c r="X41" s="599"/>
      <c r="Y41" s="200"/>
      <c r="Z41" s="69"/>
      <c r="AA41" s="128"/>
      <c r="AB41" s="360">
        <f t="shared" ref="AB41:AC41" si="14">AB34</f>
        <v>1</v>
      </c>
      <c r="AC41" s="360">
        <f t="shared" si="14"/>
        <v>1</v>
      </c>
      <c r="AD41" s="188" t="e">
        <f>IF(VLOOKUP(A41,Para1!$B$67:$E$72,2,FALSE)="3.",VLOOKUP(A41,Para1!$B$67:$E$72,3,FALSE),"")</f>
        <v>#N/A</v>
      </c>
      <c r="AE41" s="540" t="str">
        <f>IF((AB41+AC41)=0,"",IF(ISNA(AD41),"",IF(AD41="","",VLOOKUP(AD41,Para1!$D$67:$G$79,3,FALSE)*(IF(AB41+AC41=1,0.5,1)))))</f>
        <v/>
      </c>
      <c r="AF41" s="540" t="str">
        <f>IF(AB41+AC41=0,"",IF(ISNA(AD42),"",IF(AD42="","",VLOOKUP(AD42,Para1!$D$67:$G$79,4,FALSE)*(IF(AB41+AC41=1,0.5,1)))))</f>
        <v/>
      </c>
      <c r="AG41" s="188">
        <f t="shared" si="3"/>
        <v>0</v>
      </c>
      <c r="AH41" s="187">
        <f t="shared" si="4"/>
        <v>0.17500000000000002</v>
      </c>
    </row>
    <row r="42" spans="1:34" ht="16.5" customHeight="1">
      <c r="A42" s="112" t="s">
        <v>30</v>
      </c>
      <c r="B42" s="303" t="str">
        <f>IF(B41=Para1!$F$153,Para1!$F$107,IF(B41=Para1!$F$107,Para1!$F$148,IF(B41=Para1!$F$148,Para1!$F$109,IF(B41=Para1!$F$109,Para1!$F$118,IF(B41=Para1!$F$118,Para1!$F$173,IF(B41=Para1!$F$173,Para1!$F$176,Para1!$F$153))))))</f>
        <v>Fr</v>
      </c>
      <c r="C42" s="305"/>
      <c r="D42" s="359"/>
      <c r="E42" s="355"/>
      <c r="F42" s="355"/>
      <c r="G42" s="357"/>
      <c r="H42" s="359"/>
      <c r="I42" s="355"/>
      <c r="J42" s="355"/>
      <c r="K42" s="357"/>
      <c r="L42" s="111">
        <f t="shared" si="1"/>
        <v>0</v>
      </c>
      <c r="M42" s="141">
        <f t="shared" si="2"/>
        <v>0.35000000000000003</v>
      </c>
      <c r="N42" s="45">
        <f t="shared" si="5"/>
        <v>-19.250000000000011</v>
      </c>
      <c r="O42" s="193"/>
      <c r="P42" s="359"/>
      <c r="Q42" s="357"/>
      <c r="R42" s="356"/>
      <c r="S42" s="357"/>
      <c r="T42" s="357"/>
      <c r="U42" s="370"/>
      <c r="V42" s="197"/>
      <c r="W42" s="374"/>
      <c r="X42" s="599"/>
      <c r="Y42" s="200"/>
      <c r="Z42" s="69"/>
      <c r="AA42" s="128"/>
      <c r="AB42" s="360">
        <f t="shared" ref="AB42:AC42" si="15">AB35</f>
        <v>1</v>
      </c>
      <c r="AC42" s="360">
        <f t="shared" si="15"/>
        <v>1</v>
      </c>
      <c r="AD42" s="188" t="e">
        <f>IF(VLOOKUP(A42,Para1!$B$67:$E$72,2,FALSE)="3.",VLOOKUP(A42,Para1!$B$67:$E$72,3,FALSE),"")</f>
        <v>#N/A</v>
      </c>
      <c r="AE42" s="540" t="str">
        <f>IF((AB42+AC42)=0,"",IF(ISNA(AD42),"",IF(AD42="","",VLOOKUP(AD42,Para1!$D$67:$G$79,3,FALSE)*(IF(AB42+AC42=1,0.5,1)))))</f>
        <v/>
      </c>
      <c r="AF42" s="540" t="str">
        <f>IF(AB42+AC42=0,"",IF(ISNA(AD43),"",IF(AD43="","",VLOOKUP(AD43,Para1!$D$67:$G$79,4,FALSE)*(IF(AB42+AC42=1,0.5,1)))))</f>
        <v/>
      </c>
      <c r="AG42" s="188">
        <f t="shared" si="3"/>
        <v>0</v>
      </c>
      <c r="AH42" s="187">
        <f t="shared" si="4"/>
        <v>0.17500000000000002</v>
      </c>
    </row>
    <row r="43" spans="1:34" s="50" customFormat="1" ht="16.5" customHeight="1">
      <c r="A43" s="112" t="s">
        <v>31</v>
      </c>
      <c r="B43" s="303" t="str">
        <f>IF(B42=Para1!$F$153,Para1!$F$107,IF(B42=Para1!$F$107,Para1!$F$148,IF(B42=Para1!$F$148,Para1!$F$109,IF(B42=Para1!$F$109,Para1!$F$118,IF(B42=Para1!$F$118,Para1!$F$173,IF(B42=Para1!$F$173,Para1!$F$176,Para1!$F$153))))))</f>
        <v>Sa</v>
      </c>
      <c r="C43" s="305"/>
      <c r="D43" s="359"/>
      <c r="E43" s="355"/>
      <c r="F43" s="355"/>
      <c r="G43" s="357"/>
      <c r="H43" s="359"/>
      <c r="I43" s="355"/>
      <c r="J43" s="355"/>
      <c r="K43" s="357"/>
      <c r="L43" s="111">
        <f t="shared" si="1"/>
        <v>0</v>
      </c>
      <c r="M43" s="141">
        <f t="shared" si="2"/>
        <v>0</v>
      </c>
      <c r="N43" s="45">
        <f t="shared" si="5"/>
        <v>-19.250000000000011</v>
      </c>
      <c r="O43" s="193"/>
      <c r="P43" s="359"/>
      <c r="Q43" s="357"/>
      <c r="R43" s="356"/>
      <c r="S43" s="357"/>
      <c r="T43" s="357"/>
      <c r="U43" s="370"/>
      <c r="V43" s="198"/>
      <c r="W43" s="373"/>
      <c r="X43" s="599"/>
      <c r="Y43" s="200"/>
      <c r="Z43" s="69"/>
      <c r="AA43" s="128"/>
      <c r="AB43" s="360">
        <f t="shared" ref="AB43:AC43" si="16">AB36</f>
        <v>0</v>
      </c>
      <c r="AC43" s="360">
        <f t="shared" si="16"/>
        <v>0</v>
      </c>
      <c r="AD43" s="188" t="e">
        <f>IF(VLOOKUP(A43,Para1!$B$67:$E$72,2,FALSE)="3.",VLOOKUP(A43,Para1!$B$67:$E$72,3,FALSE),"")</f>
        <v>#N/A</v>
      </c>
      <c r="AE43" s="540" t="str">
        <f>IF((AB43+AC43)=0,"",IF(ISNA(AD43),"",IF(AD43="","",VLOOKUP(AD43,Para1!$D$67:$G$79,3,FALSE)*(IF(AB43+AC43=1,0.5,1)))))</f>
        <v/>
      </c>
      <c r="AF43" s="540" t="str">
        <f>IF(AB43+AC43=0,"",IF(ISNA(AD44),"",IF(AD44="","",VLOOKUP(AD44,Para1!$D$67:$G$79,4,FALSE)*(IF(AB43+AC43=1,0.5,1)))))</f>
        <v/>
      </c>
      <c r="AG43" s="188">
        <f t="shared" si="3"/>
        <v>0</v>
      </c>
      <c r="AH43" s="187">
        <f t="shared" si="4"/>
        <v>0</v>
      </c>
    </row>
    <row r="44" spans="1:34" s="50" customFormat="1" ht="16.5" customHeight="1">
      <c r="A44" s="112" t="s">
        <v>32</v>
      </c>
      <c r="B44" s="303" t="str">
        <f>IF(B43=Para1!$F$153,Para1!$F$107,IF(B43=Para1!$F$107,Para1!$F$148,IF(B43=Para1!$F$148,Para1!$F$109,IF(B43=Para1!$F$109,Para1!$F$118,IF(B43=Para1!$F$118,Para1!$F$173,IF(B43=Para1!$F$173,Para1!$F$176,Para1!$F$153))))))</f>
        <v>So</v>
      </c>
      <c r="C44" s="305"/>
      <c r="D44" s="359"/>
      <c r="E44" s="355"/>
      <c r="F44" s="355"/>
      <c r="G44" s="357"/>
      <c r="H44" s="359"/>
      <c r="I44" s="355"/>
      <c r="J44" s="355"/>
      <c r="K44" s="357"/>
      <c r="L44" s="111">
        <f>SUM((G44-D44),(K44-H44))-SUM((F44-E44),(J44-I44))</f>
        <v>0</v>
      </c>
      <c r="M44" s="141">
        <f t="shared" si="2"/>
        <v>0</v>
      </c>
      <c r="N44" s="45">
        <f t="shared" si="5"/>
        <v>-19.250000000000011</v>
      </c>
      <c r="O44" s="193"/>
      <c r="P44" s="359"/>
      <c r="Q44" s="357"/>
      <c r="R44" s="356"/>
      <c r="S44" s="357"/>
      <c r="T44" s="357"/>
      <c r="U44" s="370"/>
      <c r="V44" s="198"/>
      <c r="W44" s="373"/>
      <c r="X44" s="599"/>
      <c r="Y44" s="200"/>
      <c r="Z44" s="69"/>
      <c r="AA44" s="128"/>
      <c r="AB44" s="360">
        <f t="shared" ref="AB44:AC44" si="17">AB37</f>
        <v>0</v>
      </c>
      <c r="AC44" s="360">
        <f t="shared" si="17"/>
        <v>0</v>
      </c>
      <c r="AD44" s="188" t="e">
        <f>IF(VLOOKUP(A44,Para1!$B$67:$E$72,2,FALSE)="3.",VLOOKUP(A44,Para1!$B$67:$E$72,3,FALSE),"")</f>
        <v>#N/A</v>
      </c>
      <c r="AE44" s="540" t="str">
        <f>IF((AB44+AC44)=0,"",IF(ISNA(AD44),"",IF(AD44="","",VLOOKUP(AD44,Para1!$D$67:$G$79,3,FALSE)*(IF(AB44+AC44=1,0.5,1)))))</f>
        <v/>
      </c>
      <c r="AF44" s="540" t="str">
        <f>IF(AB44+AC44=0,"",IF(ISNA(AD45),"",IF(AD45="","",VLOOKUP(AD45,Para1!$D$67:$G$79,4,FALSE)*(IF(AB44+AC44=1,0.5,1)))))</f>
        <v/>
      </c>
      <c r="AG44" s="188">
        <f t="shared" si="3"/>
        <v>0</v>
      </c>
      <c r="AH44" s="187">
        <f t="shared" si="4"/>
        <v>0</v>
      </c>
    </row>
    <row r="45" spans="1:34" ht="16.5" customHeight="1">
      <c r="A45" s="112" t="s">
        <v>33</v>
      </c>
      <c r="B45" s="303" t="str">
        <f>IF(B44=Para1!$F$153,Para1!$F$107,IF(B44=Para1!$F$107,Para1!$F$148,IF(B44=Para1!$F$148,Para1!$F$109,IF(B44=Para1!$F$109,Para1!$F$118,IF(B44=Para1!$F$118,Para1!$F$173,IF(B44=Para1!$F$173,Para1!$F$176,Para1!$F$153))))))</f>
        <v>Mo</v>
      </c>
      <c r="C45" s="305"/>
      <c r="D45" s="359"/>
      <c r="E45" s="355"/>
      <c r="F45" s="355"/>
      <c r="G45" s="357"/>
      <c r="H45" s="359"/>
      <c r="I45" s="355"/>
      <c r="J45" s="355"/>
      <c r="K45" s="357"/>
      <c r="L45" s="111">
        <f t="shared" si="1"/>
        <v>0</v>
      </c>
      <c r="M45" s="141">
        <f t="shared" si="2"/>
        <v>0.35000000000000003</v>
      </c>
      <c r="N45" s="45">
        <f t="shared" si="5"/>
        <v>-19.600000000000012</v>
      </c>
      <c r="O45" s="193"/>
      <c r="P45" s="359"/>
      <c r="Q45" s="357"/>
      <c r="R45" s="356"/>
      <c r="S45" s="357"/>
      <c r="T45" s="357"/>
      <c r="U45" s="370"/>
      <c r="V45" s="198"/>
      <c r="W45" s="373"/>
      <c r="X45" s="599"/>
      <c r="Y45" s="200"/>
      <c r="Z45" s="69"/>
      <c r="AA45" s="128"/>
      <c r="AB45" s="360">
        <f>AB38</f>
        <v>1</v>
      </c>
      <c r="AC45" s="360">
        <f>AC38</f>
        <v>1</v>
      </c>
      <c r="AD45" s="188" t="e">
        <f>IF(VLOOKUP(A45,Para1!$B$67:$E$72,2,FALSE)="3.",VLOOKUP(A45,Para1!$B$67:$E$72,3,FALSE),"")</f>
        <v>#N/A</v>
      </c>
      <c r="AE45" s="540" t="str">
        <f>IF((AB45+AC45)=0,"",IF(ISNA(AD45),"",IF(AD45="","",VLOOKUP(AD45,Para1!$D$67:$G$79,3,FALSE)*(IF(AB45+AC45=1,0.5,1)))))</f>
        <v/>
      </c>
      <c r="AF45" s="540" t="str">
        <f>IF(AB45+AC45=0,"",IF(ISNA(AD46),"",IF(AD46="","",VLOOKUP(AD46,Para1!$D$67:$G$79,4,FALSE)*(IF(AB45+AC45=1,0.5,1)))))</f>
        <v/>
      </c>
      <c r="AG45" s="188">
        <f t="shared" si="3"/>
        <v>0</v>
      </c>
      <c r="AH45" s="187">
        <f t="shared" si="4"/>
        <v>0.17500000000000002</v>
      </c>
    </row>
    <row r="46" spans="1:34" ht="16.5" customHeight="1">
      <c r="A46" s="112" t="s">
        <v>34</v>
      </c>
      <c r="B46" s="303" t="str">
        <f>IF(B45=Para1!$F$153,Para1!$F$107,IF(B45=Para1!$F$107,Para1!$F$148,IF(B45=Para1!$F$148,Para1!$F$109,IF(B45=Para1!$F$109,Para1!$F$118,IF(B45=Para1!$F$118,Para1!$F$173,IF(B45=Para1!$F$173,Para1!$F$176,Para1!$F$153))))))</f>
        <v>Di</v>
      </c>
      <c r="C46" s="305"/>
      <c r="D46" s="359"/>
      <c r="E46" s="355"/>
      <c r="F46" s="355"/>
      <c r="G46" s="357"/>
      <c r="H46" s="359"/>
      <c r="I46" s="355"/>
      <c r="J46" s="355"/>
      <c r="K46" s="357"/>
      <c r="L46" s="111">
        <f t="shared" si="1"/>
        <v>0</v>
      </c>
      <c r="M46" s="141">
        <f t="shared" si="2"/>
        <v>0.35000000000000003</v>
      </c>
      <c r="N46" s="45">
        <f t="shared" si="5"/>
        <v>-19.950000000000014</v>
      </c>
      <c r="O46" s="193"/>
      <c r="P46" s="359"/>
      <c r="Q46" s="357"/>
      <c r="R46" s="356"/>
      <c r="S46" s="357"/>
      <c r="T46" s="357"/>
      <c r="U46" s="370"/>
      <c r="V46" s="198"/>
      <c r="W46" s="373"/>
      <c r="X46" s="599"/>
      <c r="Y46" s="200"/>
      <c r="Z46" s="69"/>
      <c r="AA46" s="128"/>
      <c r="AB46" s="360">
        <f t="shared" ref="AB46:AC46" si="18">AB39</f>
        <v>1</v>
      </c>
      <c r="AC46" s="360">
        <f t="shared" si="18"/>
        <v>1</v>
      </c>
      <c r="AD46" s="188" t="str">
        <f>IF(VLOOKUP(A46,Para1!$B$67:$E$72,2,FALSE)="3.",VLOOKUP(A46,Para1!$B$67:$E$72,3,FALSE),"")</f>
        <v/>
      </c>
      <c r="AE46" s="540" t="str">
        <f>IF((AB46+AC46)=0,"",IF(ISNA(AD46),"",IF(AD46="","",VLOOKUP(AD46,Para1!$D$67:$G$79,3,FALSE)*(IF(AB46+AC46=1,0.5,1)))))</f>
        <v/>
      </c>
      <c r="AF46" s="540" t="str">
        <f>IF(AB46+AC46=0,"",IF(ISNA(AD47),"",IF(AD47="","",VLOOKUP(AD47,Para1!$D$67:$G$79,4,FALSE)*(IF(AB46+AC46=1,0.5,1)))))</f>
        <v/>
      </c>
      <c r="AG46" s="188">
        <f t="shared" si="3"/>
        <v>0</v>
      </c>
      <c r="AH46" s="187">
        <f t="shared" si="4"/>
        <v>0.17500000000000002</v>
      </c>
    </row>
    <row r="47" spans="1:34" ht="16.5" customHeight="1">
      <c r="A47" s="112" t="s">
        <v>35</v>
      </c>
      <c r="B47" s="303" t="str">
        <f>IF(B46=Para1!$F$153,Para1!$F$107,IF(B46=Para1!$F$107,Para1!$F$148,IF(B46=Para1!$F$148,Para1!$F$109,IF(B46=Para1!$F$109,Para1!$F$118,IF(B46=Para1!$F$118,Para1!$F$173,IF(B46=Para1!$F$173,Para1!$F$176,Para1!$F$153))))))</f>
        <v>Mi</v>
      </c>
      <c r="C47" s="305"/>
      <c r="D47" s="359"/>
      <c r="E47" s="355"/>
      <c r="F47" s="355"/>
      <c r="G47" s="357"/>
      <c r="H47" s="359"/>
      <c r="I47" s="355"/>
      <c r="J47" s="355"/>
      <c r="K47" s="357"/>
      <c r="L47" s="111">
        <f t="shared" si="1"/>
        <v>0</v>
      </c>
      <c r="M47" s="141">
        <f t="shared" si="2"/>
        <v>0.35000000000000003</v>
      </c>
      <c r="N47" s="45">
        <f t="shared" si="5"/>
        <v>-20.300000000000015</v>
      </c>
      <c r="O47" s="192"/>
      <c r="P47" s="359"/>
      <c r="Q47" s="357"/>
      <c r="R47" s="356"/>
      <c r="S47" s="357"/>
      <c r="T47" s="357"/>
      <c r="U47" s="370"/>
      <c r="V47" s="198"/>
      <c r="W47" s="373"/>
      <c r="X47" s="599"/>
      <c r="Y47" s="200"/>
      <c r="Z47" s="69"/>
      <c r="AA47" s="128"/>
      <c r="AB47" s="360">
        <f t="shared" ref="AB47:AC47" si="19">AB40</f>
        <v>1</v>
      </c>
      <c r="AC47" s="360">
        <f t="shared" si="19"/>
        <v>1</v>
      </c>
      <c r="AD47" s="188" t="str">
        <f>IF(VLOOKUP(A47,Para1!$B$67:$E$72,2,FALSE)="3.",VLOOKUP(A47,Para1!$B$67:$E$72,3,FALSE),"")</f>
        <v/>
      </c>
      <c r="AE47" s="540" t="str">
        <f>IF((AB47+AC47)=0,"",IF(ISNA(AD47),"",IF(AD47="","",VLOOKUP(AD47,Para1!$D$67:$G$79,3,FALSE)*(IF(AB47+AC47=1,0.5,1)))))</f>
        <v/>
      </c>
      <c r="AF47" s="540" t="str">
        <f>IF(AB47+AC47=0,"",IF(ISNA(AD48),"",IF(AD48="","",VLOOKUP(AD48,Para1!$D$67:$G$79,4,FALSE)*(IF(AB47+AC47=1,0.5,1)))))</f>
        <v/>
      </c>
      <c r="AG47" s="188">
        <f t="shared" si="3"/>
        <v>0</v>
      </c>
      <c r="AH47" s="187">
        <f t="shared" si="4"/>
        <v>0.17500000000000002</v>
      </c>
    </row>
    <row r="48" spans="1:34" ht="16.5" customHeight="1">
      <c r="A48" s="112" t="s">
        <v>36</v>
      </c>
      <c r="B48" s="303" t="str">
        <f>IF(B47=Para1!$F$153,Para1!$F$107,IF(B47=Para1!$F$107,Para1!$F$148,IF(B47=Para1!$F$148,Para1!$F$109,IF(B47=Para1!$F$109,Para1!$F$118,IF(B47=Para1!$F$118,Para1!$F$173,IF(B47=Para1!$F$173,Para1!$F$176,Para1!$F$153))))))</f>
        <v>Do</v>
      </c>
      <c r="C48" s="305"/>
      <c r="D48" s="359"/>
      <c r="E48" s="355"/>
      <c r="F48" s="355"/>
      <c r="G48" s="357"/>
      <c r="H48" s="359"/>
      <c r="I48" s="355"/>
      <c r="J48" s="355"/>
      <c r="K48" s="357"/>
      <c r="L48" s="111">
        <f t="shared" si="1"/>
        <v>0</v>
      </c>
      <c r="M48" s="141">
        <f t="shared" si="2"/>
        <v>0.35000000000000003</v>
      </c>
      <c r="N48" s="45">
        <f t="shared" si="5"/>
        <v>-20.650000000000016</v>
      </c>
      <c r="O48" s="192"/>
      <c r="P48" s="359"/>
      <c r="Q48" s="357"/>
      <c r="R48" s="356"/>
      <c r="S48" s="357"/>
      <c r="T48" s="357"/>
      <c r="U48" s="370"/>
      <c r="V48" s="198"/>
      <c r="W48" s="374"/>
      <c r="X48" s="599"/>
      <c r="Y48" s="200"/>
      <c r="Z48" s="69"/>
      <c r="AA48" s="128"/>
      <c r="AB48" s="360">
        <f t="shared" ref="AB48:AC48" si="20">AB41</f>
        <v>1</v>
      </c>
      <c r="AC48" s="360">
        <f t="shared" si="20"/>
        <v>1</v>
      </c>
      <c r="AD48" s="188" t="e">
        <f>IF(VLOOKUP(A48,Para1!$B$67:$E$72,2,FALSE)="3.",VLOOKUP(A48,Para1!$B$67:$E$72,3,FALSE),"")</f>
        <v>#N/A</v>
      </c>
      <c r="AE48" s="540" t="str">
        <f>IF((AB48+AC48)=0,"",IF(ISNA(AD48),"",IF(AD48="","",VLOOKUP(AD48,Para1!$D$67:$G$79,3,FALSE)*(IF(AB48+AC48=1,0.5,1)))))</f>
        <v/>
      </c>
      <c r="AF48" s="540" t="str">
        <f>IF(AB48+AC48=0,"",IF(ISNA(AD49),"",IF(AD49="","",VLOOKUP(AD49,Para1!$D$67:$G$79,4,FALSE)*(IF(AB48+AC48=1,0.5,1)))))</f>
        <v/>
      </c>
      <c r="AG48" s="188">
        <f t="shared" si="3"/>
        <v>0</v>
      </c>
      <c r="AH48" s="187">
        <f t="shared" si="4"/>
        <v>0.17500000000000002</v>
      </c>
    </row>
    <row r="49" spans="1:34" ht="16.5" customHeight="1">
      <c r="A49" s="112" t="s">
        <v>37</v>
      </c>
      <c r="B49" s="303" t="str">
        <f>IF(B48=Para1!$F$153,Para1!$F$107,IF(B48=Para1!$F$107,Para1!$F$148,IF(B48=Para1!$F$148,Para1!$F$109,IF(B48=Para1!$F$109,Para1!$F$118,IF(B48=Para1!$F$118,Para1!$F$173,IF(B48=Para1!$F$173,Para1!$F$176,Para1!$F$153))))))</f>
        <v>Fr</v>
      </c>
      <c r="C49" s="305"/>
      <c r="D49" s="359"/>
      <c r="E49" s="355"/>
      <c r="F49" s="355"/>
      <c r="G49" s="357"/>
      <c r="H49" s="359"/>
      <c r="I49" s="355"/>
      <c r="J49" s="355"/>
      <c r="K49" s="357"/>
      <c r="L49" s="111">
        <f t="shared" si="1"/>
        <v>0</v>
      </c>
      <c r="M49" s="141">
        <f t="shared" si="2"/>
        <v>0.35000000000000003</v>
      </c>
      <c r="N49" s="45">
        <f t="shared" si="5"/>
        <v>-21.000000000000018</v>
      </c>
      <c r="O49" s="193"/>
      <c r="P49" s="359"/>
      <c r="Q49" s="357"/>
      <c r="R49" s="356"/>
      <c r="S49" s="357"/>
      <c r="T49" s="357"/>
      <c r="U49" s="370"/>
      <c r="V49" s="197"/>
      <c r="W49" s="374"/>
      <c r="X49" s="599"/>
      <c r="Y49" s="200"/>
      <c r="Z49" s="69"/>
      <c r="AA49" s="128"/>
      <c r="AB49" s="360">
        <f t="shared" ref="AB49:AC49" si="21">AB42</f>
        <v>1</v>
      </c>
      <c r="AC49" s="360">
        <f t="shared" si="21"/>
        <v>1</v>
      </c>
      <c r="AD49" s="188" t="e">
        <f>IF(VLOOKUP(A49,Para1!$B$67:$E$72,2,FALSE)="3.",VLOOKUP(A49,Para1!$B$67:$E$72,3,FALSE),"")</f>
        <v>#N/A</v>
      </c>
      <c r="AE49" s="540" t="str">
        <f>IF((AB49+AC49)=0,"",IF(ISNA(AD49),"",IF(AD49="","",VLOOKUP(AD49,Para1!$D$67:$G$79,3,FALSE)*(IF(AB49+AC49=1,0.5,1)))))</f>
        <v/>
      </c>
      <c r="AF49" s="540" t="str">
        <f>IF(AB49+AC49=0,"",IF(ISNA(AD50),"",IF(AD50="","",VLOOKUP(AD50,Para1!$D$67:$G$79,4,FALSE)*(IF(AB49+AC49=1,0.5,1)))))</f>
        <v/>
      </c>
      <c r="AG49" s="188">
        <f t="shared" si="3"/>
        <v>0</v>
      </c>
      <c r="AH49" s="187">
        <f t="shared" si="4"/>
        <v>0.17500000000000002</v>
      </c>
    </row>
    <row r="50" spans="1:34" s="50" customFormat="1" ht="16.5" customHeight="1">
      <c r="A50" s="112" t="s">
        <v>38</v>
      </c>
      <c r="B50" s="303" t="str">
        <f>IF(B49=Para1!$F$153,Para1!$F$107,IF(B49=Para1!$F$107,Para1!$F$148,IF(B49=Para1!$F$148,Para1!$F$109,IF(B49=Para1!$F$109,Para1!$F$118,IF(B49=Para1!$F$118,Para1!$F$173,IF(B49=Para1!$F$173,Para1!$F$176,Para1!$F$153))))))</f>
        <v>Sa</v>
      </c>
      <c r="C50" s="305"/>
      <c r="D50" s="359"/>
      <c r="E50" s="355"/>
      <c r="F50" s="355"/>
      <c r="G50" s="357"/>
      <c r="H50" s="359"/>
      <c r="I50" s="355"/>
      <c r="J50" s="355"/>
      <c r="K50" s="357"/>
      <c r="L50" s="111">
        <f t="shared" si="1"/>
        <v>0</v>
      </c>
      <c r="M50" s="141">
        <f t="shared" si="2"/>
        <v>0</v>
      </c>
      <c r="N50" s="45">
        <f t="shared" si="5"/>
        <v>-21.000000000000018</v>
      </c>
      <c r="O50" s="193"/>
      <c r="P50" s="359"/>
      <c r="Q50" s="357"/>
      <c r="R50" s="356"/>
      <c r="S50" s="357"/>
      <c r="T50" s="357"/>
      <c r="U50" s="370"/>
      <c r="V50" s="198"/>
      <c r="W50" s="373"/>
      <c r="X50" s="599"/>
      <c r="Y50" s="200"/>
      <c r="Z50" s="69"/>
      <c r="AA50" s="128"/>
      <c r="AB50" s="360">
        <f>AB43</f>
        <v>0</v>
      </c>
      <c r="AC50" s="360">
        <f t="shared" ref="AC50:AC51" si="22">AC43</f>
        <v>0</v>
      </c>
      <c r="AD50" s="188" t="e">
        <f>IF(VLOOKUP(A50,Para1!$B$67:$E$72,2,FALSE)="3.",VLOOKUP(A50,Para1!$B$67:$E$72,3,FALSE),"")</f>
        <v>#N/A</v>
      </c>
      <c r="AE50" s="540" t="str">
        <f>IF((AB50+AC50)=0,"",IF(ISNA(AD50),"",IF(AD50="","",VLOOKUP(AD50,Para1!$D$67:$G$79,3,FALSE)*(IF(AB50+AC50=1,0.5,1)))))</f>
        <v/>
      </c>
      <c r="AF50" s="540" t="str">
        <f>IF(AB50+AC50=0,"",IF(ISNA(AD51),"",IF(AD51="","",VLOOKUP(AD51,Para1!$D$67:$G$79,4,FALSE)*(IF(AB50+AC50=1,0.5,1)))))</f>
        <v/>
      </c>
      <c r="AG50" s="188">
        <f t="shared" si="3"/>
        <v>0</v>
      </c>
      <c r="AH50" s="187">
        <f t="shared" si="4"/>
        <v>0</v>
      </c>
    </row>
    <row r="51" spans="1:34" s="50" customFormat="1" ht="16.5" customHeight="1">
      <c r="A51" s="112" t="s">
        <v>39</v>
      </c>
      <c r="B51" s="303" t="str">
        <f>IF(B50=Para1!$F$153,Para1!$F$107,IF(B50=Para1!$F$107,Para1!$F$148,IF(B50=Para1!$F$148,Para1!$F$109,IF(B50=Para1!$F$109,Para1!$F$118,IF(B50=Para1!$F$118,Para1!$F$173,IF(B50=Para1!$F$173,Para1!$F$176,Para1!$F$153))))))</f>
        <v>So</v>
      </c>
      <c r="C51" s="305"/>
      <c r="D51" s="359"/>
      <c r="E51" s="355"/>
      <c r="F51" s="355"/>
      <c r="G51" s="357"/>
      <c r="H51" s="359"/>
      <c r="I51" s="355"/>
      <c r="J51" s="355"/>
      <c r="K51" s="357"/>
      <c r="L51" s="111">
        <f>SUM((G51-D51),(K51-H51))-SUM((F51-E51),(J51-I51))</f>
        <v>0</v>
      </c>
      <c r="M51" s="141">
        <f t="shared" si="2"/>
        <v>0</v>
      </c>
      <c r="N51" s="45">
        <f t="shared" si="5"/>
        <v>-21.000000000000018</v>
      </c>
      <c r="O51" s="193"/>
      <c r="P51" s="359"/>
      <c r="Q51" s="357"/>
      <c r="R51" s="356"/>
      <c r="S51" s="357"/>
      <c r="T51" s="357"/>
      <c r="U51" s="370"/>
      <c r="V51" s="198"/>
      <c r="W51" s="373"/>
      <c r="X51" s="599"/>
      <c r="Y51" s="200"/>
      <c r="Z51" s="69"/>
      <c r="AA51" s="128"/>
      <c r="AB51" s="360">
        <f>AB44</f>
        <v>0</v>
      </c>
      <c r="AC51" s="360">
        <f t="shared" si="22"/>
        <v>0</v>
      </c>
      <c r="AD51" s="188" t="e">
        <f>IF(VLOOKUP(A51,Para1!$B$67:$E$72,2,FALSE)="3.",VLOOKUP(A51,Para1!$B$67:$E$72,3,FALSE),"")</f>
        <v>#N/A</v>
      </c>
      <c r="AE51" s="540" t="str">
        <f>IF((AB51+AC51)=0,"",IF(ISNA(AD51),"",IF(AD51="","",VLOOKUP(AD51,Para1!$D$67:$G$79,3,FALSE)*(IF(AB51+AC51=1,0.5,1)))))</f>
        <v/>
      </c>
      <c r="AF51" s="540" t="str">
        <f>IF(AB51+AC51=0,"",IF(ISNA(AD52),"",IF(AD52="","",VLOOKUP(AD52,Para1!$D$67:$G$79,4,FALSE)*(IF(AB51+AC51=1,0.5,1)))))</f>
        <v/>
      </c>
      <c r="AG51" s="188">
        <f t="shared" si="3"/>
        <v>0</v>
      </c>
      <c r="AH51" s="187">
        <f t="shared" si="4"/>
        <v>0</v>
      </c>
    </row>
    <row r="52" spans="1:34" ht="16.5" customHeight="1">
      <c r="A52" s="112" t="s">
        <v>40</v>
      </c>
      <c r="B52" s="303" t="str">
        <f>IF(B51=Para1!$F$153,Para1!$F$107,IF(B51=Para1!$F$107,Para1!$F$148,IF(B51=Para1!$F$148,Para1!$F$109,IF(B51=Para1!$F$109,Para1!$F$118,IF(B51=Para1!$F$118,Para1!$F$173,IF(B51=Para1!$F$173,Para1!$F$176,Para1!$F$153))))))</f>
        <v>Mo</v>
      </c>
      <c r="C52" s="305"/>
      <c r="D52" s="359"/>
      <c r="E52" s="355"/>
      <c r="F52" s="355"/>
      <c r="G52" s="357"/>
      <c r="H52" s="359"/>
      <c r="I52" s="355"/>
      <c r="J52" s="355"/>
      <c r="K52" s="357"/>
      <c r="L52" s="111">
        <f t="shared" si="1"/>
        <v>0</v>
      </c>
      <c r="M52" s="141">
        <f t="shared" si="2"/>
        <v>0.35000000000000003</v>
      </c>
      <c r="N52" s="45">
        <f t="shared" si="5"/>
        <v>-21.350000000000019</v>
      </c>
      <c r="O52" s="193"/>
      <c r="P52" s="359"/>
      <c r="Q52" s="357"/>
      <c r="R52" s="356"/>
      <c r="S52" s="357"/>
      <c r="T52" s="357"/>
      <c r="U52" s="370"/>
      <c r="V52" s="198"/>
      <c r="W52" s="373"/>
      <c r="X52" s="599"/>
      <c r="Y52" s="200"/>
      <c r="Z52" s="69"/>
      <c r="AA52" s="128"/>
      <c r="AB52" s="360">
        <f>AB45</f>
        <v>1</v>
      </c>
      <c r="AC52" s="360">
        <f>AC45</f>
        <v>1</v>
      </c>
      <c r="AD52" s="188" t="e">
        <f>IF(VLOOKUP(A52,Para1!$B$67:$E$72,2,FALSE)="3.",VLOOKUP(A52,Para1!$B$67:$E$72,3,FALSE),"")</f>
        <v>#N/A</v>
      </c>
      <c r="AE52" s="540" t="str">
        <f>IF((AB52+AC52)=0,"",IF(ISNA(AD52),"",IF(AD52="","",VLOOKUP(AD52,Para1!$D$67:$G$79,3,FALSE)*(IF(AB52+AC52=1,0.5,1)))))</f>
        <v/>
      </c>
      <c r="AF52" s="540" t="str">
        <f>IF(AB52+AC52=0,"",IF(ISNA(AD53),"",IF(AD53="","",VLOOKUP(AD53,Para1!$D$67:$G$79,4,FALSE)*(IF(AB52+AC52=1,0.5,1)))))</f>
        <v/>
      </c>
      <c r="AG52" s="188">
        <f>IF(AE52=0,AB52+AC52,0)</f>
        <v>0</v>
      </c>
      <c r="AH52" s="187">
        <f t="shared" si="4"/>
        <v>0.17500000000000002</v>
      </c>
    </row>
    <row r="53" spans="1:34" ht="16.5" customHeight="1">
      <c r="A53" s="112" t="s">
        <v>41</v>
      </c>
      <c r="B53" s="303" t="str">
        <f>IF(B52=Para1!$F$153,Para1!$F$107,IF(B52=Para1!$F$107,Para1!$F$148,IF(B52=Para1!$F$148,Para1!$F$109,IF(B52=Para1!$F$109,Para1!$F$118,IF(B52=Para1!$F$118,Para1!$F$173,IF(B52=Para1!$F$173,Para1!$F$176,Para1!$F$153))))))</f>
        <v>Di</v>
      </c>
      <c r="C53" s="305"/>
      <c r="D53" s="359"/>
      <c r="E53" s="355"/>
      <c r="F53" s="355"/>
      <c r="G53" s="357"/>
      <c r="H53" s="359"/>
      <c r="I53" s="355"/>
      <c r="J53" s="355"/>
      <c r="K53" s="357"/>
      <c r="L53" s="111">
        <f t="shared" si="1"/>
        <v>0</v>
      </c>
      <c r="M53" s="141">
        <f t="shared" si="2"/>
        <v>0.35000000000000003</v>
      </c>
      <c r="N53" s="45">
        <f t="shared" si="5"/>
        <v>-21.700000000000021</v>
      </c>
      <c r="O53" s="193"/>
      <c r="P53" s="359"/>
      <c r="Q53" s="357"/>
      <c r="R53" s="356"/>
      <c r="S53" s="357"/>
      <c r="T53" s="357"/>
      <c r="U53" s="370"/>
      <c r="V53" s="197"/>
      <c r="W53" s="530"/>
      <c r="X53" s="599"/>
      <c r="Y53" s="200"/>
      <c r="Z53" s="69"/>
      <c r="AA53" s="128"/>
      <c r="AB53" s="360">
        <f t="shared" ref="AB53:AC53" si="23">AB46</f>
        <v>1</v>
      </c>
      <c r="AC53" s="360">
        <f t="shared" si="23"/>
        <v>1</v>
      </c>
      <c r="AD53" s="188" t="e">
        <f>IF(VLOOKUP(A53,Para1!$B$67:$E$72,2,FALSE)="3.",VLOOKUP(A53,Para1!$B$67:$E$72,3,FALSE),"")</f>
        <v>#N/A</v>
      </c>
      <c r="AE53" s="540" t="str">
        <f>IF((AB53+AC53)=0,"",IF(ISNA(AD53),"",IF(AD53="","",VLOOKUP(AD53,Para1!$D$67:$G$79,3,FALSE)*(IF(AB53+AC53=1,0.5,1)))))</f>
        <v/>
      </c>
      <c r="AF53" s="540" t="str">
        <f>IF(AB53+AC53=0,"",IF(ISNA(AD54),"",IF(AD54="","",VLOOKUP(AD54,Para1!$D$67:$G$79,4,FALSE)*(IF(AB53+AC53=1,0.5,1)))))</f>
        <v/>
      </c>
      <c r="AG53" s="188">
        <f t="shared" si="3"/>
        <v>0</v>
      </c>
      <c r="AH53" s="187">
        <f t="shared" si="4"/>
        <v>0.17500000000000002</v>
      </c>
    </row>
    <row r="54" spans="1:34" ht="16.5" customHeight="1" thickBot="1">
      <c r="A54" s="112" t="s">
        <v>47</v>
      </c>
      <c r="B54" s="303" t="str">
        <f>IF(B53=Para1!$F$153,Para1!$F$107,IF(B53=Para1!$F$107,Para1!$F$148,IF(B53=Para1!$F$148,Para1!$F$109,IF(B53=Para1!$F$109,Para1!$F$118,IF(B53=Para1!$F$118,Para1!$F$173,IF(B53=Para1!$F$173,Para1!$F$176,Para1!$F$153))))))</f>
        <v>Mi</v>
      </c>
      <c r="C54" s="305"/>
      <c r="D54" s="359"/>
      <c r="E54" s="355"/>
      <c r="F54" s="355"/>
      <c r="G54" s="357"/>
      <c r="H54" s="359"/>
      <c r="I54" s="355"/>
      <c r="J54" s="355"/>
      <c r="K54" s="357"/>
      <c r="L54" s="116">
        <f t="shared" si="1"/>
        <v>0</v>
      </c>
      <c r="M54" s="141">
        <f t="shared" si="2"/>
        <v>0.35000000000000003</v>
      </c>
      <c r="N54" s="45">
        <f t="shared" si="5"/>
        <v>-22.050000000000022</v>
      </c>
      <c r="O54" s="192"/>
      <c r="P54" s="359"/>
      <c r="Q54" s="357"/>
      <c r="R54" s="356"/>
      <c r="S54" s="357"/>
      <c r="T54" s="357"/>
      <c r="U54" s="370"/>
      <c r="V54" s="197"/>
      <c r="W54" s="530"/>
      <c r="X54" s="599"/>
      <c r="Y54" s="200"/>
      <c r="Z54" s="69"/>
      <c r="AA54" s="128"/>
      <c r="AB54" s="360">
        <f t="shared" ref="AB54:AC54" si="24">AB47</f>
        <v>1</v>
      </c>
      <c r="AC54" s="360">
        <f t="shared" si="24"/>
        <v>1</v>
      </c>
      <c r="AD54" s="188" t="e">
        <f>IF(VLOOKUP(A54,Para1!$B$67:$E$72,2,FALSE)="3.",VLOOKUP(A54,Para1!$B$67:$E$72,3,FALSE),"")</f>
        <v>#N/A</v>
      </c>
      <c r="AE54" s="540" t="str">
        <f>IF((AB54+AC54)=0,"",IF(ISNA(AD54),"",IF(AD54="","",VLOOKUP(AD54,Para1!$D$67:$G$79,3,FALSE)*(IF(AB54+AC54=1,0.5,1)))))</f>
        <v/>
      </c>
      <c r="AF54" s="540" t="str">
        <f>IF(AB54+AC54=0,"",IF(ISNA(April!AE24),"",IF(April!AE24="","",VLOOKUP(April!AE24,Para1!$D$67:$G$79,4,FALSE)*(IF(AB54+AC54=1,0.5,1)))))</f>
        <v/>
      </c>
      <c r="AG54" s="188">
        <f t="shared" si="3"/>
        <v>0</v>
      </c>
      <c r="AH54" s="187">
        <f t="shared" si="4"/>
        <v>0.17500000000000002</v>
      </c>
    </row>
    <row r="55" spans="1:34" ht="15" thickTop="1">
      <c r="A55" s="47"/>
      <c r="B55" s="37"/>
      <c r="C55" s="16"/>
      <c r="D55" s="38"/>
      <c r="E55" s="38"/>
      <c r="F55" s="38"/>
      <c r="G55" s="38"/>
      <c r="H55" s="38"/>
      <c r="I55" s="38"/>
      <c r="J55" s="38"/>
      <c r="K55" s="464" t="str">
        <f>Para1!F184&amp;" (hh:mm)"</f>
        <v>Total (hh:mm)</v>
      </c>
      <c r="L55" s="39">
        <f>SUM(L24:L54)</f>
        <v>0</v>
      </c>
      <c r="M55" s="44">
        <f>SUM(M24:M54)</f>
        <v>8.0499999999999972</v>
      </c>
      <c r="N55" s="235"/>
      <c r="O55" s="194"/>
      <c r="P55" s="39">
        <f t="shared" ref="P55:U55" si="25">SUM(P24:P54)</f>
        <v>0</v>
      </c>
      <c r="Q55" s="36">
        <f t="shared" si="25"/>
        <v>0</v>
      </c>
      <c r="R55" s="110">
        <f t="shared" si="25"/>
        <v>0</v>
      </c>
      <c r="S55" s="36">
        <f t="shared" si="25"/>
        <v>0</v>
      </c>
      <c r="T55" s="36">
        <f>SUM(T24:T54)</f>
        <v>0</v>
      </c>
      <c r="U55" s="235">
        <f t="shared" si="25"/>
        <v>0</v>
      </c>
      <c r="V55" s="201"/>
      <c r="W55" s="230"/>
      <c r="X55" s="203"/>
      <c r="AB55" s="884" t="str">
        <f>Para1!F177&amp;" "&amp;Para1!F170&amp;" "&amp;Para1!F171</f>
        <v>Soll pro Halbtag</v>
      </c>
      <c r="AC55" s="885"/>
      <c r="AD55" s="188">
        <f>SUM(AG24:AG54)</f>
        <v>0</v>
      </c>
      <c r="AE55" s="540">
        <f>SUM(AE24:AE54)</f>
        <v>0</v>
      </c>
      <c r="AF55" s="540">
        <f>SUM(AF24:AF54)</f>
        <v>0</v>
      </c>
      <c r="AG55" s="188"/>
      <c r="AH55" s="602"/>
    </row>
    <row r="56" spans="1:34" ht="15" thickBot="1">
      <c r="A56" s="48"/>
      <c r="B56" s="40"/>
      <c r="C56" s="40"/>
      <c r="D56" s="41"/>
      <c r="E56" s="41"/>
      <c r="F56" s="41"/>
      <c r="G56" s="19"/>
      <c r="H56" s="19"/>
      <c r="I56" s="19"/>
      <c r="J56" s="19"/>
      <c r="K56" s="766" t="str">
        <f>Para1!F184&amp;" ("&amp;Para1!F106&amp;")"</f>
        <v>Total (dezimal)</v>
      </c>
      <c r="L56" s="767">
        <f>L55*24</f>
        <v>0</v>
      </c>
      <c r="M56" s="768">
        <f>M55*24</f>
        <v>193.19999999999993</v>
      </c>
      <c r="N56" s="772"/>
      <c r="O56" s="773"/>
      <c r="P56" s="774">
        <f t="shared" ref="P56:U56" si="26">P55*24</f>
        <v>0</v>
      </c>
      <c r="Q56" s="775">
        <f t="shared" si="26"/>
        <v>0</v>
      </c>
      <c r="R56" s="770">
        <f t="shared" si="26"/>
        <v>0</v>
      </c>
      <c r="S56" s="768">
        <f t="shared" si="26"/>
        <v>0</v>
      </c>
      <c r="T56" s="768">
        <f t="shared" si="26"/>
        <v>0</v>
      </c>
      <c r="U56" s="776">
        <f t="shared" si="26"/>
        <v>0</v>
      </c>
      <c r="V56" s="202"/>
      <c r="W56" s="229"/>
      <c r="X56" s="195"/>
      <c r="AB56" s="882">
        <f>(C8*24+((AE55+AF55)/100*H3))/(SUM(AB24:AC54)-AD55)/24</f>
        <v>0.17500000000000002</v>
      </c>
      <c r="AC56" s="883"/>
      <c r="AD56" s="602"/>
      <c r="AE56" s="602"/>
      <c r="AF56" s="602"/>
      <c r="AG56" s="602"/>
      <c r="AH56" s="602"/>
    </row>
    <row r="57" spans="1:34" ht="15" thickTop="1">
      <c r="AB57" s="341"/>
    </row>
    <row r="58" spans="1:34">
      <c r="X58" s="130" t="str">
        <f>Para1!G2</f>
        <v>AZE v1_01 02.12.2020</v>
      </c>
      <c r="AC58" s="130"/>
    </row>
    <row r="59" spans="1:34">
      <c r="AC59" s="32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W22:W23"/>
    <mergeCell ref="X22:X23"/>
    <mergeCell ref="M3:N3"/>
    <mergeCell ref="N7:O7"/>
    <mergeCell ref="N8:O8"/>
    <mergeCell ref="U14:V14"/>
    <mergeCell ref="U15:V15"/>
    <mergeCell ref="A23:B23"/>
    <mergeCell ref="AB55:AC55"/>
    <mergeCell ref="AB56:AC56"/>
    <mergeCell ref="D60:E60"/>
    <mergeCell ref="K60:O60"/>
    <mergeCell ref="T60:X60"/>
    <mergeCell ref="AB21:AC21"/>
    <mergeCell ref="AB22:AB23"/>
    <mergeCell ref="AC22:AC23"/>
    <mergeCell ref="Y21:Z21"/>
    <mergeCell ref="L21:N21"/>
    <mergeCell ref="L22:L23"/>
    <mergeCell ref="N22:N23"/>
    <mergeCell ref="M22:M23"/>
    <mergeCell ref="P21:U21"/>
    <mergeCell ref="P22:P23"/>
    <mergeCell ref="R22:R23"/>
    <mergeCell ref="U22:U23"/>
    <mergeCell ref="Q22:Q23"/>
    <mergeCell ref="S22:S23"/>
    <mergeCell ref="T22:T23"/>
    <mergeCell ref="W21:X21"/>
    <mergeCell ref="H1:I1"/>
    <mergeCell ref="A1:B1"/>
    <mergeCell ref="A3:B3"/>
    <mergeCell ref="A22:B22"/>
    <mergeCell ref="C8:D8"/>
    <mergeCell ref="C9:D9"/>
    <mergeCell ref="C10:D10"/>
    <mergeCell ref="C11:D11"/>
    <mergeCell ref="C12:D12"/>
    <mergeCell ref="C1:E1"/>
    <mergeCell ref="C7:D7"/>
    <mergeCell ref="D22:G22"/>
    <mergeCell ref="H22:K22"/>
  </mergeCells>
  <phoneticPr fontId="0" type="noConversion"/>
  <conditionalFormatting sqref="A24:C54 L24:M54">
    <cfRule type="expression" dxfId="112" priority="15">
      <formula>$M24=0</formula>
    </cfRule>
  </conditionalFormatting>
  <conditionalFormatting sqref="P24:U54">
    <cfRule type="expression" dxfId="111" priority="13">
      <formula>$AB24+$AC24=0</formula>
    </cfRule>
    <cfRule type="expression" dxfId="110" priority="14">
      <formula>$AB24+$AC24=1</formula>
    </cfRule>
  </conditionalFormatting>
  <conditionalFormatting sqref="N24:N54">
    <cfRule type="cellIs" dxfId="109" priority="12" operator="equal">
      <formula>N23-M24</formula>
    </cfRule>
  </conditionalFormatting>
  <conditionalFormatting sqref="D24:G54 W24:W54 AB24:AB54">
    <cfRule type="expression" dxfId="108" priority="6">
      <formula>$AB24=0</formula>
    </cfRule>
  </conditionalFormatting>
  <conditionalFormatting sqref="H24:K54 X24:X54 AC24:AC54">
    <cfRule type="expression" dxfId="107" priority="5">
      <formula>$AC24=0</formula>
    </cfRule>
  </conditionalFormatting>
  <conditionalFormatting sqref="D24:K54 P24:U54 W24:X54 AB24:AC54">
    <cfRule type="expression" dxfId="106" priority="4">
      <formula>$AE24=0</formula>
    </cfRule>
  </conditionalFormatting>
  <conditionalFormatting sqref="N24">
    <cfRule type="expression" dxfId="105" priority="3">
      <formula>$L$24=0</formula>
    </cfRule>
  </conditionalFormatting>
  <pageMargins left="0.4" right="0.38" top="0.79" bottom="0.39370078740157483" header="0.28999999999999998" footer="0.15748031496062992"/>
  <pageSetup paperSize="9" scale="54"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BB1A53A5-3A01-4A4C-84AE-9F3D69888FB4}">
            <xm:f>OR('Persönliche Daten (pers. data)'!$K$5="Nein",'Persönliche Daten (pers. data)'!$K$5="no")</xm:f>
            <x14:dxf>
              <font>
                <color theme="0"/>
              </font>
              <border>
                <left/>
                <right/>
                <top/>
                <bottom/>
                <vertical/>
                <horizontal/>
              </border>
            </x14:dxf>
          </x14:cfRule>
          <xm:sqref>G14:I17</xm:sqref>
        </x14:conditionalFormatting>
        <x14:conditionalFormatting xmlns:xm="http://schemas.microsoft.com/office/excel/2006/main">
          <x14:cfRule type="expression" priority="1" id="{B7024EA1-E09C-4610-B6F1-02127A2182C9}">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pageSetUpPr fitToPage="1"/>
  </sheetPr>
  <dimension ref="A1:AH60"/>
  <sheetViews>
    <sheetView showGridLines="0" zoomScale="75" zoomScaleNormal="75" workbookViewId="0">
      <selection activeCell="AI49" sqref="AI49"/>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228" customWidth="1"/>
    <col min="23" max="23" width="11.83203125" style="228" customWidth="1"/>
    <col min="24" max="27" width="11.83203125" style="11" customWidth="1"/>
    <col min="28" max="28" width="11.83203125" style="228" customWidth="1"/>
    <col min="29" max="29" width="11.83203125" style="11" customWidth="1"/>
    <col min="30" max="30" width="11.83203125" style="11" hidden="1" customWidth="1"/>
    <col min="31"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(Overview)'!F$8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29" ht="6" customHeight="1">
      <c r="O5" s="59"/>
      <c r="T5" s="11"/>
      <c r="V5" s="73"/>
      <c r="W5" s="11"/>
      <c r="AB5" s="73"/>
      <c r="AC5" s="16"/>
    </row>
    <row r="6" spans="1:29" ht="15" customHeight="1">
      <c r="F6" s="53"/>
      <c r="G6" s="20"/>
      <c r="O6" s="59"/>
      <c r="T6" s="11"/>
      <c r="U6" s="11"/>
      <c r="V6" s="16"/>
      <c r="W6" s="11"/>
      <c r="AB6" s="73"/>
      <c r="AC6" s="16"/>
    </row>
    <row r="7" spans="1:29"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29" ht="15" customHeight="1" thickBot="1">
      <c r="B8" s="9" t="str">
        <f>Para1!F177</f>
        <v>Soll</v>
      </c>
      <c r="C8" s="848">
        <f>Para1!I60/100*H3/24</f>
        <v>6.958333333333333</v>
      </c>
      <c r="D8" s="848"/>
      <c r="F8" s="19"/>
      <c r="H8" s="162" t="str">
        <f>Para1!F174&amp;" "&amp;Para1!F88&amp;" "&amp;Para1!F154</f>
        <v>Saldo Anfang Monat</v>
      </c>
      <c r="I8" s="159" t="e">
        <f>Maerz!I11</f>
        <v>#N/A</v>
      </c>
      <c r="J8" s="212"/>
      <c r="M8" s="162" t="str">
        <f>Para1!F133</f>
        <v>JAZ-Kompensation</v>
      </c>
      <c r="N8" s="899">
        <f>SUMIF($W$24:$W$54,"k",$AH$24:$AH$54)+SUMIF($X$24:$X$54,"k",$AH$24:$AH$54)</f>
        <v>0</v>
      </c>
      <c r="O8" s="899"/>
      <c r="P8" s="732">
        <f>Maerz!Q8</f>
        <v>0</v>
      </c>
      <c r="Q8" s="166">
        <f>N8+P8</f>
        <v>0</v>
      </c>
      <c r="S8" s="7"/>
      <c r="T8" s="20" t="str">
        <f>Para1!F139</f>
        <v>Krankheit</v>
      </c>
      <c r="U8" s="7"/>
      <c r="V8" s="7"/>
      <c r="W8" s="734">
        <f>P55</f>
        <v>0</v>
      </c>
      <c r="X8" s="734">
        <f>Maerz!Y8</f>
        <v>0</v>
      </c>
      <c r="Y8" s="306">
        <f t="shared" ref="Y8:Y17" si="0">SUM(W8:X8)</f>
        <v>0</v>
      </c>
      <c r="Z8" s="155"/>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O9" s="59"/>
      <c r="S9" s="7"/>
      <c r="T9" s="20" t="str">
        <f>Para1!F196</f>
        <v>Unfall</v>
      </c>
      <c r="U9" s="7" t="str">
        <f>Para1!F98</f>
        <v>betriebsbedingt</v>
      </c>
      <c r="V9" s="7"/>
      <c r="W9" s="734">
        <f>Q55</f>
        <v>0</v>
      </c>
      <c r="X9" s="734">
        <f>Maerz!Y9</f>
        <v>0</v>
      </c>
      <c r="Y9" s="306">
        <f t="shared" si="0"/>
        <v>0</v>
      </c>
      <c r="Z9" s="155"/>
    </row>
    <row r="10" spans="1:29" ht="15" customHeight="1">
      <c r="B10" s="22" t="str">
        <f>Para1!F108</f>
        <v>Differenz</v>
      </c>
      <c r="C10" s="904">
        <f>$C$9-$C$8</f>
        <v>-6.958333333333333</v>
      </c>
      <c r="D10" s="904"/>
      <c r="F10" s="19"/>
      <c r="H10" s="162" t="str">
        <f>"./. "&amp;Para1!F117</f>
        <v>./. Ferienkürzung</v>
      </c>
      <c r="I10" s="210">
        <v>0</v>
      </c>
      <c r="J10" s="212"/>
      <c r="O10" s="59"/>
      <c r="S10" s="7"/>
      <c r="T10" s="8"/>
      <c r="U10" s="7" t="str">
        <f>Para1!F163&amp;" "&amp;Para1!F99</f>
        <v>nicht betr.</v>
      </c>
      <c r="V10" s="7"/>
      <c r="W10" s="734">
        <f>R55</f>
        <v>0</v>
      </c>
      <c r="X10" s="734">
        <f>Maerz!Y10</f>
        <v>0</v>
      </c>
      <c r="Y10" s="306">
        <f t="shared" si="0"/>
        <v>0</v>
      </c>
      <c r="Z10" s="155"/>
      <c r="AB10" s="11"/>
    </row>
    <row r="11" spans="1:29" ht="15" customHeight="1" thickBot="1">
      <c r="B11" s="20" t="str">
        <f>Para1!F190</f>
        <v>Übertrag Vormnt</v>
      </c>
      <c r="C11" s="847">
        <f>Maerz!C12</f>
        <v>-22.049999999999997</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R11" s="8"/>
      <c r="S11" s="7"/>
      <c r="T11" s="20" t="str">
        <f>Para1!F140</f>
        <v>Kurzurlaub</v>
      </c>
      <c r="U11" s="8"/>
      <c r="V11" s="8"/>
      <c r="W11" s="734">
        <f>S55</f>
        <v>0</v>
      </c>
      <c r="X11" s="734">
        <f>Maerz!Y11</f>
        <v>0</v>
      </c>
      <c r="Y11" s="306">
        <f t="shared" si="0"/>
        <v>0</v>
      </c>
      <c r="Z11" s="155"/>
      <c r="AB11" s="11"/>
    </row>
    <row r="12" spans="1:29" ht="15" customHeight="1" thickTop="1" thickBot="1">
      <c r="A12" s="127"/>
      <c r="B12" s="330" t="str">
        <f>Para1!F174</f>
        <v>Saldo</v>
      </c>
      <c r="C12" s="901">
        <f>C10+C11</f>
        <v>-29.008333333333329</v>
      </c>
      <c r="D12" s="901"/>
      <c r="F12" s="19"/>
      <c r="G12" s="7"/>
      <c r="L12" s="448" t="s">
        <v>492</v>
      </c>
      <c r="M12" s="449" t="str">
        <f>Para1!F115</f>
        <v>Ferien</v>
      </c>
      <c r="N12" s="449"/>
      <c r="O12" s="449"/>
      <c r="P12" s="449"/>
      <c r="Q12" s="450"/>
      <c r="R12" s="8"/>
      <c r="S12" s="7"/>
      <c r="T12" s="25" t="str">
        <f>Para1!F206</f>
        <v>Weiterbildung auf Arbeitszeit</v>
      </c>
      <c r="U12" s="7"/>
      <c r="V12" s="7"/>
      <c r="W12" s="734">
        <f>T55</f>
        <v>0</v>
      </c>
      <c r="X12" s="734">
        <f>Maerz!Y12</f>
        <v>0</v>
      </c>
      <c r="Y12" s="306">
        <f t="shared" si="0"/>
        <v>0</v>
      </c>
      <c r="Z12" s="155"/>
      <c r="AB12" s="11"/>
    </row>
    <row r="13" spans="1:29" ht="15" customHeight="1" thickTop="1">
      <c r="B13" s="330"/>
      <c r="C13" s="309"/>
      <c r="D13" s="81"/>
      <c r="F13" s="19"/>
      <c r="J13" s="160"/>
      <c r="L13" s="448" t="s">
        <v>493</v>
      </c>
      <c r="M13" s="449" t="str">
        <f>Para1!F157</f>
        <v>Mutter- und Vaterschaftsurlaub</v>
      </c>
      <c r="N13" s="449"/>
      <c r="O13" s="449"/>
      <c r="P13" s="449"/>
      <c r="Q13" s="451"/>
      <c r="R13" s="8"/>
      <c r="S13" s="7"/>
      <c r="T13" s="20" t="str">
        <f>Para1!F165</f>
        <v>Öffentliches Amt</v>
      </c>
      <c r="U13" s="7"/>
      <c r="V13" s="7"/>
      <c r="W13" s="734">
        <f>U55</f>
        <v>0</v>
      </c>
      <c r="X13" s="734">
        <f>Maerz!Y13</f>
        <v>0</v>
      </c>
      <c r="Y13" s="306">
        <f t="shared" si="0"/>
        <v>0</v>
      </c>
      <c r="Z13" s="16"/>
      <c r="AB13" s="11"/>
    </row>
    <row r="14" spans="1:29" ht="15" customHeight="1">
      <c r="F14" s="19"/>
      <c r="H14" s="9" t="str">
        <f>Para1!F142</f>
        <v>Langzeitkonto</v>
      </c>
      <c r="I14" s="160" t="s">
        <v>103</v>
      </c>
      <c r="J14" s="59"/>
      <c r="K14" s="11"/>
      <c r="L14" s="448" t="s">
        <v>494</v>
      </c>
      <c r="M14" s="449" t="str">
        <f>Para1!F149</f>
        <v>Militär/Zivilsch./Zivildienst</v>
      </c>
      <c r="N14" s="449"/>
      <c r="O14" s="449"/>
      <c r="P14" s="449"/>
      <c r="Q14" s="451"/>
      <c r="R14" s="8"/>
      <c r="S14" s="8"/>
      <c r="T14" s="24" t="str">
        <f>Para1!F198</f>
        <v>Urlaub</v>
      </c>
      <c r="U14" s="853" t="str">
        <f>Para1!F100</f>
        <v>bezahlt</v>
      </c>
      <c r="V14" s="853"/>
      <c r="W14" s="738">
        <f>SUMIF($W$24:$W$54,"b",$AH$24:$AH$54)+SUMIF($X$24:$X$54,"b",$AH$24:$AH$54)</f>
        <v>0</v>
      </c>
      <c r="X14" s="734">
        <f>Maerz!Y14</f>
        <v>0</v>
      </c>
      <c r="Y14" s="155">
        <f t="shared" si="0"/>
        <v>0</v>
      </c>
      <c r="Z14" s="535"/>
      <c r="AA14" s="536"/>
      <c r="AB14" s="11"/>
    </row>
    <row r="15" spans="1:29" ht="15" customHeight="1">
      <c r="H15" s="140" t="str">
        <f>Para1!F174&amp;" "&amp;Para1!F88&amp;" "&amp;Para1!F154</f>
        <v>Saldo Anfang Monat</v>
      </c>
      <c r="I15" s="299">
        <f>Maerz!I17</f>
        <v>0</v>
      </c>
      <c r="J15" s="59"/>
      <c r="K15" s="11"/>
      <c r="L15" s="448" t="s">
        <v>495</v>
      </c>
      <c r="M15" s="449" t="str">
        <f>Para1!F133</f>
        <v>JAZ-Kompensation</v>
      </c>
      <c r="N15" s="449"/>
      <c r="O15" s="449"/>
      <c r="P15" s="449"/>
      <c r="Q15" s="451"/>
      <c r="R15" s="8"/>
      <c r="S15" s="8"/>
      <c r="T15" s="24"/>
      <c r="U15" s="853" t="str">
        <f>Para1!F194</f>
        <v>unbezahlt</v>
      </c>
      <c r="V15" s="853"/>
      <c r="W15" s="738">
        <f>SUMIF($W$24:$W$54,"u",$AH$24:$AH$54)+SUMIF($X$24:$X$54,"u",$AH$24:$AH$54)</f>
        <v>0</v>
      </c>
      <c r="X15" s="734">
        <f>Maerz!Y15</f>
        <v>0</v>
      </c>
      <c r="Y15" s="155">
        <f t="shared" si="0"/>
        <v>0</v>
      </c>
      <c r="Z15" s="536"/>
      <c r="AA15" s="536"/>
      <c r="AB15" s="11"/>
    </row>
    <row r="16" spans="1:29" ht="15" customHeight="1">
      <c r="F16" s="11"/>
      <c r="G16" s="11"/>
      <c r="H16" s="140" t="str">
        <f>"./. "&amp;Para1!F145</f>
        <v>./. LZK-Bezug</v>
      </c>
      <c r="I16" s="299">
        <f>SUMIF($W$24:$W$54,"l",$AH$24:$AH$54)+SUMIF($X$24:$X$54,"l",$AH$24:$AH$54)</f>
        <v>0</v>
      </c>
      <c r="J16" s="59"/>
      <c r="K16" s="11"/>
      <c r="L16" s="452" t="s">
        <v>496</v>
      </c>
      <c r="M16" s="456" t="str">
        <f>Para1!F198&amp;" "&amp;Para1!F100</f>
        <v>Urlaub bezahlt</v>
      </c>
      <c r="N16" s="453"/>
      <c r="O16" s="454"/>
      <c r="P16" s="455"/>
      <c r="Q16" s="451"/>
      <c r="R16" s="8"/>
      <c r="S16" s="8"/>
      <c r="T16" s="24" t="str">
        <f>Para1!F157</f>
        <v>Mutter- und Vaterschaftsurlaub</v>
      </c>
      <c r="U16" s="73"/>
      <c r="V16" s="11"/>
      <c r="W16" s="738">
        <f>SUMIF($W$24:$W$54,"m",$AH$24:$AH$54)+SUMIF($X$24:$X$54,"m",$AH$24:$AH$54)</f>
        <v>0</v>
      </c>
      <c r="X16" s="734">
        <f>Maerz!Y16</f>
        <v>0</v>
      </c>
      <c r="Y16" s="155">
        <f t="shared" si="0"/>
        <v>0</v>
      </c>
      <c r="Z16" s="536"/>
      <c r="AA16" s="536"/>
      <c r="AB16" s="11"/>
    </row>
    <row r="17" spans="1:34" ht="15" customHeight="1" thickBot="1">
      <c r="G17" s="162"/>
      <c r="H17" s="328" t="str">
        <f>Para1!F174&amp;" "&amp;Para1!F113&amp;" "&amp;Para1!F154</f>
        <v>Saldo Ende Monat</v>
      </c>
      <c r="I17" s="732">
        <f>I15-I16</f>
        <v>0</v>
      </c>
      <c r="J17" s="164"/>
      <c r="K17" s="11"/>
      <c r="L17" s="452" t="s">
        <v>497</v>
      </c>
      <c r="M17" s="456" t="str">
        <f>Para1!F198&amp;" "&amp;Para1!F194</f>
        <v>Urlaub unbezahlt</v>
      </c>
      <c r="N17" s="453"/>
      <c r="O17" s="454"/>
      <c r="P17" s="455"/>
      <c r="Q17" s="451"/>
      <c r="R17" s="8"/>
      <c r="S17" s="8"/>
      <c r="T17" s="24" t="str">
        <f>Para1!F149</f>
        <v>Militär/Zivilsch./Zivildienst</v>
      </c>
      <c r="U17" s="73"/>
      <c r="V17" s="11"/>
      <c r="W17" s="738">
        <f>SUMIF($W$24:$W$54,"z",$AH$24:$AH$54)+SUMIF($X$24:$X$54,"z",$AH$24:$AH$54)</f>
        <v>0</v>
      </c>
      <c r="X17" s="734">
        <f>Maerz!Y17</f>
        <v>0</v>
      </c>
      <c r="Y17" s="155">
        <f t="shared" si="0"/>
        <v>0</v>
      </c>
      <c r="Z17" s="536"/>
      <c r="AA17" s="536"/>
      <c r="AB17" s="11"/>
    </row>
    <row r="18" spans="1:34" ht="15" customHeight="1" thickTop="1" thickBot="1">
      <c r="F18" s="616" t="str">
        <f>IF(AND(Information!H8="Nein",I16&gt;0),"ACHTUNG: Langzeitkontobezug ohne entsprechendes Konto!!","")</f>
        <v/>
      </c>
      <c r="G18" s="162"/>
      <c r="H18" s="11"/>
      <c r="I18" s="11"/>
      <c r="J18" s="164"/>
      <c r="K18" s="11"/>
      <c r="L18" s="448" t="s">
        <v>498</v>
      </c>
      <c r="M18" s="456" t="str">
        <f>Para1!F142</f>
        <v>Langzeitkonto</v>
      </c>
      <c r="N18" s="453"/>
      <c r="O18" s="454"/>
      <c r="P18" s="455"/>
      <c r="Q18" s="451"/>
      <c r="R18" s="8"/>
      <c r="S18" s="8"/>
      <c r="T18" s="9" t="str">
        <f>Para1!F184</f>
        <v>Total</v>
      </c>
      <c r="U18" s="11"/>
      <c r="V18" s="11"/>
      <c r="W18" s="733">
        <f>SUM(W8:W17)</f>
        <v>0</v>
      </c>
      <c r="X18" s="733">
        <f>SUM(X8:X17)</f>
        <v>0</v>
      </c>
      <c r="Y18" s="733">
        <f>SUM(Y8:Y17)</f>
        <v>0</v>
      </c>
      <c r="AB18" s="11"/>
    </row>
    <row r="19" spans="1:34" ht="15" customHeight="1" thickTop="1">
      <c r="E19" s="19"/>
      <c r="G19" s="72"/>
      <c r="H19" s="72"/>
      <c r="M19" s="59"/>
      <c r="N19" s="310"/>
      <c r="O19" s="310"/>
      <c r="P19" s="19"/>
      <c r="Q19" s="310"/>
      <c r="R19" s="310"/>
      <c r="S19" s="19"/>
      <c r="T19" s="19"/>
      <c r="U19" s="160"/>
      <c r="V19" s="160"/>
      <c r="W19" s="59"/>
      <c r="X19" s="16"/>
      <c r="Y19" s="23"/>
      <c r="Z19" s="16"/>
      <c r="AB19" s="11"/>
    </row>
    <row r="20" spans="1:34" ht="15" customHeight="1" thickBot="1">
      <c r="A20" s="424" t="str">
        <f>Para1!J222</f>
        <v>(Bitte das Guthaben in Stunden und Minuten eingeben.)</v>
      </c>
      <c r="B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row>
    <row r="24" spans="1:34" ht="16.5" customHeight="1" thickTop="1">
      <c r="A24" s="30" t="s">
        <v>5</v>
      </c>
      <c r="B24" s="334" t="str">
        <f>IF(Maerz!B54=Para1!$F$153,Para1!$F$107,IF(Maerz!B54=Para1!$F$107,Para1!$F$148,IF(Maerz!B54=Para1!$F$148,Para1!$F$109,IF(Maerz!B54=Para1!$F$109,Para1!$F$118,IF(Maerz!B54=Para1!$F$118,Para1!$F$173,IF(Maerz!B54=Para1!$F$173,Para1!$F$176,Para1!$F$153))))))</f>
        <v>Do</v>
      </c>
      <c r="C24" s="305"/>
      <c r="D24" s="359"/>
      <c r="E24" s="355"/>
      <c r="F24" s="355"/>
      <c r="G24" s="357"/>
      <c r="H24" s="359"/>
      <c r="I24" s="355"/>
      <c r="J24" s="355"/>
      <c r="K24" s="357"/>
      <c r="L24" s="119">
        <f>SUM((G24-D24),(K24-H24))-SUM((F24-E24),(J24-I24))</f>
        <v>0</v>
      </c>
      <c r="M24" s="141">
        <f>IF(AE24=0,0,IF(AB24,$AB$56,0)+IF(AC24,$AB$56,0)-IF(AE24="",0,(AE24/4800*$H$3)+(AE24/4800*$H$3)))-IF(AF24="",0,(AF24/4800*$H$3)+(AF24/4800*$H$3))</f>
        <v>0.30833333333333335</v>
      </c>
      <c r="N24" s="45">
        <f>$C$11+$L24-M24+SUM($P24:$U24)+IF(OR($W24="f",$W24="m",$W24="z",$W24="u",$W24="b",$W24="l"),$AH24,0)+IF(OR($X24="f",$X24="m",$X24="z",$X24="u",$X24="b",$X24="l"),$AH24,0)</f>
        <v>-22.358333333333331</v>
      </c>
      <c r="O24" s="192"/>
      <c r="P24" s="355"/>
      <c r="Q24" s="357"/>
      <c r="R24" s="356"/>
      <c r="S24" s="357"/>
      <c r="T24" s="357"/>
      <c r="U24" s="370"/>
      <c r="V24" s="198"/>
      <c r="W24" s="373"/>
      <c r="X24" s="599"/>
      <c r="Y24" s="232"/>
      <c r="Z24" s="231"/>
      <c r="AA24" s="668"/>
      <c r="AB24" s="360">
        <f>Maerz!AB48</f>
        <v>1</v>
      </c>
      <c r="AC24" s="360">
        <f>Maerz!AC48</f>
        <v>1</v>
      </c>
      <c r="AD24" s="188" t="e">
        <f>IF(VLOOKUP(A24,Para1!$B$67:$E$72,2,FALSE)="4.",VLOOKUP(A24,Para1!$B$67:$E$72,3,FALSE),"")</f>
        <v>#N/A</v>
      </c>
      <c r="AE24" s="540" t="str">
        <f>IF((AB24+AC24)=0,"",IF(ISNA(AD24),"",IF(AD24="","",VLOOKUP(AD24,Para1!$D$67:$G$79,3,FALSE)*(IF(AB24+AC24=1,0.5,1)))))</f>
        <v/>
      </c>
      <c r="AF24" s="540">
        <f>IF(AB24+AC24=0,"",IF(ISNA(AD25),"",IF(AD25="","",VLOOKUP(AD25,Para1!$D$67:$G$79,4,FALSE)*(IF(AB24+AC24=1,0.5,1)))))</f>
        <v>1</v>
      </c>
      <c r="AG24" s="188">
        <f>IF(AE24=0,AB24+AC24,0)</f>
        <v>0</v>
      </c>
      <c r="AH24" s="187">
        <f>IF((AB24+AC24)=0,0,M24/(AB24+AC24))</f>
        <v>0.15416666666666667</v>
      </c>
    </row>
    <row r="25" spans="1:34" ht="16.5" customHeight="1">
      <c r="A25" s="30" t="s">
        <v>7</v>
      </c>
      <c r="B25" s="334" t="str">
        <f>IF(B24=Para1!$F$153,Para1!$F$107,IF(B24=Para1!$F$107,Para1!$F$148,IF(B24=Para1!$F$148,Para1!$F$109,IF(B24=Para1!$F$109,Para1!$F$118,IF(B24=Para1!$F$118,Para1!$F$173,IF(B24=Para1!$F$173,Para1!$F$176,Para1!$F$153))))))</f>
        <v>Fr</v>
      </c>
      <c r="C25" s="305"/>
      <c r="D25" s="359"/>
      <c r="E25" s="355"/>
      <c r="F25" s="355"/>
      <c r="G25" s="357"/>
      <c r="H25" s="359"/>
      <c r="I25" s="355"/>
      <c r="J25" s="355"/>
      <c r="K25" s="357"/>
      <c r="L25" s="119">
        <f>SUM((G25-D25),(K25-H25))-SUM((F25-E25),(J25-I25))</f>
        <v>0</v>
      </c>
      <c r="M25" s="141">
        <f t="shared" ref="M25:M53" si="1">IF(AE25=0,0,IF(AB25,$AB$56,0)+IF(AC25,$AB$56,0)-IF(AE25="",0,(AE25/4800*$H$3)+(AE25/4800*$H$3)))-IF(AF25="",0,(AF25/4800*$H$3)+(AF25/4800*$H$3))</f>
        <v>0</v>
      </c>
      <c r="N25" s="45">
        <f>$N24+$L25-M25+SUM($P25:$U25)+IF(OR($W25="f",$W25="m",$W25="z",$W25="u",$W25="b",$W25="l"),$AH25,0)+IF(OR($X25="f",$X25="m",$X25="z",$X25="u",$X25="b",$X25="l"),$AH25,0)</f>
        <v>-22.358333333333331</v>
      </c>
      <c r="O25" s="193"/>
      <c r="P25" s="355"/>
      <c r="Q25" s="357"/>
      <c r="R25" s="356"/>
      <c r="S25" s="357"/>
      <c r="T25" s="357"/>
      <c r="U25" s="370"/>
      <c r="V25" s="198"/>
      <c r="W25" s="373"/>
      <c r="X25" s="599"/>
      <c r="Y25" s="200"/>
      <c r="Z25" s="69"/>
      <c r="AA25" s="128"/>
      <c r="AB25" s="360">
        <f>Maerz!AB49</f>
        <v>1</v>
      </c>
      <c r="AC25" s="360">
        <f>Maerz!AC49</f>
        <v>1</v>
      </c>
      <c r="AD25" s="188" t="str">
        <f>IF(VLOOKUP(A25,Para1!$B$67:$E$72,2,FALSE)="4.",VLOOKUP(A25,Para1!$B$67:$E$72,3,FALSE),"")</f>
        <v>Karfreitag</v>
      </c>
      <c r="AE25" s="540">
        <f>IF((AB25+AC25)=0,"",IF(ISNA(AD25),"",IF(AD25="","",VLOOKUP(AD25,Para1!$D$67:$G$79,3,FALSE)*(IF(AB25+AC25=1,0.5,1)))))</f>
        <v>0</v>
      </c>
      <c r="AF25" s="540" t="str">
        <f>IF(AB25+AC25=0,"",IF(ISNA(AD26),"",IF(AD26="","",VLOOKUP(AD26,Para1!$D$67:$G$79,4,FALSE)*(IF(AB25+AC25=1,0.5,1)))))</f>
        <v/>
      </c>
      <c r="AG25" s="188">
        <f t="shared" ref="AG25:AG54" si="2">IF(AE25=0,AB25+AC25,0)</f>
        <v>2</v>
      </c>
      <c r="AH25" s="187">
        <f t="shared" ref="AH25:AH54" si="3">IF((AB25+AC25)=0,0,M25/(AB25+AC25))</f>
        <v>0</v>
      </c>
    </row>
    <row r="26" spans="1:34" s="50" customFormat="1" ht="16.5" customHeight="1">
      <c r="A26" s="30" t="s">
        <v>9</v>
      </c>
      <c r="B26" s="334" t="str">
        <f>IF(B25=Para1!$F$153,Para1!$F$107,IF(B25=Para1!$F$107,Para1!$F$148,IF(B25=Para1!$F$148,Para1!$F$109,IF(B25=Para1!$F$109,Para1!$F$118,IF(B25=Para1!$F$118,Para1!$F$173,IF(B25=Para1!$F$173,Para1!$F$176,Para1!$F$153))))))</f>
        <v>Sa</v>
      </c>
      <c r="C26" s="305"/>
      <c r="D26" s="359"/>
      <c r="E26" s="355"/>
      <c r="F26" s="355"/>
      <c r="G26" s="357"/>
      <c r="H26" s="359"/>
      <c r="I26" s="355"/>
      <c r="J26" s="355"/>
      <c r="K26" s="357"/>
      <c r="L26" s="119">
        <f>SUM((G26-D26),(K26-H26))-SUM((F26-E26),(J26-I26))</f>
        <v>0</v>
      </c>
      <c r="M26" s="141">
        <f t="shared" si="1"/>
        <v>0</v>
      </c>
      <c r="N26" s="45">
        <f t="shared" ref="N26:N54" si="4">$N25+$L26-M26+SUM($P26:$U26)+IF(OR($W26="f",$W26="m",$W26="z",$W26="u",$W26="b",$W26="l"),$AH26,0)+IF(OR($X26="f",$X26="m",$X26="z",$X26="u",$X26="b",$X26="l"),$AH26,0)</f>
        <v>-22.358333333333331</v>
      </c>
      <c r="O26" s="193"/>
      <c r="P26" s="355"/>
      <c r="Q26" s="357"/>
      <c r="R26" s="356"/>
      <c r="S26" s="357"/>
      <c r="T26" s="357"/>
      <c r="U26" s="370"/>
      <c r="V26" s="198"/>
      <c r="W26" s="373"/>
      <c r="X26" s="599"/>
      <c r="Y26" s="200"/>
      <c r="Z26" s="69"/>
      <c r="AA26" s="128"/>
      <c r="AB26" s="360">
        <f>Maerz!AB50</f>
        <v>0</v>
      </c>
      <c r="AC26" s="360">
        <f>Maerz!AC50</f>
        <v>0</v>
      </c>
      <c r="AD26" s="188" t="e">
        <f>IF(VLOOKUP(A26,Para1!$B$67:$E$72,2,FALSE)="4.",VLOOKUP(A26,Para1!$B$67:$E$72,3,FALSE),"")</f>
        <v>#N/A</v>
      </c>
      <c r="AE26" s="540" t="str">
        <f>IF((AB26+AC26)=0,"",IF(ISNA(AD26),"",IF(AD26="","",VLOOKUP(AD26,Para1!$D$67:$G$79,3,FALSE)*(IF(AB26+AC26=1,0.5,1)))))</f>
        <v/>
      </c>
      <c r="AF26" s="540" t="str">
        <f>IF(AB26+AC26=0,"",IF(ISNA(AD27),"",IF(AD27="","",VLOOKUP(AD27,Para1!$D$67:$G$79,4,FALSE)*(IF(AB26+AC26=1,0.5,1)))))</f>
        <v/>
      </c>
      <c r="AG26" s="188">
        <f t="shared" si="2"/>
        <v>0</v>
      </c>
      <c r="AH26" s="187">
        <f t="shared" si="3"/>
        <v>0</v>
      </c>
    </row>
    <row r="27" spans="1:34" s="50" customFormat="1" ht="16.5" customHeight="1">
      <c r="A27" s="30" t="s">
        <v>11</v>
      </c>
      <c r="B27" s="334" t="str">
        <f>IF(B26=Para1!$F$153,Para1!$F$107,IF(B26=Para1!$F$107,Para1!$F$148,IF(B26=Para1!$F$148,Para1!$F$109,IF(B26=Para1!$F$109,Para1!$F$118,IF(B26=Para1!$F$118,Para1!$F$173,IF(B26=Para1!$F$173,Para1!$F$176,Para1!$F$153))))))</f>
        <v>So</v>
      </c>
      <c r="C27" s="305"/>
      <c r="D27" s="359"/>
      <c r="E27" s="355"/>
      <c r="F27" s="355"/>
      <c r="G27" s="357"/>
      <c r="H27" s="359"/>
      <c r="I27" s="355"/>
      <c r="J27" s="355"/>
      <c r="K27" s="357"/>
      <c r="L27" s="119">
        <f t="shared" ref="L27:L53" si="5">SUM((G27-D27),(K27-H27))-SUM((F27-E27),(J27-I27))</f>
        <v>0</v>
      </c>
      <c r="M27" s="141">
        <f t="shared" si="1"/>
        <v>0</v>
      </c>
      <c r="N27" s="45">
        <f t="shared" si="4"/>
        <v>-22.358333333333331</v>
      </c>
      <c r="O27" s="193"/>
      <c r="P27" s="355"/>
      <c r="Q27" s="357"/>
      <c r="R27" s="356"/>
      <c r="S27" s="357"/>
      <c r="T27" s="357"/>
      <c r="U27" s="370"/>
      <c r="V27" s="198"/>
      <c r="W27" s="374"/>
      <c r="X27" s="599"/>
      <c r="Y27" s="200"/>
      <c r="Z27" s="69"/>
      <c r="AA27" s="128"/>
      <c r="AB27" s="360">
        <f>Maerz!AB51</f>
        <v>0</v>
      </c>
      <c r="AC27" s="360">
        <f>Maerz!AC51</f>
        <v>0</v>
      </c>
      <c r="AD27" s="188" t="str">
        <f>IF(VLOOKUP(A27,Para1!$B$67:$E$72,2,FALSE)="4.",VLOOKUP(A27,Para1!$B$67:$E$72,3,FALSE),"")</f>
        <v>Ostern</v>
      </c>
      <c r="AE27" s="540" t="str">
        <f>IF((AB27+AC27)=0,"",IF(ISNA(AD27),"",IF(AD27="","",VLOOKUP(AD27,Para1!$D$67:$G$79,3,FALSE)*(IF(AB27+AC27=1,0.5,1)))))</f>
        <v/>
      </c>
      <c r="AF27" s="540" t="str">
        <f>IF(AB27+AC27=0,"",IF(ISNA(AD28),"",IF(AD28="","",VLOOKUP(AD28,Para1!$D$67:$G$79,4,FALSE)*(IF(AB27+AC27=1,0.5,1)))))</f>
        <v/>
      </c>
      <c r="AG27" s="188">
        <f t="shared" si="2"/>
        <v>0</v>
      </c>
      <c r="AH27" s="187">
        <f t="shared" si="3"/>
        <v>0</v>
      </c>
    </row>
    <row r="28" spans="1:34" ht="16.5" customHeight="1">
      <c r="A28" s="30" t="s">
        <v>13</v>
      </c>
      <c r="B28" s="334" t="str">
        <f>IF(B27=Para1!$F$153,Para1!$F$107,IF(B27=Para1!$F$107,Para1!$F$148,IF(B27=Para1!$F$148,Para1!$F$109,IF(B27=Para1!$F$109,Para1!$F$118,IF(B27=Para1!$F$118,Para1!$F$173,IF(B27=Para1!$F$173,Para1!$F$176,Para1!$F$153))))))</f>
        <v>Mo</v>
      </c>
      <c r="C28" s="305"/>
      <c r="D28" s="359"/>
      <c r="E28" s="355"/>
      <c r="F28" s="355"/>
      <c r="G28" s="357"/>
      <c r="H28" s="359"/>
      <c r="I28" s="355"/>
      <c r="J28" s="355"/>
      <c r="K28" s="357"/>
      <c r="L28" s="119">
        <f t="shared" si="5"/>
        <v>0</v>
      </c>
      <c r="M28" s="141">
        <f t="shared" si="1"/>
        <v>0</v>
      </c>
      <c r="N28" s="45">
        <f t="shared" si="4"/>
        <v>-22.358333333333331</v>
      </c>
      <c r="O28" s="193"/>
      <c r="P28" s="355"/>
      <c r="Q28" s="357"/>
      <c r="R28" s="356"/>
      <c r="S28" s="357"/>
      <c r="T28" s="357"/>
      <c r="U28" s="370"/>
      <c r="V28" s="197"/>
      <c r="W28" s="374"/>
      <c r="X28" s="599"/>
      <c r="Y28" s="200"/>
      <c r="Z28" s="69"/>
      <c r="AA28" s="128"/>
      <c r="AB28" s="360">
        <f>Maerz!AB52</f>
        <v>1</v>
      </c>
      <c r="AC28" s="360">
        <f>Maerz!AC52</f>
        <v>1</v>
      </c>
      <c r="AD28" s="188" t="str">
        <f>IF(VLOOKUP(A28,Para1!$B$67:$E$72,2,FALSE)="4.",VLOOKUP(A28,Para1!$B$67:$E$72,3,FALSE),"")</f>
        <v>Ostermontag</v>
      </c>
      <c r="AE28" s="540">
        <f>IF((AB28+AC28)=0,"",IF(ISNA(AD28),"",IF(AD28="","",VLOOKUP(AD28,Para1!$D$67:$G$79,3,FALSE)*(IF(AB28+AC28=1,0.5,1)))))</f>
        <v>0</v>
      </c>
      <c r="AF28" s="540" t="str">
        <f>IF(AB28+AC28=0,"",IF(ISNA(AD29),"",IF(AD29="","",VLOOKUP(AD29,Para1!$D$67:$G$79,4,FALSE)*(IF(AB28+AC28=1,0.5,1)))))</f>
        <v/>
      </c>
      <c r="AG28" s="188">
        <f t="shared" si="2"/>
        <v>2</v>
      </c>
      <c r="AH28" s="187">
        <f t="shared" si="3"/>
        <v>0</v>
      </c>
    </row>
    <row r="29" spans="1:34" ht="16.5" customHeight="1">
      <c r="A29" s="30" t="s">
        <v>15</v>
      </c>
      <c r="B29" s="334" t="str">
        <f>IF(B28=Para1!$F$153,Para1!$F$107,IF(B28=Para1!$F$107,Para1!$F$148,IF(B28=Para1!$F$148,Para1!$F$109,IF(B28=Para1!$F$109,Para1!$F$118,IF(B28=Para1!$F$118,Para1!$F$173,IF(B28=Para1!$F$173,Para1!$F$176,Para1!$F$153))))))</f>
        <v>Di</v>
      </c>
      <c r="C29" s="305"/>
      <c r="D29" s="359"/>
      <c r="E29" s="355"/>
      <c r="F29" s="355"/>
      <c r="G29" s="357"/>
      <c r="H29" s="359"/>
      <c r="I29" s="355"/>
      <c r="J29" s="355"/>
      <c r="K29" s="357"/>
      <c r="L29" s="119">
        <f t="shared" si="5"/>
        <v>0</v>
      </c>
      <c r="M29" s="141">
        <f t="shared" si="1"/>
        <v>0.35000000000000003</v>
      </c>
      <c r="N29" s="45">
        <f t="shared" si="4"/>
        <v>-22.708333333333332</v>
      </c>
      <c r="O29" s="192"/>
      <c r="P29" s="355"/>
      <c r="Q29" s="357"/>
      <c r="R29" s="356"/>
      <c r="S29" s="357"/>
      <c r="T29" s="357"/>
      <c r="U29" s="370"/>
      <c r="V29" s="198"/>
      <c r="W29" s="373"/>
      <c r="X29" s="599"/>
      <c r="Y29" s="200"/>
      <c r="Z29" s="69"/>
      <c r="AA29" s="128"/>
      <c r="AB29" s="360">
        <f>Maerz!AB53</f>
        <v>1</v>
      </c>
      <c r="AC29" s="360">
        <f>Maerz!AC53</f>
        <v>1</v>
      </c>
      <c r="AD29" s="188" t="e">
        <f>IF(VLOOKUP(A29,Para1!$B$67:$E$72,2,FALSE)="4.",VLOOKUP(A29,Para1!$B$67:$E$72,3,FALSE),"")</f>
        <v>#N/A</v>
      </c>
      <c r="AE29" s="540" t="str">
        <f>IF((AB29+AC29)=0,"",IF(ISNA(AD29),"",IF(AD29="","",VLOOKUP(AD29,Para1!$D$67:$G$79,3,FALSE)*(IF(AB29+AC29=1,0.5,1)))))</f>
        <v/>
      </c>
      <c r="AF29" s="540" t="str">
        <f>IF(AB29+AC29=0,"",IF(ISNA(AD30),"",IF(AD30="","",VLOOKUP(AD30,Para1!$D$67:$G$79,4,FALSE)*(IF(AB29+AC29=1,0.5,1)))))</f>
        <v/>
      </c>
      <c r="AG29" s="188">
        <f t="shared" si="2"/>
        <v>0</v>
      </c>
      <c r="AH29" s="187">
        <f t="shared" si="3"/>
        <v>0.17500000000000002</v>
      </c>
    </row>
    <row r="30" spans="1:34" ht="16.5" customHeight="1">
      <c r="A30" s="30" t="s">
        <v>17</v>
      </c>
      <c r="B30" s="334" t="str">
        <f>IF(B29=Para1!$F$153,Para1!$F$107,IF(B29=Para1!$F$107,Para1!$F$148,IF(B29=Para1!$F$148,Para1!$F$109,IF(B29=Para1!$F$109,Para1!$F$118,IF(B29=Para1!$F$118,Para1!$F$173,IF(B29=Para1!$F$173,Para1!$F$176,Para1!$F$153))))))</f>
        <v>Mi</v>
      </c>
      <c r="C30" s="305"/>
      <c r="D30" s="359"/>
      <c r="E30" s="355"/>
      <c r="F30" s="355"/>
      <c r="G30" s="357"/>
      <c r="H30" s="359"/>
      <c r="I30" s="355"/>
      <c r="J30" s="355"/>
      <c r="K30" s="357"/>
      <c r="L30" s="119">
        <f t="shared" si="5"/>
        <v>0</v>
      </c>
      <c r="M30" s="141">
        <f t="shared" si="1"/>
        <v>0.35000000000000003</v>
      </c>
      <c r="N30" s="45">
        <f t="shared" si="4"/>
        <v>-23.058333333333334</v>
      </c>
      <c r="O30" s="192"/>
      <c r="P30" s="355"/>
      <c r="Q30" s="357"/>
      <c r="R30" s="356"/>
      <c r="S30" s="357"/>
      <c r="T30" s="357"/>
      <c r="U30" s="358"/>
      <c r="V30" s="198"/>
      <c r="W30" s="373"/>
      <c r="X30" s="599"/>
      <c r="Y30" s="200"/>
      <c r="Z30" s="69"/>
      <c r="AA30" s="128"/>
      <c r="AB30" s="360">
        <f>Maerz!AB54</f>
        <v>1</v>
      </c>
      <c r="AC30" s="360">
        <f>Maerz!AC54</f>
        <v>1</v>
      </c>
      <c r="AD30" s="188" t="e">
        <f>IF(VLOOKUP(A30,Para1!$B$67:$E$72,2,FALSE)="4.",VLOOKUP(A30,Para1!$B$67:$E$72,3,FALSE),"")</f>
        <v>#N/A</v>
      </c>
      <c r="AE30" s="540" t="str">
        <f>IF((AB30+AC30)=0,"",IF(ISNA(AD30),"",IF(AD30="","",VLOOKUP(AD30,Para1!$D$67:$G$79,3,FALSE)*(IF(AB30+AC30=1,0.5,1)))))</f>
        <v/>
      </c>
      <c r="AF30" s="540" t="str">
        <f>IF(AB30+AC30=0,"",IF(ISNA(AD31),"",IF(AD31="","",VLOOKUP(AD31,Para1!$D$67:$G$79,4,FALSE)*(IF(AB30+AC30=1,0.5,1)))))</f>
        <v/>
      </c>
      <c r="AG30" s="188">
        <f t="shared" si="2"/>
        <v>0</v>
      </c>
      <c r="AH30" s="187">
        <f t="shared" si="3"/>
        <v>0.17500000000000002</v>
      </c>
    </row>
    <row r="31" spans="1:34" ht="16.5" customHeight="1">
      <c r="A31" s="30" t="s">
        <v>19</v>
      </c>
      <c r="B31" s="334" t="str">
        <f>IF(B30=Para1!$F$153,Para1!$F$107,IF(B30=Para1!$F$107,Para1!$F$148,IF(B30=Para1!$F$148,Para1!$F$109,IF(B30=Para1!$F$109,Para1!$F$118,IF(B30=Para1!$F$118,Para1!$F$173,IF(B30=Para1!$F$173,Para1!$F$176,Para1!$F$153))))))</f>
        <v>Do</v>
      </c>
      <c r="C31" s="305"/>
      <c r="D31" s="359"/>
      <c r="E31" s="355"/>
      <c r="F31" s="355"/>
      <c r="G31" s="357"/>
      <c r="H31" s="359"/>
      <c r="I31" s="355"/>
      <c r="J31" s="355"/>
      <c r="K31" s="357"/>
      <c r="L31" s="119">
        <f t="shared" si="5"/>
        <v>0</v>
      </c>
      <c r="M31" s="141">
        <f t="shared" si="1"/>
        <v>0.35000000000000003</v>
      </c>
      <c r="N31" s="45">
        <f t="shared" si="4"/>
        <v>-23.408333333333335</v>
      </c>
      <c r="O31" s="192"/>
      <c r="P31" s="355"/>
      <c r="Q31" s="357"/>
      <c r="R31" s="356"/>
      <c r="S31" s="357"/>
      <c r="T31" s="357"/>
      <c r="U31" s="358"/>
      <c r="V31" s="198"/>
      <c r="W31" s="373"/>
      <c r="X31" s="599"/>
      <c r="Y31" s="200"/>
      <c r="Z31" s="69"/>
      <c r="AA31" s="128"/>
      <c r="AB31" s="360">
        <f>AB24</f>
        <v>1</v>
      </c>
      <c r="AC31" s="360">
        <f>AC24</f>
        <v>1</v>
      </c>
      <c r="AD31" s="188" t="e">
        <f>IF(VLOOKUP(A31,Para1!$B$67:$E$72,2,FALSE)="4.",VLOOKUP(A31,Para1!$B$67:$E$72,3,FALSE),"")</f>
        <v>#N/A</v>
      </c>
      <c r="AE31" s="540" t="str">
        <f>IF((AB31+AC31)=0,"",IF(ISNA(AD31),"",IF(AD31="","",VLOOKUP(AD31,Para1!$D$67:$G$79,3,FALSE)*(IF(AB31+AC31=1,0.5,1)))))</f>
        <v/>
      </c>
      <c r="AF31" s="540" t="str">
        <f>IF(AB31+AC31=0,"",IF(ISNA(AD32),"",IF(AD32="","",VLOOKUP(AD32,Para1!$D$67:$G$79,4,FALSE)*(IF(AB31+AC31=1,0.5,1)))))</f>
        <v/>
      </c>
      <c r="AG31" s="188">
        <f t="shared" si="2"/>
        <v>0</v>
      </c>
      <c r="AH31" s="187">
        <f t="shared" si="3"/>
        <v>0.17500000000000002</v>
      </c>
    </row>
    <row r="32" spans="1:34" s="50" customFormat="1" ht="16.5" customHeight="1">
      <c r="A32" s="30" t="s">
        <v>20</v>
      </c>
      <c r="B32" s="334" t="str">
        <f>IF(B31=Para1!$F$153,Para1!$F$107,IF(B31=Para1!$F$107,Para1!$F$148,IF(B31=Para1!$F$148,Para1!$F$109,IF(B31=Para1!$F$109,Para1!$F$118,IF(B31=Para1!$F$118,Para1!$F$173,IF(B31=Para1!$F$173,Para1!$F$176,Para1!$F$153))))))</f>
        <v>Fr</v>
      </c>
      <c r="C32" s="305"/>
      <c r="D32" s="359"/>
      <c r="E32" s="355"/>
      <c r="F32" s="355"/>
      <c r="G32" s="357"/>
      <c r="H32" s="359"/>
      <c r="I32" s="355"/>
      <c r="J32" s="355"/>
      <c r="K32" s="357"/>
      <c r="L32" s="119">
        <f t="shared" si="5"/>
        <v>0</v>
      </c>
      <c r="M32" s="141">
        <f t="shared" si="1"/>
        <v>0.35000000000000003</v>
      </c>
      <c r="N32" s="45">
        <f t="shared" si="4"/>
        <v>-23.758333333333336</v>
      </c>
      <c r="O32" s="192"/>
      <c r="P32" s="355"/>
      <c r="Q32" s="357"/>
      <c r="R32" s="356"/>
      <c r="S32" s="357"/>
      <c r="T32" s="357"/>
      <c r="U32" s="370"/>
      <c r="V32" s="198"/>
      <c r="W32" s="373"/>
      <c r="X32" s="599"/>
      <c r="Y32" s="200"/>
      <c r="Z32" s="69"/>
      <c r="AA32" s="128"/>
      <c r="AB32" s="360">
        <f t="shared" ref="AB32:AC37" si="6">AB25</f>
        <v>1</v>
      </c>
      <c r="AC32" s="360">
        <f t="shared" si="6"/>
        <v>1</v>
      </c>
      <c r="AD32" s="188" t="e">
        <f>IF(VLOOKUP(A32,Para1!$B$67:$E$72,2,FALSE)="4.",VLOOKUP(A32,Para1!$B$67:$E$72,3,FALSE),"")</f>
        <v>#N/A</v>
      </c>
      <c r="AE32" s="540" t="str">
        <f>IF((AB32+AC32)=0,"",IF(ISNA(AD32),"",IF(AD32="","",VLOOKUP(AD32,Para1!$D$67:$G$79,3,FALSE)*(IF(AB32+AC32=1,0.5,1)))))</f>
        <v/>
      </c>
      <c r="AF32" s="540" t="str">
        <f>IF(AB32+AC32=0,"",IF(ISNA(AD33),"",IF(AD33="","",VLOOKUP(AD33,Para1!$D$67:$G$79,4,FALSE)*(IF(AB32+AC32=1,0.5,1)))))</f>
        <v/>
      </c>
      <c r="AG32" s="188">
        <f t="shared" si="2"/>
        <v>0</v>
      </c>
      <c r="AH32" s="187">
        <f t="shared" si="3"/>
        <v>0.17500000000000002</v>
      </c>
    </row>
    <row r="33" spans="1:34" s="50" customFormat="1" ht="16.5" customHeight="1">
      <c r="A33" s="30" t="s">
        <v>21</v>
      </c>
      <c r="B33" s="334" t="str">
        <f>IF(B32=Para1!$F$153,Para1!$F$107,IF(B32=Para1!$F$107,Para1!$F$148,IF(B32=Para1!$F$148,Para1!$F$109,IF(B32=Para1!$F$109,Para1!$F$118,IF(B32=Para1!$F$118,Para1!$F$173,IF(B32=Para1!$F$173,Para1!$F$176,Para1!$F$153))))))</f>
        <v>Sa</v>
      </c>
      <c r="C33" s="305"/>
      <c r="D33" s="359"/>
      <c r="E33" s="355"/>
      <c r="F33" s="355"/>
      <c r="G33" s="357"/>
      <c r="H33" s="359"/>
      <c r="I33" s="355"/>
      <c r="J33" s="355"/>
      <c r="K33" s="357"/>
      <c r="L33" s="119">
        <f t="shared" si="5"/>
        <v>0</v>
      </c>
      <c r="M33" s="141">
        <f t="shared" si="1"/>
        <v>0</v>
      </c>
      <c r="N33" s="45">
        <f t="shared" si="4"/>
        <v>-23.758333333333336</v>
      </c>
      <c r="O33" s="193"/>
      <c r="P33" s="355"/>
      <c r="Q33" s="357"/>
      <c r="R33" s="356"/>
      <c r="S33" s="357"/>
      <c r="T33" s="357"/>
      <c r="U33" s="370"/>
      <c r="V33" s="198"/>
      <c r="W33" s="373"/>
      <c r="X33" s="599"/>
      <c r="Y33" s="200"/>
      <c r="Z33" s="69"/>
      <c r="AA33" s="128"/>
      <c r="AB33" s="360">
        <v>0</v>
      </c>
      <c r="AC33" s="360">
        <v>0</v>
      </c>
      <c r="AD33" s="188" t="e">
        <f>IF(VLOOKUP(A33,Para1!$B$67:$E$72,2,FALSE)="4.",VLOOKUP(A33,Para1!$B$67:$E$72,3,FALSE),"")</f>
        <v>#N/A</v>
      </c>
      <c r="AE33" s="540" t="str">
        <f>IF((AB33+AC33)=0,"",IF(ISNA(AD33),"",IF(AD33="","",VLOOKUP(AD33,Para1!$D$67:$G$79,3,FALSE)*(IF(AB33+AC33=1,0.5,1)))))</f>
        <v/>
      </c>
      <c r="AF33" s="540" t="str">
        <f>IF(AB33+AC33=0,"",IF(ISNA(AD34),"",IF(AD34="","",VLOOKUP(AD34,Para1!$D$67:$G$79,4,FALSE)*(IF(AB33+AC33=1,0.5,1)))))</f>
        <v/>
      </c>
      <c r="AG33" s="188">
        <f t="shared" si="2"/>
        <v>0</v>
      </c>
      <c r="AH33" s="187">
        <f t="shared" si="3"/>
        <v>0</v>
      </c>
    </row>
    <row r="34" spans="1:34" s="50" customFormat="1" ht="16.5" customHeight="1">
      <c r="A34" s="30" t="s">
        <v>22</v>
      </c>
      <c r="B34" s="334" t="str">
        <f>IF(B33=Para1!$F$153,Para1!$F$107,IF(B33=Para1!$F$107,Para1!$F$148,IF(B33=Para1!$F$148,Para1!$F$109,IF(B33=Para1!$F$109,Para1!$F$118,IF(B33=Para1!$F$118,Para1!$F$173,IF(B33=Para1!$F$173,Para1!$F$176,Para1!$F$153))))))</f>
        <v>So</v>
      </c>
      <c r="C34" s="305"/>
      <c r="D34" s="359"/>
      <c r="E34" s="355"/>
      <c r="F34" s="355"/>
      <c r="G34" s="357"/>
      <c r="H34" s="359"/>
      <c r="I34" s="355"/>
      <c r="J34" s="355"/>
      <c r="K34" s="357"/>
      <c r="L34" s="119">
        <f t="shared" si="5"/>
        <v>0</v>
      </c>
      <c r="M34" s="141">
        <f t="shared" si="1"/>
        <v>0</v>
      </c>
      <c r="N34" s="45">
        <f t="shared" si="4"/>
        <v>-23.758333333333336</v>
      </c>
      <c r="O34" s="193"/>
      <c r="P34" s="355"/>
      <c r="Q34" s="357"/>
      <c r="R34" s="356"/>
      <c r="S34" s="357"/>
      <c r="T34" s="357"/>
      <c r="U34" s="370"/>
      <c r="V34" s="198"/>
      <c r="W34" s="374"/>
      <c r="X34" s="599"/>
      <c r="Y34" s="200"/>
      <c r="Z34" s="69"/>
      <c r="AA34" s="128"/>
      <c r="AB34" s="360">
        <f t="shared" si="6"/>
        <v>0</v>
      </c>
      <c r="AC34" s="360">
        <f t="shared" si="6"/>
        <v>0</v>
      </c>
      <c r="AD34" s="188" t="e">
        <f>IF(VLOOKUP(A34,Para1!$B$67:$E$72,2,FALSE)="4.",VLOOKUP(A34,Para1!$B$67:$E$72,3,FALSE),"")</f>
        <v>#N/A</v>
      </c>
      <c r="AE34" s="540" t="str">
        <f>IF((AB34+AC34)=0,"",IF(ISNA(AD34),"",IF(AD34="","",VLOOKUP(AD34,Para1!$D$67:$G$79,3,FALSE)*(IF(AB34+AC34=1,0.5,1)))))</f>
        <v/>
      </c>
      <c r="AF34" s="540" t="str">
        <f>IF(AB34+AC34=0,"",IF(ISNA(AD35),"",IF(AD35="","",VLOOKUP(AD35,Para1!$D$67:$G$79,4,FALSE)*(IF(AB34+AC34=1,0.5,1)))))</f>
        <v/>
      </c>
      <c r="AG34" s="188">
        <f t="shared" si="2"/>
        <v>0</v>
      </c>
      <c r="AH34" s="187">
        <f t="shared" si="3"/>
        <v>0</v>
      </c>
    </row>
    <row r="35" spans="1:34" s="50" customFormat="1" ht="16.5" customHeight="1">
      <c r="A35" s="30" t="s">
        <v>23</v>
      </c>
      <c r="B35" s="334" t="str">
        <f>IF(B34=Para1!$F$153,Para1!$F$107,IF(B34=Para1!$F$107,Para1!$F$148,IF(B34=Para1!$F$148,Para1!$F$109,IF(B34=Para1!$F$109,Para1!$F$118,IF(B34=Para1!$F$118,Para1!$F$173,IF(B34=Para1!$F$173,Para1!$F$176,Para1!$F$153))))))</f>
        <v>Mo</v>
      </c>
      <c r="C35" s="305"/>
      <c r="D35" s="359"/>
      <c r="E35" s="355"/>
      <c r="F35" s="355"/>
      <c r="G35" s="357"/>
      <c r="H35" s="359"/>
      <c r="I35" s="355"/>
      <c r="J35" s="355"/>
      <c r="K35" s="357"/>
      <c r="L35" s="119">
        <f t="shared" si="5"/>
        <v>0</v>
      </c>
      <c r="M35" s="141">
        <f t="shared" si="1"/>
        <v>0.35000000000000003</v>
      </c>
      <c r="N35" s="45">
        <f t="shared" si="4"/>
        <v>-24.108333333333338</v>
      </c>
      <c r="O35" s="193"/>
      <c r="P35" s="355"/>
      <c r="Q35" s="357"/>
      <c r="R35" s="356"/>
      <c r="S35" s="357"/>
      <c r="T35" s="357"/>
      <c r="U35" s="370"/>
      <c r="V35" s="197"/>
      <c r="W35" s="374"/>
      <c r="X35" s="599"/>
      <c r="Y35" s="200"/>
      <c r="Z35" s="69"/>
      <c r="AA35" s="128"/>
      <c r="AB35" s="360">
        <f t="shared" si="6"/>
        <v>1</v>
      </c>
      <c r="AC35" s="360">
        <f t="shared" si="6"/>
        <v>1</v>
      </c>
      <c r="AD35" s="188" t="e">
        <f>IF(VLOOKUP(A35,Para1!$B$67:$E$72,2,FALSE)="4.",VLOOKUP(A35,Para1!$B$67:$E$72,3,FALSE),"")</f>
        <v>#N/A</v>
      </c>
      <c r="AE35" s="540" t="str">
        <f>IF((AB35+AC35)=0,"",IF(ISNA(AD35),"",IF(AD35="","",VLOOKUP(AD35,Para1!$D$67:$G$79,3,FALSE)*(IF(AB35+AC35=1,0.5,1)))))</f>
        <v/>
      </c>
      <c r="AF35" s="540" t="str">
        <f>IF(AB35+AC35=0,"",IF(ISNA(AD36),"",IF(AD36="","",VLOOKUP(AD36,Para1!$D$67:$G$79,4,FALSE)*(IF(AB35+AC35=1,0.5,1)))))</f>
        <v/>
      </c>
      <c r="AG35" s="188">
        <f t="shared" si="2"/>
        <v>0</v>
      </c>
      <c r="AH35" s="187">
        <f t="shared" si="3"/>
        <v>0.17500000000000002</v>
      </c>
    </row>
    <row r="36" spans="1:34" ht="16.5" customHeight="1">
      <c r="A36" s="30" t="s">
        <v>24</v>
      </c>
      <c r="B36" s="334" t="str">
        <f>IF(B35=Para1!$F$153,Para1!$F$107,IF(B35=Para1!$F$107,Para1!$F$148,IF(B35=Para1!$F$148,Para1!$F$109,IF(B35=Para1!$F$109,Para1!$F$118,IF(B35=Para1!$F$118,Para1!$F$173,IF(B35=Para1!$F$173,Para1!$F$176,Para1!$F$153))))))</f>
        <v>Di</v>
      </c>
      <c r="C36" s="305"/>
      <c r="D36" s="359"/>
      <c r="E36" s="355"/>
      <c r="F36" s="355"/>
      <c r="G36" s="357"/>
      <c r="H36" s="359"/>
      <c r="I36" s="355"/>
      <c r="J36" s="355"/>
      <c r="K36" s="357"/>
      <c r="L36" s="119">
        <f>SUM((G36-D36),(K36-H36))-SUM((F36-E36),(J36-I36))</f>
        <v>0</v>
      </c>
      <c r="M36" s="141">
        <f>IF(AE36=0,0,IF(AB36,$AB$56,0)+IF(AC36,$AB$56,0)-IF(AE36="",0,(AE36/4800*$H$3)+(AE36/4800*$H$3)))-IF(AF36="",0,(AF36/4800*$H$3)+(AF36/4800*$H$3))</f>
        <v>0.35000000000000003</v>
      </c>
      <c r="N36" s="45">
        <f t="shared" si="4"/>
        <v>-24.458333333333339</v>
      </c>
      <c r="O36" s="193"/>
      <c r="P36" s="355"/>
      <c r="Q36" s="357"/>
      <c r="R36" s="356"/>
      <c r="S36" s="357"/>
      <c r="T36" s="357"/>
      <c r="U36" s="370"/>
      <c r="V36" s="198"/>
      <c r="W36" s="373"/>
      <c r="X36" s="599"/>
      <c r="Y36" s="200"/>
      <c r="Z36" s="69"/>
      <c r="AA36" s="128"/>
      <c r="AB36" s="360">
        <v>1</v>
      </c>
      <c r="AC36" s="360">
        <v>1</v>
      </c>
      <c r="AD36" s="188" t="str">
        <f>IF(VLOOKUP(A36,Para1!$B$67:$E$72,2,FALSE)="4.",VLOOKUP(A36,Para1!$B$67:$E$72,3,FALSE),"")</f>
        <v/>
      </c>
      <c r="AE36" s="540" t="str">
        <f>IF((AB36+AC36)=0,"",IF(ISNA(AD36),"",IF(AD36="","",VLOOKUP(AD36,Para1!$D$67:$G$79,3,FALSE)*(IF(AB36+AC36=1,0.5,1)))))</f>
        <v/>
      </c>
      <c r="AF36" s="540" t="str">
        <f>IF(AB36+AC36=0,"",IF(ISNA(AD37),"",IF(AD37="","",VLOOKUP(AD37,Para1!$D$67:$G$79,4,FALSE)*(IF(AB36+AC36=1,0.5,1)))))</f>
        <v/>
      </c>
      <c r="AG36" s="188">
        <f t="shared" si="2"/>
        <v>0</v>
      </c>
      <c r="AH36" s="187">
        <f t="shared" si="3"/>
        <v>0.17500000000000002</v>
      </c>
    </row>
    <row r="37" spans="1:34" ht="16.5" customHeight="1">
      <c r="A37" s="30" t="s">
        <v>25</v>
      </c>
      <c r="B37" s="334" t="str">
        <f>IF(B36=Para1!$F$153,Para1!$F$107,IF(B36=Para1!$F$107,Para1!$F$148,IF(B36=Para1!$F$148,Para1!$F$109,IF(B36=Para1!$F$109,Para1!$F$118,IF(B36=Para1!$F$118,Para1!$F$173,IF(B36=Para1!$F$173,Para1!$F$176,Para1!$F$153))))))</f>
        <v>Mi</v>
      </c>
      <c r="C37" s="305"/>
      <c r="D37" s="359"/>
      <c r="E37" s="355"/>
      <c r="F37" s="355"/>
      <c r="G37" s="357"/>
      <c r="H37" s="359"/>
      <c r="I37" s="355"/>
      <c r="J37" s="355"/>
      <c r="K37" s="357"/>
      <c r="L37" s="119">
        <f t="shared" si="5"/>
        <v>0</v>
      </c>
      <c r="M37" s="141">
        <f t="shared" si="1"/>
        <v>0.35000000000000003</v>
      </c>
      <c r="N37" s="45">
        <f t="shared" si="4"/>
        <v>-24.808333333333341</v>
      </c>
      <c r="O37" s="192"/>
      <c r="P37" s="355"/>
      <c r="Q37" s="357"/>
      <c r="R37" s="356"/>
      <c r="S37" s="357"/>
      <c r="T37" s="357"/>
      <c r="U37" s="358"/>
      <c r="V37" s="198"/>
      <c r="W37" s="373"/>
      <c r="X37" s="599"/>
      <c r="Y37" s="200"/>
      <c r="Z37" s="69"/>
      <c r="AA37" s="128"/>
      <c r="AB37" s="360">
        <f t="shared" si="6"/>
        <v>1</v>
      </c>
      <c r="AC37" s="360">
        <f t="shared" si="6"/>
        <v>1</v>
      </c>
      <c r="AD37" s="188" t="e">
        <f>IF(VLOOKUP(A37,Para1!$B$67:$E$72,2,FALSE)="4.",VLOOKUP(A37,Para1!$B$67:$E$72,3,FALSE),"")</f>
        <v>#N/A</v>
      </c>
      <c r="AE37" s="540" t="str">
        <f>IF((AB37+AC37)=0,"",IF(ISNA(AD37),"",IF(AD37="","",VLOOKUP(AD37,Para1!$D$67:$G$79,3,FALSE)*(IF(AB37+AC37=1,0.5,1)))))</f>
        <v/>
      </c>
      <c r="AF37" s="540" t="str">
        <f>IF(AB37+AC37=0,"",IF(ISNA(AD38),"",IF(AD38="","",VLOOKUP(AD38,Para1!$D$67:$G$79,4,FALSE)*(IF(AB37+AC37=1,0.5,1)))))</f>
        <v/>
      </c>
      <c r="AG37" s="188">
        <f t="shared" si="2"/>
        <v>0</v>
      </c>
      <c r="AH37" s="187">
        <f t="shared" si="3"/>
        <v>0.17500000000000002</v>
      </c>
    </row>
    <row r="38" spans="1:34" ht="16.5" customHeight="1">
      <c r="A38" s="30" t="s">
        <v>26</v>
      </c>
      <c r="B38" s="334" t="str">
        <f>IF(B37=Para1!$F$153,Para1!$F$107,IF(B37=Para1!$F$107,Para1!$F$148,IF(B37=Para1!$F$148,Para1!$F$109,IF(B37=Para1!$F$109,Para1!$F$118,IF(B37=Para1!$F$118,Para1!$F$173,IF(B37=Para1!$F$173,Para1!$F$176,Para1!$F$153))))))</f>
        <v>Do</v>
      </c>
      <c r="C38" s="305"/>
      <c r="D38" s="359"/>
      <c r="E38" s="355"/>
      <c r="F38" s="355"/>
      <c r="G38" s="357"/>
      <c r="H38" s="359"/>
      <c r="I38" s="355"/>
      <c r="J38" s="355"/>
      <c r="K38" s="357"/>
      <c r="L38" s="119">
        <f t="shared" si="5"/>
        <v>0</v>
      </c>
      <c r="M38" s="141">
        <f t="shared" si="1"/>
        <v>0.35000000000000003</v>
      </c>
      <c r="N38" s="45">
        <f t="shared" si="4"/>
        <v>-25.158333333333342</v>
      </c>
      <c r="O38" s="192"/>
      <c r="P38" s="355"/>
      <c r="Q38" s="357"/>
      <c r="R38" s="356"/>
      <c r="S38" s="357"/>
      <c r="T38" s="357"/>
      <c r="U38" s="358"/>
      <c r="V38" s="198"/>
      <c r="W38" s="373"/>
      <c r="X38" s="599"/>
      <c r="Y38" s="200"/>
      <c r="Z38" s="69"/>
      <c r="AA38" s="128"/>
      <c r="AB38" s="360">
        <f>AB31</f>
        <v>1</v>
      </c>
      <c r="AC38" s="360">
        <f>AC31</f>
        <v>1</v>
      </c>
      <c r="AD38" s="188" t="e">
        <f>IF(VLOOKUP(A38,Para1!$B$67:$E$72,2,FALSE)="4.",VLOOKUP(A38,Para1!$B$67:$E$72,3,FALSE),"")</f>
        <v>#N/A</v>
      </c>
      <c r="AE38" s="540" t="str">
        <f>IF((AB38+AC38)=0,"",IF(ISNA(AD38),"",IF(AD38="","",VLOOKUP(AD38,Para1!$D$67:$G$79,3,FALSE)*(IF(AB38+AC38=1,0.5,1)))))</f>
        <v/>
      </c>
      <c r="AF38" s="540" t="str">
        <f>IF(AB38+AC38=0,"",IF(ISNA(AD39),"",IF(AD39="","",VLOOKUP(AD39,Para1!$D$67:$G$79,4,FALSE)*(IF(AB38+AC38=1,0.5,1)))))</f>
        <v/>
      </c>
      <c r="AG38" s="188">
        <f t="shared" si="2"/>
        <v>0</v>
      </c>
      <c r="AH38" s="187">
        <f t="shared" si="3"/>
        <v>0.17500000000000002</v>
      </c>
    </row>
    <row r="39" spans="1:34" s="35" customFormat="1" ht="16.5" customHeight="1">
      <c r="A39" s="30" t="s">
        <v>27</v>
      </c>
      <c r="B39" s="334" t="str">
        <f>IF(B38=Para1!$F$153,Para1!$F$107,IF(B38=Para1!$F$107,Para1!$F$148,IF(B38=Para1!$F$148,Para1!$F$109,IF(B38=Para1!$F$109,Para1!$F$118,IF(B38=Para1!$F$118,Para1!$F$173,IF(B38=Para1!$F$173,Para1!$F$176,Para1!$F$153))))))</f>
        <v>Fr</v>
      </c>
      <c r="C39" s="305"/>
      <c r="D39" s="359"/>
      <c r="E39" s="355"/>
      <c r="F39" s="355"/>
      <c r="G39" s="357"/>
      <c r="H39" s="359"/>
      <c r="I39" s="355"/>
      <c r="J39" s="355"/>
      <c r="K39" s="357"/>
      <c r="L39" s="119">
        <f t="shared" si="5"/>
        <v>0</v>
      </c>
      <c r="M39" s="141">
        <f t="shared" si="1"/>
        <v>0.35000000000000003</v>
      </c>
      <c r="N39" s="45">
        <f t="shared" si="4"/>
        <v>-25.508333333333344</v>
      </c>
      <c r="O39" s="193"/>
      <c r="P39" s="355"/>
      <c r="Q39" s="357"/>
      <c r="R39" s="356"/>
      <c r="S39" s="357"/>
      <c r="T39" s="357"/>
      <c r="U39" s="370"/>
      <c r="V39" s="198"/>
      <c r="W39" s="373"/>
      <c r="X39" s="599"/>
      <c r="Y39" s="200"/>
      <c r="Z39" s="69"/>
      <c r="AA39" s="128"/>
      <c r="AB39" s="360">
        <f t="shared" ref="AB39:AC44" si="7">AB32</f>
        <v>1</v>
      </c>
      <c r="AC39" s="360">
        <f t="shared" si="7"/>
        <v>1</v>
      </c>
      <c r="AD39" s="188" t="e">
        <f>IF(VLOOKUP(A39,Para1!$B$67:$E$72,2,FALSE)="4.",VLOOKUP(A39,Para1!$B$67:$E$72,3,FALSE),"")</f>
        <v>#N/A</v>
      </c>
      <c r="AE39" s="540" t="str">
        <f>IF((AB39+AC39)=0,"",IF(ISNA(AD39),"",IF(AD39="","",VLOOKUP(AD39,Para1!$D$67:$G$79,3,FALSE)*(IF(AB39+AC39=1,0.5,1)))))</f>
        <v/>
      </c>
      <c r="AF39" s="540" t="str">
        <f>IF(AB39+AC39=0,"",IF(ISNA(AD40),"",IF(AD40="","",VLOOKUP(AD40,Para1!$D$67:$G$79,4,FALSE)*(IF(AB39+AC39=1,0.5,1)))))</f>
        <v/>
      </c>
      <c r="AG39" s="188">
        <f t="shared" si="2"/>
        <v>0</v>
      </c>
      <c r="AH39" s="187">
        <f t="shared" si="3"/>
        <v>0.17500000000000002</v>
      </c>
    </row>
    <row r="40" spans="1:34" s="50" customFormat="1" ht="16.5" customHeight="1">
      <c r="A40" s="30" t="s">
        <v>28</v>
      </c>
      <c r="B40" s="334" t="str">
        <f>IF(B39=Para1!$F$153,Para1!$F$107,IF(B39=Para1!$F$107,Para1!$F$148,IF(B39=Para1!$F$148,Para1!$F$109,IF(B39=Para1!$F$109,Para1!$F$118,IF(B39=Para1!$F$118,Para1!$F$173,IF(B39=Para1!$F$173,Para1!$F$176,Para1!$F$153))))))</f>
        <v>Sa</v>
      </c>
      <c r="C40" s="305"/>
      <c r="D40" s="359"/>
      <c r="E40" s="355"/>
      <c r="F40" s="355"/>
      <c r="G40" s="357"/>
      <c r="H40" s="359"/>
      <c r="I40" s="355"/>
      <c r="J40" s="355"/>
      <c r="K40" s="357"/>
      <c r="L40" s="119">
        <f t="shared" si="5"/>
        <v>0</v>
      </c>
      <c r="M40" s="141">
        <f t="shared" si="1"/>
        <v>0</v>
      </c>
      <c r="N40" s="45">
        <f>$N39+$L40-M40+SUM($P40:$U40)+IF(OR($W40="f",$W40="m",$W40="z",$W40="u",$W40="b",$W40="l"),$AH40,0)+IF(OR($X40="f",$X40="m",$X40="z",$X40="u",$X40="b",$X40="l"),$AH40,0)</f>
        <v>-25.508333333333344</v>
      </c>
      <c r="O40" s="193"/>
      <c r="P40" s="355"/>
      <c r="Q40" s="357"/>
      <c r="R40" s="356"/>
      <c r="S40" s="357"/>
      <c r="T40" s="357"/>
      <c r="U40" s="370"/>
      <c r="V40" s="198"/>
      <c r="W40" s="373"/>
      <c r="X40" s="599"/>
      <c r="Y40" s="200"/>
      <c r="Z40" s="69"/>
      <c r="AA40" s="128"/>
      <c r="AB40" s="360">
        <f>AB26</f>
        <v>0</v>
      </c>
      <c r="AC40" s="360">
        <f>AB26</f>
        <v>0</v>
      </c>
      <c r="AD40" s="188" t="e">
        <f>IF(VLOOKUP(A40,Para1!$B$67:$E$72,2,FALSE)="4.",VLOOKUP(A40,Para1!$B$67:$E$72,3,FALSE),"")</f>
        <v>#N/A</v>
      </c>
      <c r="AE40" s="540" t="str">
        <f>IF((AB40+AC40)=0,"",IF(ISNA(AD40),"",IF(AD40="","",VLOOKUP(AD40,Para1!$D$67:$G$79,3,FALSE)*(IF(AB40+AC40=1,0.5,1)))))</f>
        <v/>
      </c>
      <c r="AF40" s="540" t="str">
        <f>IF(AB40+AC40=0,"",IF(ISNA(AD41),"",IF(AD41="","",VLOOKUP(AD41,Para1!$D$67:$G$79,4,FALSE)*(IF(AB40+AC40=1,0.5,1)))))</f>
        <v/>
      </c>
      <c r="AG40" s="188">
        <f t="shared" si="2"/>
        <v>0</v>
      </c>
      <c r="AH40" s="187">
        <f>IF((AB40+AC40)=0,0,M40/(AB40+AC40))</f>
        <v>0</v>
      </c>
    </row>
    <row r="41" spans="1:34" s="50" customFormat="1" ht="16.5" customHeight="1">
      <c r="A41" s="30" t="s">
        <v>29</v>
      </c>
      <c r="B41" s="334" t="str">
        <f>IF(B40=Para1!$F$153,Para1!$F$107,IF(B40=Para1!$F$107,Para1!$F$148,IF(B40=Para1!$F$148,Para1!$F$109,IF(B40=Para1!$F$109,Para1!$F$118,IF(B40=Para1!$F$118,Para1!$F$173,IF(B40=Para1!$F$173,Para1!$F$176,Para1!$F$153))))))</f>
        <v>So</v>
      </c>
      <c r="C41" s="305"/>
      <c r="D41" s="359"/>
      <c r="E41" s="355"/>
      <c r="F41" s="355"/>
      <c r="G41" s="357"/>
      <c r="H41" s="359"/>
      <c r="I41" s="355"/>
      <c r="J41" s="355"/>
      <c r="K41" s="357"/>
      <c r="L41" s="119">
        <f t="shared" si="5"/>
        <v>0</v>
      </c>
      <c r="M41" s="141">
        <f>IF(AE41=0,0,IF(AB41,$AB$56,0)+IF(AC41,$AB$56,0)-IF(AE41="",0,(AE41/4800*$H$3)+(AE41/4800*$H$3)))-IF(AF41="",0,(AF41/4800*$H$3)+(AF41/4800*$H$3))</f>
        <v>0</v>
      </c>
      <c r="N41" s="45">
        <f>$N40+$L41-M41+SUM($P41:$U41)+IF(OR($W41="f",$W41="m",$W41="z",$W41="u",$W41="b",$W41="l"),$AH41,0)+IF(OR($X41="f",$X41="m",$X41="z",$X41="u",$X41="b",$X41="l"),$AH41,0)</f>
        <v>-25.508333333333344</v>
      </c>
      <c r="O41" s="193"/>
      <c r="P41" s="355"/>
      <c r="Q41" s="357"/>
      <c r="R41" s="356"/>
      <c r="S41" s="357"/>
      <c r="T41" s="357"/>
      <c r="U41" s="370"/>
      <c r="V41" s="198"/>
      <c r="W41" s="374"/>
      <c r="X41" s="599"/>
      <c r="Y41" s="200"/>
      <c r="Z41" s="69"/>
      <c r="AA41" s="128"/>
      <c r="AB41" s="360">
        <f t="shared" si="7"/>
        <v>0</v>
      </c>
      <c r="AC41" s="360">
        <f t="shared" si="7"/>
        <v>0</v>
      </c>
      <c r="AD41" s="188" t="e">
        <f>IF(VLOOKUP(A41,Para1!$B$67:$E$72,2,FALSE)="4.",VLOOKUP(A41,Para1!$B$67:$E$72,3,FALSE),"")</f>
        <v>#N/A</v>
      </c>
      <c r="AE41" s="540" t="str">
        <f>IF((AB41+AC41)=0,"",IF(ISNA(AD41),"",IF(AD41="","",VLOOKUP(AD41,Para1!$D$67:$G$79,3,FALSE)*(IF(AB41+AC41=1,0.5,1)))))</f>
        <v/>
      </c>
      <c r="AF41" s="540" t="str">
        <f>IF(AB41+AC41=0,"",IF(ISNA(AD42),"",IF(AD42="","",VLOOKUP(AD42,Para1!$D$67:$G$79,4,FALSE)*(IF(AB41+AC41=1,0.5,1)))))</f>
        <v/>
      </c>
      <c r="AG41" s="188">
        <f t="shared" si="2"/>
        <v>0</v>
      </c>
      <c r="AH41" s="187">
        <f>IF((AB41+AC41)=0,0,M41/(AB41+AC41))</f>
        <v>0</v>
      </c>
    </row>
    <row r="42" spans="1:34" ht="16.5" customHeight="1">
      <c r="A42" s="30" t="s">
        <v>30</v>
      </c>
      <c r="B42" s="334" t="str">
        <f>IF(B41=Para1!$F$153,Para1!$F$107,IF(B41=Para1!$F$107,Para1!$F$148,IF(B41=Para1!$F$148,Para1!$F$109,IF(B41=Para1!$F$109,Para1!$F$118,IF(B41=Para1!$F$118,Para1!$F$173,IF(B41=Para1!$F$173,Para1!$F$176,Para1!$F$153))))))</f>
        <v>Mo</v>
      </c>
      <c r="C42" s="305"/>
      <c r="D42" s="359"/>
      <c r="E42" s="355"/>
      <c r="F42" s="355"/>
      <c r="G42" s="357"/>
      <c r="H42" s="359"/>
      <c r="I42" s="355"/>
      <c r="J42" s="355"/>
      <c r="K42" s="357"/>
      <c r="L42" s="119">
        <f t="shared" si="5"/>
        <v>0</v>
      </c>
      <c r="M42" s="141">
        <f t="shared" si="1"/>
        <v>0.35000000000000003</v>
      </c>
      <c r="N42" s="45">
        <f t="shared" si="4"/>
        <v>-25.858333333333345</v>
      </c>
      <c r="O42" s="193"/>
      <c r="P42" s="355"/>
      <c r="Q42" s="357"/>
      <c r="R42" s="356"/>
      <c r="S42" s="357"/>
      <c r="T42" s="357"/>
      <c r="U42" s="370"/>
      <c r="V42" s="197"/>
      <c r="W42" s="374"/>
      <c r="X42" s="599"/>
      <c r="Y42" s="200"/>
      <c r="Z42" s="69"/>
      <c r="AA42" s="128"/>
      <c r="AB42" s="360">
        <f>AB35</f>
        <v>1</v>
      </c>
      <c r="AC42" s="360">
        <f>AC35</f>
        <v>1</v>
      </c>
      <c r="AD42" s="188" t="e">
        <f>IF(VLOOKUP(A42,Para1!$B$67:$E$72,2,FALSE)="4.",VLOOKUP(A42,Para1!$B$67:$E$72,3,FALSE),"")</f>
        <v>#N/A</v>
      </c>
      <c r="AE42" s="540" t="str">
        <f>IF((AB42+AC42)=0,"",IF(ISNA(AD42),"",IF(AD42="","",VLOOKUP(AD42,Para1!$D$67:$G$79,3,FALSE)*(IF(AB42+AC42=1,0.5,1)))))</f>
        <v/>
      </c>
      <c r="AF42" s="540" t="str">
        <f>IF(AB42+AC42=0,"",IF(ISNA(AD43),"",IF(AD43="","",VLOOKUP(AD43,Para1!$D$67:$G$79,4,FALSE)*(IF(AB42+AC42=1,0.5,1)))))</f>
        <v/>
      </c>
      <c r="AG42" s="188">
        <f t="shared" si="2"/>
        <v>0</v>
      </c>
      <c r="AH42" s="187">
        <f t="shared" si="3"/>
        <v>0.17500000000000002</v>
      </c>
    </row>
    <row r="43" spans="1:34" ht="16.5" customHeight="1">
      <c r="A43" s="30" t="s">
        <v>31</v>
      </c>
      <c r="B43" s="334" t="str">
        <f>IF(B42=Para1!$F$153,Para1!$F$107,IF(B42=Para1!$F$107,Para1!$F$148,IF(B42=Para1!$F$148,Para1!$F$109,IF(B42=Para1!$F$109,Para1!$F$118,IF(B42=Para1!$F$118,Para1!$F$173,IF(B42=Para1!$F$173,Para1!$F$176,Para1!$F$153))))))</f>
        <v>Di</v>
      </c>
      <c r="C43" s="305"/>
      <c r="D43" s="359"/>
      <c r="E43" s="355"/>
      <c r="F43" s="355"/>
      <c r="G43" s="357"/>
      <c r="H43" s="359"/>
      <c r="I43" s="355"/>
      <c r="J43" s="355"/>
      <c r="K43" s="357"/>
      <c r="L43" s="119">
        <f t="shared" si="5"/>
        <v>0</v>
      </c>
      <c r="M43" s="141">
        <f t="shared" si="1"/>
        <v>0.35000000000000003</v>
      </c>
      <c r="N43" s="45">
        <f t="shared" si="4"/>
        <v>-26.208333333333346</v>
      </c>
      <c r="O43" s="193"/>
      <c r="P43" s="355"/>
      <c r="Q43" s="357"/>
      <c r="R43" s="356"/>
      <c r="S43" s="357"/>
      <c r="T43" s="357"/>
      <c r="U43" s="370"/>
      <c r="V43" s="198"/>
      <c r="W43" s="373"/>
      <c r="X43" s="599"/>
      <c r="Y43" s="200"/>
      <c r="Z43" s="69"/>
      <c r="AA43" s="128"/>
      <c r="AB43" s="360">
        <f>AB29</f>
        <v>1</v>
      </c>
      <c r="AC43" s="360">
        <f>AC29</f>
        <v>1</v>
      </c>
      <c r="AD43" s="188" t="e">
        <f>IF(VLOOKUP(A43,Para1!$B$67:$E$72,2,FALSE)="4.",VLOOKUP(A43,Para1!$B$67:$E$72,3,FALSE),"")</f>
        <v>#N/A</v>
      </c>
      <c r="AE43" s="540" t="str">
        <f>IF((AB43+AC43)=0,"",IF(ISNA(AD43),"",IF(AD43="","",VLOOKUP(AD43,Para1!$D$67:$G$79,3,FALSE)*(IF(AB43+AC43=1,0.5,1)))))</f>
        <v/>
      </c>
      <c r="AF43" s="540" t="str">
        <f>IF(AB43+AC43=0,"",IF(ISNA(AD44),"",IF(AD44="","",VLOOKUP(AD44,Para1!$D$67:$G$79,4,FALSE)*(IF(AB43+AC43=1,0.5,1)))))</f>
        <v/>
      </c>
      <c r="AG43" s="188">
        <f t="shared" si="2"/>
        <v>0</v>
      </c>
      <c r="AH43" s="187">
        <f t="shared" si="3"/>
        <v>0.17500000000000002</v>
      </c>
    </row>
    <row r="44" spans="1:34" ht="16.5" customHeight="1">
      <c r="A44" s="30" t="s">
        <v>32</v>
      </c>
      <c r="B44" s="334" t="str">
        <f>IF(B43=Para1!$F$153,Para1!$F$107,IF(B43=Para1!$F$107,Para1!$F$148,IF(B43=Para1!$F$148,Para1!$F$109,IF(B43=Para1!$F$109,Para1!$F$118,IF(B43=Para1!$F$118,Para1!$F$173,IF(B43=Para1!$F$173,Para1!$F$176,Para1!$F$153))))))</f>
        <v>Mi</v>
      </c>
      <c r="C44" s="305"/>
      <c r="D44" s="359"/>
      <c r="E44" s="355"/>
      <c r="F44" s="355"/>
      <c r="G44" s="357"/>
      <c r="H44" s="359"/>
      <c r="I44" s="355"/>
      <c r="J44" s="355"/>
      <c r="K44" s="357"/>
      <c r="L44" s="119">
        <f t="shared" si="5"/>
        <v>0</v>
      </c>
      <c r="M44" s="141">
        <f t="shared" si="1"/>
        <v>0.35000000000000003</v>
      </c>
      <c r="N44" s="45">
        <f t="shared" si="4"/>
        <v>-26.558333333333348</v>
      </c>
      <c r="O44" s="192"/>
      <c r="P44" s="355"/>
      <c r="Q44" s="357"/>
      <c r="R44" s="356"/>
      <c r="S44" s="357"/>
      <c r="T44" s="357"/>
      <c r="U44" s="358"/>
      <c r="V44" s="198"/>
      <c r="W44" s="373"/>
      <c r="X44" s="599"/>
      <c r="Y44" s="236"/>
      <c r="Z44" s="156"/>
      <c r="AA44" s="128"/>
      <c r="AB44" s="360">
        <f t="shared" si="7"/>
        <v>1</v>
      </c>
      <c r="AC44" s="360">
        <f t="shared" si="7"/>
        <v>1</v>
      </c>
      <c r="AD44" s="188" t="e">
        <f>IF(VLOOKUP(A44,Para1!$B$67:$E$72,2,FALSE)="4.",VLOOKUP(A44,Para1!$B$67:$E$72,3,FALSE),"")</f>
        <v>#N/A</v>
      </c>
      <c r="AE44" s="540" t="str">
        <f>IF((AB44+AC44)=0,"",IF(ISNA(AD44),"",IF(AD44="","",VLOOKUP(AD44,Para1!$D$67:$G$79,3,FALSE)*(IF(AB44+AC44=1,0.5,1)))))</f>
        <v/>
      </c>
      <c r="AF44" s="540" t="str">
        <f>IF(AB44+AC44=0,"",IF(ISNA(AD45),"",IF(AD45="","",VLOOKUP(AD45,Para1!$D$67:$G$79,4,FALSE)*(IF(AB44+AC44=1,0.5,1)))))</f>
        <v/>
      </c>
      <c r="AG44" s="188">
        <f t="shared" si="2"/>
        <v>0</v>
      </c>
      <c r="AH44" s="187">
        <f t="shared" si="3"/>
        <v>0.17500000000000002</v>
      </c>
    </row>
    <row r="45" spans="1:34" ht="16.5" customHeight="1">
      <c r="A45" s="30" t="s">
        <v>33</v>
      </c>
      <c r="B45" s="334" t="str">
        <f>IF(B44=Para1!$F$153,Para1!$F$107,IF(B44=Para1!$F$107,Para1!$F$148,IF(B44=Para1!$F$148,Para1!$F$109,IF(B44=Para1!$F$109,Para1!$F$118,IF(B44=Para1!$F$118,Para1!$F$173,IF(B44=Para1!$F$173,Para1!$F$176,Para1!$F$153))))))</f>
        <v>Do</v>
      </c>
      <c r="C45" s="305"/>
      <c r="D45" s="359"/>
      <c r="E45" s="355"/>
      <c r="F45" s="355"/>
      <c r="G45" s="357"/>
      <c r="H45" s="359"/>
      <c r="I45" s="355"/>
      <c r="J45" s="355"/>
      <c r="K45" s="357"/>
      <c r="L45" s="119">
        <f t="shared" si="5"/>
        <v>0</v>
      </c>
      <c r="M45" s="141">
        <f t="shared" si="1"/>
        <v>0.35000000000000003</v>
      </c>
      <c r="N45" s="45">
        <f t="shared" si="4"/>
        <v>-26.908333333333349</v>
      </c>
      <c r="O45" s="192"/>
      <c r="P45" s="355"/>
      <c r="Q45" s="357"/>
      <c r="R45" s="356"/>
      <c r="S45" s="357"/>
      <c r="T45" s="357"/>
      <c r="U45" s="370"/>
      <c r="V45" s="198"/>
      <c r="W45" s="373"/>
      <c r="X45" s="599"/>
      <c r="Y45" s="200"/>
      <c r="Z45" s="69"/>
      <c r="AA45" s="128"/>
      <c r="AB45" s="360">
        <f>AB38</f>
        <v>1</v>
      </c>
      <c r="AC45" s="360">
        <f>AC38</f>
        <v>1</v>
      </c>
      <c r="AD45" s="188" t="e">
        <f>IF(VLOOKUP(A45,Para1!$B$67:$E$72,2,FALSE)="4.",VLOOKUP(A45,Para1!$B$67:$E$72,3,FALSE),"")</f>
        <v>#N/A</v>
      </c>
      <c r="AE45" s="540" t="str">
        <f>IF((AB45+AC45)=0,"",IF(ISNA(AD45),"",IF(AD45="","",VLOOKUP(AD45,Para1!$D$67:$G$79,3,FALSE)*(IF(AB45+AC45=1,0.5,1)))))</f>
        <v/>
      </c>
      <c r="AF45" s="540" t="str">
        <f>IF(AB45+AC45=0,"",IF(ISNA(AD46),"",IF(AD46="","",VLOOKUP(AD46,Para1!$D$67:$G$79,4,FALSE)*(IF(AB45+AC45=1,0.5,1)))))</f>
        <v/>
      </c>
      <c r="AG45" s="188">
        <f t="shared" si="2"/>
        <v>0</v>
      </c>
      <c r="AH45" s="187">
        <f t="shared" si="3"/>
        <v>0.17500000000000002</v>
      </c>
    </row>
    <row r="46" spans="1:34" ht="16.5" customHeight="1">
      <c r="A46" s="30" t="s">
        <v>34</v>
      </c>
      <c r="B46" s="334" t="str">
        <f>IF(B45=Para1!$F$153,Para1!$F$107,IF(B45=Para1!$F$107,Para1!$F$148,IF(B45=Para1!$F$148,Para1!$F$109,IF(B45=Para1!$F$109,Para1!$F$118,IF(B45=Para1!$F$118,Para1!$F$173,IF(B45=Para1!$F$173,Para1!$F$176,Para1!$F$153))))))</f>
        <v>Fr</v>
      </c>
      <c r="C46" s="305"/>
      <c r="D46" s="359"/>
      <c r="E46" s="355"/>
      <c r="F46" s="355"/>
      <c r="G46" s="357"/>
      <c r="H46" s="359"/>
      <c r="I46" s="355"/>
      <c r="J46" s="355"/>
      <c r="K46" s="357"/>
      <c r="L46" s="119">
        <f t="shared" si="5"/>
        <v>0</v>
      </c>
      <c r="M46" s="141">
        <f t="shared" si="1"/>
        <v>0.35000000000000003</v>
      </c>
      <c r="N46" s="45">
        <f t="shared" si="4"/>
        <v>-27.258333333333351</v>
      </c>
      <c r="O46" s="193"/>
      <c r="P46" s="355"/>
      <c r="Q46" s="357"/>
      <c r="R46" s="356"/>
      <c r="S46" s="357"/>
      <c r="T46" s="357"/>
      <c r="U46" s="370"/>
      <c r="V46" s="198"/>
      <c r="W46" s="373"/>
      <c r="X46" s="599"/>
      <c r="Y46" s="200"/>
      <c r="Z46" s="69"/>
      <c r="AA46" s="128"/>
      <c r="AB46" s="360">
        <f t="shared" ref="AB46:AC46" si="8">AB39</f>
        <v>1</v>
      </c>
      <c r="AC46" s="360">
        <f t="shared" si="8"/>
        <v>1</v>
      </c>
      <c r="AD46" s="188" t="str">
        <f>IF(VLOOKUP(A46,Para1!$B$67:$E$72,2,FALSE)="4.",VLOOKUP(A46,Para1!$B$67:$E$72,3,FALSE),"")</f>
        <v/>
      </c>
      <c r="AE46" s="540" t="str">
        <f>IF((AB46+AC46)=0,"",IF(ISNA(AD46),"",IF(AD46="","",VLOOKUP(AD46,Para1!$D$67:$G$79,3,FALSE)*(IF(AB46+AC46=1,0.5,1)))))</f>
        <v/>
      </c>
      <c r="AF46" s="540" t="str">
        <f>IF(AB46+AC46=0,"",IF(ISNA(AD47),"",IF(AD47="","",VLOOKUP(AD47,Para1!$D$67:$G$79,4,FALSE)*(IF(AB46+AC46=1,0.5,1)))))</f>
        <v/>
      </c>
      <c r="AG46" s="188">
        <f t="shared" si="2"/>
        <v>0</v>
      </c>
      <c r="AH46" s="187">
        <f t="shared" si="3"/>
        <v>0.17500000000000002</v>
      </c>
    </row>
    <row r="47" spans="1:34" s="50" customFormat="1" ht="16.5" customHeight="1">
      <c r="A47" s="30" t="s">
        <v>35</v>
      </c>
      <c r="B47" s="334" t="str">
        <f>IF(B46=Para1!$F$153,Para1!$F$107,IF(B46=Para1!$F$107,Para1!$F$148,IF(B46=Para1!$F$148,Para1!$F$109,IF(B46=Para1!$F$109,Para1!$F$118,IF(B46=Para1!$F$118,Para1!$F$173,IF(B46=Para1!$F$173,Para1!$F$176,Para1!$F$153))))))</f>
        <v>Sa</v>
      </c>
      <c r="C47" s="305"/>
      <c r="D47" s="359"/>
      <c r="E47" s="355"/>
      <c r="F47" s="355"/>
      <c r="G47" s="357"/>
      <c r="H47" s="359"/>
      <c r="I47" s="355"/>
      <c r="J47" s="355"/>
      <c r="K47" s="357"/>
      <c r="L47" s="119">
        <f t="shared" si="5"/>
        <v>0</v>
      </c>
      <c r="M47" s="141">
        <f t="shared" si="1"/>
        <v>0</v>
      </c>
      <c r="N47" s="45">
        <f t="shared" si="4"/>
        <v>-27.258333333333351</v>
      </c>
      <c r="O47" s="193"/>
      <c r="P47" s="355"/>
      <c r="Q47" s="357"/>
      <c r="R47" s="356"/>
      <c r="S47" s="357"/>
      <c r="T47" s="357"/>
      <c r="U47" s="370"/>
      <c r="V47" s="198"/>
      <c r="W47" s="373"/>
      <c r="X47" s="599"/>
      <c r="Y47" s="200"/>
      <c r="Z47" s="69"/>
      <c r="AA47" s="128"/>
      <c r="AB47" s="360">
        <f t="shared" ref="AB47:AC47" si="9">AB40</f>
        <v>0</v>
      </c>
      <c r="AC47" s="360">
        <f t="shared" si="9"/>
        <v>0</v>
      </c>
      <c r="AD47" s="188" t="str">
        <f>IF(VLOOKUP(A47,Para1!$B$67:$E$72,2,FALSE)="4.",VLOOKUP(A47,Para1!$B$67:$E$72,3,FALSE),"")</f>
        <v/>
      </c>
      <c r="AE47" s="540" t="str">
        <f>IF((AB47+AC47)=0,"",IF(ISNA(AD47),"",IF(AD47="","",VLOOKUP(AD47,Para1!$D$67:$G$79,3,FALSE)*(IF(AB47+AC47=1,0.5,1)))))</f>
        <v/>
      </c>
      <c r="AF47" s="540" t="str">
        <f>IF(AB47+AC47=0,"",IF(ISNA(AD48),"",IF(AD48="","",VLOOKUP(AD48,Para1!$D$67:$G$79,4,FALSE)*(IF(AB47+AC47=1,0.5,1)))))</f>
        <v/>
      </c>
      <c r="AG47" s="188">
        <f t="shared" si="2"/>
        <v>0</v>
      </c>
      <c r="AH47" s="187">
        <f t="shared" si="3"/>
        <v>0</v>
      </c>
    </row>
    <row r="48" spans="1:34" s="50" customFormat="1" ht="16.5" customHeight="1">
      <c r="A48" s="30" t="s">
        <v>36</v>
      </c>
      <c r="B48" s="334" t="str">
        <f>IF(B47=Para1!$F$153,Para1!$F$107,IF(B47=Para1!$F$107,Para1!$F$148,IF(B47=Para1!$F$148,Para1!$F$109,IF(B47=Para1!$F$109,Para1!$F$118,IF(B47=Para1!$F$118,Para1!$F$173,IF(B47=Para1!$F$173,Para1!$F$176,Para1!$F$153))))))</f>
        <v>So</v>
      </c>
      <c r="C48" s="305"/>
      <c r="D48" s="359"/>
      <c r="E48" s="355"/>
      <c r="F48" s="355"/>
      <c r="G48" s="357"/>
      <c r="H48" s="359"/>
      <c r="I48" s="355"/>
      <c r="J48" s="355"/>
      <c r="K48" s="357"/>
      <c r="L48" s="119">
        <f t="shared" si="5"/>
        <v>0</v>
      </c>
      <c r="M48" s="141">
        <f t="shared" si="1"/>
        <v>0</v>
      </c>
      <c r="N48" s="45">
        <f t="shared" si="4"/>
        <v>-27.258333333333351</v>
      </c>
      <c r="O48" s="193"/>
      <c r="P48" s="355"/>
      <c r="Q48" s="357"/>
      <c r="R48" s="356"/>
      <c r="S48" s="357"/>
      <c r="T48" s="357"/>
      <c r="U48" s="370"/>
      <c r="V48" s="198"/>
      <c r="W48" s="374"/>
      <c r="X48" s="599"/>
      <c r="Y48" s="200"/>
      <c r="Z48" s="69"/>
      <c r="AA48" s="128"/>
      <c r="AB48" s="360">
        <f t="shared" ref="AB48:AC48" si="10">AB41</f>
        <v>0</v>
      </c>
      <c r="AC48" s="360">
        <f t="shared" si="10"/>
        <v>0</v>
      </c>
      <c r="AD48" s="188" t="e">
        <f>IF(VLOOKUP(A48,Para1!$B$67:$E$72,2,FALSE)="4.",VLOOKUP(A48,Para1!$B$67:$E$72,3,FALSE),"")</f>
        <v>#N/A</v>
      </c>
      <c r="AE48" s="540" t="str">
        <f>IF((AB48+AC48)=0,"",IF(ISNA(AD48),"",IF(AD48="","",VLOOKUP(AD48,Para1!$D$67:$G$79,3,FALSE)*(IF(AB48+AC48=1,0.5,1)))))</f>
        <v/>
      </c>
      <c r="AF48" s="540" t="str">
        <f>IF(AB48+AC48=0,"",IF(ISNA(AD49),"",IF(AD49="","",VLOOKUP(AD49,Para1!$D$67:$G$79,4,FALSE)*(IF(AB48+AC48=1,0.5,1)))))</f>
        <v/>
      </c>
      <c r="AG48" s="188">
        <f t="shared" si="2"/>
        <v>0</v>
      </c>
      <c r="AH48" s="187">
        <f t="shared" si="3"/>
        <v>0</v>
      </c>
    </row>
    <row r="49" spans="1:34" ht="16.5" customHeight="1">
      <c r="A49" s="30" t="s">
        <v>37</v>
      </c>
      <c r="B49" s="334" t="str">
        <f>IF(B48=Para1!$F$153,Para1!$F$107,IF(B48=Para1!$F$107,Para1!$F$148,IF(B48=Para1!$F$148,Para1!$F$109,IF(B48=Para1!$F$109,Para1!$F$118,IF(B48=Para1!$F$118,Para1!$F$173,IF(B48=Para1!$F$173,Para1!$F$176,Para1!$F$153))))))</f>
        <v>Mo</v>
      </c>
      <c r="C49" s="305"/>
      <c r="D49" s="359"/>
      <c r="E49" s="355"/>
      <c r="F49" s="355"/>
      <c r="G49" s="357"/>
      <c r="H49" s="359"/>
      <c r="I49" s="355"/>
      <c r="J49" s="355"/>
      <c r="K49" s="357"/>
      <c r="L49" s="119">
        <f t="shared" si="5"/>
        <v>0</v>
      </c>
      <c r="M49" s="141">
        <f t="shared" si="1"/>
        <v>0.35000000000000003</v>
      </c>
      <c r="N49" s="45">
        <f t="shared" si="4"/>
        <v>-27.608333333333352</v>
      </c>
      <c r="O49" s="193"/>
      <c r="P49" s="355"/>
      <c r="Q49" s="357"/>
      <c r="R49" s="356"/>
      <c r="S49" s="357"/>
      <c r="T49" s="357"/>
      <c r="U49" s="370"/>
      <c r="V49" s="197"/>
      <c r="W49" s="374"/>
      <c r="X49" s="599"/>
      <c r="Y49" s="200"/>
      <c r="Z49" s="69"/>
      <c r="AA49" s="128"/>
      <c r="AB49" s="360">
        <v>1</v>
      </c>
      <c r="AC49" s="360">
        <v>1</v>
      </c>
      <c r="AD49" s="188" t="e">
        <f>IF(VLOOKUP(A49,Para1!$B$67:$E$72,2,FALSE)="4.",VLOOKUP(A49,Para1!$B$67:$E$72,3,FALSE),"")</f>
        <v>#N/A</v>
      </c>
      <c r="AE49" s="540" t="str">
        <f>IF((AB49+AC49)=0,"",IF(ISNA(AD49),"",IF(AD49="","",VLOOKUP(AD49,Para1!$D$67:$G$79,3,FALSE)*(IF(AB49+AC49=1,0.5,1)))))</f>
        <v/>
      </c>
      <c r="AF49" s="540" t="str">
        <f>IF(AB49+AC49=0,"",IF(ISNA(AD50),"",IF(AD50="","",VLOOKUP(AD50,Para1!$D$67:$G$79,4,FALSE)*(IF(AB49+AC49=1,0.5,1)))))</f>
        <v/>
      </c>
      <c r="AG49" s="188">
        <f t="shared" si="2"/>
        <v>0</v>
      </c>
      <c r="AH49" s="187">
        <f t="shared" si="3"/>
        <v>0.17500000000000002</v>
      </c>
    </row>
    <row r="50" spans="1:34" ht="16.5" customHeight="1">
      <c r="A50" s="30" t="s">
        <v>38</v>
      </c>
      <c r="B50" s="334" t="str">
        <f>IF(B49=Para1!$F$153,Para1!$F$107,IF(B49=Para1!$F$107,Para1!$F$148,IF(B49=Para1!$F$148,Para1!$F$109,IF(B49=Para1!$F$109,Para1!$F$118,IF(B49=Para1!$F$118,Para1!$F$173,IF(B49=Para1!$F$173,Para1!$F$176,Para1!$F$153))))))</f>
        <v>Di</v>
      </c>
      <c r="C50" s="305"/>
      <c r="D50" s="359"/>
      <c r="E50" s="355"/>
      <c r="F50" s="355"/>
      <c r="G50" s="357"/>
      <c r="H50" s="359"/>
      <c r="I50" s="355"/>
      <c r="J50" s="355"/>
      <c r="K50" s="357"/>
      <c r="L50" s="119">
        <f t="shared" si="5"/>
        <v>0</v>
      </c>
      <c r="M50" s="141">
        <f t="shared" si="1"/>
        <v>0.35000000000000003</v>
      </c>
      <c r="N50" s="45">
        <f t="shared" si="4"/>
        <v>-27.958333333333353</v>
      </c>
      <c r="O50" s="193"/>
      <c r="P50" s="355"/>
      <c r="Q50" s="357"/>
      <c r="R50" s="356"/>
      <c r="S50" s="357"/>
      <c r="T50" s="357"/>
      <c r="U50" s="370"/>
      <c r="V50" s="198"/>
      <c r="W50" s="373"/>
      <c r="X50" s="599"/>
      <c r="Y50" s="200"/>
      <c r="Z50" s="69"/>
      <c r="AA50" s="128"/>
      <c r="AB50" s="360">
        <f t="shared" ref="AB50:AC50" si="11">AB43</f>
        <v>1</v>
      </c>
      <c r="AC50" s="360">
        <f t="shared" si="11"/>
        <v>1</v>
      </c>
      <c r="AD50" s="188" t="e">
        <f>IF(VLOOKUP(A50,Para1!$B$67:$E$72,2,FALSE)="4.",VLOOKUP(A50,Para1!$B$67:$E$72,3,FALSE),"")</f>
        <v>#N/A</v>
      </c>
      <c r="AE50" s="540" t="str">
        <f>IF((AB50+AC50)=0,"",IF(ISNA(AD50),"",IF(AD50="","",VLOOKUP(AD50,Para1!$D$67:$G$79,3,FALSE)*(IF(AB50+AC50=1,0.5,1)))))</f>
        <v/>
      </c>
      <c r="AF50" s="540" t="str">
        <f>IF(AB50+AC50=0,"",IF(ISNA(AD51),"",IF(AD51="","",VLOOKUP(AD51,Para1!$D$67:$G$79,4,FALSE)*(IF(AB50+AC50=1,0.5,1)))))</f>
        <v/>
      </c>
      <c r="AG50" s="188">
        <f t="shared" si="2"/>
        <v>0</v>
      </c>
      <c r="AH50" s="187">
        <f t="shared" si="3"/>
        <v>0.17500000000000002</v>
      </c>
    </row>
    <row r="51" spans="1:34" ht="16.5" customHeight="1">
      <c r="A51" s="30" t="s">
        <v>39</v>
      </c>
      <c r="B51" s="334" t="str">
        <f>IF(B50=Para1!$F$153,Para1!$F$107,IF(B50=Para1!$F$107,Para1!$F$148,IF(B50=Para1!$F$148,Para1!$F$109,IF(B50=Para1!$F$109,Para1!$F$118,IF(B50=Para1!$F$118,Para1!$F$173,IF(B50=Para1!$F$173,Para1!$F$176,Para1!$F$153))))))</f>
        <v>Mi</v>
      </c>
      <c r="C51" s="305"/>
      <c r="D51" s="359"/>
      <c r="E51" s="355"/>
      <c r="F51" s="355"/>
      <c r="G51" s="357"/>
      <c r="H51" s="359"/>
      <c r="I51" s="355"/>
      <c r="J51" s="355"/>
      <c r="K51" s="357"/>
      <c r="L51" s="119">
        <f t="shared" si="5"/>
        <v>0</v>
      </c>
      <c r="M51" s="141">
        <f t="shared" si="1"/>
        <v>0.35000000000000003</v>
      </c>
      <c r="N51" s="45">
        <f t="shared" si="4"/>
        <v>-28.308333333333355</v>
      </c>
      <c r="O51" s="192"/>
      <c r="P51" s="355"/>
      <c r="Q51" s="357"/>
      <c r="R51" s="356"/>
      <c r="S51" s="357"/>
      <c r="T51" s="357"/>
      <c r="U51" s="370"/>
      <c r="V51" s="198"/>
      <c r="W51" s="373"/>
      <c r="X51" s="599"/>
      <c r="Y51" s="200"/>
      <c r="Z51" s="69"/>
      <c r="AA51" s="128"/>
      <c r="AB51" s="360">
        <f t="shared" ref="AB51:AC51" si="12">AB44</f>
        <v>1</v>
      </c>
      <c r="AC51" s="360">
        <f t="shared" si="12"/>
        <v>1</v>
      </c>
      <c r="AD51" s="188" t="e">
        <f>IF(VLOOKUP(A51,Para1!$B$67:$E$72,2,FALSE)="4.",VLOOKUP(A51,Para1!$B$67:$E$72,3,FALSE),"")</f>
        <v>#N/A</v>
      </c>
      <c r="AE51" s="540" t="str">
        <f>IF((AB51+AC51)=0,"",IF(ISNA(AD51),"",IF(AD51="","",VLOOKUP(AD51,Para1!$D$67:$G$79,3,FALSE)*(IF(AB51+AC51=1,0.5,1)))))</f>
        <v/>
      </c>
      <c r="AF51" s="540" t="str">
        <f>IF(AB51+AC51=0,"",IF(ISNA(AD52),"",IF(AD52="","",VLOOKUP(AD52,Para1!$D$67:$G$79,4,FALSE)*(IF(AB51+AC51=1,0.5,1)))))</f>
        <v/>
      </c>
      <c r="AG51" s="188">
        <f t="shared" si="2"/>
        <v>0</v>
      </c>
      <c r="AH51" s="187">
        <f t="shared" si="3"/>
        <v>0.17500000000000002</v>
      </c>
    </row>
    <row r="52" spans="1:34" ht="16.5" customHeight="1">
      <c r="A52" s="30" t="s">
        <v>40</v>
      </c>
      <c r="B52" s="334" t="str">
        <f>IF(B51=Para1!$F$153,Para1!$F$107,IF(B51=Para1!$F$107,Para1!$F$148,IF(B51=Para1!$F$148,Para1!$F$109,IF(B51=Para1!$F$109,Para1!$F$118,IF(B51=Para1!$F$118,Para1!$F$173,IF(B51=Para1!$F$173,Para1!$F$176,Para1!$F$153))))))</f>
        <v>Do</v>
      </c>
      <c r="C52" s="305"/>
      <c r="D52" s="359"/>
      <c r="E52" s="355"/>
      <c r="F52" s="355"/>
      <c r="G52" s="357"/>
      <c r="H52" s="359"/>
      <c r="I52" s="355"/>
      <c r="J52" s="355"/>
      <c r="K52" s="357"/>
      <c r="L52" s="119">
        <f t="shared" si="5"/>
        <v>0</v>
      </c>
      <c r="M52" s="141">
        <f t="shared" si="1"/>
        <v>0.35000000000000003</v>
      </c>
      <c r="N52" s="45">
        <f t="shared" si="4"/>
        <v>-28.658333333333356</v>
      </c>
      <c r="O52" s="192"/>
      <c r="P52" s="355"/>
      <c r="Q52" s="357"/>
      <c r="R52" s="356"/>
      <c r="S52" s="357"/>
      <c r="T52" s="357"/>
      <c r="U52" s="370"/>
      <c r="V52" s="198"/>
      <c r="W52" s="373"/>
      <c r="X52" s="599"/>
      <c r="Y52" s="200"/>
      <c r="Z52" s="69"/>
      <c r="AA52" s="128"/>
      <c r="AB52" s="360">
        <f>AB45</f>
        <v>1</v>
      </c>
      <c r="AC52" s="360">
        <f>AC45</f>
        <v>1</v>
      </c>
      <c r="AD52" s="188" t="e">
        <f>IF(VLOOKUP(A52,Para1!$B$67:$E$72,2,FALSE)="4.",VLOOKUP(A52,Para1!$B$67:$E$72,3,FALSE),"")</f>
        <v>#N/A</v>
      </c>
      <c r="AE52" s="540" t="str">
        <f>IF((AB52+AC52)=0,"",IF(ISNA(AD52),"",IF(AD52="","",VLOOKUP(AD52,Para1!$D$67:$G$79,3,FALSE)*(IF(AB52+AC52=1,0.5,1)))))</f>
        <v/>
      </c>
      <c r="AF52" s="540" t="str">
        <f>IF(AB52+AC52=0,"",IF(ISNA(AD53),"",IF(AD53="","",VLOOKUP(AD53,Para1!$D$67:$G$79,4,FALSE)*(IF(AB52+AC52=1,0.5,1)))))</f>
        <v/>
      </c>
      <c r="AG52" s="188">
        <f t="shared" si="2"/>
        <v>0</v>
      </c>
      <c r="AH52" s="187">
        <f t="shared" si="3"/>
        <v>0.17500000000000002</v>
      </c>
    </row>
    <row r="53" spans="1:34" ht="16.5" customHeight="1" thickBot="1">
      <c r="A53" s="30" t="s">
        <v>41</v>
      </c>
      <c r="B53" s="334" t="str">
        <f>IF(B52=Para1!$F$153,Para1!$F$107,IF(B52=Para1!$F$107,Para1!$F$148,IF(B52=Para1!$F$148,Para1!$F$109,IF(B52=Para1!$F$109,Para1!$F$118,IF(B52=Para1!$F$118,Para1!$F$173,IF(B52=Para1!$F$173,Para1!$F$176,Para1!$F$153))))))</f>
        <v>Fr</v>
      </c>
      <c r="C53" s="305"/>
      <c r="D53" s="359"/>
      <c r="E53" s="355"/>
      <c r="F53" s="355"/>
      <c r="G53" s="357"/>
      <c r="H53" s="359"/>
      <c r="I53" s="355"/>
      <c r="J53" s="355"/>
      <c r="K53" s="357"/>
      <c r="L53" s="119">
        <f t="shared" si="5"/>
        <v>0</v>
      </c>
      <c r="M53" s="141">
        <f t="shared" si="1"/>
        <v>0.35000000000000003</v>
      </c>
      <c r="N53" s="45">
        <f t="shared" si="4"/>
        <v>-29.008333333333358</v>
      </c>
      <c r="O53" s="193"/>
      <c r="P53" s="355"/>
      <c r="Q53" s="357"/>
      <c r="R53" s="356"/>
      <c r="S53" s="357"/>
      <c r="T53" s="357"/>
      <c r="U53" s="370"/>
      <c r="V53" s="197"/>
      <c r="W53" s="530"/>
      <c r="X53" s="599"/>
      <c r="Y53" s="200"/>
      <c r="Z53" s="69"/>
      <c r="AA53" s="128"/>
      <c r="AB53" s="361">
        <f>AB46</f>
        <v>1</v>
      </c>
      <c r="AC53" s="361">
        <f>AC46</f>
        <v>1</v>
      </c>
      <c r="AD53" s="188" t="e">
        <f>IF(VLOOKUP(A53,Para1!$B$67:$E$72,2,FALSE)="4.",VLOOKUP(A53,Para1!$B$67:$E$72,3,FALSE),"")</f>
        <v>#N/A</v>
      </c>
      <c r="AE53" s="540" t="str">
        <f>IF((AB53+AC53)=0,"",IF(ISNA(AD53),"",IF(AD53="","",VLOOKUP(AD53,Para1!$D$67:$G$79,3,FALSE)*(IF(AB53+AC53=1,0.5,1)))))</f>
        <v/>
      </c>
      <c r="AF53" s="540" t="str">
        <f>IF(AB53+AC53=0,"",IF(ISNA(Mai!AD24),"",IF(Mai!AD24="","",VLOOKUP(Mai!AD24,Para1!$D$67:$G$79,4,FALSE)*(IF(AB53+AC53=1,0.5,1)))))</f>
        <v/>
      </c>
      <c r="AG53" s="188">
        <f t="shared" si="2"/>
        <v>0</v>
      </c>
      <c r="AH53" s="187">
        <f t="shared" si="3"/>
        <v>0.17500000000000002</v>
      </c>
    </row>
    <row r="54" spans="1:34" ht="16.5" customHeight="1" thickTop="1" thickBot="1">
      <c r="A54" s="49"/>
      <c r="B54" s="335"/>
      <c r="C54" s="337"/>
      <c r="D54" s="364"/>
      <c r="E54" s="362"/>
      <c r="F54" s="362"/>
      <c r="G54" s="363"/>
      <c r="H54" s="364"/>
      <c r="I54" s="362"/>
      <c r="J54" s="362"/>
      <c r="K54" s="365"/>
      <c r="L54" s="119"/>
      <c r="M54" s="141"/>
      <c r="N54" s="45">
        <f t="shared" si="4"/>
        <v>-29.008333333333358</v>
      </c>
      <c r="O54" s="192"/>
      <c r="P54" s="355"/>
      <c r="Q54" s="357"/>
      <c r="R54" s="356"/>
      <c r="S54" s="357"/>
      <c r="T54" s="357"/>
      <c r="U54" s="358"/>
      <c r="V54" s="197"/>
      <c r="W54" s="530"/>
      <c r="X54" s="599"/>
      <c r="Y54" s="200"/>
      <c r="Z54" s="69"/>
      <c r="AA54" s="128"/>
      <c r="AB54" s="240"/>
      <c r="AC54" s="240"/>
      <c r="AD54" s="188" t="e">
        <f>IF(VLOOKUP(A54,Para1!$B$67:$E$72,2,FALSE)="4.",VLOOKUP(A54,Para1!$B$67:$E$72,3,FALSE),"")</f>
        <v>#N/A</v>
      </c>
      <c r="AE54" s="540" t="str">
        <f>IF((AB54+AC54)=0,"",IF(ISNA(AD54),"",IF(AD54="","",VLOOKUP(AD54,Para1!$D$67:$G$79,3,FALSE)*(IF(AB54+AC54=1,0.5,1)))))</f>
        <v/>
      </c>
      <c r="AF54" s="540"/>
      <c r="AG54" s="188">
        <f t="shared" si="2"/>
        <v>0</v>
      </c>
      <c r="AH54" s="187">
        <f t="shared" si="3"/>
        <v>0</v>
      </c>
    </row>
    <row r="55" spans="1:34" ht="15" thickTop="1">
      <c r="A55" s="47"/>
      <c r="B55" s="37"/>
      <c r="C55" s="16"/>
      <c r="D55" s="38"/>
      <c r="E55" s="38"/>
      <c r="F55" s="38"/>
      <c r="G55" s="38"/>
      <c r="H55" s="38"/>
      <c r="I55" s="38"/>
      <c r="J55" s="38"/>
      <c r="K55" s="464" t="str">
        <f>Para1!F184&amp;" (hh:mm)"</f>
        <v>Total (hh:mm)</v>
      </c>
      <c r="L55" s="39">
        <f>SUM(L24:L54)</f>
        <v>0</v>
      </c>
      <c r="M55" s="44">
        <f>SUM(M24:M54)</f>
        <v>6.9583333333333313</v>
      </c>
      <c r="N55" s="235"/>
      <c r="O55" s="194"/>
      <c r="P55" s="110">
        <f t="shared" ref="P55:U55" si="13">SUM(P24:P54)</f>
        <v>0</v>
      </c>
      <c r="Q55" s="36">
        <f t="shared" si="13"/>
        <v>0</v>
      </c>
      <c r="R55" s="110">
        <f t="shared" si="13"/>
        <v>0</v>
      </c>
      <c r="S55" s="36">
        <f t="shared" si="13"/>
        <v>0</v>
      </c>
      <c r="T55" s="36">
        <f>SUM(T24:T54)</f>
        <v>0</v>
      </c>
      <c r="U55" s="44">
        <f t="shared" si="13"/>
        <v>0</v>
      </c>
      <c r="V55" s="201"/>
      <c r="W55" s="230"/>
      <c r="X55" s="203"/>
      <c r="AB55" s="884" t="str">
        <f>Para1!F177&amp;" "&amp;Para1!F171</f>
        <v>Soll Halbtag</v>
      </c>
      <c r="AC55" s="885"/>
      <c r="AD55" s="188">
        <f>SUM(AG24:AG54)</f>
        <v>4</v>
      </c>
      <c r="AE55" s="540">
        <f>SUM(AE24:AE54)</f>
        <v>0</v>
      </c>
      <c r="AF55" s="540">
        <f>SUM(AF24:AF54)</f>
        <v>1</v>
      </c>
    </row>
    <row r="56" spans="1:34" ht="15" thickBot="1">
      <c r="A56" s="48"/>
      <c r="B56" s="40"/>
      <c r="C56" s="40"/>
      <c r="D56" s="41"/>
      <c r="E56" s="41"/>
      <c r="F56" s="41"/>
      <c r="G56" s="19"/>
      <c r="H56" s="19"/>
      <c r="I56" s="19"/>
      <c r="J56" s="19"/>
      <c r="K56" s="766" t="str">
        <f>Para1!F184&amp;" ("&amp;Para1!F106&amp;")"</f>
        <v>Total (dezimal)</v>
      </c>
      <c r="L56" s="767">
        <f>L55*24</f>
        <v>0</v>
      </c>
      <c r="M56" s="768">
        <f>M55*24</f>
        <v>166.99999999999994</v>
      </c>
      <c r="N56" s="772"/>
      <c r="O56" s="773"/>
      <c r="P56" s="770">
        <f t="shared" ref="P56:U56" si="14">P55*24</f>
        <v>0</v>
      </c>
      <c r="Q56" s="775">
        <f t="shared" si="14"/>
        <v>0</v>
      </c>
      <c r="R56" s="770">
        <f t="shared" si="14"/>
        <v>0</v>
      </c>
      <c r="S56" s="768">
        <f t="shared" si="14"/>
        <v>0</v>
      </c>
      <c r="T56" s="768">
        <f t="shared" si="14"/>
        <v>0</v>
      </c>
      <c r="U56" s="768">
        <f t="shared" si="14"/>
        <v>0</v>
      </c>
      <c r="V56" s="202"/>
      <c r="W56" s="229"/>
      <c r="X56" s="195"/>
      <c r="AB56" s="882">
        <f>(C8*24+((AE55+AF55)/100*H3))/(SUM(AB24:AC54)-AD55)/24</f>
        <v>0.17500000000000002</v>
      </c>
      <c r="AC56" s="883"/>
    </row>
    <row r="57" spans="1:34" ht="15" thickTop="1">
      <c r="W57" s="73"/>
      <c r="X57" s="16"/>
      <c r="AB57" s="73"/>
      <c r="AC57" s="16"/>
    </row>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Q22:Q23"/>
    <mergeCell ref="P22:P23"/>
    <mergeCell ref="D60:E60"/>
    <mergeCell ref="K60:O60"/>
    <mergeCell ref="R22:R23"/>
    <mergeCell ref="D22:G22"/>
    <mergeCell ref="H22:K22"/>
    <mergeCell ref="W21:X21"/>
    <mergeCell ref="AB21:AC21"/>
    <mergeCell ref="P21:U21"/>
    <mergeCell ref="S22:S23"/>
    <mergeCell ref="T60:X60"/>
    <mergeCell ref="AB56:AC56"/>
    <mergeCell ref="Y21:Z21"/>
    <mergeCell ref="AB22:AB23"/>
    <mergeCell ref="AC22:AC23"/>
    <mergeCell ref="AB55:AC55"/>
    <mergeCell ref="U22:U23"/>
    <mergeCell ref="T22:T23"/>
    <mergeCell ref="W22:W23"/>
    <mergeCell ref="X22:X23"/>
    <mergeCell ref="A1:B1"/>
    <mergeCell ref="A3:B3"/>
    <mergeCell ref="N22:N23"/>
    <mergeCell ref="M3:N3"/>
    <mergeCell ref="L22:L23"/>
    <mergeCell ref="H1:I1"/>
    <mergeCell ref="M22:M23"/>
    <mergeCell ref="A22:B22"/>
    <mergeCell ref="L21:N21"/>
    <mergeCell ref="A23:B23"/>
    <mergeCell ref="C1:E1"/>
    <mergeCell ref="C7:D7"/>
    <mergeCell ref="N7:O7"/>
    <mergeCell ref="N8:O8"/>
    <mergeCell ref="U14:V14"/>
    <mergeCell ref="U15:V15"/>
    <mergeCell ref="C8:D8"/>
    <mergeCell ref="C9:D9"/>
    <mergeCell ref="C10:D10"/>
    <mergeCell ref="C11:D11"/>
    <mergeCell ref="C12:D12"/>
  </mergeCells>
  <phoneticPr fontId="0" type="noConversion"/>
  <conditionalFormatting sqref="N24">
    <cfRule type="expression" dxfId="102" priority="10">
      <formula>$L$24=0</formula>
    </cfRule>
  </conditionalFormatting>
  <conditionalFormatting sqref="A24:B54 L24:M54">
    <cfRule type="expression" dxfId="101" priority="9">
      <formula>$M24=0</formula>
    </cfRule>
  </conditionalFormatting>
  <conditionalFormatting sqref="N24:N54">
    <cfRule type="cellIs" dxfId="100" priority="8" operator="equal">
      <formula>N23-M24</formula>
    </cfRule>
  </conditionalFormatting>
  <conditionalFormatting sqref="D24:G54 W24:W54 AB24:AB53">
    <cfRule type="expression" dxfId="99" priority="7">
      <formula>$AB24=0</formula>
    </cfRule>
  </conditionalFormatting>
  <conditionalFormatting sqref="H24:K54 X24:X54 AC24:AC53">
    <cfRule type="expression" dxfId="98" priority="6">
      <formula>$AC24=0</formula>
    </cfRule>
  </conditionalFormatting>
  <conditionalFormatting sqref="P24:U54">
    <cfRule type="expression" dxfId="97" priority="4">
      <formula>$AB24+$AC24=0</formula>
    </cfRule>
    <cfRule type="expression" dxfId="96" priority="5">
      <formula>$AB24+$AC24=1</formula>
    </cfRule>
  </conditionalFormatting>
  <conditionalFormatting sqref="D24:K54 P24:U54 W24:X54 AB24:AC53">
    <cfRule type="expression" dxfId="95" priority="3">
      <formula>$AE24=0</formula>
    </cfRule>
  </conditionalFormatting>
  <pageMargins left="0.4" right="0.38" top="0.79" bottom="0.39370078740157483" header="0.28999999999999998" footer="0.15748031496062992"/>
  <pageSetup paperSize="9" scale="54"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BA88F97F-1628-4FD3-94D9-0241F36E053A}">
            <xm:f>OR('Persönliche Daten (pers. data)'!$K$5="Nein",'Persönliche Daten (pers. data)'!$K$5="no")</xm:f>
            <x14:dxf>
              <font>
                <color theme="0"/>
              </font>
              <border>
                <left/>
                <right/>
                <top/>
                <bottom/>
                <vertical/>
                <horizontal/>
              </border>
            </x14:dxf>
          </x14:cfRule>
          <xm:sqref>H14:I17</xm:sqref>
        </x14:conditionalFormatting>
        <x14:conditionalFormatting xmlns:xm="http://schemas.microsoft.com/office/excel/2006/main">
          <x14:cfRule type="expression" priority="1" id="{D09F9489-9618-4E11-8D0D-863530CD0BA3}">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pageSetUpPr fitToPage="1"/>
  </sheetPr>
  <dimension ref="A1:AH60"/>
  <sheetViews>
    <sheetView showGridLines="0" zoomScale="75" zoomScaleNormal="75" workbookViewId="0">
      <selection activeCell="AI44" sqref="AI44"/>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72" customWidth="1"/>
    <col min="23" max="23" width="11.83203125" style="228" customWidth="1"/>
    <col min="24" max="27" width="11.83203125" style="11" customWidth="1"/>
    <col min="28" max="28" width="11.83203125" style="228" customWidth="1"/>
    <col min="29" max="29" width="11.83203125" style="11" customWidth="1"/>
    <col min="30" max="33" width="11.5" style="188" hidden="1" customWidth="1"/>
    <col min="34"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(Overview)'!G$8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29" ht="6" customHeight="1">
      <c r="O5" s="59"/>
      <c r="T5" s="11"/>
      <c r="V5" s="73"/>
      <c r="W5" s="11"/>
      <c r="AB5" s="73"/>
      <c r="AC5" s="16"/>
    </row>
    <row r="6" spans="1:29" ht="15" customHeight="1">
      <c r="F6" s="53"/>
      <c r="G6" s="20"/>
      <c r="O6" s="59"/>
      <c r="T6" s="11"/>
      <c r="U6" s="11"/>
      <c r="V6" s="16"/>
      <c r="W6" s="11"/>
      <c r="AB6" s="73"/>
      <c r="AC6" s="16"/>
    </row>
    <row r="7" spans="1:29"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29" ht="15" customHeight="1" thickBot="1">
      <c r="B8" s="9" t="str">
        <f>Para1!F177</f>
        <v>Soll</v>
      </c>
      <c r="C8" s="848">
        <f>Para1!K60/100*H3/24</f>
        <v>6.6083333333333334</v>
      </c>
      <c r="D8" s="848"/>
      <c r="F8" s="19"/>
      <c r="H8" s="162" t="str">
        <f>Para1!F174&amp;" "&amp;Para1!F88&amp;" "&amp;Para1!F154</f>
        <v>Saldo Anfang Monat</v>
      </c>
      <c r="I8" s="159" t="e">
        <f>April!I11</f>
        <v>#N/A</v>
      </c>
      <c r="J8" s="212"/>
      <c r="M8" s="162" t="str">
        <f>Para1!F133</f>
        <v>JAZ-Kompensation</v>
      </c>
      <c r="N8" s="899">
        <f>SUMIF($W$24:$W$54,"k",$AH$24:$AH$54)+SUMIF($X$24:$X$54,"k",$AH$24:$AH$54)</f>
        <v>0</v>
      </c>
      <c r="O8" s="899"/>
      <c r="P8" s="732">
        <f>April!Q8</f>
        <v>0</v>
      </c>
      <c r="Q8" s="166">
        <f>N8+P8</f>
        <v>0</v>
      </c>
      <c r="S8" s="7"/>
      <c r="T8" s="20" t="str">
        <f>Para1!F139</f>
        <v>Krankheit</v>
      </c>
      <c r="U8" s="7"/>
      <c r="V8" s="7"/>
      <c r="W8" s="734">
        <f>P55</f>
        <v>0</v>
      </c>
      <c r="X8" s="734">
        <f>April!Y8</f>
        <v>0</v>
      </c>
      <c r="Y8" s="306">
        <f t="shared" ref="Y8:Y17" si="0">SUM(W8:X8)</f>
        <v>0</v>
      </c>
      <c r="Z8" s="155"/>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O9" s="59"/>
      <c r="S9" s="7"/>
      <c r="T9" s="20" t="str">
        <f>Para1!F196</f>
        <v>Unfall</v>
      </c>
      <c r="U9" s="7" t="str">
        <f>Para1!F98</f>
        <v>betriebsbedingt</v>
      </c>
      <c r="V9" s="7"/>
      <c r="W9" s="734">
        <f>Q55</f>
        <v>0</v>
      </c>
      <c r="X9" s="734">
        <f>April!Y9</f>
        <v>0</v>
      </c>
      <c r="Y9" s="306">
        <f t="shared" si="0"/>
        <v>0</v>
      </c>
      <c r="Z9" s="155"/>
    </row>
    <row r="10" spans="1:29" ht="15" customHeight="1">
      <c r="B10" s="22" t="str">
        <f>Para1!F108</f>
        <v>Differenz</v>
      </c>
      <c r="C10" s="904">
        <f>$C$9-$C$8</f>
        <v>-6.6083333333333334</v>
      </c>
      <c r="D10" s="904"/>
      <c r="F10" s="19"/>
      <c r="H10" s="162" t="str">
        <f>"./. "&amp;Para1!F117</f>
        <v>./. Ferienkürzung</v>
      </c>
      <c r="I10" s="210">
        <v>0</v>
      </c>
      <c r="J10" s="212"/>
      <c r="O10" s="59"/>
      <c r="S10" s="7"/>
      <c r="T10" s="8"/>
      <c r="U10" s="7" t="str">
        <f>Para1!F163&amp;" "&amp;Para1!F99</f>
        <v>nicht betr.</v>
      </c>
      <c r="V10" s="7"/>
      <c r="W10" s="734">
        <f>R55</f>
        <v>0</v>
      </c>
      <c r="X10" s="734">
        <f>April!Y10</f>
        <v>0</v>
      </c>
      <c r="Y10" s="306">
        <f t="shared" si="0"/>
        <v>0</v>
      </c>
      <c r="Z10" s="155"/>
      <c r="AB10" s="11"/>
    </row>
    <row r="11" spans="1:29" ht="15" customHeight="1" thickBot="1">
      <c r="B11" s="20" t="str">
        <f>Para1!F190</f>
        <v>Übertrag Vormnt</v>
      </c>
      <c r="C11" s="847">
        <f>April!C12</f>
        <v>-29.008333333333329</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S11" s="7"/>
      <c r="T11" s="20" t="str">
        <f>Para1!F140</f>
        <v>Kurzurlaub</v>
      </c>
      <c r="U11" s="8"/>
      <c r="V11" s="8"/>
      <c r="W11" s="734">
        <f>S55</f>
        <v>0</v>
      </c>
      <c r="X11" s="734">
        <f>April!Y11</f>
        <v>0</v>
      </c>
      <c r="Y11" s="306">
        <f t="shared" si="0"/>
        <v>0</v>
      </c>
      <c r="Z11" s="155"/>
      <c r="AB11" s="11"/>
    </row>
    <row r="12" spans="1:29" ht="15" customHeight="1" thickTop="1" thickBot="1">
      <c r="A12" s="127"/>
      <c r="B12" s="330" t="str">
        <f>Para1!F174</f>
        <v>Saldo</v>
      </c>
      <c r="C12" s="901">
        <f>C10+C11</f>
        <v>-35.61666666666666</v>
      </c>
      <c r="D12" s="901"/>
      <c r="F12" s="19"/>
      <c r="G12" s="7"/>
      <c r="L12" s="448" t="s">
        <v>492</v>
      </c>
      <c r="M12" s="449" t="str">
        <f>Para1!F115</f>
        <v>Ferien</v>
      </c>
      <c r="N12" s="449"/>
      <c r="O12" s="449"/>
      <c r="P12" s="449"/>
      <c r="Q12" s="450"/>
      <c r="S12" s="7"/>
      <c r="T12" s="25" t="str">
        <f>Para1!F206</f>
        <v>Weiterbildung auf Arbeitszeit</v>
      </c>
      <c r="U12" s="7"/>
      <c r="V12" s="7"/>
      <c r="W12" s="734">
        <f>T55</f>
        <v>0</v>
      </c>
      <c r="X12" s="734">
        <f>April!Y12</f>
        <v>0</v>
      </c>
      <c r="Y12" s="306">
        <f t="shared" si="0"/>
        <v>0</v>
      </c>
      <c r="Z12" s="155"/>
      <c r="AB12" s="11"/>
    </row>
    <row r="13" spans="1:29" ht="15" customHeight="1" thickTop="1">
      <c r="B13" s="330"/>
      <c r="C13" s="309"/>
      <c r="D13" s="81"/>
      <c r="F13" s="19"/>
      <c r="I13" s="738"/>
      <c r="J13" s="160"/>
      <c r="L13" s="448" t="s">
        <v>493</v>
      </c>
      <c r="M13" s="449" t="str">
        <f>Para1!F157</f>
        <v>Mutter- und Vaterschaftsurlaub</v>
      </c>
      <c r="N13" s="449"/>
      <c r="O13" s="449"/>
      <c r="P13" s="449"/>
      <c r="Q13" s="451"/>
      <c r="S13" s="7"/>
      <c r="T13" s="20" t="str">
        <f>Para1!F165</f>
        <v>Öffentliches Amt</v>
      </c>
      <c r="U13" s="7"/>
      <c r="V13" s="7"/>
      <c r="W13" s="734">
        <f>U55</f>
        <v>0</v>
      </c>
      <c r="X13" s="734">
        <f>April!Y13</f>
        <v>0</v>
      </c>
      <c r="Y13" s="306">
        <f t="shared" si="0"/>
        <v>0</v>
      </c>
      <c r="Z13" s="16"/>
      <c r="AB13" s="11"/>
    </row>
    <row r="14" spans="1:29" ht="15" customHeight="1">
      <c r="F14" s="19"/>
      <c r="H14" s="9" t="str">
        <f>Para1!F142</f>
        <v>Langzeitkonto</v>
      </c>
      <c r="I14" s="160" t="s">
        <v>103</v>
      </c>
      <c r="J14" s="59"/>
      <c r="K14" s="11"/>
      <c r="L14" s="448" t="s">
        <v>494</v>
      </c>
      <c r="M14" s="449" t="str">
        <f>Para1!F149</f>
        <v>Militär/Zivilsch./Zivildienst</v>
      </c>
      <c r="N14" s="449"/>
      <c r="O14" s="449"/>
      <c r="P14" s="449"/>
      <c r="Q14" s="451"/>
      <c r="S14" s="8"/>
      <c r="T14" s="24" t="str">
        <f>Para1!F198</f>
        <v>Urlaub</v>
      </c>
      <c r="U14" s="853" t="str">
        <f>Para1!F100</f>
        <v>bezahlt</v>
      </c>
      <c r="V14" s="853"/>
      <c r="W14" s="738">
        <f>SUMIF($W$24:$W$54,"b",$AH$24:$AH$54)+SUMIF($X$24:$X$54,"b",$AH$24:$AH$54)</f>
        <v>0</v>
      </c>
      <c r="X14" s="734">
        <f>April!Y14</f>
        <v>0</v>
      </c>
      <c r="Y14" s="155">
        <f t="shared" si="0"/>
        <v>0</v>
      </c>
      <c r="Z14" s="535"/>
      <c r="AA14" s="536"/>
      <c r="AB14" s="11"/>
    </row>
    <row r="15" spans="1:29" ht="15" customHeight="1">
      <c r="H15" s="140" t="str">
        <f>Para1!F174&amp;" "&amp;Para1!F88&amp;" "&amp;Para1!F154</f>
        <v>Saldo Anfang Monat</v>
      </c>
      <c r="I15" s="299">
        <f>April!I17</f>
        <v>0</v>
      </c>
      <c r="J15" s="59"/>
      <c r="K15" s="11"/>
      <c r="L15" s="448" t="s">
        <v>495</v>
      </c>
      <c r="M15" s="449" t="str">
        <f>Para1!F133</f>
        <v>JAZ-Kompensation</v>
      </c>
      <c r="N15" s="449"/>
      <c r="O15" s="449"/>
      <c r="P15" s="449"/>
      <c r="Q15" s="451"/>
      <c r="S15" s="8"/>
      <c r="T15" s="24"/>
      <c r="U15" s="853" t="str">
        <f>Para1!F194</f>
        <v>unbezahlt</v>
      </c>
      <c r="V15" s="853"/>
      <c r="W15" s="738">
        <f>SUMIF($W$24:$W$54,"u",$AH$24:$AH$54)+SUMIF($X$24:$X$54,"u",$AH$24:$AH$54)</f>
        <v>0</v>
      </c>
      <c r="X15" s="734">
        <f>April!Y15</f>
        <v>0</v>
      </c>
      <c r="Y15" s="155">
        <f t="shared" si="0"/>
        <v>0</v>
      </c>
      <c r="Z15" s="536"/>
      <c r="AA15" s="536"/>
      <c r="AB15" s="11"/>
    </row>
    <row r="16" spans="1:29" ht="15" customHeight="1">
      <c r="F16" s="11"/>
      <c r="G16" s="11"/>
      <c r="H16" s="140" t="str">
        <f>"./. "&amp;Para1!F145</f>
        <v>./. LZK-Bezug</v>
      </c>
      <c r="I16" s="299">
        <f>SUMIF($W$24:$W$54,"l",$AH$24:$AH$54)+SUMIF($X$24:$X$54,"l",$AH$24:$AH$54)</f>
        <v>0</v>
      </c>
      <c r="J16" s="59"/>
      <c r="K16" s="11"/>
      <c r="L16" s="452" t="s">
        <v>496</v>
      </c>
      <c r="M16" s="456" t="str">
        <f>Para1!F198&amp;" "&amp;Para1!F100</f>
        <v>Urlaub bezahlt</v>
      </c>
      <c r="N16" s="453"/>
      <c r="O16" s="454"/>
      <c r="P16" s="455"/>
      <c r="Q16" s="451"/>
      <c r="S16" s="8"/>
      <c r="T16" s="24" t="str">
        <f>Para1!F157</f>
        <v>Mutter- und Vaterschaftsurlaub</v>
      </c>
      <c r="U16" s="73"/>
      <c r="V16" s="11"/>
      <c r="W16" s="738">
        <f>SUMIF($W$24:$W$54,"m",$AH$24:$AH$54)+SUMIF($X$24:$X$54,"m",$AH$24:$AH$54)</f>
        <v>0</v>
      </c>
      <c r="X16" s="734">
        <f>April!Y16</f>
        <v>0</v>
      </c>
      <c r="Y16" s="155">
        <f t="shared" si="0"/>
        <v>0</v>
      </c>
      <c r="Z16" s="536"/>
      <c r="AA16" s="536"/>
      <c r="AB16" s="11"/>
    </row>
    <row r="17" spans="1:34" ht="15" customHeight="1" thickBot="1">
      <c r="G17" s="162"/>
      <c r="H17" s="328" t="str">
        <f>Para1!F174&amp;" "&amp;Para1!F113&amp;" "&amp;Para1!F154</f>
        <v>Saldo Ende Monat</v>
      </c>
      <c r="I17" s="732">
        <f>I15-I16</f>
        <v>0</v>
      </c>
      <c r="J17" s="164"/>
      <c r="K17" s="11"/>
      <c r="L17" s="452" t="s">
        <v>497</v>
      </c>
      <c r="M17" s="456" t="str">
        <f>Para1!F198&amp;" "&amp;Para1!F194</f>
        <v>Urlaub unbezahlt</v>
      </c>
      <c r="N17" s="453"/>
      <c r="O17" s="454"/>
      <c r="P17" s="455"/>
      <c r="Q17" s="451"/>
      <c r="S17" s="8"/>
      <c r="T17" s="24" t="str">
        <f>Para1!F149</f>
        <v>Militär/Zivilsch./Zivildienst</v>
      </c>
      <c r="U17" s="73"/>
      <c r="V17" s="11"/>
      <c r="W17" s="738">
        <f>SUMIF($W$24:$W$54,"z",$AH$24:$AH$54)+SUMIF($X$24:$X$54,"z",$AH$24:$AH$54)</f>
        <v>0</v>
      </c>
      <c r="X17" s="734">
        <f>April!Y17</f>
        <v>0</v>
      </c>
      <c r="Y17" s="155">
        <f t="shared" si="0"/>
        <v>0</v>
      </c>
      <c r="Z17" s="536"/>
      <c r="AA17" s="536"/>
      <c r="AB17" s="11"/>
    </row>
    <row r="18" spans="1:34" ht="15" customHeight="1" thickTop="1" thickBot="1">
      <c r="F18" s="616" t="str">
        <f>IF(AND(Information!H8="Nein",I16&gt;0),"ACHTUNG: Langzeitkontobezug ohne entsprechendes Konto!!","")</f>
        <v/>
      </c>
      <c r="G18" s="162"/>
      <c r="H18" s="11"/>
      <c r="I18" s="11"/>
      <c r="J18" s="164"/>
      <c r="K18" s="11"/>
      <c r="L18" s="448" t="s">
        <v>498</v>
      </c>
      <c r="M18" s="456" t="str">
        <f>Para1!F142</f>
        <v>Langzeitkonto</v>
      </c>
      <c r="N18" s="453"/>
      <c r="O18" s="454"/>
      <c r="P18" s="455"/>
      <c r="Q18" s="451"/>
      <c r="S18" s="8"/>
      <c r="T18" s="9" t="str">
        <f>Para1!F184</f>
        <v>Total</v>
      </c>
      <c r="U18" s="11"/>
      <c r="V18" s="11"/>
      <c r="W18" s="733">
        <f>SUM(W8:W17)</f>
        <v>0</v>
      </c>
      <c r="X18" s="733">
        <f>SUM(X8:X17)</f>
        <v>0</v>
      </c>
      <c r="Y18" s="733">
        <f>SUM(Y8:Y17)</f>
        <v>0</v>
      </c>
      <c r="AA18" s="16"/>
      <c r="AB18" s="11"/>
    </row>
    <row r="19" spans="1:34" ht="15" customHeight="1" thickTop="1">
      <c r="E19" s="19"/>
      <c r="G19" s="72"/>
      <c r="H19" s="72"/>
      <c r="M19" s="59"/>
      <c r="N19" s="19"/>
      <c r="O19" s="19"/>
      <c r="P19" s="19"/>
      <c r="Q19" s="19"/>
      <c r="R19" s="19"/>
      <c r="S19" s="19"/>
      <c r="T19" s="19"/>
      <c r="U19" s="906"/>
      <c r="V19" s="906"/>
      <c r="W19" s="59"/>
      <c r="X19" s="16"/>
      <c r="Y19" s="23"/>
      <c r="Z19" s="16"/>
      <c r="AA19" s="16"/>
      <c r="AB19" s="11"/>
    </row>
    <row r="20" spans="1:34" ht="15" customHeight="1" thickBot="1">
      <c r="A20" s="424" t="str">
        <f>Para1!J222</f>
        <v>(Bitte das Guthaben in Stunden und Minuten eingeben.)</v>
      </c>
      <c r="B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c r="AD22" s="703"/>
      <c r="AE22" s="703"/>
      <c r="AF22" s="703"/>
      <c r="AG22" s="703"/>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907"/>
      <c r="X23" s="908"/>
      <c r="Y23" s="68"/>
      <c r="Z23" s="68"/>
      <c r="AA23" s="667"/>
      <c r="AB23" s="893"/>
      <c r="AC23" s="881"/>
      <c r="AD23" s="703"/>
      <c r="AE23" s="703"/>
      <c r="AF23" s="703"/>
      <c r="AG23" s="703"/>
    </row>
    <row r="24" spans="1:34" s="50" customFormat="1" ht="16.5" customHeight="1" thickTop="1">
      <c r="A24" s="30" t="s">
        <v>5</v>
      </c>
      <c r="B24" s="334" t="str">
        <f>IF(April!B53=Para1!$F$153,Para1!$F$107,IF(April!B53=Para1!$F$107,Para1!$F$148,IF(April!B53=Para1!$F$148,Para1!$F$109,IF(April!B53=Para1!$F$109,Para1!$F$118,IF(April!B53=Para1!$F$118,Para1!$F$173,IF(April!B53=Para1!$F$173,Para1!$F$176,Para1!$F$153))))))</f>
        <v>Sa</v>
      </c>
      <c r="C24" s="305"/>
      <c r="D24" s="359"/>
      <c r="E24" s="355"/>
      <c r="F24" s="355"/>
      <c r="G24" s="357"/>
      <c r="H24" s="359"/>
      <c r="I24" s="355"/>
      <c r="J24" s="355"/>
      <c r="K24" s="357"/>
      <c r="L24" s="119">
        <f>SUM((G24-D24),(K24-H24))-SUM((F24-E24),(J24-I24))</f>
        <v>0</v>
      </c>
      <c r="M24" s="141">
        <f>IF(AE24=0,0,IF(AB24,$AB$56,0)+IF(AC24,$AB$56,0)-IF(AE24="",0,(AE24/4800*$H$3)+(AE24/4800*$H$3)))-IF(AF24="",0,(AF24/4800*$H$3)+(AF24/4800*$H$3))</f>
        <v>0</v>
      </c>
      <c r="N24" s="45">
        <f>$C$11+$L24-M24+SUM($P24:$U24)+IF(OR($W24="f",$W24="m",$W24="z",$W24="u",$W24="b",$W24="l"),$AH24,0)+IF(OR($X24="f",$X24="m",$X24="z",$X24="u",$X24="b",$X24="l"),$AH24,0)</f>
        <v>-29.008333333333329</v>
      </c>
      <c r="O24" s="201"/>
      <c r="P24" s="359"/>
      <c r="Q24" s="357"/>
      <c r="R24" s="356"/>
      <c r="S24" s="357"/>
      <c r="T24" s="357"/>
      <c r="U24" s="370"/>
      <c r="V24" s="198"/>
      <c r="W24" s="373"/>
      <c r="X24" s="599"/>
      <c r="Y24" s="232"/>
      <c r="Z24" s="231"/>
      <c r="AA24" s="668"/>
      <c r="AB24" s="360">
        <f>April!AB47</f>
        <v>0</v>
      </c>
      <c r="AC24" s="360">
        <f>April!AC47</f>
        <v>0</v>
      </c>
      <c r="AD24" s="188" t="e">
        <f>IF(VLOOKUP(A24,Para1!$B$67:$E$72,2,FALSE)="5.",VLOOKUP(A24,Para1!$B$67:$E$72,3,FALSE),"")</f>
        <v>#N/A</v>
      </c>
      <c r="AE24" s="540" t="str">
        <f>IF((AB24+AC24)=0,"",IF(ISNA(AD24),"",IF(AD24="","",VLOOKUP(AD24,Para1!$D$67:$G$79,3,FALSE)*(IF(AB24+AC24=1,0.5,1)))))</f>
        <v/>
      </c>
      <c r="AF24" s="540" t="str">
        <f>IF(AB24+AC24=0,"",IF(ISNA(AD25),"",IF(AD25="","",VLOOKUP(AD25,Para1!$D$67:$G$79,4,FALSE)*(IF(AB24+AC24=1,0.5,1)))))</f>
        <v/>
      </c>
      <c r="AG24" s="188">
        <f t="shared" ref="AG24:AG54" si="1">IF(AE24=0,AB24+AC24,0)</f>
        <v>0</v>
      </c>
      <c r="AH24" s="187">
        <f>IF((AB24+AC24)=0,0,M24/(AB24+AC24))</f>
        <v>0</v>
      </c>
    </row>
    <row r="25" spans="1:34" s="50" customFormat="1" ht="16.5" customHeight="1">
      <c r="A25" s="30" t="s">
        <v>7</v>
      </c>
      <c r="B25" s="334" t="str">
        <f>IF(B24=Para1!$F$153,Para1!$F$107,IF(B24=Para1!$F$107,Para1!$F$148,IF(B24=Para1!$F$148,Para1!$F$109,IF(B24=Para1!$F$109,Para1!$F$118,IF(B24=Para1!$F$118,Para1!$F$173,IF(B24=Para1!$F$173,Para1!$F$176,Para1!$F$153))))))</f>
        <v>So</v>
      </c>
      <c r="C25" s="305"/>
      <c r="D25" s="359"/>
      <c r="E25" s="355"/>
      <c r="F25" s="355"/>
      <c r="G25" s="357"/>
      <c r="H25" s="359"/>
      <c r="I25" s="355"/>
      <c r="J25" s="355"/>
      <c r="K25" s="357"/>
      <c r="L25" s="119">
        <f t="shared" ref="L25:L54" si="2">SUM((G25-D25),(K25-H25))-SUM((F25-E25),(J25-I25))</f>
        <v>0</v>
      </c>
      <c r="M25" s="141">
        <f t="shared" ref="M25:M54" si="3">IF(AE25=0,0,IF(AB25,$AB$56,0)+IF(AC25,$AB$56,0)-IF(AE25="",0,(AE25/4800*$H$3)+(AE25/4800*$H$3)))-IF(AF25="",0,(AF25/4800*$H$3)+(AF25/4800*$H$3))</f>
        <v>0</v>
      </c>
      <c r="N25" s="45">
        <f>$N24+$L25-M25+SUM($P25:$U25)+IF(OR($W25="f",$W25="m",$W25="z",$W25="u",$W25="b",$W25="l"),$AH25,0)+IF(OR($X25="f",$X25="m",$X25="z",$X25="u",$X25="b",$X25="l"),$AH25,0)</f>
        <v>-29.008333333333329</v>
      </c>
      <c r="O25" s="201"/>
      <c r="P25" s="359"/>
      <c r="Q25" s="357"/>
      <c r="R25" s="356"/>
      <c r="S25" s="357"/>
      <c r="T25" s="357"/>
      <c r="U25" s="370"/>
      <c r="V25" s="198"/>
      <c r="W25" s="373"/>
      <c r="X25" s="599"/>
      <c r="Y25" s="200"/>
      <c r="Z25" s="69"/>
      <c r="AA25" s="128"/>
      <c r="AB25" s="360">
        <f>April!AB48</f>
        <v>0</v>
      </c>
      <c r="AC25" s="360">
        <f>April!AC48</f>
        <v>0</v>
      </c>
      <c r="AD25" s="188" t="str">
        <f>IF(VLOOKUP(A25,Para1!$B$67:$E$72,2,FALSE)="5.",VLOOKUP(A25,Para1!$B$67:$E$72,3,FALSE),"")</f>
        <v/>
      </c>
      <c r="AE25" s="540" t="str">
        <f>IF((AB25+AC25)=0,"",IF(ISNA(AD25),"",IF(AD25="","",VLOOKUP(AD25,Para1!$D$67:$G$79,3,FALSE)*(IF(AB25+AC25=1,0.5,1)))))</f>
        <v/>
      </c>
      <c r="AF25" s="540" t="str">
        <f>IF(AB25+AC25=0,"",IF(ISNA(AD26),"",IF(AD26="","",VLOOKUP(AD26,Para1!$D$67:$G$79,4,FALSE)*(IF(AB25+AC25=1,0.5,1)))))</f>
        <v/>
      </c>
      <c r="AG25" s="188">
        <f t="shared" si="1"/>
        <v>0</v>
      </c>
      <c r="AH25" s="187">
        <f t="shared" ref="AH25:AH54" si="4">IF((AB25+AC25)=0,0,M25/(AB25+AC25))</f>
        <v>0</v>
      </c>
    </row>
    <row r="26" spans="1:34" ht="16.5" customHeight="1">
      <c r="A26" s="112" t="s">
        <v>9</v>
      </c>
      <c r="B26" s="334" t="str">
        <f>IF(B25=Para1!$F$153,Para1!$F$107,IF(B25=Para1!$F$107,Para1!$F$148,IF(B25=Para1!$F$148,Para1!$F$109,IF(B25=Para1!$F$109,Para1!$F$118,IF(B25=Para1!$F$118,Para1!$F$173,IF(B25=Para1!$F$173,Para1!$F$176,Para1!$F$153))))))</f>
        <v>Mo</v>
      </c>
      <c r="C26" s="305"/>
      <c r="D26" s="359"/>
      <c r="E26" s="355"/>
      <c r="F26" s="355"/>
      <c r="G26" s="357"/>
      <c r="H26" s="359"/>
      <c r="I26" s="355"/>
      <c r="J26" s="355"/>
      <c r="K26" s="357"/>
      <c r="L26" s="111">
        <f t="shared" si="2"/>
        <v>0</v>
      </c>
      <c r="M26" s="141">
        <f t="shared" si="3"/>
        <v>0.35000000000000003</v>
      </c>
      <c r="N26" s="45">
        <f t="shared" ref="N26:N54" si="5">$N25+$L26-M26+SUM($P26:$U26)+IF(OR($W26="f",$W26="m",$W26="z",$W26="u",$W26="b",$W26="l"),$AH26,0)+IF(OR($X26="f",$X26="m",$X26="z",$X26="u",$X26="b",$X26="l"),$AH26,0)</f>
        <v>-29.358333333333331</v>
      </c>
      <c r="O26" s="201"/>
      <c r="P26" s="359"/>
      <c r="Q26" s="357"/>
      <c r="R26" s="356"/>
      <c r="S26" s="357"/>
      <c r="T26" s="357"/>
      <c r="U26" s="370"/>
      <c r="V26" s="198"/>
      <c r="W26" s="373"/>
      <c r="X26" s="599"/>
      <c r="Y26" s="200"/>
      <c r="Z26" s="69"/>
      <c r="AA26" s="128"/>
      <c r="AB26" s="360">
        <f>April!AB49</f>
        <v>1</v>
      </c>
      <c r="AC26" s="360">
        <f>April!AC49</f>
        <v>1</v>
      </c>
      <c r="AD26" s="188" t="e">
        <f>IF(VLOOKUP(A26,Para1!$B$67:$E$72,2,FALSE)="5.",VLOOKUP(A26,Para1!$B$67:$E$72,3,FALSE),"")</f>
        <v>#N/A</v>
      </c>
      <c r="AE26" s="540" t="str">
        <f>IF((AB26+AC26)=0,"",IF(ISNA(AD26),"",IF(AD26="","",VLOOKUP(AD26,Para1!$D$67:$G$79,3,FALSE)*(IF(AB26+AC26=1,0.5,1)))))</f>
        <v/>
      </c>
      <c r="AF26" s="540" t="str">
        <f>IF(AB26+AC26=0,"",IF(ISNA(AD27),"",IF(AD27="","",VLOOKUP(AD27,Para1!$D$67:$G$79,4,FALSE)*(IF(AB26+AC26=1,0.5,1)))))</f>
        <v/>
      </c>
      <c r="AG26" s="188">
        <f t="shared" si="1"/>
        <v>0</v>
      </c>
      <c r="AH26" s="187">
        <f t="shared" si="4"/>
        <v>0.17500000000000002</v>
      </c>
    </row>
    <row r="27" spans="1:34" ht="16.5" customHeight="1">
      <c r="A27" s="112" t="s">
        <v>11</v>
      </c>
      <c r="B27" s="334" t="str">
        <f>IF(B26=Para1!$F$153,Para1!$F$107,IF(B26=Para1!$F$107,Para1!$F$148,IF(B26=Para1!$F$148,Para1!$F$109,IF(B26=Para1!$F$109,Para1!$F$118,IF(B26=Para1!$F$118,Para1!$F$173,IF(B26=Para1!$F$173,Para1!$F$176,Para1!$F$153))))))</f>
        <v>Di</v>
      </c>
      <c r="C27" s="305"/>
      <c r="D27" s="359"/>
      <c r="E27" s="355"/>
      <c r="F27" s="355"/>
      <c r="G27" s="357"/>
      <c r="H27" s="359"/>
      <c r="I27" s="355"/>
      <c r="J27" s="355"/>
      <c r="K27" s="357"/>
      <c r="L27" s="111">
        <f t="shared" si="2"/>
        <v>0</v>
      </c>
      <c r="M27" s="141">
        <f t="shared" si="3"/>
        <v>0.35000000000000003</v>
      </c>
      <c r="N27" s="45">
        <f t="shared" si="5"/>
        <v>-29.708333333333332</v>
      </c>
      <c r="O27" s="201"/>
      <c r="P27" s="359"/>
      <c r="Q27" s="357"/>
      <c r="R27" s="356"/>
      <c r="S27" s="357"/>
      <c r="T27" s="357"/>
      <c r="U27" s="370"/>
      <c r="V27" s="198"/>
      <c r="W27" s="374"/>
      <c r="X27" s="599"/>
      <c r="Y27" s="200"/>
      <c r="Z27" s="69"/>
      <c r="AA27" s="128"/>
      <c r="AB27" s="360">
        <f>April!AB50</f>
        <v>1</v>
      </c>
      <c r="AC27" s="360">
        <f>April!AC50</f>
        <v>1</v>
      </c>
      <c r="AD27" s="188" t="str">
        <f>IF(VLOOKUP(A27,Para1!$B$67:$E$72,2,FALSE)="5.",VLOOKUP(A27,Para1!$B$67:$E$72,3,FALSE),"")</f>
        <v/>
      </c>
      <c r="AE27" s="540" t="str">
        <f>IF((AB27+AC27)=0,"",IF(ISNA(AD27),"",IF(AD27="","",VLOOKUP(AD27,Para1!$D$67:$G$79,3,FALSE)*(IF(AB27+AC27=1,0.5,1)))))</f>
        <v/>
      </c>
      <c r="AF27" s="540" t="str">
        <f>IF(AB27+AC27=0,"",IF(ISNA(AD28),"",IF(AD28="","",VLOOKUP(AD28,Para1!$D$67:$G$79,4,FALSE)*(IF(AB27+AC27=1,0.5,1)))))</f>
        <v/>
      </c>
      <c r="AG27" s="188">
        <f t="shared" si="1"/>
        <v>0</v>
      </c>
      <c r="AH27" s="187">
        <f t="shared" si="4"/>
        <v>0.17500000000000002</v>
      </c>
    </row>
    <row r="28" spans="1:34" ht="16.5" customHeight="1">
      <c r="A28" s="112" t="s">
        <v>13</v>
      </c>
      <c r="B28" s="334" t="str">
        <f>IF(B27=Para1!$F$153,Para1!$F$107,IF(B27=Para1!$F$107,Para1!$F$148,IF(B27=Para1!$F$148,Para1!$F$109,IF(B27=Para1!$F$109,Para1!$F$118,IF(B27=Para1!$F$118,Para1!$F$173,IF(B27=Para1!$F$173,Para1!$F$176,Para1!$F$153))))))</f>
        <v>Mi</v>
      </c>
      <c r="C28" s="305"/>
      <c r="D28" s="359"/>
      <c r="E28" s="355"/>
      <c r="F28" s="355"/>
      <c r="G28" s="357"/>
      <c r="H28" s="359"/>
      <c r="I28" s="355"/>
      <c r="J28" s="355"/>
      <c r="K28" s="357"/>
      <c r="L28" s="111">
        <f t="shared" si="2"/>
        <v>0</v>
      </c>
      <c r="M28" s="141">
        <f t="shared" si="3"/>
        <v>0.35000000000000003</v>
      </c>
      <c r="N28" s="45">
        <f t="shared" si="5"/>
        <v>-30.058333333333334</v>
      </c>
      <c r="O28" s="238"/>
      <c r="P28" s="359"/>
      <c r="Q28" s="357"/>
      <c r="R28" s="356"/>
      <c r="S28" s="357"/>
      <c r="T28" s="357"/>
      <c r="U28" s="370"/>
      <c r="V28" s="198"/>
      <c r="W28" s="374"/>
      <c r="X28" s="599"/>
      <c r="Y28" s="200"/>
      <c r="Z28" s="69"/>
      <c r="AA28" s="128"/>
      <c r="AB28" s="360">
        <f>April!AB51</f>
        <v>1</v>
      </c>
      <c r="AC28" s="360">
        <f>April!AC51</f>
        <v>1</v>
      </c>
      <c r="AD28" s="188" t="str">
        <f>IF(VLOOKUP(A28,Para1!$B$67:$E$72,2,FALSE)="5.",VLOOKUP(A28,Para1!$B$67:$E$72,3,FALSE),"")</f>
        <v/>
      </c>
      <c r="AE28" s="540" t="str">
        <f>IF((AB28+AC28)=0,"",IF(ISNA(AD28),"",IF(AD28="","",VLOOKUP(AD28,Para1!$D$67:$G$79,3,FALSE)*(IF(AB28+AC28=1,0.5,1)))))</f>
        <v/>
      </c>
      <c r="AF28" s="540" t="str">
        <f>IF(AB28+AC28=0,"",IF(ISNA(AD29),"",IF(AD29="","",VLOOKUP(AD29,Para1!$D$67:$G$79,4,FALSE)*(IF(AB28+AC28=1,0.5,1)))))</f>
        <v/>
      </c>
      <c r="AG28" s="188">
        <f t="shared" si="1"/>
        <v>0</v>
      </c>
      <c r="AH28" s="187">
        <f t="shared" si="4"/>
        <v>0.17500000000000002</v>
      </c>
    </row>
    <row r="29" spans="1:34" ht="16.5" customHeight="1">
      <c r="A29" s="112" t="s">
        <v>15</v>
      </c>
      <c r="B29" s="334" t="str">
        <f>IF(B28=Para1!$F$153,Para1!$F$107,IF(B28=Para1!$F$107,Para1!$F$148,IF(B28=Para1!$F$148,Para1!$F$109,IF(B28=Para1!$F$109,Para1!$F$118,IF(B28=Para1!$F$118,Para1!$F$173,IF(B28=Para1!$F$173,Para1!$F$176,Para1!$F$153))))))</f>
        <v>Do</v>
      </c>
      <c r="C29" s="305"/>
      <c r="D29" s="359"/>
      <c r="E29" s="355"/>
      <c r="F29" s="355"/>
      <c r="G29" s="357"/>
      <c r="H29" s="359"/>
      <c r="I29" s="355"/>
      <c r="J29" s="355"/>
      <c r="K29" s="357"/>
      <c r="L29" s="111">
        <f t="shared" si="2"/>
        <v>0</v>
      </c>
      <c r="M29" s="141">
        <f t="shared" si="3"/>
        <v>0.35000000000000003</v>
      </c>
      <c r="N29" s="45">
        <f t="shared" si="5"/>
        <v>-30.408333333333335</v>
      </c>
      <c r="O29" s="238"/>
      <c r="P29" s="359"/>
      <c r="Q29" s="357"/>
      <c r="R29" s="356"/>
      <c r="S29" s="357"/>
      <c r="T29" s="357"/>
      <c r="U29" s="370"/>
      <c r="V29" s="237"/>
      <c r="W29" s="373"/>
      <c r="X29" s="599"/>
      <c r="Y29" s="200"/>
      <c r="Z29" s="69"/>
      <c r="AA29" s="128"/>
      <c r="AB29" s="360">
        <f>April!AB52</f>
        <v>1</v>
      </c>
      <c r="AC29" s="360">
        <f>April!AC52</f>
        <v>1</v>
      </c>
      <c r="AD29" s="188" t="e">
        <f>IF(VLOOKUP(A29,Para1!$B$67:$E$72,2,FALSE)="5.",VLOOKUP(A29,Para1!$B$67:$E$72,3,FALSE),"")</f>
        <v>#N/A</v>
      </c>
      <c r="AE29" s="540" t="str">
        <f>IF((AB29+AC29)=0,"",IF(ISNA(AD29),"",IF(AD29="","",VLOOKUP(AD29,Para1!$D$67:$G$79,3,FALSE)*(IF(AB29+AC29=1,0.5,1)))))</f>
        <v/>
      </c>
      <c r="AF29" s="540" t="str">
        <f>IF(AB29+AC29=0,"",IF(ISNA(AD30),"",IF(AD30="","",VLOOKUP(AD30,Para1!$D$67:$G$79,4,FALSE)*(IF(AB29+AC29=1,0.5,1)))))</f>
        <v/>
      </c>
      <c r="AG29" s="188">
        <f t="shared" si="1"/>
        <v>0</v>
      </c>
      <c r="AH29" s="187">
        <f t="shared" si="4"/>
        <v>0.17500000000000002</v>
      </c>
    </row>
    <row r="30" spans="1:34" ht="16.5" customHeight="1">
      <c r="A30" s="112" t="s">
        <v>17</v>
      </c>
      <c r="B30" s="334" t="str">
        <f>IF(B29=Para1!$F$153,Para1!$F$107,IF(B29=Para1!$F$107,Para1!$F$148,IF(B29=Para1!$F$148,Para1!$F$109,IF(B29=Para1!$F$109,Para1!$F$118,IF(B29=Para1!$F$118,Para1!$F$173,IF(B29=Para1!$F$173,Para1!$F$176,Para1!$F$153))))))</f>
        <v>Fr</v>
      </c>
      <c r="C30" s="305"/>
      <c r="D30" s="359"/>
      <c r="E30" s="355"/>
      <c r="F30" s="355"/>
      <c r="G30" s="357"/>
      <c r="H30" s="359"/>
      <c r="I30" s="355"/>
      <c r="J30" s="355"/>
      <c r="K30" s="357"/>
      <c r="L30" s="111">
        <f t="shared" si="2"/>
        <v>0</v>
      </c>
      <c r="M30" s="141">
        <f t="shared" si="3"/>
        <v>0.35000000000000003</v>
      </c>
      <c r="N30" s="45">
        <f t="shared" si="5"/>
        <v>-30.758333333333336</v>
      </c>
      <c r="O30" s="201"/>
      <c r="P30" s="359"/>
      <c r="Q30" s="357"/>
      <c r="R30" s="356"/>
      <c r="S30" s="357"/>
      <c r="T30" s="357"/>
      <c r="U30" s="370"/>
      <c r="V30" s="198"/>
      <c r="W30" s="373"/>
      <c r="X30" s="599"/>
      <c r="Y30" s="200"/>
      <c r="Z30" s="69"/>
      <c r="AA30" s="128"/>
      <c r="AB30" s="360">
        <f>April!AB53</f>
        <v>1</v>
      </c>
      <c r="AC30" s="360">
        <f>April!AC53</f>
        <v>1</v>
      </c>
      <c r="AD30" s="188" t="e">
        <f>IF(VLOOKUP(A30,Para1!$B$67:$E$72,2,FALSE)="5.",VLOOKUP(A30,Para1!$B$67:$E$72,3,FALSE),"")</f>
        <v>#N/A</v>
      </c>
      <c r="AE30" s="540" t="str">
        <f>IF((AB30+AC30)=0,"",IF(ISNA(AD30),"",IF(AD30="","",VLOOKUP(AD30,Para1!$D$67:$G$79,3,FALSE)*(IF(AB30+AC30=1,0.5,1)))))</f>
        <v/>
      </c>
      <c r="AF30" s="540" t="str">
        <f>IF(AB30+AC30=0,"",IF(ISNA(AD31),"",IF(AD31="","",VLOOKUP(AD31,Para1!$D$67:$G$79,4,FALSE)*(IF(AB30+AC30=1,0.5,1)))))</f>
        <v/>
      </c>
      <c r="AG30" s="188">
        <f t="shared" si="1"/>
        <v>0</v>
      </c>
      <c r="AH30" s="187">
        <f t="shared" si="4"/>
        <v>0.17500000000000002</v>
      </c>
    </row>
    <row r="31" spans="1:34" s="50" customFormat="1" ht="16.5" customHeight="1">
      <c r="A31" s="30" t="s">
        <v>19</v>
      </c>
      <c r="B31" s="334" t="str">
        <f>IF(B30=Para1!$F$153,Para1!$F$107,IF(B30=Para1!$F$107,Para1!$F$148,IF(B30=Para1!$F$148,Para1!$F$109,IF(B30=Para1!$F$109,Para1!$F$118,IF(B30=Para1!$F$118,Para1!$F$173,IF(B30=Para1!$F$173,Para1!$F$176,Para1!$F$153))))))</f>
        <v>Sa</v>
      </c>
      <c r="C31" s="305"/>
      <c r="D31" s="359"/>
      <c r="E31" s="355"/>
      <c r="F31" s="355"/>
      <c r="G31" s="357"/>
      <c r="H31" s="359"/>
      <c r="I31" s="355"/>
      <c r="J31" s="355"/>
      <c r="K31" s="357"/>
      <c r="L31" s="119">
        <f t="shared" si="2"/>
        <v>0</v>
      </c>
      <c r="M31" s="141">
        <f t="shared" si="3"/>
        <v>0</v>
      </c>
      <c r="N31" s="45">
        <f t="shared" si="5"/>
        <v>-30.758333333333336</v>
      </c>
      <c r="O31" s="201"/>
      <c r="P31" s="359"/>
      <c r="Q31" s="357"/>
      <c r="R31" s="356"/>
      <c r="S31" s="357"/>
      <c r="T31" s="357"/>
      <c r="U31" s="370"/>
      <c r="V31" s="198"/>
      <c r="W31" s="373"/>
      <c r="X31" s="599"/>
      <c r="Y31" s="200"/>
      <c r="Z31" s="69"/>
      <c r="AA31" s="128"/>
      <c r="AB31" s="360">
        <f>AB24</f>
        <v>0</v>
      </c>
      <c r="AC31" s="360">
        <f>AC24</f>
        <v>0</v>
      </c>
      <c r="AD31" s="188" t="e">
        <f>IF(VLOOKUP(A31,Para1!$B$67:$E$72,2,FALSE)="5.",VLOOKUP(A31,Para1!$B$67:$E$72,3,FALSE),"")</f>
        <v>#N/A</v>
      </c>
      <c r="AE31" s="540" t="str">
        <f>IF((AB31+AC31)=0,"",IF(ISNA(AD31),"",IF(AD31="","",VLOOKUP(AD31,Para1!$D$67:$G$79,3,FALSE)*(IF(AB31+AC31=1,0.5,1)))))</f>
        <v/>
      </c>
      <c r="AF31" s="540" t="str">
        <f>IF(AB31+AC31=0,"",IF(ISNA(AD32),"",IF(AD32="","",VLOOKUP(AD32,Para1!$D$67:$G$79,4,FALSE)*(IF(AB31+AC31=1,0.5,1)))))</f>
        <v/>
      </c>
      <c r="AG31" s="188">
        <f t="shared" si="1"/>
        <v>0</v>
      </c>
      <c r="AH31" s="187">
        <f t="shared" si="4"/>
        <v>0</v>
      </c>
    </row>
    <row r="32" spans="1:34" s="50" customFormat="1" ht="16.5" customHeight="1">
      <c r="A32" s="30" t="s">
        <v>20</v>
      </c>
      <c r="B32" s="334" t="str">
        <f>IF(B31=Para1!$F$153,Para1!$F$107,IF(B31=Para1!$F$107,Para1!$F$148,IF(B31=Para1!$F$148,Para1!$F$109,IF(B31=Para1!$F$109,Para1!$F$118,IF(B31=Para1!$F$118,Para1!$F$173,IF(B31=Para1!$F$173,Para1!$F$176,Para1!$F$153))))))</f>
        <v>So</v>
      </c>
      <c r="C32" s="305"/>
      <c r="D32" s="359"/>
      <c r="E32" s="355"/>
      <c r="F32" s="355"/>
      <c r="G32" s="357"/>
      <c r="H32" s="359"/>
      <c r="I32" s="355"/>
      <c r="J32" s="355"/>
      <c r="K32" s="357"/>
      <c r="L32" s="119">
        <f t="shared" si="2"/>
        <v>0</v>
      </c>
      <c r="M32" s="141">
        <f t="shared" si="3"/>
        <v>0</v>
      </c>
      <c r="N32" s="45">
        <f t="shared" si="5"/>
        <v>-30.758333333333336</v>
      </c>
      <c r="O32" s="201"/>
      <c r="P32" s="359"/>
      <c r="Q32" s="357"/>
      <c r="R32" s="356"/>
      <c r="S32" s="357"/>
      <c r="T32" s="357"/>
      <c r="U32" s="370"/>
      <c r="V32" s="198"/>
      <c r="W32" s="373"/>
      <c r="X32" s="599"/>
      <c r="Y32" s="200"/>
      <c r="Z32" s="69"/>
      <c r="AA32" s="128"/>
      <c r="AB32" s="360">
        <f t="shared" ref="AB32:AC37" si="6">AB25</f>
        <v>0</v>
      </c>
      <c r="AC32" s="360">
        <f t="shared" si="6"/>
        <v>0</v>
      </c>
      <c r="AD32" s="188" t="e">
        <f>IF(VLOOKUP(A32,Para1!$B$67:$E$72,2,FALSE)="5.",VLOOKUP(A32,Para1!$B$67:$E$72,3,FALSE),"")</f>
        <v>#N/A</v>
      </c>
      <c r="AE32" s="540" t="str">
        <f>IF((AB32+AC32)=0,"",IF(ISNA(AD32),"",IF(AD32="","",VLOOKUP(AD32,Para1!$D$67:$G$79,3,FALSE)*(IF(AB32+AC32=1,0.5,1)))))</f>
        <v/>
      </c>
      <c r="AF32" s="540" t="str">
        <f>IF(AB32+AC32=0,"",IF(ISNA(AD33),"",IF(AD33="","",VLOOKUP(AD33,Para1!$D$67:$G$79,4,FALSE)*(IF(AB32+AC32=1,0.5,1)))))</f>
        <v/>
      </c>
      <c r="AG32" s="188">
        <f t="shared" si="1"/>
        <v>0</v>
      </c>
      <c r="AH32" s="187">
        <f t="shared" si="4"/>
        <v>0</v>
      </c>
    </row>
    <row r="33" spans="1:34" ht="16.5" customHeight="1">
      <c r="A33" s="112" t="s">
        <v>21</v>
      </c>
      <c r="B33" s="334" t="str">
        <f>IF(B32=Para1!$F$153,Para1!$F$107,IF(B32=Para1!$F$107,Para1!$F$148,IF(B32=Para1!$F$148,Para1!$F$109,IF(B32=Para1!$F$109,Para1!$F$118,IF(B32=Para1!$F$118,Para1!$F$173,IF(B32=Para1!$F$173,Para1!$F$176,Para1!$F$153))))))</f>
        <v>Mo</v>
      </c>
      <c r="C33" s="305"/>
      <c r="D33" s="359"/>
      <c r="E33" s="355"/>
      <c r="F33" s="355"/>
      <c r="G33" s="357"/>
      <c r="H33" s="359"/>
      <c r="I33" s="355"/>
      <c r="J33" s="355"/>
      <c r="K33" s="357"/>
      <c r="L33" s="111">
        <f t="shared" si="2"/>
        <v>0</v>
      </c>
      <c r="M33" s="141">
        <f t="shared" si="3"/>
        <v>0.35000000000000003</v>
      </c>
      <c r="N33" s="45">
        <f t="shared" si="5"/>
        <v>-31.108333333333338</v>
      </c>
      <c r="O33" s="201"/>
      <c r="P33" s="359"/>
      <c r="Q33" s="357"/>
      <c r="R33" s="356"/>
      <c r="S33" s="357"/>
      <c r="T33" s="357"/>
      <c r="U33" s="370"/>
      <c r="V33" s="198"/>
      <c r="W33" s="373"/>
      <c r="X33" s="599"/>
      <c r="Y33" s="200"/>
      <c r="Z33" s="69"/>
      <c r="AA33" s="128"/>
      <c r="AB33" s="360">
        <f t="shared" si="6"/>
        <v>1</v>
      </c>
      <c r="AC33" s="360">
        <f t="shared" si="6"/>
        <v>1</v>
      </c>
      <c r="AD33" s="188" t="e">
        <f>IF(VLOOKUP(A33,Para1!$B$67:$E$72,2,FALSE)="5.",VLOOKUP(A33,Para1!$B$67:$E$72,3,FALSE),"")</f>
        <v>#N/A</v>
      </c>
      <c r="AE33" s="540" t="str">
        <f>IF((AB33+AC33)=0,"",IF(ISNA(AD33),"",IF(AD33="","",VLOOKUP(AD33,Para1!$D$67:$G$79,3,FALSE)*(IF(AB33+AC33=1,0.5,1)))))</f>
        <v/>
      </c>
      <c r="AF33" s="540" t="str">
        <f>IF(AB33+AC33=0,"",IF(ISNA(AD34),"",IF(AD34="","",VLOOKUP(AD34,Para1!$D$67:$G$79,4,FALSE)*(IF(AB33+AC33=1,0.5,1)))))</f>
        <v/>
      </c>
      <c r="AG33" s="188">
        <f t="shared" si="1"/>
        <v>0</v>
      </c>
      <c r="AH33" s="187">
        <f t="shared" si="4"/>
        <v>0.17500000000000002</v>
      </c>
    </row>
    <row r="34" spans="1:34" ht="16.5" customHeight="1">
      <c r="A34" s="112" t="s">
        <v>22</v>
      </c>
      <c r="B34" s="334" t="str">
        <f>IF(B33=Para1!$F$153,Para1!$F$107,IF(B33=Para1!$F$107,Para1!$F$148,IF(B33=Para1!$F$148,Para1!$F$109,IF(B33=Para1!$F$109,Para1!$F$118,IF(B33=Para1!$F$118,Para1!$F$173,IF(B33=Para1!$F$173,Para1!$F$176,Para1!$F$153))))))</f>
        <v>Di</v>
      </c>
      <c r="C34" s="305"/>
      <c r="D34" s="359"/>
      <c r="E34" s="355"/>
      <c r="F34" s="355"/>
      <c r="G34" s="357"/>
      <c r="H34" s="359"/>
      <c r="I34" s="355"/>
      <c r="J34" s="355"/>
      <c r="K34" s="357"/>
      <c r="L34" s="111">
        <f t="shared" si="2"/>
        <v>0</v>
      </c>
      <c r="M34" s="141">
        <f t="shared" si="3"/>
        <v>0.35000000000000003</v>
      </c>
      <c r="N34" s="45">
        <f t="shared" si="5"/>
        <v>-31.458333333333339</v>
      </c>
      <c r="O34" s="201"/>
      <c r="P34" s="359"/>
      <c r="Q34" s="357"/>
      <c r="R34" s="356"/>
      <c r="S34" s="357"/>
      <c r="T34" s="357"/>
      <c r="U34" s="370"/>
      <c r="V34" s="198"/>
      <c r="W34" s="374"/>
      <c r="X34" s="599"/>
      <c r="Y34" s="200"/>
      <c r="Z34" s="69"/>
      <c r="AA34" s="128"/>
      <c r="AB34" s="360">
        <f t="shared" si="6"/>
        <v>1</v>
      </c>
      <c r="AC34" s="360">
        <f t="shared" si="6"/>
        <v>1</v>
      </c>
      <c r="AD34" s="188" t="e">
        <f>IF(VLOOKUP(A34,Para1!$B$67:$E$72,2,FALSE)="5.",VLOOKUP(A34,Para1!$B$67:$E$72,3,FALSE),"")</f>
        <v>#N/A</v>
      </c>
      <c r="AE34" s="540" t="str">
        <f>IF((AB34+AC34)=0,"",IF(ISNA(AD34),"",IF(AD34="","",VLOOKUP(AD34,Para1!$D$67:$G$79,3,FALSE)*(IF(AB34+AC34=1,0.5,1)))))</f>
        <v/>
      </c>
      <c r="AF34" s="540" t="str">
        <f>IF(AB34+AC34=0,"",IF(ISNA(AD35),"",IF(AD35="","",VLOOKUP(AD35,Para1!$D$67:$G$79,4,FALSE)*(IF(AB34+AC34=1,0.5,1)))))</f>
        <v/>
      </c>
      <c r="AG34" s="188">
        <f t="shared" si="1"/>
        <v>0</v>
      </c>
      <c r="AH34" s="187">
        <f t="shared" si="4"/>
        <v>0.17500000000000002</v>
      </c>
    </row>
    <row r="35" spans="1:34" ht="16.5" customHeight="1">
      <c r="A35" s="112" t="s">
        <v>23</v>
      </c>
      <c r="B35" s="334" t="str">
        <f>IF(B34=Para1!$F$153,Para1!$F$107,IF(B34=Para1!$F$107,Para1!$F$148,IF(B34=Para1!$F$148,Para1!$F$109,IF(B34=Para1!$F$109,Para1!$F$118,IF(B34=Para1!$F$118,Para1!$F$173,IF(B34=Para1!$F$173,Para1!$F$176,Para1!$F$153))))))</f>
        <v>Mi</v>
      </c>
      <c r="C35" s="305"/>
      <c r="D35" s="359"/>
      <c r="E35" s="355"/>
      <c r="F35" s="355"/>
      <c r="G35" s="357"/>
      <c r="H35" s="359"/>
      <c r="I35" s="355"/>
      <c r="J35" s="355"/>
      <c r="K35" s="357"/>
      <c r="L35" s="111">
        <f t="shared" si="2"/>
        <v>0</v>
      </c>
      <c r="M35" s="141">
        <f t="shared" si="3"/>
        <v>0.30833333333333335</v>
      </c>
      <c r="N35" s="45">
        <f t="shared" si="5"/>
        <v>-31.766666666666673</v>
      </c>
      <c r="O35" s="238"/>
      <c r="P35" s="359"/>
      <c r="Q35" s="357"/>
      <c r="R35" s="356"/>
      <c r="S35" s="357"/>
      <c r="T35" s="357"/>
      <c r="U35" s="370"/>
      <c r="V35" s="198"/>
      <c r="W35" s="374"/>
      <c r="X35" s="599"/>
      <c r="Y35" s="200"/>
      <c r="Z35" s="69"/>
      <c r="AA35" s="128"/>
      <c r="AB35" s="360">
        <f t="shared" si="6"/>
        <v>1</v>
      </c>
      <c r="AC35" s="360">
        <f t="shared" si="6"/>
        <v>1</v>
      </c>
      <c r="AD35" s="188" t="e">
        <f>IF(VLOOKUP(A35,Para1!$B$67:$E$72,2,FALSE)="5.",VLOOKUP(A35,Para1!$B$67:$E$72,3,FALSE),"")</f>
        <v>#N/A</v>
      </c>
      <c r="AE35" s="540" t="str">
        <f>IF((AB35+AC35)=0,"",IF(ISNA(AD35),"",IF(AD35="","",VLOOKUP(AD35,Para1!$D$67:$G$79,3,FALSE)*(IF(AB35+AC35=1,0.5,1)))))</f>
        <v/>
      </c>
      <c r="AF35" s="540">
        <f>IF(AB35+AC35=0,"",IF(ISNA(AD36),"",IF(AD36="","",VLOOKUP(AD36,Para1!$D$67:$G$79,4,FALSE)*(IF(AB35+AC35=1,0.5,1)))))</f>
        <v>1</v>
      </c>
      <c r="AG35" s="188">
        <f t="shared" si="1"/>
        <v>0</v>
      </c>
      <c r="AH35" s="187">
        <f t="shared" si="4"/>
        <v>0.15416666666666667</v>
      </c>
    </row>
    <row r="36" spans="1:34" ht="16.5" customHeight="1">
      <c r="A36" s="30" t="s">
        <v>24</v>
      </c>
      <c r="B36" s="334" t="str">
        <f>IF(B35=Para1!$F$153,Para1!$F$107,IF(B35=Para1!$F$107,Para1!$F$148,IF(B35=Para1!$F$148,Para1!$F$109,IF(B35=Para1!$F$109,Para1!$F$118,IF(B35=Para1!$F$118,Para1!$F$173,IF(B35=Para1!$F$173,Para1!$F$176,Para1!$F$153))))))</f>
        <v>Do</v>
      </c>
      <c r="C36" s="305"/>
      <c r="D36" s="359"/>
      <c r="E36" s="355"/>
      <c r="F36" s="355"/>
      <c r="G36" s="357"/>
      <c r="H36" s="359"/>
      <c r="I36" s="355"/>
      <c r="J36" s="355"/>
      <c r="K36" s="357"/>
      <c r="L36" s="119">
        <f t="shared" si="2"/>
        <v>0</v>
      </c>
      <c r="M36" s="141">
        <f t="shared" si="3"/>
        <v>0</v>
      </c>
      <c r="N36" s="45">
        <f t="shared" si="5"/>
        <v>-31.766666666666673</v>
      </c>
      <c r="O36" s="238"/>
      <c r="P36" s="359"/>
      <c r="Q36" s="357"/>
      <c r="R36" s="356"/>
      <c r="S36" s="357"/>
      <c r="T36" s="357"/>
      <c r="U36" s="370"/>
      <c r="V36" s="237"/>
      <c r="W36" s="373"/>
      <c r="X36" s="599"/>
      <c r="Y36" s="200"/>
      <c r="Z36" s="69"/>
      <c r="AA36" s="128"/>
      <c r="AB36" s="360">
        <f t="shared" si="6"/>
        <v>1</v>
      </c>
      <c r="AC36" s="360">
        <f t="shared" si="6"/>
        <v>1</v>
      </c>
      <c r="AD36" s="188" t="str">
        <f>IF(VLOOKUP(A36,Para1!$B$67:$E$72,2,FALSE)="5.",VLOOKUP(A36,Para1!$B$67:$E$72,3,FALSE),"")</f>
        <v>Auffahrt</v>
      </c>
      <c r="AE36" s="540">
        <f>IF((AB36+AC36)=0,"",IF(ISNA(AD36),"",IF(AD36="","",VLOOKUP(AD36,Para1!$D$67:$G$79,3,FALSE)*(IF(AB36+AC36=1,0.5,1)))))</f>
        <v>0</v>
      </c>
      <c r="AF36" s="540" t="str">
        <f>IF(AB36+AC36=0,"",IF(ISNA(AD37),"",IF(AD37="","",VLOOKUP(AD37,Para1!$D$67:$G$79,4,FALSE)*(IF(AB36+AC36=1,0.5,1)))))</f>
        <v/>
      </c>
      <c r="AG36" s="188">
        <f t="shared" si="1"/>
        <v>2</v>
      </c>
      <c r="AH36" s="187">
        <f t="shared" si="4"/>
        <v>0</v>
      </c>
    </row>
    <row r="37" spans="1:34" ht="16.5" customHeight="1">
      <c r="A37" s="112" t="s">
        <v>25</v>
      </c>
      <c r="B37" s="334" t="str">
        <f>IF(B36=Para1!$F$153,Para1!$F$107,IF(B36=Para1!$F$107,Para1!$F$148,IF(B36=Para1!$F$148,Para1!$F$109,IF(B36=Para1!$F$109,Para1!$F$118,IF(B36=Para1!$F$118,Para1!$F$173,IF(B36=Para1!$F$173,Para1!$F$176,Para1!$F$153))))))</f>
        <v>Fr</v>
      </c>
      <c r="C37" s="305"/>
      <c r="D37" s="359"/>
      <c r="E37" s="355"/>
      <c r="F37" s="355"/>
      <c r="G37" s="357"/>
      <c r="H37" s="359"/>
      <c r="I37" s="355"/>
      <c r="J37" s="355"/>
      <c r="K37" s="357"/>
      <c r="L37" s="111">
        <f t="shared" si="2"/>
        <v>0</v>
      </c>
      <c r="M37" s="141">
        <f t="shared" si="3"/>
        <v>0.35000000000000003</v>
      </c>
      <c r="N37" s="45">
        <f t="shared" si="5"/>
        <v>-32.116666666666674</v>
      </c>
      <c r="O37" s="201"/>
      <c r="P37" s="359"/>
      <c r="Q37" s="357"/>
      <c r="R37" s="356"/>
      <c r="S37" s="357"/>
      <c r="T37" s="357"/>
      <c r="U37" s="370"/>
      <c r="V37" s="198"/>
      <c r="W37" s="373"/>
      <c r="X37" s="599"/>
      <c r="Y37" s="200"/>
      <c r="Z37" s="69"/>
      <c r="AA37" s="128"/>
      <c r="AB37" s="360">
        <f t="shared" si="6"/>
        <v>1</v>
      </c>
      <c r="AC37" s="360">
        <f t="shared" si="6"/>
        <v>1</v>
      </c>
      <c r="AD37" s="188" t="e">
        <f>IF(VLOOKUP(A37,Para1!$B$67:$E$72,2,FALSE)="5.",VLOOKUP(A37,Para1!$B$67:$E$72,3,FALSE),"")</f>
        <v>#N/A</v>
      </c>
      <c r="AE37" s="540" t="str">
        <f>IF((AB37+AC37)=0,"",IF(ISNA(AD37),"",IF(AD37="","",VLOOKUP(AD37,Para1!$D$67:$G$79,3,FALSE)*(IF(AB37+AC37=1,0.5,1)))))</f>
        <v/>
      </c>
      <c r="AF37" s="540" t="str">
        <f>IF(AB37+AC37=0,"",IF(ISNA(AD38),"",IF(AD38="","",VLOOKUP(AD38,Para1!$D$67:$G$79,4,FALSE)*(IF(AB37+AC37=1,0.5,1)))))</f>
        <v/>
      </c>
      <c r="AG37" s="188">
        <f t="shared" si="1"/>
        <v>0</v>
      </c>
      <c r="AH37" s="187">
        <f t="shared" si="4"/>
        <v>0.17500000000000002</v>
      </c>
    </row>
    <row r="38" spans="1:34" s="50" customFormat="1" ht="16.5" customHeight="1">
      <c r="A38" s="30" t="s">
        <v>26</v>
      </c>
      <c r="B38" s="334" t="str">
        <f>IF(B37=Para1!$F$153,Para1!$F$107,IF(B37=Para1!$F$107,Para1!$F$148,IF(B37=Para1!$F$148,Para1!$F$109,IF(B37=Para1!$F$109,Para1!$F$118,IF(B37=Para1!$F$118,Para1!$F$173,IF(B37=Para1!$F$173,Para1!$F$176,Para1!$F$153))))))</f>
        <v>Sa</v>
      </c>
      <c r="C38" s="305"/>
      <c r="D38" s="359"/>
      <c r="E38" s="355"/>
      <c r="F38" s="355"/>
      <c r="G38" s="357"/>
      <c r="H38" s="359"/>
      <c r="I38" s="355"/>
      <c r="J38" s="355"/>
      <c r="K38" s="357"/>
      <c r="L38" s="119">
        <f t="shared" si="2"/>
        <v>0</v>
      </c>
      <c r="M38" s="141">
        <f t="shared" si="3"/>
        <v>0</v>
      </c>
      <c r="N38" s="45">
        <f t="shared" si="5"/>
        <v>-32.116666666666674</v>
      </c>
      <c r="O38" s="201"/>
      <c r="P38" s="359"/>
      <c r="Q38" s="357"/>
      <c r="R38" s="356"/>
      <c r="S38" s="357"/>
      <c r="T38" s="357"/>
      <c r="U38" s="370"/>
      <c r="V38" s="198"/>
      <c r="W38" s="373"/>
      <c r="X38" s="599"/>
      <c r="Y38" s="200"/>
      <c r="Z38" s="69"/>
      <c r="AA38" s="128"/>
      <c r="AB38" s="360">
        <f>AB31</f>
        <v>0</v>
      </c>
      <c r="AC38" s="360">
        <f>AC31</f>
        <v>0</v>
      </c>
      <c r="AD38" s="188" t="e">
        <f>IF(VLOOKUP(A38,Para1!$B$67:$E$72,2,FALSE)="5.",VLOOKUP(A38,Para1!$B$67:$E$72,3,FALSE),"")</f>
        <v>#N/A</v>
      </c>
      <c r="AE38" s="540" t="str">
        <f>IF((AB38+AC38)=0,"",IF(ISNA(AD38),"",IF(AD38="","",VLOOKUP(AD38,Para1!$D$67:$G$79,3,FALSE)*(IF(AB38+AC38=1,0.5,1)))))</f>
        <v/>
      </c>
      <c r="AF38" s="540" t="str">
        <f>IF(AB38+AC38=0,"",IF(ISNA(AD39),"",IF(AD39="","",VLOOKUP(AD39,Para1!$D$67:$G$79,4,FALSE)*(IF(AB38+AC38=1,0.5,1)))))</f>
        <v/>
      </c>
      <c r="AG38" s="188">
        <f t="shared" si="1"/>
        <v>0</v>
      </c>
      <c r="AH38" s="187">
        <f t="shared" si="4"/>
        <v>0</v>
      </c>
    </row>
    <row r="39" spans="1:34" s="50" customFormat="1" ht="16.5" customHeight="1">
      <c r="A39" s="30" t="s">
        <v>27</v>
      </c>
      <c r="B39" s="334" t="str">
        <f>IF(B38=Para1!$F$153,Para1!$F$107,IF(B38=Para1!$F$107,Para1!$F$148,IF(B38=Para1!$F$148,Para1!$F$109,IF(B38=Para1!$F$109,Para1!$F$118,IF(B38=Para1!$F$118,Para1!$F$173,IF(B38=Para1!$F$173,Para1!$F$176,Para1!$F$153))))))</f>
        <v>So</v>
      </c>
      <c r="C39" s="305"/>
      <c r="D39" s="359"/>
      <c r="E39" s="355"/>
      <c r="F39" s="355"/>
      <c r="G39" s="357"/>
      <c r="H39" s="359"/>
      <c r="I39" s="355"/>
      <c r="J39" s="355"/>
      <c r="K39" s="357"/>
      <c r="L39" s="119">
        <f t="shared" si="2"/>
        <v>0</v>
      </c>
      <c r="M39" s="141">
        <f t="shared" si="3"/>
        <v>0</v>
      </c>
      <c r="N39" s="45">
        <f t="shared" si="5"/>
        <v>-32.116666666666674</v>
      </c>
      <c r="O39" s="201"/>
      <c r="P39" s="359"/>
      <c r="Q39" s="357"/>
      <c r="R39" s="356"/>
      <c r="S39" s="357"/>
      <c r="T39" s="357"/>
      <c r="U39" s="370"/>
      <c r="V39" s="198"/>
      <c r="W39" s="373"/>
      <c r="X39" s="599"/>
      <c r="Y39" s="200"/>
      <c r="Z39" s="69"/>
      <c r="AA39" s="128"/>
      <c r="AB39" s="360">
        <f t="shared" ref="AB39:AC43" si="7">AB32</f>
        <v>0</v>
      </c>
      <c r="AC39" s="360">
        <f t="shared" si="7"/>
        <v>0</v>
      </c>
      <c r="AD39" s="188" t="e">
        <f>IF(VLOOKUP(A39,Para1!$B$67:$E$72,2,FALSE)="5.",VLOOKUP(A39,Para1!$B$67:$E$72,3,FALSE),"")</f>
        <v>#N/A</v>
      </c>
      <c r="AE39" s="540" t="str">
        <f>IF((AB39+AC39)=0,"",IF(ISNA(AD39),"",IF(AD39="","",VLOOKUP(AD39,Para1!$D$67:$G$79,3,FALSE)*(IF(AB39+AC39=1,0.5,1)))))</f>
        <v/>
      </c>
      <c r="AF39" s="540" t="str">
        <f>IF(AB39+AC39=0,"",IF(ISNA(AD40),"",IF(AD40="","",VLOOKUP(AD40,Para1!$D$67:$G$79,4,FALSE)*(IF(AB39+AC39=1,0.5,1)))))</f>
        <v/>
      </c>
      <c r="AG39" s="188">
        <f t="shared" si="1"/>
        <v>0</v>
      </c>
      <c r="AH39" s="187">
        <f t="shared" si="4"/>
        <v>0</v>
      </c>
    </row>
    <row r="40" spans="1:34" ht="16.5" customHeight="1">
      <c r="A40" s="112" t="s">
        <v>28</v>
      </c>
      <c r="B40" s="334" t="str">
        <f>IF(B39=Para1!$F$153,Para1!$F$107,IF(B39=Para1!$F$107,Para1!$F$148,IF(B39=Para1!$F$148,Para1!$F$109,IF(B39=Para1!$F$109,Para1!$F$118,IF(B39=Para1!$F$118,Para1!$F$173,IF(B39=Para1!$F$173,Para1!$F$176,Para1!$F$153))))))</f>
        <v>Mo</v>
      </c>
      <c r="C40" s="305"/>
      <c r="D40" s="359"/>
      <c r="E40" s="355"/>
      <c r="F40" s="355"/>
      <c r="G40" s="357"/>
      <c r="H40" s="359"/>
      <c r="I40" s="355"/>
      <c r="J40" s="355"/>
      <c r="K40" s="357"/>
      <c r="L40" s="111">
        <f t="shared" si="2"/>
        <v>0</v>
      </c>
      <c r="M40" s="141">
        <f t="shared" si="3"/>
        <v>0.35000000000000003</v>
      </c>
      <c r="N40" s="45">
        <f t="shared" si="5"/>
        <v>-32.466666666666676</v>
      </c>
      <c r="O40" s="238"/>
      <c r="P40" s="359"/>
      <c r="Q40" s="357"/>
      <c r="R40" s="356"/>
      <c r="S40" s="357"/>
      <c r="T40" s="357"/>
      <c r="U40" s="370"/>
      <c r="V40" s="198"/>
      <c r="W40" s="373"/>
      <c r="X40" s="599"/>
      <c r="Y40" s="200"/>
      <c r="Z40" s="69"/>
      <c r="AA40" s="128"/>
      <c r="AB40" s="360">
        <f t="shared" si="7"/>
        <v>1</v>
      </c>
      <c r="AC40" s="360">
        <f t="shared" si="7"/>
        <v>1</v>
      </c>
      <c r="AD40" s="188" t="e">
        <f>IF(VLOOKUP(A40,Para1!$B$67:$E$72,2,FALSE)="5.",VLOOKUP(A40,Para1!$B$67:$E$72,3,FALSE),"")</f>
        <v>#N/A</v>
      </c>
      <c r="AE40" s="540" t="str">
        <f>IF((AB40+AC40)=0,"",IF(ISNA(AD40),"",IF(AD40="","",VLOOKUP(AD40,Para1!$D$67:$G$79,3,FALSE)*(IF(AB40+AC40=1,0.5,1)))))</f>
        <v/>
      </c>
      <c r="AF40" s="540" t="str">
        <f>IF(AB40+AC40=0,"",IF(ISNA(AD41),"",IF(AD41="","",VLOOKUP(AD41,Para1!$D$67:$G$79,4,FALSE)*(IF(AB40+AC40=1,0.5,1)))))</f>
        <v/>
      </c>
      <c r="AG40" s="188">
        <f t="shared" si="1"/>
        <v>0</v>
      </c>
      <c r="AH40" s="187">
        <f t="shared" si="4"/>
        <v>0.17500000000000002</v>
      </c>
    </row>
    <row r="41" spans="1:34" ht="16.5" customHeight="1">
      <c r="A41" s="112" t="s">
        <v>29</v>
      </c>
      <c r="B41" s="334" t="str">
        <f>IF(B40=Para1!$F$153,Para1!$F$107,IF(B40=Para1!$F$107,Para1!$F$148,IF(B40=Para1!$F$148,Para1!$F$109,IF(B40=Para1!$F$109,Para1!$F$118,IF(B40=Para1!$F$118,Para1!$F$173,IF(B40=Para1!$F$173,Para1!$F$176,Para1!$F$153))))))</f>
        <v>Di</v>
      </c>
      <c r="C41" s="305"/>
      <c r="D41" s="359"/>
      <c r="E41" s="355"/>
      <c r="F41" s="355"/>
      <c r="G41" s="357"/>
      <c r="H41" s="359"/>
      <c r="I41" s="355"/>
      <c r="J41" s="355"/>
      <c r="K41" s="357"/>
      <c r="L41" s="111">
        <f t="shared" si="2"/>
        <v>0</v>
      </c>
      <c r="M41" s="141">
        <f t="shared" si="3"/>
        <v>0.35000000000000003</v>
      </c>
      <c r="N41" s="45">
        <f t="shared" si="5"/>
        <v>-32.816666666666677</v>
      </c>
      <c r="O41" s="201"/>
      <c r="P41" s="359"/>
      <c r="Q41" s="357"/>
      <c r="R41" s="356"/>
      <c r="S41" s="357"/>
      <c r="T41" s="357"/>
      <c r="U41" s="370"/>
      <c r="V41" s="198"/>
      <c r="W41" s="374"/>
      <c r="X41" s="599"/>
      <c r="Y41" s="200"/>
      <c r="Z41" s="69"/>
      <c r="AA41" s="128"/>
      <c r="AB41" s="360">
        <f t="shared" si="7"/>
        <v>1</v>
      </c>
      <c r="AC41" s="360">
        <f t="shared" si="7"/>
        <v>1</v>
      </c>
      <c r="AD41" s="188" t="e">
        <f>IF(VLOOKUP(A41,Para1!$B$67:$E$72,2,FALSE)="5.",VLOOKUP(A41,Para1!$B$67:$E$72,3,FALSE),"")</f>
        <v>#N/A</v>
      </c>
      <c r="AE41" s="540" t="str">
        <f>IF((AB41+AC41)=0,"",IF(ISNA(AD41),"",IF(AD41="","",VLOOKUP(AD41,Para1!$D$67:$G$79,3,FALSE)*(IF(AB41+AC41=1,0.5,1)))))</f>
        <v/>
      </c>
      <c r="AF41" s="540" t="str">
        <f>IF(AB41+AC41=0,"",IF(ISNA(AD42),"",IF(AD42="","",VLOOKUP(AD42,Para1!$D$67:$G$79,4,FALSE)*(IF(AB41+AC41=1,0.5,1)))))</f>
        <v/>
      </c>
      <c r="AG41" s="188">
        <f t="shared" si="1"/>
        <v>0</v>
      </c>
      <c r="AH41" s="187">
        <f t="shared" si="4"/>
        <v>0.17500000000000002</v>
      </c>
    </row>
    <row r="42" spans="1:34" ht="16.5" customHeight="1">
      <c r="A42" s="112" t="s">
        <v>30</v>
      </c>
      <c r="B42" s="334" t="str">
        <f>IF(B41=Para1!$F$153,Para1!$F$107,IF(B41=Para1!$F$107,Para1!$F$148,IF(B41=Para1!$F$148,Para1!$F$109,IF(B41=Para1!$F$109,Para1!$F$118,IF(B41=Para1!$F$118,Para1!$F$173,IF(B41=Para1!$F$173,Para1!$F$176,Para1!$F$153))))))</f>
        <v>Mi</v>
      </c>
      <c r="C42" s="305"/>
      <c r="D42" s="359"/>
      <c r="E42" s="355"/>
      <c r="F42" s="355"/>
      <c r="G42" s="357"/>
      <c r="H42" s="359"/>
      <c r="I42" s="355"/>
      <c r="J42" s="355"/>
      <c r="K42" s="357"/>
      <c r="L42" s="111">
        <f t="shared" si="2"/>
        <v>0</v>
      </c>
      <c r="M42" s="141">
        <f t="shared" si="3"/>
        <v>0.35000000000000003</v>
      </c>
      <c r="N42" s="45">
        <f t="shared" si="5"/>
        <v>-33.166666666666679</v>
      </c>
      <c r="O42" s="238"/>
      <c r="P42" s="359"/>
      <c r="Q42" s="357"/>
      <c r="R42" s="356"/>
      <c r="S42" s="357"/>
      <c r="T42" s="357"/>
      <c r="U42" s="370"/>
      <c r="V42" s="198"/>
      <c r="W42" s="374"/>
      <c r="X42" s="599"/>
      <c r="Y42" s="200"/>
      <c r="Z42" s="69"/>
      <c r="AA42" s="128"/>
      <c r="AB42" s="360">
        <f t="shared" si="7"/>
        <v>1</v>
      </c>
      <c r="AC42" s="360">
        <f t="shared" si="7"/>
        <v>1</v>
      </c>
      <c r="AD42" s="188" t="e">
        <f>IF(VLOOKUP(A42,Para1!$B$67:$E$72,2,FALSE)="5.",VLOOKUP(A42,Para1!$B$67:$E$72,3,FALSE),"")</f>
        <v>#N/A</v>
      </c>
      <c r="AE42" s="540" t="str">
        <f>IF((AB42+AC42)=0,"",IF(ISNA(AD42),"",IF(AD42="","",VLOOKUP(AD42,Para1!$D$67:$G$79,3,FALSE)*(IF(AB42+AC42=1,0.5,1)))))</f>
        <v/>
      </c>
      <c r="AF42" s="540" t="str">
        <f>IF(AB42+AC42=0,"",IF(ISNA(AD43),"",IF(AD43="","",VLOOKUP(AD43,Para1!$D$67:$G$79,4,FALSE)*(IF(AB42+AC42=1,0.5,1)))))</f>
        <v/>
      </c>
      <c r="AG42" s="188">
        <f t="shared" si="1"/>
        <v>0</v>
      </c>
      <c r="AH42" s="187">
        <f t="shared" si="4"/>
        <v>0.17500000000000002</v>
      </c>
    </row>
    <row r="43" spans="1:34" s="50" customFormat="1" ht="16.5" customHeight="1">
      <c r="A43" s="112" t="s">
        <v>31</v>
      </c>
      <c r="B43" s="334" t="str">
        <f>IF(B42=Para1!$F$153,Para1!$F$107,IF(B42=Para1!$F$107,Para1!$F$148,IF(B42=Para1!$F$148,Para1!$F$109,IF(B42=Para1!$F$109,Para1!$F$118,IF(B42=Para1!$F$118,Para1!$F$173,IF(B42=Para1!$F$173,Para1!$F$176,Para1!$F$153))))))</f>
        <v>Do</v>
      </c>
      <c r="C43" s="305"/>
      <c r="D43" s="359"/>
      <c r="E43" s="355"/>
      <c r="F43" s="355"/>
      <c r="G43" s="357"/>
      <c r="H43" s="359"/>
      <c r="I43" s="355"/>
      <c r="J43" s="355"/>
      <c r="K43" s="357"/>
      <c r="L43" s="111">
        <f t="shared" si="2"/>
        <v>0</v>
      </c>
      <c r="M43" s="141">
        <f t="shared" si="3"/>
        <v>0.35000000000000003</v>
      </c>
      <c r="N43" s="45">
        <f t="shared" si="5"/>
        <v>-33.51666666666668</v>
      </c>
      <c r="O43" s="238"/>
      <c r="P43" s="359"/>
      <c r="Q43" s="357"/>
      <c r="R43" s="356"/>
      <c r="S43" s="357"/>
      <c r="T43" s="357"/>
      <c r="U43" s="370"/>
      <c r="V43" s="237"/>
      <c r="W43" s="373"/>
      <c r="X43" s="599"/>
      <c r="Y43" s="200"/>
      <c r="Z43" s="69"/>
      <c r="AA43" s="128"/>
      <c r="AB43" s="360">
        <f t="shared" si="7"/>
        <v>1</v>
      </c>
      <c r="AC43" s="360">
        <f t="shared" si="7"/>
        <v>1</v>
      </c>
      <c r="AD43" s="188" t="e">
        <f>IF(VLOOKUP(A43,Para1!$B$67:$E$72,2,FALSE)="5.",VLOOKUP(A43,Para1!$B$67:$E$72,3,FALSE),"")</f>
        <v>#N/A</v>
      </c>
      <c r="AE43" s="540" t="str">
        <f>IF((AB43+AC43)=0,"",IF(ISNA(AD43),"",IF(AD43="","",VLOOKUP(AD43,Para1!$D$67:$G$79,3,FALSE)*(IF(AB43+AC43=1,0.5,1)))))</f>
        <v/>
      </c>
      <c r="AF43" s="540" t="str">
        <f>IF(AB43+AC43=0,"",IF(ISNA(AD44),"",IF(AD44="","",VLOOKUP(AD44,Para1!$D$67:$G$79,4,FALSE)*(IF(AB43+AC43=1,0.5,1)))))</f>
        <v/>
      </c>
      <c r="AG43" s="188">
        <f t="shared" si="1"/>
        <v>0</v>
      </c>
      <c r="AH43" s="187">
        <f t="shared" si="4"/>
        <v>0.17500000000000002</v>
      </c>
    </row>
    <row r="44" spans="1:34" ht="16.5" customHeight="1">
      <c r="A44" s="112" t="s">
        <v>32</v>
      </c>
      <c r="B44" s="334" t="str">
        <f>IF(B43=Para1!$F$153,Para1!$F$107,IF(B43=Para1!$F$107,Para1!$F$148,IF(B43=Para1!$F$148,Para1!$F$109,IF(B43=Para1!$F$109,Para1!$F$118,IF(B43=Para1!$F$118,Para1!$F$173,IF(B43=Para1!$F$173,Para1!$F$176,Para1!$F$153))))))</f>
        <v>Fr</v>
      </c>
      <c r="C44" s="305"/>
      <c r="D44" s="359"/>
      <c r="E44" s="355"/>
      <c r="F44" s="355"/>
      <c r="G44" s="357"/>
      <c r="H44" s="359"/>
      <c r="I44" s="355"/>
      <c r="J44" s="355"/>
      <c r="K44" s="357"/>
      <c r="L44" s="111">
        <f t="shared" si="2"/>
        <v>0</v>
      </c>
      <c r="M44" s="141">
        <f t="shared" si="3"/>
        <v>0.35000000000000003</v>
      </c>
      <c r="N44" s="45">
        <f t="shared" si="5"/>
        <v>-33.866666666666681</v>
      </c>
      <c r="O44" s="201"/>
      <c r="P44" s="359"/>
      <c r="Q44" s="357"/>
      <c r="R44" s="356"/>
      <c r="S44" s="357"/>
      <c r="T44" s="357"/>
      <c r="U44" s="370"/>
      <c r="V44" s="198"/>
      <c r="W44" s="373"/>
      <c r="X44" s="599"/>
      <c r="Y44" s="200"/>
      <c r="Z44" s="69"/>
      <c r="AA44" s="128"/>
      <c r="AB44" s="360">
        <v>1</v>
      </c>
      <c r="AC44" s="360">
        <v>1</v>
      </c>
      <c r="AD44" s="188" t="e">
        <f>IF(VLOOKUP(A44,Para1!$B$67:$E$72,2,FALSE)="5.",VLOOKUP(A44,Para1!$B$67:$E$72,3,FALSE),"")</f>
        <v>#N/A</v>
      </c>
      <c r="AE44" s="540" t="str">
        <f>IF((AB44+AC44)=0,"",IF(ISNA(AD44),"",IF(AD44="","",VLOOKUP(AD44,Para1!$D$67:$G$79,3,FALSE)*(IF(AB44+AC44=1,0.5,1)))))</f>
        <v/>
      </c>
      <c r="AF44" s="540" t="str">
        <f>IF(AB44+AC44=0,"",IF(ISNA(AD45),"",IF(AD45="","",VLOOKUP(AD45,Para1!$D$67:$G$79,4,FALSE)*(IF(AB44+AC44=1,0.5,1)))))</f>
        <v/>
      </c>
      <c r="AG44" s="188">
        <f t="shared" si="1"/>
        <v>0</v>
      </c>
      <c r="AH44" s="187">
        <f t="shared" si="4"/>
        <v>0.17500000000000002</v>
      </c>
    </row>
    <row r="45" spans="1:34" ht="16.5" customHeight="1">
      <c r="A45" s="30" t="s">
        <v>33</v>
      </c>
      <c r="B45" s="334" t="str">
        <f>IF(B44=Para1!$F$153,Para1!$F$107,IF(B44=Para1!$F$107,Para1!$F$148,IF(B44=Para1!$F$148,Para1!$F$109,IF(B44=Para1!$F$109,Para1!$F$118,IF(B44=Para1!$F$118,Para1!$F$173,IF(B44=Para1!$F$173,Para1!$F$176,Para1!$F$153))))))</f>
        <v>Sa</v>
      </c>
      <c r="C45" s="305"/>
      <c r="D45" s="359"/>
      <c r="E45" s="355"/>
      <c r="F45" s="355"/>
      <c r="G45" s="357"/>
      <c r="H45" s="359"/>
      <c r="I45" s="355"/>
      <c r="J45" s="355"/>
      <c r="K45" s="357"/>
      <c r="L45" s="119">
        <f t="shared" si="2"/>
        <v>0</v>
      </c>
      <c r="M45" s="141">
        <f t="shared" si="3"/>
        <v>0</v>
      </c>
      <c r="N45" s="45">
        <f t="shared" si="5"/>
        <v>-33.866666666666681</v>
      </c>
      <c r="O45" s="201"/>
      <c r="P45" s="359"/>
      <c r="Q45" s="357"/>
      <c r="R45" s="356"/>
      <c r="S45" s="357"/>
      <c r="T45" s="357"/>
      <c r="U45" s="370"/>
      <c r="V45" s="198"/>
      <c r="W45" s="373"/>
      <c r="X45" s="599"/>
      <c r="Y45" s="200"/>
      <c r="Z45" s="69"/>
      <c r="AA45" s="128"/>
      <c r="AB45" s="360">
        <f>AB38</f>
        <v>0</v>
      </c>
      <c r="AC45" s="360">
        <f>AC38</f>
        <v>0</v>
      </c>
      <c r="AD45" s="188" t="e">
        <f>IF(VLOOKUP(A45,Para1!$B$67:$E$72,2,FALSE)="5.",VLOOKUP(A45,Para1!$B$67:$E$72,3,FALSE),"")</f>
        <v>#N/A</v>
      </c>
      <c r="AE45" s="540" t="str">
        <f>IF((AB45+AC45)=0,"",IF(ISNA(AD45),"",IF(AD45="","",VLOOKUP(AD45,Para1!$D$67:$G$79,3,FALSE)*(IF(AB45+AC45=1,0.5,1)))))</f>
        <v/>
      </c>
      <c r="AF45" s="540" t="str">
        <f>IF(AB45+AC45=0,"",IF(ISNA(AD46),"",IF(AD46="","",VLOOKUP(AD46,Para1!$D$67:$G$79,4,FALSE)*(IF(AB45+AC45=1,0.5,1)))))</f>
        <v/>
      </c>
      <c r="AG45" s="188">
        <f t="shared" si="1"/>
        <v>0</v>
      </c>
      <c r="AH45" s="187">
        <f t="shared" si="4"/>
        <v>0</v>
      </c>
    </row>
    <row r="46" spans="1:34" s="50" customFormat="1" ht="16.5" customHeight="1">
      <c r="A46" s="30" t="s">
        <v>34</v>
      </c>
      <c r="B46" s="334" t="str">
        <f>IF(B45=Para1!$F$153,Para1!$F$107,IF(B45=Para1!$F$107,Para1!$F$148,IF(B45=Para1!$F$148,Para1!$F$109,IF(B45=Para1!$F$109,Para1!$F$118,IF(B45=Para1!$F$118,Para1!$F$173,IF(B45=Para1!$F$173,Para1!$F$176,Para1!$F$153))))))</f>
        <v>So</v>
      </c>
      <c r="C46" s="305"/>
      <c r="D46" s="359"/>
      <c r="E46" s="355"/>
      <c r="F46" s="355"/>
      <c r="G46" s="357"/>
      <c r="H46" s="359"/>
      <c r="I46" s="355"/>
      <c r="J46" s="355"/>
      <c r="K46" s="357"/>
      <c r="L46" s="119">
        <f t="shared" si="2"/>
        <v>0</v>
      </c>
      <c r="M46" s="141">
        <f t="shared" si="3"/>
        <v>0</v>
      </c>
      <c r="N46" s="45">
        <f t="shared" si="5"/>
        <v>-33.866666666666681</v>
      </c>
      <c r="O46" s="201"/>
      <c r="P46" s="359"/>
      <c r="Q46" s="357"/>
      <c r="R46" s="356"/>
      <c r="S46" s="357"/>
      <c r="T46" s="357"/>
      <c r="U46" s="370"/>
      <c r="V46" s="198"/>
      <c r="W46" s="373"/>
      <c r="X46" s="599"/>
      <c r="Y46" s="200"/>
      <c r="Z46" s="69"/>
      <c r="AA46" s="128"/>
      <c r="AB46" s="360">
        <f t="shared" ref="AB46:AC50" si="8">AB39</f>
        <v>0</v>
      </c>
      <c r="AC46" s="360">
        <f t="shared" si="8"/>
        <v>0</v>
      </c>
      <c r="AD46" s="188" t="str">
        <f>IF(VLOOKUP(A46,Para1!$B$67:$E$72,2,FALSE)="5.",VLOOKUP(A46,Para1!$B$67:$E$72,3,FALSE),"")</f>
        <v>Pfingsten</v>
      </c>
      <c r="AE46" s="540" t="str">
        <f>IF((AB46+AC46)=0,"",IF(ISNA(AD46),"",IF(AD46="","",VLOOKUP(AD46,Para1!$D$67:$G$79,3,FALSE)*(IF(AB46+AC46=1,0.5,1)))))</f>
        <v/>
      </c>
      <c r="AF46" s="540" t="str">
        <f>IF(AB46+AC46=0,"",IF(ISNA(AD47),"",IF(AD47="","",VLOOKUP(AD47,Para1!$D$67:$G$79,4,FALSE)*(IF(AB46+AC46=1,0.5,1)))))</f>
        <v/>
      </c>
      <c r="AG46" s="188">
        <f t="shared" si="1"/>
        <v>0</v>
      </c>
      <c r="AH46" s="187">
        <f t="shared" si="4"/>
        <v>0</v>
      </c>
    </row>
    <row r="47" spans="1:34" ht="16.5" customHeight="1">
      <c r="A47" s="30" t="s">
        <v>35</v>
      </c>
      <c r="B47" s="334" t="str">
        <f>IF(B46=Para1!$F$153,Para1!$F$107,IF(B46=Para1!$F$107,Para1!$F$148,IF(B46=Para1!$F$148,Para1!$F$109,IF(B46=Para1!$F$109,Para1!$F$118,IF(B46=Para1!$F$118,Para1!$F$173,IF(B46=Para1!$F$173,Para1!$F$176,Para1!$F$153))))))</f>
        <v>Mo</v>
      </c>
      <c r="C47" s="305"/>
      <c r="D47" s="359"/>
      <c r="E47" s="355"/>
      <c r="F47" s="355"/>
      <c r="G47" s="357"/>
      <c r="H47" s="359"/>
      <c r="I47" s="355"/>
      <c r="J47" s="355"/>
      <c r="K47" s="357"/>
      <c r="L47" s="119">
        <f t="shared" si="2"/>
        <v>0</v>
      </c>
      <c r="M47" s="141">
        <f t="shared" si="3"/>
        <v>0</v>
      </c>
      <c r="N47" s="45">
        <f t="shared" si="5"/>
        <v>-33.866666666666681</v>
      </c>
      <c r="O47" s="201"/>
      <c r="P47" s="359"/>
      <c r="Q47" s="357"/>
      <c r="R47" s="356"/>
      <c r="S47" s="357"/>
      <c r="T47" s="357"/>
      <c r="U47" s="370"/>
      <c r="V47" s="198"/>
      <c r="W47" s="373"/>
      <c r="X47" s="599"/>
      <c r="Y47" s="200"/>
      <c r="Z47" s="69"/>
      <c r="AA47" s="128"/>
      <c r="AB47" s="360">
        <f t="shared" si="8"/>
        <v>1</v>
      </c>
      <c r="AC47" s="360">
        <f t="shared" si="8"/>
        <v>1</v>
      </c>
      <c r="AD47" s="188" t="str">
        <f>IF(VLOOKUP(A47,Para1!$B$67:$E$72,2,FALSE)="5.",VLOOKUP(A47,Para1!$B$67:$E$72,3,FALSE),"")</f>
        <v>Pfingstmontag</v>
      </c>
      <c r="AE47" s="540">
        <f>IF((AB47+AC47)=0,"",IF(ISNA(AD47),"",IF(AD47="","",VLOOKUP(AD47,Para1!$D$67:$G$79,3,FALSE)*(IF(AB47+AC47=1,0.5,1)))))</f>
        <v>0</v>
      </c>
      <c r="AF47" s="540" t="str">
        <f>IF(AB47+AC47=0,"",IF(ISNA(AD48),"",IF(AD48="","",VLOOKUP(AD48,Para1!$D$67:$G$79,4,FALSE)*(IF(AB47+AC47=1,0.5,1)))))</f>
        <v/>
      </c>
      <c r="AG47" s="188">
        <f t="shared" si="1"/>
        <v>2</v>
      </c>
      <c r="AH47" s="187">
        <f t="shared" si="4"/>
        <v>0</v>
      </c>
    </row>
    <row r="48" spans="1:34" ht="16.5" customHeight="1">
      <c r="A48" s="112" t="s">
        <v>36</v>
      </c>
      <c r="B48" s="334" t="str">
        <f>IF(B47=Para1!$F$153,Para1!$F$107,IF(B47=Para1!$F$107,Para1!$F$148,IF(B47=Para1!$F$148,Para1!$F$109,IF(B47=Para1!$F$109,Para1!$F$118,IF(B47=Para1!$F$118,Para1!$F$173,IF(B47=Para1!$F$173,Para1!$F$176,Para1!$F$153))))))</f>
        <v>Di</v>
      </c>
      <c r="C48" s="305"/>
      <c r="D48" s="359"/>
      <c r="E48" s="355"/>
      <c r="F48" s="355"/>
      <c r="G48" s="357"/>
      <c r="H48" s="359"/>
      <c r="I48" s="355"/>
      <c r="J48" s="355"/>
      <c r="K48" s="357"/>
      <c r="L48" s="111">
        <f t="shared" si="2"/>
        <v>0</v>
      </c>
      <c r="M48" s="141">
        <f t="shared" si="3"/>
        <v>0.35000000000000003</v>
      </c>
      <c r="N48" s="45">
        <f t="shared" si="5"/>
        <v>-34.216666666666683</v>
      </c>
      <c r="O48" s="201"/>
      <c r="P48" s="359"/>
      <c r="Q48" s="357"/>
      <c r="R48" s="356"/>
      <c r="S48" s="357"/>
      <c r="T48" s="357"/>
      <c r="U48" s="370"/>
      <c r="V48" s="198"/>
      <c r="W48" s="374"/>
      <c r="X48" s="599"/>
      <c r="Y48" s="200"/>
      <c r="Z48" s="69"/>
      <c r="AA48" s="128"/>
      <c r="AB48" s="360">
        <f t="shared" si="8"/>
        <v>1</v>
      </c>
      <c r="AC48" s="360">
        <f t="shared" si="8"/>
        <v>1</v>
      </c>
      <c r="AD48" s="188" t="e">
        <f>IF(VLOOKUP(A48,Para1!$B$67:$E$72,2,FALSE)="5.",VLOOKUP(A48,Para1!$B$67:$E$72,3,FALSE),"")</f>
        <v>#N/A</v>
      </c>
      <c r="AE48" s="540" t="str">
        <f>IF((AB48+AC48)=0,"",IF(ISNA(AD48),"",IF(AD48="","",VLOOKUP(AD48,Para1!$D$67:$G$79,3,FALSE)*(IF(AB48+AC48=1,0.5,1)))))</f>
        <v/>
      </c>
      <c r="AF48" s="540" t="str">
        <f>IF(AB48+AC48=0,"",IF(ISNA(AD49),"",IF(AD49="","",VLOOKUP(AD49,Para1!$D$67:$G$79,4,FALSE)*(IF(AB48+AC48=1,0.5,1)))))</f>
        <v/>
      </c>
      <c r="AG48" s="188">
        <f t="shared" si="1"/>
        <v>0</v>
      </c>
      <c r="AH48" s="187">
        <f t="shared" si="4"/>
        <v>0.17500000000000002</v>
      </c>
    </row>
    <row r="49" spans="1:34" ht="16.5" customHeight="1">
      <c r="A49" s="112" t="s">
        <v>37</v>
      </c>
      <c r="B49" s="334" t="str">
        <f>IF(B48=Para1!$F$153,Para1!$F$107,IF(B48=Para1!$F$107,Para1!$F$148,IF(B48=Para1!$F$148,Para1!$F$109,IF(B48=Para1!$F$109,Para1!$F$118,IF(B48=Para1!$F$118,Para1!$F$173,IF(B48=Para1!$F$173,Para1!$F$176,Para1!$F$153))))))</f>
        <v>Mi</v>
      </c>
      <c r="C49" s="305"/>
      <c r="D49" s="359"/>
      <c r="E49" s="355"/>
      <c r="F49" s="355"/>
      <c r="G49" s="357"/>
      <c r="H49" s="359"/>
      <c r="I49" s="355"/>
      <c r="J49" s="355"/>
      <c r="K49" s="357"/>
      <c r="L49" s="111">
        <f t="shared" si="2"/>
        <v>0</v>
      </c>
      <c r="M49" s="141">
        <f t="shared" si="3"/>
        <v>0.35000000000000003</v>
      </c>
      <c r="N49" s="45">
        <f t="shared" si="5"/>
        <v>-34.566666666666684</v>
      </c>
      <c r="O49" s="238"/>
      <c r="P49" s="359"/>
      <c r="Q49" s="357"/>
      <c r="R49" s="356"/>
      <c r="S49" s="357"/>
      <c r="T49" s="357"/>
      <c r="U49" s="370"/>
      <c r="V49" s="198"/>
      <c r="W49" s="374"/>
      <c r="X49" s="599"/>
      <c r="Y49" s="200"/>
      <c r="Z49" s="69"/>
      <c r="AA49" s="128"/>
      <c r="AB49" s="360">
        <f t="shared" si="8"/>
        <v>1</v>
      </c>
      <c r="AC49" s="360">
        <f t="shared" si="8"/>
        <v>1</v>
      </c>
      <c r="AD49" s="188" t="e">
        <f>IF(VLOOKUP(A49,Para1!$B$67:$E$72,2,FALSE)="5.",VLOOKUP(A49,Para1!$B$67:$E$72,3,FALSE),"")</f>
        <v>#N/A</v>
      </c>
      <c r="AE49" s="540" t="str">
        <f>IF((AB49+AC49)=0,"",IF(ISNA(AD49),"",IF(AD49="","",VLOOKUP(AD49,Para1!$D$67:$G$79,3,FALSE)*(IF(AB49+AC49=1,0.5,1)))))</f>
        <v/>
      </c>
      <c r="AF49" s="540" t="str">
        <f>IF(AB49+AC49=0,"",IF(ISNA(AD50),"",IF(AD50="","",VLOOKUP(AD50,Para1!$D$67:$G$79,4,FALSE)*(IF(AB49+AC49=1,0.5,1)))))</f>
        <v/>
      </c>
      <c r="AG49" s="188">
        <f t="shared" si="1"/>
        <v>0</v>
      </c>
      <c r="AH49" s="187">
        <f t="shared" si="4"/>
        <v>0.17500000000000002</v>
      </c>
    </row>
    <row r="50" spans="1:34" ht="16.5" customHeight="1">
      <c r="A50" s="112" t="s">
        <v>38</v>
      </c>
      <c r="B50" s="334" t="str">
        <f>IF(B49=Para1!$F$153,Para1!$F$107,IF(B49=Para1!$F$107,Para1!$F$148,IF(B49=Para1!$F$148,Para1!$F$109,IF(B49=Para1!$F$109,Para1!$F$118,IF(B49=Para1!$F$118,Para1!$F$173,IF(B49=Para1!$F$173,Para1!$F$176,Para1!$F$153))))))</f>
        <v>Do</v>
      </c>
      <c r="C50" s="305"/>
      <c r="D50" s="359"/>
      <c r="E50" s="355"/>
      <c r="F50" s="355"/>
      <c r="G50" s="357"/>
      <c r="H50" s="359"/>
      <c r="I50" s="355"/>
      <c r="J50" s="355"/>
      <c r="K50" s="357"/>
      <c r="L50" s="111">
        <f t="shared" si="2"/>
        <v>0</v>
      </c>
      <c r="M50" s="141">
        <f t="shared" si="3"/>
        <v>0.35000000000000003</v>
      </c>
      <c r="N50" s="45">
        <f t="shared" si="5"/>
        <v>-34.916666666666686</v>
      </c>
      <c r="O50" s="238"/>
      <c r="P50" s="359"/>
      <c r="Q50" s="357"/>
      <c r="R50" s="356"/>
      <c r="S50" s="357"/>
      <c r="T50" s="357"/>
      <c r="U50" s="370"/>
      <c r="V50" s="237"/>
      <c r="W50" s="373"/>
      <c r="X50" s="599"/>
      <c r="Y50" s="200"/>
      <c r="Z50" s="69"/>
      <c r="AA50" s="128"/>
      <c r="AB50" s="360">
        <f t="shared" si="8"/>
        <v>1</v>
      </c>
      <c r="AC50" s="360">
        <f t="shared" si="8"/>
        <v>1</v>
      </c>
      <c r="AD50" s="188" t="e">
        <f>IF(VLOOKUP(A50,Para1!$B$67:$E$72,2,FALSE)="5.",VLOOKUP(A50,Para1!$B$67:$E$72,3,FALSE),"")</f>
        <v>#N/A</v>
      </c>
      <c r="AE50" s="540" t="str">
        <f>IF((AB50+AC50)=0,"",IF(ISNA(AD50),"",IF(AD50="","",VLOOKUP(AD50,Para1!$D$67:$G$79,3,FALSE)*(IF(AB50+AC50=1,0.5,1)))))</f>
        <v/>
      </c>
      <c r="AF50" s="540" t="str">
        <f>IF(AB50+AC50=0,"",IF(ISNA(AD51),"",IF(AD51="","",VLOOKUP(AD51,Para1!$D$67:$G$79,4,FALSE)*(IF(AB50+AC50=1,0.5,1)))))</f>
        <v/>
      </c>
      <c r="AG50" s="188">
        <f t="shared" si="1"/>
        <v>0</v>
      </c>
      <c r="AH50" s="187">
        <f t="shared" si="4"/>
        <v>0.17500000000000002</v>
      </c>
    </row>
    <row r="51" spans="1:34" ht="16.5" customHeight="1">
      <c r="A51" s="112" t="s">
        <v>39</v>
      </c>
      <c r="B51" s="334" t="str">
        <f>IF(B50=Para1!$F$153,Para1!$F$107,IF(B50=Para1!$F$107,Para1!$F$148,IF(B50=Para1!$F$148,Para1!$F$109,IF(B50=Para1!$F$109,Para1!$F$118,IF(B50=Para1!$F$118,Para1!$F$173,IF(B50=Para1!$F$173,Para1!$F$176,Para1!$F$153))))))</f>
        <v>Fr</v>
      </c>
      <c r="C51" s="305"/>
      <c r="D51" s="359"/>
      <c r="E51" s="355"/>
      <c r="F51" s="355"/>
      <c r="G51" s="357"/>
      <c r="H51" s="359"/>
      <c r="I51" s="355"/>
      <c r="J51" s="355"/>
      <c r="K51" s="357"/>
      <c r="L51" s="111">
        <f t="shared" si="2"/>
        <v>0</v>
      </c>
      <c r="M51" s="141">
        <f t="shared" si="3"/>
        <v>0.35000000000000003</v>
      </c>
      <c r="N51" s="45">
        <f t="shared" si="5"/>
        <v>-35.266666666666687</v>
      </c>
      <c r="O51" s="238"/>
      <c r="P51" s="359"/>
      <c r="Q51" s="357"/>
      <c r="R51" s="356"/>
      <c r="S51" s="357"/>
      <c r="T51" s="357"/>
      <c r="U51" s="370"/>
      <c r="V51" s="198"/>
      <c r="W51" s="373"/>
      <c r="X51" s="599"/>
      <c r="Y51" s="200"/>
      <c r="Z51" s="69"/>
      <c r="AA51" s="128"/>
      <c r="AB51" s="360">
        <f>AB37</f>
        <v>1</v>
      </c>
      <c r="AC51" s="360">
        <f>AC37</f>
        <v>1</v>
      </c>
      <c r="AD51" s="188" t="e">
        <f>IF(VLOOKUP(A51,Para1!$B$67:$E$72,2,FALSE)="5.",VLOOKUP(A51,Para1!$B$67:$E$72,3,FALSE),"")</f>
        <v>#N/A</v>
      </c>
      <c r="AE51" s="540" t="str">
        <f>IF((AB51+AC51)=0,"",IF(ISNA(AD51),"",IF(AD51="","",VLOOKUP(AD51,Para1!$D$67:$G$79,3,FALSE)*(IF(AB51+AC51=1,0.5,1)))))</f>
        <v/>
      </c>
      <c r="AF51" s="540" t="str">
        <f>IF(AB51+AC51=0,"",IF(ISNA(AD52),"",IF(AD52="","",VLOOKUP(AD52,Para1!$D$67:$G$79,4,FALSE)*(IF(AB51+AC51=1,0.5,1)))))</f>
        <v/>
      </c>
      <c r="AG51" s="188">
        <f t="shared" si="1"/>
        <v>0</v>
      </c>
      <c r="AH51" s="187">
        <f t="shared" si="4"/>
        <v>0.17500000000000002</v>
      </c>
    </row>
    <row r="52" spans="1:34" s="50" customFormat="1" ht="16.5" customHeight="1">
      <c r="A52" s="30" t="s">
        <v>40</v>
      </c>
      <c r="B52" s="334" t="str">
        <f>IF(B51=Para1!$F$153,Para1!$F$107,IF(B51=Para1!$F$107,Para1!$F$148,IF(B51=Para1!$F$148,Para1!$F$109,IF(B51=Para1!$F$109,Para1!$F$118,IF(B51=Para1!$F$118,Para1!$F$173,IF(B51=Para1!$F$173,Para1!$F$176,Para1!$F$153))))))</f>
        <v>Sa</v>
      </c>
      <c r="C52" s="305"/>
      <c r="D52" s="359"/>
      <c r="E52" s="355"/>
      <c r="F52" s="355"/>
      <c r="G52" s="357"/>
      <c r="H52" s="359"/>
      <c r="I52" s="355"/>
      <c r="J52" s="355"/>
      <c r="K52" s="357"/>
      <c r="L52" s="119">
        <f t="shared" si="2"/>
        <v>0</v>
      </c>
      <c r="M52" s="141">
        <f t="shared" si="3"/>
        <v>0</v>
      </c>
      <c r="N52" s="45">
        <f t="shared" si="5"/>
        <v>-35.266666666666687</v>
      </c>
      <c r="O52" s="201"/>
      <c r="P52" s="359"/>
      <c r="Q52" s="367"/>
      <c r="R52" s="356"/>
      <c r="S52" s="357"/>
      <c r="T52" s="357"/>
      <c r="U52" s="370"/>
      <c r="V52" s="198"/>
      <c r="W52" s="373"/>
      <c r="X52" s="599"/>
      <c r="Y52" s="200"/>
      <c r="Z52" s="69"/>
      <c r="AA52" s="128"/>
      <c r="AB52" s="360">
        <f t="shared" ref="AB52:AC54" si="9">AB45</f>
        <v>0</v>
      </c>
      <c r="AC52" s="360">
        <f t="shared" si="9"/>
        <v>0</v>
      </c>
      <c r="AD52" s="188" t="e">
        <f>IF(VLOOKUP(A52,Para1!$B$67:$E$72,2,FALSE)="5.",VLOOKUP(A52,Para1!$B$67:$E$72,3,FALSE),"")</f>
        <v>#N/A</v>
      </c>
      <c r="AE52" s="540" t="str">
        <f>IF((AB52+AC52)=0,"",IF(ISNA(AD52),"",IF(AD52="","",VLOOKUP(AD52,Para1!$D$67:$G$79,3,FALSE)*(IF(AB52+AC52=1,0.5,1)))))</f>
        <v/>
      </c>
      <c r="AF52" s="540" t="str">
        <f>IF(AB52+AC52=0,"",IF(ISNA(AD53),"",IF(AD53="","",VLOOKUP(AD53,Para1!$D$67:$G$79,4,FALSE)*(IF(AB52+AC52=1,0.5,1)))))</f>
        <v/>
      </c>
      <c r="AG52" s="188">
        <f t="shared" si="1"/>
        <v>0</v>
      </c>
      <c r="AH52" s="187">
        <f t="shared" si="4"/>
        <v>0</v>
      </c>
    </row>
    <row r="53" spans="1:34" s="50" customFormat="1" ht="16.5" customHeight="1">
      <c r="A53" s="30" t="s">
        <v>41</v>
      </c>
      <c r="B53" s="334" t="str">
        <f>IF(B52=Para1!$F$153,Para1!$F$107,IF(B52=Para1!$F$107,Para1!$F$148,IF(B52=Para1!$F$148,Para1!$F$109,IF(B52=Para1!$F$109,Para1!$F$118,IF(B52=Para1!$F$118,Para1!$F$173,IF(B52=Para1!$F$173,Para1!$F$176,Para1!$F$153))))))</f>
        <v>So</v>
      </c>
      <c r="C53" s="305"/>
      <c r="D53" s="359"/>
      <c r="E53" s="355"/>
      <c r="F53" s="355"/>
      <c r="G53" s="357"/>
      <c r="H53" s="359"/>
      <c r="I53" s="355"/>
      <c r="J53" s="355"/>
      <c r="K53" s="357"/>
      <c r="L53" s="119">
        <f t="shared" si="2"/>
        <v>0</v>
      </c>
      <c r="M53" s="141">
        <f t="shared" si="3"/>
        <v>0</v>
      </c>
      <c r="N53" s="45">
        <f t="shared" si="5"/>
        <v>-35.266666666666687</v>
      </c>
      <c r="O53" s="201"/>
      <c r="P53" s="359"/>
      <c r="Q53" s="357"/>
      <c r="R53" s="356"/>
      <c r="S53" s="357"/>
      <c r="T53" s="357"/>
      <c r="U53" s="370"/>
      <c r="V53" s="198"/>
      <c r="W53" s="530"/>
      <c r="X53" s="599"/>
      <c r="Y53" s="200"/>
      <c r="Z53" s="69"/>
      <c r="AA53" s="128"/>
      <c r="AB53" s="361">
        <f>AB46</f>
        <v>0</v>
      </c>
      <c r="AC53" s="361">
        <f>AC46</f>
        <v>0</v>
      </c>
      <c r="AD53" s="188" t="e">
        <f>IF(VLOOKUP(A53,Para1!$B$67:$E$72,2,FALSE)="5.",VLOOKUP(A53,Para1!$B$67:$E$72,3,FALSE),"")</f>
        <v>#N/A</v>
      </c>
      <c r="AE53" s="540" t="str">
        <f>IF((AB53+AC53)=0,"",IF(ISNA(AD53),"",IF(AD53="","",VLOOKUP(AD53,Para1!$D$67:$G$79,3,FALSE)*(IF(AB53+AC53=1,0.5,1)))))</f>
        <v/>
      </c>
      <c r="AF53" s="540" t="str">
        <f>IF(AB53+AC53=0,"",IF(ISNA(AD54),"",IF(AD54="","",VLOOKUP(AD54,Para1!$D$67:$G$79,4,FALSE)*(IF(AB53+AC53=1,0.5,1)))))</f>
        <v/>
      </c>
      <c r="AG53" s="188">
        <f t="shared" si="1"/>
        <v>0</v>
      </c>
      <c r="AH53" s="187">
        <f t="shared" si="4"/>
        <v>0</v>
      </c>
    </row>
    <row r="54" spans="1:34" ht="16.5" customHeight="1" thickBot="1">
      <c r="A54" s="112" t="s">
        <v>47</v>
      </c>
      <c r="B54" s="334" t="str">
        <f>IF(B53=Para1!$F$153,Para1!$F$107,IF(B53=Para1!$F$107,Para1!$F$148,IF(B53=Para1!$F$148,Para1!$F$109,IF(B53=Para1!$F$109,Para1!$F$118,IF(B53=Para1!$F$118,Para1!$F$173,IF(B53=Para1!$F$173,Para1!$F$176,Para1!$F$153))))))</f>
        <v>Mo</v>
      </c>
      <c r="C54" s="305"/>
      <c r="D54" s="359"/>
      <c r="E54" s="355"/>
      <c r="F54" s="355"/>
      <c r="G54" s="357"/>
      <c r="H54" s="359"/>
      <c r="I54" s="355"/>
      <c r="J54" s="355"/>
      <c r="K54" s="357"/>
      <c r="L54" s="111">
        <f t="shared" si="2"/>
        <v>0</v>
      </c>
      <c r="M54" s="141">
        <f t="shared" si="3"/>
        <v>0.35000000000000003</v>
      </c>
      <c r="N54" s="45">
        <f t="shared" si="5"/>
        <v>-35.616666666666688</v>
      </c>
      <c r="O54" s="201"/>
      <c r="P54" s="359"/>
      <c r="Q54" s="363"/>
      <c r="R54" s="356"/>
      <c r="S54" s="357"/>
      <c r="T54" s="357"/>
      <c r="U54" s="370"/>
      <c r="V54" s="198"/>
      <c r="W54" s="530"/>
      <c r="X54" s="599"/>
      <c r="Y54" s="200"/>
      <c r="Z54" s="69"/>
      <c r="AA54" s="128"/>
      <c r="AB54" s="740">
        <f t="shared" si="9"/>
        <v>1</v>
      </c>
      <c r="AC54" s="740">
        <f t="shared" si="9"/>
        <v>1</v>
      </c>
      <c r="AD54" s="188" t="e">
        <f>IF(VLOOKUP(A54,Para1!$B$67:$E$72,2,FALSE)="5.",VLOOKUP(A54,Para1!$B$67:$E$72,3,FALSE),"")</f>
        <v>#N/A</v>
      </c>
      <c r="AE54" s="540" t="str">
        <f>IF((AB54+AC54)=0,"",IF(ISNA(AD54),"",IF(AD54="","",VLOOKUP(AD54,Para1!$D$67:$G$79,3,FALSE)*(IF(AB54+AC54=1,0.5,1)))))</f>
        <v/>
      </c>
      <c r="AF54" s="540" t="str">
        <f>IF(AB54+AC54=0,"",IF(ISNA(Juni!AD24),"",IF(Juni!AD24="","",VLOOKUP(Juni!AD24,Para1!$D$67:$G$79,4,FALSE)*(IF(AB54+AC54=1,0.5,1)))))</f>
        <v/>
      </c>
      <c r="AG54" s="188">
        <f t="shared" si="1"/>
        <v>0</v>
      </c>
      <c r="AH54" s="187">
        <f t="shared" si="4"/>
        <v>0.17500000000000002</v>
      </c>
    </row>
    <row r="55" spans="1:34" ht="15" thickTop="1">
      <c r="A55" s="47"/>
      <c r="B55" s="37"/>
      <c r="C55" s="16"/>
      <c r="D55" s="38"/>
      <c r="E55" s="38"/>
      <c r="F55" s="38"/>
      <c r="G55" s="38"/>
      <c r="H55" s="38"/>
      <c r="I55" s="38"/>
      <c r="J55" s="38"/>
      <c r="K55" s="464" t="str">
        <f>Para1!F184&amp;" (hh:mm)"</f>
        <v>Total (hh:mm)</v>
      </c>
      <c r="L55" s="39">
        <f>SUM(L24:L54)</f>
        <v>0</v>
      </c>
      <c r="M55" s="44">
        <f>SUM(M24:M54)</f>
        <v>6.6083333333333316</v>
      </c>
      <c r="N55" s="235"/>
      <c r="O55" s="239"/>
      <c r="P55" s="39">
        <f t="shared" ref="P55:U55" si="10">SUM(P24:P54)</f>
        <v>0</v>
      </c>
      <c r="Q55" s="36">
        <f t="shared" si="10"/>
        <v>0</v>
      </c>
      <c r="R55" s="36">
        <f t="shared" si="10"/>
        <v>0</v>
      </c>
      <c r="S55" s="36">
        <f t="shared" si="10"/>
        <v>0</v>
      </c>
      <c r="T55" s="36">
        <f>SUM(T24:T54)</f>
        <v>0</v>
      </c>
      <c r="U55" s="235">
        <f t="shared" si="10"/>
        <v>0</v>
      </c>
      <c r="V55" s="201"/>
      <c r="W55" s="230"/>
      <c r="X55" s="203"/>
      <c r="AB55" s="884" t="str">
        <f>Para1!F177&amp;" "&amp;Para1!F171</f>
        <v>Soll Halbtag</v>
      </c>
      <c r="AC55" s="885"/>
      <c r="AD55" s="188">
        <f>SUM(AG24:AG54)</f>
        <v>4</v>
      </c>
      <c r="AE55" s="540">
        <f>SUM(AE24:AE54)</f>
        <v>0</v>
      </c>
      <c r="AF55" s="540">
        <f>SUM(AF24:AF54)</f>
        <v>1</v>
      </c>
    </row>
    <row r="56" spans="1:34" ht="15" thickBot="1">
      <c r="A56" s="48"/>
      <c r="B56" s="40"/>
      <c r="C56" s="40"/>
      <c r="D56" s="41"/>
      <c r="E56" s="41"/>
      <c r="F56" s="41"/>
      <c r="G56" s="19"/>
      <c r="H56" s="19"/>
      <c r="I56" s="19"/>
      <c r="J56" s="19"/>
      <c r="K56" s="766" t="str">
        <f>Para1!F184&amp;" ("&amp;Para1!F106&amp;")"</f>
        <v>Total (dezimal)</v>
      </c>
      <c r="L56" s="767">
        <f>L55*24</f>
        <v>0</v>
      </c>
      <c r="M56" s="768">
        <f>M55*24</f>
        <v>158.59999999999997</v>
      </c>
      <c r="N56" s="772"/>
      <c r="O56" s="777"/>
      <c r="P56" s="774">
        <f t="shared" ref="P56:U56" si="11">P55*24</f>
        <v>0</v>
      </c>
      <c r="Q56" s="768">
        <f t="shared" si="11"/>
        <v>0</v>
      </c>
      <c r="R56" s="768">
        <f t="shared" si="11"/>
        <v>0</v>
      </c>
      <c r="S56" s="768">
        <f t="shared" si="11"/>
        <v>0</v>
      </c>
      <c r="T56" s="768">
        <f t="shared" si="11"/>
        <v>0</v>
      </c>
      <c r="U56" s="776">
        <f t="shared" si="11"/>
        <v>0</v>
      </c>
      <c r="V56" s="202"/>
      <c r="W56" s="229"/>
      <c r="X56" s="195"/>
      <c r="AB56" s="882">
        <f>(C8*24+((AE55+AF55)/100*H3))/(SUM(AB24:AC54)-AD55)/24</f>
        <v>0.17500000000000002</v>
      </c>
      <c r="AC56" s="883"/>
    </row>
    <row r="57" spans="1:34" ht="15" thickTop="1"/>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6">
    <mergeCell ref="D22:G22"/>
    <mergeCell ref="H22:K22"/>
    <mergeCell ref="A60:B60"/>
    <mergeCell ref="C3:D3"/>
    <mergeCell ref="E3:G3"/>
    <mergeCell ref="AB55:AC55"/>
    <mergeCell ref="AB56:AC56"/>
    <mergeCell ref="D60:E60"/>
    <mergeCell ref="K60:O60"/>
    <mergeCell ref="T60:X60"/>
    <mergeCell ref="U19:V19"/>
    <mergeCell ref="Y21:Z21"/>
    <mergeCell ref="AB21:AC21"/>
    <mergeCell ref="AB22:AB23"/>
    <mergeCell ref="AC22:AC23"/>
    <mergeCell ref="P21:U21"/>
    <mergeCell ref="T22:T23"/>
    <mergeCell ref="R22:R23"/>
    <mergeCell ref="U22:U23"/>
    <mergeCell ref="W21:X21"/>
    <mergeCell ref="W22:W23"/>
    <mergeCell ref="X22:X23"/>
    <mergeCell ref="S22:S23"/>
    <mergeCell ref="M3:N3"/>
    <mergeCell ref="N22:N23"/>
    <mergeCell ref="Q22:Q23"/>
    <mergeCell ref="L21:N21"/>
    <mergeCell ref="L22:L23"/>
    <mergeCell ref="M22:M23"/>
    <mergeCell ref="P22:P23"/>
    <mergeCell ref="U14:V14"/>
    <mergeCell ref="U15:V15"/>
    <mergeCell ref="A23:B23"/>
    <mergeCell ref="C1:E1"/>
    <mergeCell ref="C7:D7"/>
    <mergeCell ref="N7:O7"/>
    <mergeCell ref="C8:D8"/>
    <mergeCell ref="N8:O8"/>
    <mergeCell ref="C9:D9"/>
    <mergeCell ref="C10:D10"/>
    <mergeCell ref="C11:D11"/>
    <mergeCell ref="C12:D12"/>
    <mergeCell ref="A1:B1"/>
    <mergeCell ref="A3:B3"/>
    <mergeCell ref="A22:B22"/>
    <mergeCell ref="H1:I1"/>
  </mergeCells>
  <phoneticPr fontId="0" type="noConversion"/>
  <conditionalFormatting sqref="X24:X52">
    <cfRule type="cellIs" dxfId="92" priority="13" stopIfTrue="1" operator="greaterThan">
      <formula>0</formula>
    </cfRule>
  </conditionalFormatting>
  <conditionalFormatting sqref="N24:N54">
    <cfRule type="cellIs" dxfId="91" priority="9" operator="equal">
      <formula>N23-M24</formula>
    </cfRule>
  </conditionalFormatting>
  <conditionalFormatting sqref="N24">
    <cfRule type="expression" dxfId="90" priority="10">
      <formula>$L$24=0</formula>
    </cfRule>
  </conditionalFormatting>
  <conditionalFormatting sqref="L24:M54 A24:B54">
    <cfRule type="expression" dxfId="89" priority="8">
      <formula>$M24=0</formula>
    </cfRule>
  </conditionalFormatting>
  <conditionalFormatting sqref="D24:G54 W24:W54 AB24:AB54">
    <cfRule type="expression" dxfId="88" priority="7">
      <formula>$AB24=0</formula>
    </cfRule>
  </conditionalFormatting>
  <conditionalFormatting sqref="H24:K54 X24:X54 AC24:AC54">
    <cfRule type="expression" dxfId="87" priority="6">
      <formula>$AC24=0</formula>
    </cfRule>
  </conditionalFormatting>
  <conditionalFormatting sqref="P24:U54">
    <cfRule type="expression" dxfId="86" priority="4">
      <formula>$AB24+$AC24=1</formula>
    </cfRule>
    <cfRule type="expression" dxfId="85" priority="5">
      <formula>$AB24+$AC24=0</formula>
    </cfRule>
  </conditionalFormatting>
  <conditionalFormatting sqref="D24:K54 P24:U54 W24:X54 AB24:AC54">
    <cfRule type="expression" dxfId="84" priority="3">
      <formula>$AE24=0</formula>
    </cfRule>
  </conditionalFormatting>
  <conditionalFormatting sqref="C7:D7 Z12 P8:Q8 N8 G18 J17:J18 C8:C12">
    <cfRule type="expression" dxfId="83" priority="12">
      <formula>#REF!="Absenzenerfassung"</formula>
    </cfRule>
  </conditionalFormatting>
  <conditionalFormatting sqref="I14">
    <cfRule type="expression" dxfId="82" priority="11">
      <formula>#REF!="Absenzenerfassung"</formula>
    </cfRule>
  </conditionalFormatting>
  <pageMargins left="0.4" right="0.4" top="0.79" bottom="0.39370078740157483" header="0.28999999999999998" footer="0.15748031496062992"/>
  <pageSetup paperSize="9" scale="53"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FD7458CA-AABF-476C-8733-CC30CD789445}">
            <xm:f>OR('Persönliche Daten (pers. data)'!$K$5="Nein",'Persönliche Daten (pers. data)'!$K$5="no")</xm:f>
            <x14:dxf>
              <font>
                <color theme="0"/>
              </font>
              <border>
                <left/>
                <right/>
                <top/>
                <bottom/>
                <vertical/>
                <horizontal/>
              </border>
            </x14:dxf>
          </x14:cfRule>
          <xm:sqref>H14:I17</xm:sqref>
        </x14:conditionalFormatting>
        <x14:conditionalFormatting xmlns:xm="http://schemas.microsoft.com/office/excel/2006/main">
          <x14:cfRule type="expression" priority="1" id="{9EBDCF11-D161-4537-BE53-26F0EAC83D0E}">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pageSetUpPr fitToPage="1"/>
  </sheetPr>
  <dimension ref="A1:AH60"/>
  <sheetViews>
    <sheetView showGridLines="0" topLeftCell="A4" zoomScale="75" zoomScaleNormal="75" workbookViewId="0">
      <selection activeCell="AI24" sqref="AI24"/>
    </sheetView>
  </sheetViews>
  <sheetFormatPr baseColWidth="10" defaultColWidth="11.5" defaultRowHeight="14"/>
  <cols>
    <col min="1" max="1" width="7.6640625" style="17" customWidth="1"/>
    <col min="2" max="2" width="7.6640625" style="11" customWidth="1"/>
    <col min="3" max="3" width="2.83203125" style="11" customWidth="1"/>
    <col min="4" max="11" width="11.33203125" style="8" customWidth="1"/>
    <col min="12" max="12" width="9.6640625" style="8" customWidth="1"/>
    <col min="13" max="13" width="9.6640625" style="7" customWidth="1"/>
    <col min="14" max="14" width="11" style="7" customWidth="1"/>
    <col min="15" max="15" width="2.83203125" style="7" customWidth="1"/>
    <col min="16" max="19" width="11.83203125" style="11" customWidth="1"/>
    <col min="20" max="20" width="11.83203125" style="43" customWidth="1"/>
    <col min="21" max="21" width="11.83203125" style="72" customWidth="1"/>
    <col min="22" max="22" width="2.83203125" style="72" customWidth="1"/>
    <col min="23" max="23" width="11.83203125" style="228" customWidth="1"/>
    <col min="24" max="27" width="11.83203125" style="11" customWidth="1"/>
    <col min="28" max="28" width="11.83203125" style="228" customWidth="1"/>
    <col min="29" max="29" width="11.83203125" style="11" customWidth="1"/>
    <col min="30" max="33" width="11.5" style="11" hidden="1" customWidth="1"/>
    <col min="34" max="34" width="0" style="11" hidden="1" customWidth="1"/>
    <col min="35" max="16384" width="11.5" style="11"/>
  </cols>
  <sheetData>
    <row r="1" spans="1:29">
      <c r="A1" s="894" t="str">
        <f>Para1!F204</f>
        <v xml:space="preserve">Vorname: </v>
      </c>
      <c r="B1" s="894"/>
      <c r="C1" s="897">
        <f>'Jahresübersicht (Overview)'!$C$2</f>
        <v>0</v>
      </c>
      <c r="D1" s="897"/>
      <c r="E1" s="897"/>
      <c r="G1" s="9" t="str">
        <f>Para1!F160</f>
        <v xml:space="preserve">Name: </v>
      </c>
      <c r="H1" s="897">
        <f>'Jahresübersicht (Overview)'!$G$2</f>
        <v>0</v>
      </c>
      <c r="I1" s="897"/>
      <c r="L1" s="9" t="str">
        <f>Para1!F131</f>
        <v xml:space="preserve">Jahrgang (4-stellig): </v>
      </c>
      <c r="M1" s="307">
        <f>'Jahresübersicht (Overview)'!$K$2</f>
        <v>0</v>
      </c>
      <c r="O1" s="59"/>
      <c r="P1" s="10"/>
      <c r="Q1" s="10"/>
      <c r="R1" s="10"/>
      <c r="S1" s="10"/>
      <c r="T1" s="11"/>
      <c r="V1" s="73"/>
      <c r="W1" s="11"/>
      <c r="Y1" s="11" t="str">
        <f>Para1!F129</f>
        <v xml:space="preserve">Jahr: </v>
      </c>
      <c r="Z1" s="11">
        <f>Para1!$C$2</f>
        <v>2021</v>
      </c>
    </row>
    <row r="2" spans="1:29" ht="6" customHeight="1">
      <c r="O2" s="59"/>
      <c r="T2" s="11"/>
      <c r="V2" s="73"/>
      <c r="W2" s="11"/>
    </row>
    <row r="3" spans="1:29">
      <c r="A3" s="894" t="str">
        <f>Para1!F168</f>
        <v xml:space="preserve">Pers-Nr.: </v>
      </c>
      <c r="B3" s="894"/>
      <c r="C3" s="902">
        <f>'Jahresübersicht (Overview)'!C4</f>
        <v>0</v>
      </c>
      <c r="D3" s="902"/>
      <c r="E3" s="903" t="str">
        <f>Para1!F96&amp;": "</f>
        <v xml:space="preserve">Beschäftigungsgrad: </v>
      </c>
      <c r="F3" s="903"/>
      <c r="G3" s="903"/>
      <c r="H3" s="444">
        <f>'Jahresübersicht (Overview)'!H$8</f>
        <v>100</v>
      </c>
      <c r="I3" s="8" t="s">
        <v>248</v>
      </c>
      <c r="L3" s="328" t="str">
        <f>Para1!F111</f>
        <v xml:space="preserve">Eintrittsdatum: </v>
      </c>
      <c r="M3" s="895">
        <f>'Jahresübersicht (Overview)'!$G$4</f>
        <v>0</v>
      </c>
      <c r="N3" s="895"/>
      <c r="O3" s="311"/>
      <c r="T3" s="11"/>
      <c r="V3" s="73"/>
      <c r="W3" s="11"/>
      <c r="AB3" s="73"/>
      <c r="AC3" s="16"/>
    </row>
    <row r="4" spans="1:29" ht="6" customHeight="1">
      <c r="A4" s="12"/>
      <c r="B4" s="13"/>
      <c r="C4" s="13"/>
      <c r="D4" s="14"/>
      <c r="E4" s="14"/>
      <c r="F4" s="14"/>
      <c r="G4" s="14"/>
      <c r="H4" s="14"/>
      <c r="I4" s="14"/>
      <c r="J4" s="14"/>
      <c r="K4" s="14"/>
      <c r="L4" s="14"/>
      <c r="M4" s="15"/>
      <c r="N4" s="15"/>
      <c r="O4" s="15"/>
      <c r="P4" s="13"/>
      <c r="Q4" s="13"/>
      <c r="R4" s="13"/>
      <c r="S4" s="13"/>
      <c r="T4" s="13"/>
      <c r="U4" s="126"/>
      <c r="V4" s="196"/>
      <c r="W4" s="13"/>
      <c r="X4" s="13"/>
      <c r="Y4" s="13"/>
      <c r="Z4" s="13"/>
      <c r="AB4" s="73"/>
      <c r="AC4" s="16"/>
    </row>
    <row r="5" spans="1:29" ht="6" customHeight="1">
      <c r="O5" s="59"/>
      <c r="T5" s="11"/>
      <c r="V5" s="73"/>
      <c r="W5" s="11"/>
      <c r="AB5" s="73"/>
      <c r="AC5" s="16"/>
    </row>
    <row r="6" spans="1:29" ht="15" customHeight="1">
      <c r="F6" s="53"/>
      <c r="G6" s="20"/>
      <c r="O6" s="59"/>
      <c r="T6" s="11"/>
      <c r="U6" s="11"/>
      <c r="V6" s="16"/>
      <c r="W6" s="11"/>
      <c r="AB6" s="73"/>
      <c r="AC6" s="16"/>
    </row>
    <row r="7" spans="1:29" ht="15" customHeight="1">
      <c r="A7" s="11"/>
      <c r="B7" s="328" t="str">
        <f>Para1!F93</f>
        <v>Arbeitszeit</v>
      </c>
      <c r="C7" s="898" t="s">
        <v>103</v>
      </c>
      <c r="D7" s="898"/>
      <c r="F7" s="19"/>
      <c r="H7" s="165" t="str">
        <f>Para1!F115</f>
        <v>Ferien</v>
      </c>
      <c r="I7" s="160" t="s">
        <v>103</v>
      </c>
      <c r="J7" s="211"/>
      <c r="L7" s="19"/>
      <c r="M7" s="165" t="str">
        <f>Para1!F136</f>
        <v>Kompensation</v>
      </c>
      <c r="N7" s="900" t="str">
        <f>Para1!F84</f>
        <v>akt. Mt.</v>
      </c>
      <c r="O7" s="900"/>
      <c r="P7" s="333" t="str">
        <f>Para1!F203</f>
        <v>VorMt(e)</v>
      </c>
      <c r="Q7" s="163" t="str">
        <f>Para1!F174</f>
        <v>Saldo</v>
      </c>
      <c r="S7" s="7"/>
      <c r="T7" s="9" t="str">
        <f>Para1!F83</f>
        <v>Absenzen</v>
      </c>
      <c r="U7" s="7" t="s">
        <v>103</v>
      </c>
      <c r="V7" s="7"/>
      <c r="W7" s="140" t="str">
        <f>Para1!F84</f>
        <v>akt. Mt.</v>
      </c>
      <c r="X7" s="140" t="str">
        <f>Para1!F203</f>
        <v>VorMt(e)</v>
      </c>
      <c r="Y7" s="18" t="str">
        <f>Para1!F174</f>
        <v>Saldo</v>
      </c>
      <c r="Z7" s="275"/>
      <c r="AB7" s="73"/>
      <c r="AC7" s="16"/>
    </row>
    <row r="8" spans="1:29" ht="15" customHeight="1" thickBot="1">
      <c r="B8" s="9" t="str">
        <f>Para1!F177</f>
        <v>Soll</v>
      </c>
      <c r="C8" s="848">
        <f>Para1!M60/100*H3/24</f>
        <v>7.7</v>
      </c>
      <c r="D8" s="848"/>
      <c r="F8" s="19"/>
      <c r="H8" s="162" t="str">
        <f>Para1!F174&amp;" "&amp;Para1!F88&amp;" "&amp;Para1!F154</f>
        <v>Saldo Anfang Monat</v>
      </c>
      <c r="I8" s="159" t="e">
        <f>Mai!I11</f>
        <v>#N/A</v>
      </c>
      <c r="J8" s="212"/>
      <c r="M8" s="162" t="str">
        <f>Para1!F133</f>
        <v>JAZ-Kompensation</v>
      </c>
      <c r="N8" s="899">
        <f>SUMIF($W$24:$W$54,"k",$AH$24:$AH$54)+SUMIF($X$24:$X$54,"k",$AH$24:$AH$54)</f>
        <v>0</v>
      </c>
      <c r="O8" s="899"/>
      <c r="P8" s="732">
        <f>Mai!Q8</f>
        <v>0</v>
      </c>
      <c r="Q8" s="166">
        <f>N8+P8</f>
        <v>0</v>
      </c>
      <c r="S8" s="7"/>
      <c r="T8" s="20" t="str">
        <f>Para1!F139</f>
        <v>Krankheit</v>
      </c>
      <c r="U8" s="7"/>
      <c r="V8" s="7"/>
      <c r="W8" s="734">
        <f>P55</f>
        <v>0</v>
      </c>
      <c r="X8" s="734">
        <f>Mai!Y8</f>
        <v>0</v>
      </c>
      <c r="Y8" s="306">
        <f t="shared" ref="Y8:Y17" si="0">SUM(W8:X8)</f>
        <v>0</v>
      </c>
      <c r="Z8" s="155"/>
      <c r="AB8" s="73"/>
      <c r="AC8" s="16"/>
    </row>
    <row r="9" spans="1:29" ht="15" customHeight="1" thickTop="1">
      <c r="B9" s="9" t="str">
        <f>Para1!F127&amp;" "&amp;Para1!F184</f>
        <v>Ist Total</v>
      </c>
      <c r="C9" s="847">
        <f>SUM($I$9+$W$18+$L$55+$I$16)</f>
        <v>0</v>
      </c>
      <c r="D9" s="847"/>
      <c r="E9" s="8" t="str">
        <f>Para1!F126&amp;" "&amp;Para1!F83</f>
        <v>inkl. Absenzen</v>
      </c>
      <c r="F9" s="134"/>
      <c r="H9" s="162" t="str">
        <f>"./. "&amp;Para1!F116</f>
        <v>./. Ferienbezug</v>
      </c>
      <c r="I9" s="159">
        <f>SUMIF($W$24:$W$54,"f",$AH$24:$AH$54)+SUMIF($X$24:$X$54,"f",$AH$24:$AH$54)</f>
        <v>0</v>
      </c>
      <c r="J9" s="537"/>
      <c r="K9" s="538"/>
      <c r="O9" s="59"/>
      <c r="S9" s="7"/>
      <c r="T9" s="20" t="str">
        <f>Para1!F196</f>
        <v>Unfall</v>
      </c>
      <c r="U9" s="7" t="str">
        <f>Para1!F98</f>
        <v>betriebsbedingt</v>
      </c>
      <c r="V9" s="7"/>
      <c r="W9" s="734">
        <f>Q55</f>
        <v>0</v>
      </c>
      <c r="X9" s="734">
        <f>Mai!Y9</f>
        <v>0</v>
      </c>
      <c r="Y9" s="306">
        <f t="shared" si="0"/>
        <v>0</v>
      </c>
      <c r="Z9" s="155"/>
    </row>
    <row r="10" spans="1:29" ht="15" customHeight="1">
      <c r="B10" s="22" t="str">
        <f>Para1!F108</f>
        <v>Differenz</v>
      </c>
      <c r="C10" s="904">
        <f>$C$9-$C$8</f>
        <v>-7.7</v>
      </c>
      <c r="D10" s="904"/>
      <c r="F10" s="19"/>
      <c r="H10" s="162" t="str">
        <f>"./. "&amp;Para1!F117</f>
        <v>./. Ferienkürzung</v>
      </c>
      <c r="I10" s="210">
        <v>0</v>
      </c>
      <c r="J10" s="212"/>
      <c r="O10" s="59"/>
      <c r="S10" s="7"/>
      <c r="T10" s="8"/>
      <c r="U10" s="7" t="str">
        <f>Para1!F163&amp;" "&amp;Para1!F99</f>
        <v>nicht betr.</v>
      </c>
      <c r="V10" s="7"/>
      <c r="W10" s="734">
        <f>R55</f>
        <v>0</v>
      </c>
      <c r="X10" s="734">
        <f>Mai!Y10</f>
        <v>0</v>
      </c>
      <c r="Y10" s="306">
        <f t="shared" si="0"/>
        <v>0</v>
      </c>
      <c r="Z10" s="155"/>
      <c r="AB10" s="11"/>
    </row>
    <row r="11" spans="1:29" ht="15" customHeight="1" thickBot="1">
      <c r="B11" s="20" t="str">
        <f>Para1!F190</f>
        <v>Übertrag Vormnt</v>
      </c>
      <c r="C11" s="847">
        <f>Mai!C12</f>
        <v>-35.61666666666666</v>
      </c>
      <c r="D11" s="847"/>
      <c r="F11" s="19"/>
      <c r="H11" s="165" t="str">
        <f>Para1!F174&amp;" "&amp;Para1!F113&amp;" "&amp;Para1!F154</f>
        <v>Saldo Ende Monat</v>
      </c>
      <c r="I11" s="166" t="e">
        <f>$I$8-$I$9-$I$10</f>
        <v>#N/A</v>
      </c>
      <c r="J11" s="221"/>
      <c r="L11" s="445" t="str">
        <f>Para1!F103&amp;" "&amp;Para1!F120&amp;" "&amp;Para1!F83&amp;" in "&amp;Para1!F182&amp;":"</f>
        <v>Buchstaben für Absenzen in Tage:</v>
      </c>
      <c r="M11" s="446"/>
      <c r="N11" s="446"/>
      <c r="O11" s="446"/>
      <c r="P11" s="446"/>
      <c r="Q11" s="447"/>
      <c r="R11" s="8"/>
      <c r="S11" s="7"/>
      <c r="T11" s="20" t="str">
        <f>Para1!F140</f>
        <v>Kurzurlaub</v>
      </c>
      <c r="U11" s="8"/>
      <c r="V11" s="8"/>
      <c r="W11" s="734">
        <f>S55</f>
        <v>0</v>
      </c>
      <c r="X11" s="734">
        <f>Mai!Y11</f>
        <v>0</v>
      </c>
      <c r="Y11" s="306">
        <f t="shared" si="0"/>
        <v>0</v>
      </c>
      <c r="Z11" s="155"/>
      <c r="AB11" s="11"/>
    </row>
    <row r="12" spans="1:29" ht="15" customHeight="1" thickTop="1" thickBot="1">
      <c r="A12" s="127"/>
      <c r="B12" s="330" t="str">
        <f>Para1!F174</f>
        <v>Saldo</v>
      </c>
      <c r="C12" s="901">
        <f>C10+C11</f>
        <v>-43.316666666666663</v>
      </c>
      <c r="D12" s="901"/>
      <c r="F12" s="19"/>
      <c r="G12" s="7"/>
      <c r="L12" s="448" t="s">
        <v>492</v>
      </c>
      <c r="M12" s="449" t="str">
        <f>Para1!F115</f>
        <v>Ferien</v>
      </c>
      <c r="N12" s="449"/>
      <c r="O12" s="449"/>
      <c r="P12" s="449"/>
      <c r="Q12" s="450"/>
      <c r="R12" s="8"/>
      <c r="S12" s="7"/>
      <c r="T12" s="25" t="str">
        <f>Para1!F206</f>
        <v>Weiterbildung auf Arbeitszeit</v>
      </c>
      <c r="U12" s="7"/>
      <c r="V12" s="7"/>
      <c r="W12" s="734">
        <f>T55</f>
        <v>0</v>
      </c>
      <c r="X12" s="734">
        <f>Mai!Y12</f>
        <v>0</v>
      </c>
      <c r="Y12" s="306">
        <f t="shared" si="0"/>
        <v>0</v>
      </c>
      <c r="Z12" s="155"/>
      <c r="AB12" s="11"/>
    </row>
    <row r="13" spans="1:29" ht="15" customHeight="1" thickTop="1">
      <c r="B13" s="330"/>
      <c r="C13" s="309"/>
      <c r="D13" s="81"/>
      <c r="F13" s="19"/>
      <c r="J13" s="160"/>
      <c r="L13" s="448" t="s">
        <v>493</v>
      </c>
      <c r="M13" s="449" t="str">
        <f>Para1!F157</f>
        <v>Mutter- und Vaterschaftsurlaub</v>
      </c>
      <c r="N13" s="449"/>
      <c r="O13" s="449"/>
      <c r="P13" s="449"/>
      <c r="Q13" s="451"/>
      <c r="R13" s="8"/>
      <c r="S13" s="7"/>
      <c r="T13" s="20" t="str">
        <f>Para1!F165</f>
        <v>Öffentliches Amt</v>
      </c>
      <c r="U13" s="7"/>
      <c r="V13" s="7"/>
      <c r="W13" s="734">
        <f>U55</f>
        <v>0</v>
      </c>
      <c r="X13" s="734">
        <f>Mai!Y13</f>
        <v>0</v>
      </c>
      <c r="Y13" s="306">
        <f t="shared" si="0"/>
        <v>0</v>
      </c>
      <c r="Z13" s="16"/>
      <c r="AB13" s="11"/>
    </row>
    <row r="14" spans="1:29" ht="15" customHeight="1">
      <c r="F14" s="19"/>
      <c r="H14" s="9" t="str">
        <f>Para1!F142</f>
        <v>Langzeitkonto</v>
      </c>
      <c r="I14" s="160" t="s">
        <v>103</v>
      </c>
      <c r="J14" s="59"/>
      <c r="L14" s="448" t="s">
        <v>494</v>
      </c>
      <c r="M14" s="449" t="str">
        <f>Para1!F149</f>
        <v>Militär/Zivilsch./Zivildienst</v>
      </c>
      <c r="N14" s="449"/>
      <c r="O14" s="449"/>
      <c r="P14" s="449"/>
      <c r="Q14" s="451"/>
      <c r="R14" s="8"/>
      <c r="S14" s="8"/>
      <c r="T14" s="24" t="str">
        <f>Para1!F198</f>
        <v>Urlaub</v>
      </c>
      <c r="U14" s="853" t="str">
        <f>Para1!F100</f>
        <v>bezahlt</v>
      </c>
      <c r="V14" s="853"/>
      <c r="W14" s="738">
        <f>SUMIF($W$24:$W$54,"b",$AH$24:$AH$54)+SUMIF($X$24:$X$54,"b",$AH$24:$AH$54)</f>
        <v>0</v>
      </c>
      <c r="X14" s="734">
        <f>Mai!Y14</f>
        <v>0</v>
      </c>
      <c r="Y14" s="155">
        <f t="shared" si="0"/>
        <v>0</v>
      </c>
      <c r="Z14" s="535"/>
      <c r="AA14" s="536"/>
      <c r="AB14" s="11"/>
    </row>
    <row r="15" spans="1:29" ht="15" customHeight="1">
      <c r="H15" s="140" t="str">
        <f>Para1!F174&amp;" "&amp;Para1!F88&amp;" "&amp;Para1!F154</f>
        <v>Saldo Anfang Monat</v>
      </c>
      <c r="I15" s="299">
        <f>Mai!I17</f>
        <v>0</v>
      </c>
      <c r="J15" s="59"/>
      <c r="L15" s="448" t="s">
        <v>495</v>
      </c>
      <c r="M15" s="449" t="str">
        <f>Para1!F133</f>
        <v>JAZ-Kompensation</v>
      </c>
      <c r="N15" s="449"/>
      <c r="O15" s="449"/>
      <c r="P15" s="449"/>
      <c r="Q15" s="451"/>
      <c r="R15" s="8"/>
      <c r="S15" s="8"/>
      <c r="T15" s="24"/>
      <c r="U15" s="853" t="str">
        <f>Para1!F194</f>
        <v>unbezahlt</v>
      </c>
      <c r="V15" s="853"/>
      <c r="W15" s="738">
        <f>SUMIF($W$24:$W$54,"u",$AH$24:$AH$54)+SUMIF($X$24:$X$54,"u",$AH$24:$AH$54)</f>
        <v>0</v>
      </c>
      <c r="X15" s="734">
        <f>Mai!Y15</f>
        <v>0</v>
      </c>
      <c r="Y15" s="155">
        <f t="shared" si="0"/>
        <v>0</v>
      </c>
      <c r="Z15" s="536"/>
      <c r="AA15" s="536"/>
      <c r="AB15" s="11"/>
    </row>
    <row r="16" spans="1:29" ht="15" customHeight="1">
      <c r="F16" s="11"/>
      <c r="G16" s="11"/>
      <c r="H16" s="140" t="str">
        <f>"./. "&amp;Para1!F145</f>
        <v>./. LZK-Bezug</v>
      </c>
      <c r="I16" s="299">
        <f>SUMIF($W$24:$W$54,"l",$AH$24:$AH$54)+SUMIF($X$24:$X$54,"l",$AH$24:$AH$54)</f>
        <v>0</v>
      </c>
      <c r="J16" s="59"/>
      <c r="L16" s="452" t="s">
        <v>496</v>
      </c>
      <c r="M16" s="456" t="str">
        <f>Para1!F198&amp;" "&amp;Para1!F100</f>
        <v>Urlaub bezahlt</v>
      </c>
      <c r="N16" s="453"/>
      <c r="O16" s="454"/>
      <c r="P16" s="455"/>
      <c r="Q16" s="451"/>
      <c r="R16" s="8"/>
      <c r="S16" s="8"/>
      <c r="T16" s="24" t="str">
        <f>Para1!F157</f>
        <v>Mutter- und Vaterschaftsurlaub</v>
      </c>
      <c r="U16" s="73"/>
      <c r="V16" s="11"/>
      <c r="W16" s="738">
        <f>SUMIF($W$24:$W$54,"m",$AH$24:$AH$54)+SUMIF($X$24:$X$54,"m",$AH$24:$AH$54)</f>
        <v>0</v>
      </c>
      <c r="X16" s="734">
        <f>Mai!Y16</f>
        <v>0</v>
      </c>
      <c r="Y16" s="155">
        <f t="shared" si="0"/>
        <v>0</v>
      </c>
      <c r="Z16" s="536"/>
      <c r="AA16" s="536"/>
      <c r="AB16" s="11"/>
    </row>
    <row r="17" spans="1:34" ht="15" customHeight="1" thickBot="1">
      <c r="G17" s="162"/>
      <c r="H17" s="328" t="str">
        <f>Para1!F174&amp;" "&amp;Para1!F113&amp;" "&amp;Para1!F154</f>
        <v>Saldo Ende Monat</v>
      </c>
      <c r="I17" s="732">
        <f>I15-I16</f>
        <v>0</v>
      </c>
      <c r="J17" s="164"/>
      <c r="L17" s="452" t="s">
        <v>497</v>
      </c>
      <c r="M17" s="456" t="str">
        <f>Para1!F198&amp;" "&amp;Para1!F194</f>
        <v>Urlaub unbezahlt</v>
      </c>
      <c r="N17" s="453"/>
      <c r="O17" s="454"/>
      <c r="P17" s="455"/>
      <c r="Q17" s="451"/>
      <c r="R17" s="8"/>
      <c r="S17" s="8"/>
      <c r="T17" s="24" t="str">
        <f>Para1!F149</f>
        <v>Militär/Zivilsch./Zivildienst</v>
      </c>
      <c r="U17" s="73"/>
      <c r="V17" s="11"/>
      <c r="W17" s="738">
        <f>SUMIF($W$24:$W$54,"z",$AH$24:$AH$54)+SUMIF($X$24:$X$54,"z",$AH$24:$AH$54)</f>
        <v>0</v>
      </c>
      <c r="X17" s="734">
        <f>Mai!Y17</f>
        <v>0</v>
      </c>
      <c r="Y17" s="155">
        <f t="shared" si="0"/>
        <v>0</v>
      </c>
      <c r="Z17" s="536"/>
      <c r="AA17" s="536"/>
      <c r="AB17" s="11"/>
    </row>
    <row r="18" spans="1:34" ht="15" customHeight="1" thickTop="1" thickBot="1">
      <c r="F18" s="616" t="str">
        <f>IF(AND(Information!H8="Nein",I16&gt;0),"ACHTUNG: Langzeitkontobezug ohne entsprechendes Konto!!","")</f>
        <v/>
      </c>
      <c r="G18" s="162"/>
      <c r="H18" s="11"/>
      <c r="I18" s="11"/>
      <c r="J18" s="164"/>
      <c r="L18" s="448" t="s">
        <v>498</v>
      </c>
      <c r="M18" s="456" t="str">
        <f>Para1!F142</f>
        <v>Langzeitkonto</v>
      </c>
      <c r="N18" s="453"/>
      <c r="O18" s="454"/>
      <c r="P18" s="455"/>
      <c r="Q18" s="451"/>
      <c r="R18" s="8"/>
      <c r="S18" s="8"/>
      <c r="T18" s="9" t="str">
        <f>Para1!F184</f>
        <v>Total</v>
      </c>
      <c r="U18" s="11"/>
      <c r="V18" s="11"/>
      <c r="W18" s="733">
        <f>SUM(W8:W17)</f>
        <v>0</v>
      </c>
      <c r="X18" s="733">
        <f>SUM(X8:X17)</f>
        <v>0</v>
      </c>
      <c r="Y18" s="733">
        <f>SUM(Y8:Y17)</f>
        <v>0</v>
      </c>
      <c r="AB18" s="11"/>
    </row>
    <row r="19" spans="1:34" ht="15" customHeight="1" thickTop="1">
      <c r="E19" s="19"/>
      <c r="G19" s="72"/>
      <c r="H19" s="72"/>
      <c r="M19" s="8"/>
      <c r="N19" s="8"/>
      <c r="O19" s="8"/>
      <c r="P19" s="8"/>
      <c r="Q19" s="8"/>
      <c r="R19" s="8"/>
      <c r="S19" s="21"/>
      <c r="T19" s="11"/>
      <c r="U19" s="11"/>
      <c r="V19" s="11"/>
      <c r="W19" s="59"/>
      <c r="X19" s="16"/>
      <c r="AB19" s="11"/>
    </row>
    <row r="20" spans="1:34" ht="15" customHeight="1" thickBot="1">
      <c r="A20" s="424" t="str">
        <f>Para1!J222</f>
        <v>(Bitte das Guthaben in Stunden und Minuten eingeben.)</v>
      </c>
      <c r="B20" s="8"/>
    </row>
    <row r="21" spans="1:34" ht="17.25" customHeight="1" thickTop="1" thickBot="1">
      <c r="K21" s="34"/>
      <c r="L21" s="872" t="str">
        <f>Para1!F93&amp;" hh:mm"</f>
        <v>Arbeitszeit hh:mm</v>
      </c>
      <c r="M21" s="873"/>
      <c r="N21" s="873"/>
      <c r="O21" s="190"/>
      <c r="P21" s="875" t="str">
        <f>Para1!F83&amp;" in "&amp;Para1!F180&amp;" hh:mm"</f>
        <v>Absenzen in Stunden hh:mm</v>
      </c>
      <c r="Q21" s="896"/>
      <c r="R21" s="896"/>
      <c r="S21" s="896"/>
      <c r="T21" s="896"/>
      <c r="U21" s="896"/>
      <c r="V21" s="261"/>
      <c r="W21" s="877" t="str">
        <f>Para1!F83&amp;" in "&amp;Para1!F182</f>
        <v>Absenzen in Tage</v>
      </c>
      <c r="X21" s="878"/>
      <c r="Y21" s="879" t="str">
        <f>Para1!F138</f>
        <v>Kommentar</v>
      </c>
      <c r="Z21" s="880"/>
      <c r="AB21" s="875" t="str">
        <f>Para1!F91</f>
        <v>Arbeitsmuster</v>
      </c>
      <c r="AC21" s="876"/>
    </row>
    <row r="22" spans="1:34" s="26" customFormat="1" ht="18.75" customHeight="1" thickTop="1">
      <c r="A22" s="864">
        <f ca="1">TODAY()</f>
        <v>42738</v>
      </c>
      <c r="B22" s="865"/>
      <c r="C22" s="257"/>
      <c r="D22" s="872" t="str">
        <f>Para1!F201&amp;" hh:mm"</f>
        <v>Vormittag hh:mm</v>
      </c>
      <c r="E22" s="873"/>
      <c r="F22" s="873"/>
      <c r="G22" s="874"/>
      <c r="H22" s="872" t="str">
        <f>Para1!F158&amp;" hh:mm"</f>
        <v>Nachmittag hh:mm</v>
      </c>
      <c r="I22" s="873"/>
      <c r="J22" s="873"/>
      <c r="K22" s="874"/>
      <c r="L22" s="866" t="str">
        <f>Para1!F127</f>
        <v>Ist</v>
      </c>
      <c r="M22" s="868" t="str">
        <f>Para1!F177</f>
        <v>Soll</v>
      </c>
      <c r="N22" s="854" t="str">
        <f>Para1!F174</f>
        <v>Saldo</v>
      </c>
      <c r="O22" s="191"/>
      <c r="P22" s="858" t="str">
        <f>Para1!F139</f>
        <v>Krankheit</v>
      </c>
      <c r="Q22" s="856" t="str">
        <f>Para1!F196&amp;" "&amp;Para1!F99</f>
        <v>Unfall betr.</v>
      </c>
      <c r="R22" s="856" t="str">
        <f>Para1!F196&amp;" "&amp;Para1!F163&amp;" "&amp;Para1!F99</f>
        <v>Unfall nicht betr.</v>
      </c>
      <c r="S22" s="863" t="str">
        <f>Para1!F141</f>
        <v>Kurz- urlaub</v>
      </c>
      <c r="T22" s="856" t="str">
        <f>Para1!F207</f>
        <v>Weiter- bildung</v>
      </c>
      <c r="U22" s="860" t="str">
        <f>Para1!F166</f>
        <v>Öffentl. Amt</v>
      </c>
      <c r="V22" s="331"/>
      <c r="W22" s="858" t="str">
        <f>Para1!F202</f>
        <v>Vor- mittag</v>
      </c>
      <c r="X22" s="891" t="str">
        <f>Para1!F159</f>
        <v>Nach- mittag</v>
      </c>
      <c r="Y22" s="199"/>
      <c r="Z22" s="199"/>
      <c r="AB22" s="858" t="str">
        <f>Para1!F202</f>
        <v>Vor- mittag</v>
      </c>
      <c r="AC22" s="854" t="str">
        <f>Para1!F159</f>
        <v>Nach- mittag</v>
      </c>
    </row>
    <row r="23" spans="1:34" s="26" customFormat="1" ht="15.75" customHeight="1" thickBot="1">
      <c r="A23" s="870" t="str">
        <f>Para1!F104</f>
        <v>Datum</v>
      </c>
      <c r="B23" s="871"/>
      <c r="C23" s="254"/>
      <c r="D23" s="27" t="str">
        <f>Para1!F137</f>
        <v>Kommen</v>
      </c>
      <c r="E23" s="28" t="str">
        <f>Para1!F122</f>
        <v>Gehen</v>
      </c>
      <c r="F23" s="28" t="str">
        <f>Para1!F137</f>
        <v>Kommen</v>
      </c>
      <c r="G23" s="29" t="str">
        <f>Para1!F122</f>
        <v>Gehen</v>
      </c>
      <c r="H23" s="27" t="str">
        <f>Para1!F137</f>
        <v>Kommen</v>
      </c>
      <c r="I23" s="28" t="str">
        <f>Para1!F122</f>
        <v>Gehen</v>
      </c>
      <c r="J23" s="28" t="str">
        <f>Para1!F137</f>
        <v>Kommen</v>
      </c>
      <c r="K23" s="46" t="str">
        <f>Para1!F122</f>
        <v>Gehen</v>
      </c>
      <c r="L23" s="867"/>
      <c r="M23" s="869"/>
      <c r="N23" s="855"/>
      <c r="O23" s="191"/>
      <c r="P23" s="859"/>
      <c r="Q23" s="857"/>
      <c r="R23" s="857"/>
      <c r="S23" s="857"/>
      <c r="T23" s="862"/>
      <c r="U23" s="861"/>
      <c r="V23" s="260"/>
      <c r="W23" s="886"/>
      <c r="X23" s="892"/>
      <c r="Y23" s="68"/>
      <c r="Z23" s="68"/>
      <c r="AA23" s="667"/>
      <c r="AB23" s="893"/>
      <c r="AC23" s="881"/>
    </row>
    <row r="24" spans="1:34" ht="16.5" customHeight="1" thickTop="1">
      <c r="A24" s="30" t="s">
        <v>5</v>
      </c>
      <c r="B24" s="334" t="str">
        <f>IF(Mai!B54=Para1!$F$153,Para1!$F$107,IF(Mai!B54=Para1!$F$107,Para1!$F$148,IF(Mai!B54=Para1!$F$148,Para1!$F$109,IF(Mai!B54=Para1!$F$109,Para1!$F$118,IF(Mai!B54=Para1!$F$118,Para1!$F$173,IF(Mai!B54=Para1!$F$173,Para1!$F$176,Para1!$F$153))))))</f>
        <v>Di</v>
      </c>
      <c r="C24" s="305"/>
      <c r="D24" s="359"/>
      <c r="E24" s="355"/>
      <c r="F24" s="355"/>
      <c r="G24" s="357"/>
      <c r="H24" s="359"/>
      <c r="I24" s="355"/>
      <c r="J24" s="355"/>
      <c r="K24" s="357"/>
      <c r="L24" s="111">
        <f t="shared" ref="L24:L30" si="1">SUM((G24-D24),(K24-H24))-SUM((F24-E24),(J24-I24))</f>
        <v>0</v>
      </c>
      <c r="M24" s="141">
        <f>IF(AE24=0,0,IF(AB24,$AB$56,0)+IF(AC24,$AB$56,0)-IF(AE24="",0,(AE24/4800*$H$3)+(AE24/4800*$H$3)))-IF(AF24="",0,(AF24/4800*$H$3)+(AF24/4800*$H$3))</f>
        <v>0.35000000000000003</v>
      </c>
      <c r="N24" s="45">
        <f>$C$11+$L24-M24+SUM($P24:$U24)+IF(OR($W24="f",$W24="m",$W24="z",$W24="u",$W24="b",$W24="l"),$AH24,0)+IF(OR($X24="f",$X24="m",$X24="z",$X24="u",$X24="b",$X24="l"),$AH24,0)</f>
        <v>-35.966666666666661</v>
      </c>
      <c r="O24" s="193"/>
      <c r="P24" s="355"/>
      <c r="Q24" s="355"/>
      <c r="R24" s="356"/>
      <c r="S24" s="357"/>
      <c r="T24" s="357"/>
      <c r="U24" s="358"/>
      <c r="V24" s="198"/>
      <c r="W24" s="373"/>
      <c r="X24" s="599"/>
      <c r="Y24" s="200"/>
      <c r="Z24" s="69"/>
      <c r="AA24" s="668"/>
      <c r="AB24" s="360">
        <v>1</v>
      </c>
      <c r="AC24" s="360">
        <v>1</v>
      </c>
      <c r="AD24" s="188" t="e">
        <f>IF(VLOOKUP(A24,Para1!$B$67:$E$72,2,FALSE)="6.",VLOOKUP(A24,Para1!$B$67:$E$72,3,FALSE),"")</f>
        <v>#N/A</v>
      </c>
      <c r="AE24" s="540" t="str">
        <f>IF((AB24+AC24)=0,"",IF(ISNA(AD24),"",IF(AD24="","",VLOOKUP(AD24,Para1!$D$67:$G$79,3,FALSE)*(IF(AB24+AC24=1,0.5,1)))))</f>
        <v/>
      </c>
      <c r="AF24" s="540" t="str">
        <f>IF(AB24+AC24=0,"",IF(ISNA(AD25),"",IF(AD25="","",VLOOKUP(AD25,Para1!$D$67:$G$79,4,FALSE)*(IF(AB24+AC24=1,0.5,1)))))</f>
        <v/>
      </c>
      <c r="AG24" s="188">
        <f>IF(AE24=0,AB24+AC24,0)</f>
        <v>0</v>
      </c>
      <c r="AH24" s="187">
        <f>IF((AB24+AC24)=0,0,M24/(AB24+AC24))</f>
        <v>0.17500000000000002</v>
      </c>
    </row>
    <row r="25" spans="1:34" ht="16.5" customHeight="1">
      <c r="A25" s="112" t="s">
        <v>7</v>
      </c>
      <c r="B25" s="334" t="str">
        <f>IF(B24=Para1!$F$153,Para1!$F$107,IF(B24=Para1!$F$107,Para1!$F$148,IF(B24=Para1!$F$148,Para1!$F$109,IF(B24=Para1!$F$109,Para1!$F$118,IF(B24=Para1!$F$118,Para1!$F$173,IF(B24=Para1!$F$173,Para1!$F$176,Para1!$F$153))))))</f>
        <v>Mi</v>
      </c>
      <c r="C25" s="339"/>
      <c r="D25" s="359"/>
      <c r="E25" s="355"/>
      <c r="F25" s="355"/>
      <c r="G25" s="357"/>
      <c r="H25" s="359"/>
      <c r="I25" s="355"/>
      <c r="J25" s="355"/>
      <c r="K25" s="357"/>
      <c r="L25" s="111">
        <f t="shared" si="1"/>
        <v>0</v>
      </c>
      <c r="M25" s="158">
        <f t="shared" ref="M25:M53" si="2">IF(AE25=0,0,IF(AB25,$AB$56,0)+IF(AC25,$AB$56,0)-IF(AE25="",0,(AE25/4800*$H$3)+(AE25/4800*$H$3)))-IF(AF25="",0,(AF25/4800*$H$3)+(AF25/4800*$H$3))</f>
        <v>0.35000000000000003</v>
      </c>
      <c r="N25" s="45">
        <f>$N24+$L25-M25+SUM($P25:$U25)+IF(OR($W25="f",$W25="m",$W25="z",$W25="u",$W25="b",$W25="l"),$AH25,0)+IF(OR($X25="f",$X25="m",$X25="z",$X25="u",$X25="b",$X25="l"),$AH25,0)</f>
        <v>-36.316666666666663</v>
      </c>
      <c r="O25" s="192"/>
      <c r="P25" s="355"/>
      <c r="Q25" s="355"/>
      <c r="R25" s="356"/>
      <c r="S25" s="357"/>
      <c r="T25" s="357"/>
      <c r="U25" s="358"/>
      <c r="V25" s="198"/>
      <c r="W25" s="373"/>
      <c r="X25" s="599"/>
      <c r="Y25" s="200"/>
      <c r="Z25" s="69"/>
      <c r="AA25" s="128"/>
      <c r="AB25" s="360">
        <f>Mai!AB49</f>
        <v>1</v>
      </c>
      <c r="AC25" s="360">
        <f>Mai!AC49</f>
        <v>1</v>
      </c>
      <c r="AD25" s="188" t="str">
        <f>IF(VLOOKUP(A25,Para1!$B$67:$E$72,2,FALSE)="6.",VLOOKUP(A25,Para1!$B$67:$E$72,3,FALSE),"")</f>
        <v/>
      </c>
      <c r="AE25" s="540" t="str">
        <f>IF((AB25+AC25)=0,"",IF(ISNA(AD25),"",IF(AD25="","",VLOOKUP(AD25,Para1!$D$67:$G$79,3,FALSE)*(IF(AB25+AC25=1,0.5,1)))))</f>
        <v/>
      </c>
      <c r="AF25" s="540" t="str">
        <f>IF(AB25+AC25=0,"",IF(ISNA(AD26),"",IF(AD26="","",VLOOKUP(AD26,Para1!$D$67:$G$79,4,FALSE)*(IF(AB25+AC25=1,0.5,1)))))</f>
        <v/>
      </c>
      <c r="AG25" s="188">
        <f t="shared" ref="AG25:AG54" si="3">IF(AE25=0,AB25+AC25,0)</f>
        <v>0</v>
      </c>
      <c r="AH25" s="187">
        <f t="shared" ref="AH25:AH54" si="4">IF((AB25+AC25)=0,0,M25/(AB25+AC25))</f>
        <v>0.17500000000000002</v>
      </c>
    </row>
    <row r="26" spans="1:34" ht="16.5" customHeight="1">
      <c r="A26" s="112" t="s">
        <v>9</v>
      </c>
      <c r="B26" s="334" t="str">
        <f>IF(B25=Para1!$F$153,Para1!$F$107,IF(B25=Para1!$F$107,Para1!$F$148,IF(B25=Para1!$F$148,Para1!$F$109,IF(B25=Para1!$F$109,Para1!$F$118,IF(B25=Para1!$F$118,Para1!$F$173,IF(B25=Para1!$F$173,Para1!$F$176,Para1!$F$153))))))</f>
        <v>Do</v>
      </c>
      <c r="C26" s="339"/>
      <c r="D26" s="359"/>
      <c r="E26" s="355"/>
      <c r="F26" s="355"/>
      <c r="G26" s="357"/>
      <c r="H26" s="359"/>
      <c r="I26" s="355"/>
      <c r="J26" s="355"/>
      <c r="K26" s="357"/>
      <c r="L26" s="111">
        <f t="shared" si="1"/>
        <v>0</v>
      </c>
      <c r="M26" s="141">
        <f t="shared" si="2"/>
        <v>0.35000000000000003</v>
      </c>
      <c r="N26" s="45">
        <f t="shared" ref="N26:N54" si="5">$N25+$L26-M26+SUM($P26:$U26)+IF(OR($W26="f",$W26="m",$W26="z",$W26="u",$W26="b",$W26="l"),$AH26,0)+IF(OR($X26="f",$X26="m",$X26="z",$X26="u",$X26="b",$X26="l"),$AH26,0)</f>
        <v>-36.666666666666664</v>
      </c>
      <c r="O26" s="192"/>
      <c r="P26" s="355"/>
      <c r="Q26" s="355"/>
      <c r="R26" s="356"/>
      <c r="S26" s="357"/>
      <c r="T26" s="357"/>
      <c r="U26" s="358"/>
      <c r="V26" s="198"/>
      <c r="W26" s="373"/>
      <c r="X26" s="599"/>
      <c r="Y26" s="200"/>
      <c r="Z26" s="69"/>
      <c r="AA26" s="128"/>
      <c r="AB26" s="360">
        <f>Mai!AB50</f>
        <v>1</v>
      </c>
      <c r="AC26" s="360">
        <f>Mai!AC50</f>
        <v>1</v>
      </c>
      <c r="AD26" s="188" t="e">
        <f>IF(VLOOKUP(A26,Para1!$B$67:$E$72,2,FALSE)="6.",VLOOKUP(A26,Para1!$B$67:$E$72,3,FALSE),"")</f>
        <v>#N/A</v>
      </c>
      <c r="AE26" s="540" t="str">
        <f>IF((AB26+AC26)=0,"",IF(ISNA(AD26),"",IF(AD26="","",VLOOKUP(AD26,Para1!$D$67:$G$79,3,FALSE)*(IF(AB26+AC26=1,0.5,1)))))</f>
        <v/>
      </c>
      <c r="AF26" s="540" t="str">
        <f>IF(AB26+AC26=0,"",IF(ISNA(AD27),"",IF(AD27="","",VLOOKUP(AD27,Para1!$D$67:$G$79,4,FALSE)*(IF(AB26+AC26=1,0.5,1)))))</f>
        <v/>
      </c>
      <c r="AG26" s="188">
        <f t="shared" si="3"/>
        <v>0</v>
      </c>
      <c r="AH26" s="187">
        <f t="shared" si="4"/>
        <v>0.17500000000000002</v>
      </c>
    </row>
    <row r="27" spans="1:34" ht="16.5" customHeight="1">
      <c r="A27" s="112" t="s">
        <v>11</v>
      </c>
      <c r="B27" s="334" t="str">
        <f>IF(B26=Para1!$F$153,Para1!$F$107,IF(B26=Para1!$F$107,Para1!$F$148,IF(B26=Para1!$F$148,Para1!$F$109,IF(B26=Para1!$F$109,Para1!$F$118,IF(B26=Para1!$F$118,Para1!$F$173,IF(B26=Para1!$F$173,Para1!$F$176,Para1!$F$153))))))</f>
        <v>Fr</v>
      </c>
      <c r="C27" s="305"/>
      <c r="D27" s="359"/>
      <c r="E27" s="355"/>
      <c r="F27" s="355"/>
      <c r="G27" s="357"/>
      <c r="H27" s="359"/>
      <c r="I27" s="355"/>
      <c r="J27" s="355"/>
      <c r="K27" s="357"/>
      <c r="L27" s="111">
        <f t="shared" si="1"/>
        <v>0</v>
      </c>
      <c r="M27" s="141">
        <f t="shared" si="2"/>
        <v>0.35000000000000003</v>
      </c>
      <c r="N27" s="45">
        <f t="shared" si="5"/>
        <v>-37.016666666666666</v>
      </c>
      <c r="O27" s="193"/>
      <c r="P27" s="355"/>
      <c r="Q27" s="355"/>
      <c r="R27" s="356"/>
      <c r="S27" s="357"/>
      <c r="T27" s="357"/>
      <c r="U27" s="358"/>
      <c r="V27" s="198"/>
      <c r="W27" s="374"/>
      <c r="X27" s="599"/>
      <c r="Y27" s="200"/>
      <c r="Z27" s="69"/>
      <c r="AA27" s="128"/>
      <c r="AB27" s="360">
        <f>Mai!AB51</f>
        <v>1</v>
      </c>
      <c r="AC27" s="360">
        <f>Mai!AC51</f>
        <v>1</v>
      </c>
      <c r="AD27" s="188" t="str">
        <f>IF(VLOOKUP(A27,Para1!$B$67:$E$72,2,FALSE)="6.",VLOOKUP(A27,Para1!$B$67:$E$72,3,FALSE),"")</f>
        <v/>
      </c>
      <c r="AE27" s="540" t="str">
        <f>IF((AB27+AC27)=0,"",IF(ISNA(AD27),"",IF(AD27="","",VLOOKUP(AD27,Para1!$D$67:$G$79,3,FALSE)*(IF(AB27+AC27=1,0.5,1)))))</f>
        <v/>
      </c>
      <c r="AF27" s="540" t="str">
        <f>IF(AB27+AC27=0,"",IF(ISNA(AD28),"",IF(AD28="","",VLOOKUP(AD28,Para1!$D$67:$G$79,4,FALSE)*(IF(AB27+AC27=1,0.5,1)))))</f>
        <v/>
      </c>
      <c r="AG27" s="188">
        <f t="shared" si="3"/>
        <v>0</v>
      </c>
      <c r="AH27" s="187">
        <f t="shared" si="4"/>
        <v>0.17500000000000002</v>
      </c>
    </row>
    <row r="28" spans="1:34" s="50" customFormat="1" ht="16.5" customHeight="1">
      <c r="A28" s="30" t="s">
        <v>13</v>
      </c>
      <c r="B28" s="334" t="str">
        <f>IF(B27=Para1!$F$153,Para1!$F$107,IF(B27=Para1!$F$107,Para1!$F$148,IF(B27=Para1!$F$148,Para1!$F$109,IF(B27=Para1!$F$109,Para1!$F$118,IF(B27=Para1!$F$118,Para1!$F$173,IF(B27=Para1!$F$173,Para1!$F$176,Para1!$F$153))))))</f>
        <v>Sa</v>
      </c>
      <c r="C28" s="305"/>
      <c r="D28" s="359"/>
      <c r="E28" s="355"/>
      <c r="F28" s="355"/>
      <c r="G28" s="357"/>
      <c r="H28" s="359"/>
      <c r="I28" s="355"/>
      <c r="J28" s="355"/>
      <c r="K28" s="357"/>
      <c r="L28" s="119">
        <f t="shared" si="1"/>
        <v>0</v>
      </c>
      <c r="M28" s="141">
        <f t="shared" si="2"/>
        <v>0</v>
      </c>
      <c r="N28" s="45">
        <f t="shared" si="5"/>
        <v>-37.016666666666666</v>
      </c>
      <c r="O28" s="193"/>
      <c r="P28" s="355"/>
      <c r="Q28" s="355"/>
      <c r="R28" s="356"/>
      <c r="S28" s="357"/>
      <c r="T28" s="357"/>
      <c r="U28" s="358"/>
      <c r="V28" s="198"/>
      <c r="W28" s="374"/>
      <c r="X28" s="599"/>
      <c r="Y28" s="200"/>
      <c r="Z28" s="69"/>
      <c r="AA28" s="128"/>
      <c r="AB28" s="360">
        <f>Mai!AB52</f>
        <v>0</v>
      </c>
      <c r="AC28" s="360">
        <f>Mai!AC52</f>
        <v>0</v>
      </c>
      <c r="AD28" s="188" t="str">
        <f>IF(VLOOKUP(A28,Para1!$B$67:$E$72,2,FALSE)="6.",VLOOKUP(A28,Para1!$B$67:$E$72,3,FALSE),"")</f>
        <v/>
      </c>
      <c r="AE28" s="540" t="str">
        <f>IF((AB28+AC28)=0,"",IF(ISNA(AD28),"",IF(AD28="","",VLOOKUP(AD28,Para1!$D$67:$G$79,3,FALSE)*(IF(AB28+AC28=1,0.5,1)))))</f>
        <v/>
      </c>
      <c r="AF28" s="540" t="str">
        <f>IF(AB28+AC28=0,"",IF(ISNA(AD29),"",IF(AD29="","",VLOOKUP(AD29,Para1!$D$67:$G$79,4,FALSE)*(IF(AB28+AC28=1,0.5,1)))))</f>
        <v/>
      </c>
      <c r="AG28" s="188">
        <f t="shared" si="3"/>
        <v>0</v>
      </c>
      <c r="AH28" s="187">
        <f t="shared" si="4"/>
        <v>0</v>
      </c>
    </row>
    <row r="29" spans="1:34" s="50" customFormat="1" ht="16.5" customHeight="1">
      <c r="A29" s="30" t="s">
        <v>15</v>
      </c>
      <c r="B29" s="334" t="str">
        <f>IF(B28=Para1!$F$153,Para1!$F$107,IF(B28=Para1!$F$107,Para1!$F$148,IF(B28=Para1!$F$148,Para1!$F$109,IF(B28=Para1!$F$109,Para1!$F$118,IF(B28=Para1!$F$118,Para1!$F$173,IF(B28=Para1!$F$173,Para1!$F$176,Para1!$F$153))))))</f>
        <v>So</v>
      </c>
      <c r="C29" s="305"/>
      <c r="D29" s="359"/>
      <c r="E29" s="355"/>
      <c r="F29" s="355"/>
      <c r="G29" s="357"/>
      <c r="H29" s="359"/>
      <c r="I29" s="355"/>
      <c r="J29" s="355"/>
      <c r="K29" s="357"/>
      <c r="L29" s="119">
        <f t="shared" si="1"/>
        <v>0</v>
      </c>
      <c r="M29" s="141">
        <f t="shared" si="2"/>
        <v>0</v>
      </c>
      <c r="N29" s="45">
        <f t="shared" si="5"/>
        <v>-37.016666666666666</v>
      </c>
      <c r="O29" s="193"/>
      <c r="P29" s="355"/>
      <c r="Q29" s="355"/>
      <c r="R29" s="356"/>
      <c r="S29" s="357"/>
      <c r="T29" s="357"/>
      <c r="U29" s="358"/>
      <c r="V29" s="198"/>
      <c r="W29" s="373"/>
      <c r="X29" s="599"/>
      <c r="Y29" s="200"/>
      <c r="Z29" s="69"/>
      <c r="AA29" s="128"/>
      <c r="AB29" s="360">
        <f>Mai!AB53</f>
        <v>0</v>
      </c>
      <c r="AC29" s="360">
        <f>Mai!AB53</f>
        <v>0</v>
      </c>
      <c r="AD29" s="188" t="e">
        <f>IF(VLOOKUP(A29,Para1!$B$67:$E$72,2,FALSE)="6.",VLOOKUP(A29,Para1!$B$67:$E$72,3,FALSE),"")</f>
        <v>#N/A</v>
      </c>
      <c r="AE29" s="540" t="str">
        <f>IF((AB29+AC29)=0,"",IF(ISNA(AD29),"",IF(AD29="","",VLOOKUP(AD29,Para1!$D$67:$G$79,3,FALSE)*(IF(AB29+AC29=1,0.5,1)))))</f>
        <v/>
      </c>
      <c r="AF29" s="540" t="str">
        <f>IF(AB29+AC29=0,"",IF(ISNA(AD30),"",IF(AD30="","",VLOOKUP(AD30,Para1!$D$67:$G$79,4,FALSE)*(IF(AB29+AC29=1,0.5,1)))))</f>
        <v/>
      </c>
      <c r="AG29" s="188">
        <f t="shared" si="3"/>
        <v>0</v>
      </c>
      <c r="AH29" s="187">
        <f t="shared" si="4"/>
        <v>0</v>
      </c>
    </row>
    <row r="30" spans="1:34" ht="16.5" customHeight="1">
      <c r="A30" s="30" t="s">
        <v>17</v>
      </c>
      <c r="B30" s="334" t="str">
        <f>IF(B29=Para1!$F$153,Para1!$F$107,IF(B29=Para1!$F$107,Para1!$F$148,IF(B29=Para1!$F$148,Para1!$F$109,IF(B29=Para1!$F$109,Para1!$F$118,IF(B29=Para1!$F$118,Para1!$F$173,IF(B29=Para1!$F$173,Para1!$F$176,Para1!$F$153))))))</f>
        <v>Mo</v>
      </c>
      <c r="C30" s="305"/>
      <c r="D30" s="359"/>
      <c r="E30" s="355"/>
      <c r="F30" s="355"/>
      <c r="G30" s="357"/>
      <c r="H30" s="359"/>
      <c r="I30" s="355"/>
      <c r="J30" s="355"/>
      <c r="K30" s="357"/>
      <c r="L30" s="111">
        <f t="shared" si="1"/>
        <v>0</v>
      </c>
      <c r="M30" s="141">
        <f t="shared" si="2"/>
        <v>0.35000000000000003</v>
      </c>
      <c r="N30" s="45">
        <f t="shared" si="5"/>
        <v>-37.366666666666667</v>
      </c>
      <c r="O30" s="193"/>
      <c r="P30" s="355"/>
      <c r="Q30" s="355"/>
      <c r="R30" s="356"/>
      <c r="S30" s="357"/>
      <c r="T30" s="357"/>
      <c r="U30" s="358"/>
      <c r="V30" s="198"/>
      <c r="W30" s="373"/>
      <c r="X30" s="599"/>
      <c r="Y30" s="200"/>
      <c r="Z30" s="69"/>
      <c r="AA30" s="128"/>
      <c r="AB30" s="360">
        <f>Mai!AB54</f>
        <v>1</v>
      </c>
      <c r="AC30" s="360">
        <f>Mai!AC54</f>
        <v>1</v>
      </c>
      <c r="AD30" s="188" t="e">
        <f>IF(VLOOKUP(A30,Para1!$B$67:$E$72,2,FALSE)="6.",VLOOKUP(A30,Para1!$B$67:$E$72,3,FALSE),"")</f>
        <v>#N/A</v>
      </c>
      <c r="AE30" s="540" t="str">
        <f>IF((AB30+AC30)=0,"",IF(ISNA(AD30),"",IF(AD30="","",VLOOKUP(AD30,Para1!$D$67:$G$79,3,FALSE)*(IF(AB30+AC30=1,0.5,1)))))</f>
        <v/>
      </c>
      <c r="AF30" s="540" t="str">
        <f>IF(AB30+AC30=0,"",IF(ISNA(AD31),"",IF(AD31="","",VLOOKUP(AD31,Para1!$D$67:$G$79,4,FALSE)*(IF(AB30+AC30=1,0.5,1)))))</f>
        <v/>
      </c>
      <c r="AG30" s="188">
        <f t="shared" si="3"/>
        <v>0</v>
      </c>
      <c r="AH30" s="187">
        <f t="shared" si="4"/>
        <v>0.17500000000000002</v>
      </c>
    </row>
    <row r="31" spans="1:34" ht="16.5" customHeight="1">
      <c r="A31" s="112" t="s">
        <v>19</v>
      </c>
      <c r="B31" s="334" t="str">
        <f>IF(B30=Para1!$F$153,Para1!$F$107,IF(B30=Para1!$F$107,Para1!$F$148,IF(B30=Para1!$F$148,Para1!$F$109,IF(B30=Para1!$F$109,Para1!$F$118,IF(B30=Para1!$F$118,Para1!$F$173,IF(B30=Para1!$F$173,Para1!$F$176,Para1!$F$153))))))</f>
        <v>Di</v>
      </c>
      <c r="C31" s="305"/>
      <c r="D31" s="359"/>
      <c r="E31" s="355"/>
      <c r="F31" s="355"/>
      <c r="G31" s="357"/>
      <c r="H31" s="359"/>
      <c r="I31" s="355"/>
      <c r="J31" s="355"/>
      <c r="K31" s="357"/>
      <c r="L31" s="111">
        <f t="shared" ref="L31:L53" si="6">SUM((G31-D31),(K31-H31))-SUM((F31-E31),(J31-I31))</f>
        <v>0</v>
      </c>
      <c r="M31" s="141">
        <f t="shared" si="2"/>
        <v>0.35000000000000003</v>
      </c>
      <c r="N31" s="45">
        <f t="shared" si="5"/>
        <v>-37.716666666666669</v>
      </c>
      <c r="O31" s="193"/>
      <c r="P31" s="355"/>
      <c r="Q31" s="355"/>
      <c r="R31" s="356"/>
      <c r="S31" s="357"/>
      <c r="T31" s="357"/>
      <c r="U31" s="358"/>
      <c r="V31" s="198"/>
      <c r="W31" s="373"/>
      <c r="X31" s="599"/>
      <c r="Y31" s="200"/>
      <c r="Z31" s="69"/>
      <c r="AA31" s="128"/>
      <c r="AB31" s="360">
        <f>Mai!AB48</f>
        <v>1</v>
      </c>
      <c r="AC31" s="360">
        <f>Mai!AC48</f>
        <v>1</v>
      </c>
      <c r="AD31" s="188" t="e">
        <f>IF(VLOOKUP(A31,Para1!$B$67:$E$72,2,FALSE)="6.",VLOOKUP(A31,Para1!$B$67:$E$72,3,FALSE),"")</f>
        <v>#N/A</v>
      </c>
      <c r="AE31" s="540" t="str">
        <f>IF((AB31+AC31)=0,"",IF(ISNA(AD31),"",IF(AD31="","",VLOOKUP(AD31,Para1!$D$67:$G$79,3,FALSE)*(IF(AB31+AC31=1,0.5,1)))))</f>
        <v/>
      </c>
      <c r="AF31" s="540" t="str">
        <f>IF(AB31+AC31=0,"",IF(ISNA(AD32),"",IF(AD32="","",VLOOKUP(AD32,Para1!$D$67:$G$79,4,FALSE)*(IF(AB31+AC31=1,0.5,1)))))</f>
        <v/>
      </c>
      <c r="AG31" s="188">
        <f t="shared" si="3"/>
        <v>0</v>
      </c>
      <c r="AH31" s="187">
        <f t="shared" si="4"/>
        <v>0.17500000000000002</v>
      </c>
    </row>
    <row r="32" spans="1:34" ht="16.5" customHeight="1">
      <c r="A32" s="112" t="s">
        <v>20</v>
      </c>
      <c r="B32" s="334" t="str">
        <f>IF(B31=Para1!$F$153,Para1!$F$107,IF(B31=Para1!$F$107,Para1!$F$148,IF(B31=Para1!$F$148,Para1!$F$109,IF(B31=Para1!$F$109,Para1!$F$118,IF(B31=Para1!$F$118,Para1!$F$173,IF(B31=Para1!$F$173,Para1!$F$176,Para1!$F$153))))))</f>
        <v>Mi</v>
      </c>
      <c r="C32" s="339"/>
      <c r="D32" s="359"/>
      <c r="E32" s="355"/>
      <c r="F32" s="355"/>
      <c r="G32" s="357"/>
      <c r="H32" s="359"/>
      <c r="I32" s="355"/>
      <c r="J32" s="355"/>
      <c r="K32" s="357"/>
      <c r="L32" s="111">
        <f t="shared" si="6"/>
        <v>0</v>
      </c>
      <c r="M32" s="141">
        <f t="shared" si="2"/>
        <v>0.35000000000000003</v>
      </c>
      <c r="N32" s="45">
        <f t="shared" si="5"/>
        <v>-38.06666666666667</v>
      </c>
      <c r="O32" s="192"/>
      <c r="P32" s="355"/>
      <c r="Q32" s="355"/>
      <c r="R32" s="356"/>
      <c r="S32" s="357"/>
      <c r="T32" s="357"/>
      <c r="U32" s="358"/>
      <c r="V32" s="198"/>
      <c r="W32" s="373"/>
      <c r="X32" s="599"/>
      <c r="Y32" s="200"/>
      <c r="Z32" s="69"/>
      <c r="AA32" s="128"/>
      <c r="AB32" s="360">
        <f t="shared" ref="AB32:AC37" si="7">AB25</f>
        <v>1</v>
      </c>
      <c r="AC32" s="360">
        <f t="shared" si="7"/>
        <v>1</v>
      </c>
      <c r="AD32" s="188" t="e">
        <f>IF(VLOOKUP(A32,Para1!$B$67:$E$72,2,FALSE)="6.",VLOOKUP(A32,Para1!$B$67:$E$72,3,FALSE),"")</f>
        <v>#N/A</v>
      </c>
      <c r="AE32" s="540" t="str">
        <f>IF((AB32+AC32)=0,"",IF(ISNA(AD32),"",IF(AD32="","",VLOOKUP(AD32,Para1!$D$67:$G$79,3,FALSE)*(IF(AB32+AC32=1,0.5,1)))))</f>
        <v/>
      </c>
      <c r="AF32" s="540" t="str">
        <f>IF(AB32+AC32=0,"",IF(ISNA(AD33),"",IF(AD33="","",VLOOKUP(AD33,Para1!$D$67:$G$79,4,FALSE)*(IF(AB32+AC32=1,0.5,1)))))</f>
        <v/>
      </c>
      <c r="AG32" s="188">
        <f t="shared" si="3"/>
        <v>0</v>
      </c>
      <c r="AH32" s="187">
        <f t="shared" si="4"/>
        <v>0.17500000000000002</v>
      </c>
    </row>
    <row r="33" spans="1:34" ht="16.5" customHeight="1">
      <c r="A33" s="112" t="s">
        <v>21</v>
      </c>
      <c r="B33" s="334" t="str">
        <f>IF(B32=Para1!$F$153,Para1!$F$107,IF(B32=Para1!$F$107,Para1!$F$148,IF(B32=Para1!$F$148,Para1!$F$109,IF(B32=Para1!$F$109,Para1!$F$118,IF(B32=Para1!$F$118,Para1!$F$173,IF(B32=Para1!$F$173,Para1!$F$176,Para1!$F$153))))))</f>
        <v>Do</v>
      </c>
      <c r="C33" s="339"/>
      <c r="D33" s="359"/>
      <c r="E33" s="355"/>
      <c r="F33" s="355"/>
      <c r="G33" s="357"/>
      <c r="H33" s="359"/>
      <c r="I33" s="355"/>
      <c r="J33" s="355"/>
      <c r="K33" s="357"/>
      <c r="L33" s="111">
        <f t="shared" si="6"/>
        <v>0</v>
      </c>
      <c r="M33" s="141">
        <f t="shared" si="2"/>
        <v>0.35000000000000003</v>
      </c>
      <c r="N33" s="45">
        <f t="shared" si="5"/>
        <v>-38.416666666666671</v>
      </c>
      <c r="O33" s="192"/>
      <c r="P33" s="355"/>
      <c r="Q33" s="355"/>
      <c r="R33" s="356"/>
      <c r="S33" s="357"/>
      <c r="T33" s="357"/>
      <c r="U33" s="358"/>
      <c r="V33" s="237"/>
      <c r="W33" s="373"/>
      <c r="X33" s="599"/>
      <c r="Y33" s="200"/>
      <c r="Z33" s="69"/>
      <c r="AA33" s="128"/>
      <c r="AB33" s="360">
        <f>AB26</f>
        <v>1</v>
      </c>
      <c r="AC33" s="360">
        <f>AB26</f>
        <v>1</v>
      </c>
      <c r="AD33" s="188" t="e">
        <f>IF(VLOOKUP(A33,Para1!$B$67:$E$72,2,FALSE)="6.",VLOOKUP(A33,Para1!$B$67:$E$72,3,FALSE),"")</f>
        <v>#N/A</v>
      </c>
      <c r="AE33" s="540" t="str">
        <f>IF((AB33+AC33)=0,"",IF(ISNA(AD33),"",IF(AD33="","",VLOOKUP(AD33,Para1!$D$67:$G$79,3,FALSE)*(IF(AB33+AC33=1,0.5,1)))))</f>
        <v/>
      </c>
      <c r="AF33" s="540" t="str">
        <f>IF(AB33+AC33=0,"",IF(ISNA(AD34),"",IF(AD34="","",VLOOKUP(AD34,Para1!$D$67:$G$79,4,FALSE)*(IF(AB33+AC33=1,0.5,1)))))</f>
        <v/>
      </c>
      <c r="AG33" s="188">
        <f t="shared" si="3"/>
        <v>0</v>
      </c>
      <c r="AH33" s="187">
        <f t="shared" si="4"/>
        <v>0.17500000000000002</v>
      </c>
    </row>
    <row r="34" spans="1:34" ht="16.5" customHeight="1">
      <c r="A34" s="112" t="s">
        <v>22</v>
      </c>
      <c r="B34" s="334" t="str">
        <f>IF(B33=Para1!$F$153,Para1!$F$107,IF(B33=Para1!$F$107,Para1!$F$148,IF(B33=Para1!$F$148,Para1!$F$109,IF(B33=Para1!$F$109,Para1!$F$118,IF(B33=Para1!$F$118,Para1!$F$173,IF(B33=Para1!$F$173,Para1!$F$176,Para1!$F$153))))))</f>
        <v>Fr</v>
      </c>
      <c r="C34" s="305"/>
      <c r="D34" s="359"/>
      <c r="E34" s="355"/>
      <c r="F34" s="355"/>
      <c r="G34" s="357"/>
      <c r="H34" s="359"/>
      <c r="I34" s="355"/>
      <c r="J34" s="355"/>
      <c r="K34" s="357"/>
      <c r="L34" s="111">
        <f t="shared" si="6"/>
        <v>0</v>
      </c>
      <c r="M34" s="141">
        <f t="shared" si="2"/>
        <v>0.35000000000000003</v>
      </c>
      <c r="N34" s="45">
        <f t="shared" si="5"/>
        <v>-38.766666666666673</v>
      </c>
      <c r="O34" s="193"/>
      <c r="P34" s="355"/>
      <c r="Q34" s="355"/>
      <c r="R34" s="356"/>
      <c r="S34" s="357"/>
      <c r="T34" s="357"/>
      <c r="U34" s="358"/>
      <c r="V34" s="198"/>
      <c r="W34" s="374"/>
      <c r="X34" s="599"/>
      <c r="Y34" s="200"/>
      <c r="Z34" s="69"/>
      <c r="AA34" s="128"/>
      <c r="AB34" s="360">
        <f t="shared" si="7"/>
        <v>1</v>
      </c>
      <c r="AC34" s="360">
        <f t="shared" si="7"/>
        <v>1</v>
      </c>
      <c r="AD34" s="188" t="e">
        <f>IF(VLOOKUP(A34,Para1!$B$67:$E$72,2,FALSE)="6.",VLOOKUP(A34,Para1!$B$67:$E$72,3,FALSE),"")</f>
        <v>#N/A</v>
      </c>
      <c r="AE34" s="540" t="str">
        <f>IF((AB34+AC34)=0,"",IF(ISNA(AD34),"",IF(AD34="","",VLOOKUP(AD34,Para1!$D$67:$G$79,3,FALSE)*(IF(AB34+AC34=1,0.5,1)))))</f>
        <v/>
      </c>
      <c r="AF34" s="540" t="str">
        <f>IF(AB34+AC34=0,"",IF(ISNA(AD35),"",IF(AD35="","",VLOOKUP(AD35,Para1!$D$67:$G$79,4,FALSE)*(IF(AB34+AC34=1,0.5,1)))))</f>
        <v/>
      </c>
      <c r="AG34" s="188">
        <f t="shared" si="3"/>
        <v>0</v>
      </c>
      <c r="AH34" s="187">
        <f t="shared" si="4"/>
        <v>0.17500000000000002</v>
      </c>
    </row>
    <row r="35" spans="1:34" s="50" customFormat="1" ht="16.5" customHeight="1">
      <c r="A35" s="30" t="s">
        <v>23</v>
      </c>
      <c r="B35" s="334" t="str">
        <f>IF(B34=Para1!$F$153,Para1!$F$107,IF(B34=Para1!$F$107,Para1!$F$148,IF(B34=Para1!$F$148,Para1!$F$109,IF(B34=Para1!$F$109,Para1!$F$118,IF(B34=Para1!$F$118,Para1!$F$173,IF(B34=Para1!$F$173,Para1!$F$176,Para1!$F$153))))))</f>
        <v>Sa</v>
      </c>
      <c r="C35" s="305"/>
      <c r="D35" s="359"/>
      <c r="E35" s="355"/>
      <c r="F35" s="355"/>
      <c r="G35" s="357"/>
      <c r="H35" s="359"/>
      <c r="I35" s="355"/>
      <c r="J35" s="355"/>
      <c r="K35" s="357"/>
      <c r="L35" s="119">
        <f t="shared" si="6"/>
        <v>0</v>
      </c>
      <c r="M35" s="141">
        <f t="shared" si="2"/>
        <v>0</v>
      </c>
      <c r="N35" s="45">
        <f t="shared" si="5"/>
        <v>-38.766666666666673</v>
      </c>
      <c r="O35" s="193"/>
      <c r="P35" s="355"/>
      <c r="Q35" s="355"/>
      <c r="R35" s="356"/>
      <c r="S35" s="357"/>
      <c r="T35" s="357"/>
      <c r="U35" s="358"/>
      <c r="V35" s="198"/>
      <c r="W35" s="374"/>
      <c r="X35" s="599"/>
      <c r="Y35" s="200"/>
      <c r="Z35" s="69"/>
      <c r="AA35" s="128"/>
      <c r="AB35" s="360">
        <f t="shared" si="7"/>
        <v>0</v>
      </c>
      <c r="AC35" s="360">
        <f t="shared" si="7"/>
        <v>0</v>
      </c>
      <c r="AD35" s="188" t="e">
        <f>IF(VLOOKUP(A35,Para1!$B$67:$E$72,2,FALSE)="6.",VLOOKUP(A35,Para1!$B$67:$E$72,3,FALSE),"")</f>
        <v>#N/A</v>
      </c>
      <c r="AE35" s="540" t="str">
        <f>IF((AB35+AC35)=0,"",IF(ISNA(AD35),"",IF(AD35="","",VLOOKUP(AD35,Para1!$D$67:$G$79,3,FALSE)*(IF(AB35+AC35=1,0.5,1)))))</f>
        <v/>
      </c>
      <c r="AF35" s="540" t="str">
        <f>IF(AB35+AC35=0,"",IF(ISNA(AD36),"",IF(AD36="","",VLOOKUP(AD36,Para1!$D$67:$G$79,4,FALSE)*(IF(AB35+AC35=1,0.5,1)))))</f>
        <v/>
      </c>
      <c r="AG35" s="188">
        <f t="shared" si="3"/>
        <v>0</v>
      </c>
      <c r="AH35" s="187">
        <f t="shared" si="4"/>
        <v>0</v>
      </c>
    </row>
    <row r="36" spans="1:34" s="50" customFormat="1" ht="16.5" customHeight="1">
      <c r="A36" s="30" t="s">
        <v>24</v>
      </c>
      <c r="B36" s="334" t="str">
        <f>IF(B35=Para1!$F$153,Para1!$F$107,IF(B35=Para1!$F$107,Para1!$F$148,IF(B35=Para1!$F$148,Para1!$F$109,IF(B35=Para1!$F$109,Para1!$F$118,IF(B35=Para1!$F$118,Para1!$F$173,IF(B35=Para1!$F$173,Para1!$F$176,Para1!$F$153))))))</f>
        <v>So</v>
      </c>
      <c r="C36" s="305"/>
      <c r="D36" s="359"/>
      <c r="E36" s="355"/>
      <c r="F36" s="355"/>
      <c r="G36" s="357"/>
      <c r="H36" s="359"/>
      <c r="I36" s="355"/>
      <c r="J36" s="355"/>
      <c r="K36" s="357"/>
      <c r="L36" s="119">
        <f t="shared" si="6"/>
        <v>0</v>
      </c>
      <c r="M36" s="141">
        <f t="shared" si="2"/>
        <v>0</v>
      </c>
      <c r="N36" s="45">
        <f t="shared" si="5"/>
        <v>-38.766666666666673</v>
      </c>
      <c r="O36" s="193"/>
      <c r="P36" s="355"/>
      <c r="Q36" s="355"/>
      <c r="R36" s="356"/>
      <c r="S36" s="357"/>
      <c r="T36" s="357"/>
      <c r="U36" s="358"/>
      <c r="V36" s="198"/>
      <c r="W36" s="373"/>
      <c r="X36" s="599"/>
      <c r="Y36" s="200"/>
      <c r="Z36" s="69"/>
      <c r="AA36" s="128"/>
      <c r="AB36" s="360">
        <f t="shared" si="7"/>
        <v>0</v>
      </c>
      <c r="AC36" s="360">
        <f t="shared" si="7"/>
        <v>0</v>
      </c>
      <c r="AD36" s="188" t="str">
        <f>IF(VLOOKUP(A36,Para1!$B$67:$E$72,2,FALSE)="6.",VLOOKUP(A36,Para1!$B$67:$E$72,3,FALSE),"")</f>
        <v/>
      </c>
      <c r="AE36" s="540" t="str">
        <f>IF((AB36+AC36)=0,"",IF(ISNA(AD36),"",IF(AD36="","",VLOOKUP(AD36,Para1!$D$67:$G$79,3,FALSE)*(IF(AB36+AC36=1,0.5,1)))))</f>
        <v/>
      </c>
      <c r="AF36" s="540" t="str">
        <f>IF(AB36+AC36=0,"",IF(ISNA(AD37),"",IF(AD37="","",VLOOKUP(AD37,Para1!$D$67:$G$79,4,FALSE)*(IF(AB36+AC36=1,0.5,1)))))</f>
        <v/>
      </c>
      <c r="AG36" s="188">
        <f t="shared" si="3"/>
        <v>0</v>
      </c>
      <c r="AH36" s="187">
        <f t="shared" si="4"/>
        <v>0</v>
      </c>
    </row>
    <row r="37" spans="1:34" ht="16.5" customHeight="1">
      <c r="A37" s="30" t="s">
        <v>25</v>
      </c>
      <c r="B37" s="334" t="str">
        <f>IF(B36=Para1!$F$153,Para1!$F$107,IF(B36=Para1!$F$107,Para1!$F$148,IF(B36=Para1!$F$148,Para1!$F$109,IF(B36=Para1!$F$109,Para1!$F$118,IF(B36=Para1!$F$118,Para1!$F$173,IF(B36=Para1!$F$173,Para1!$F$176,Para1!$F$153))))))</f>
        <v>Mo</v>
      </c>
      <c r="C37" s="305"/>
      <c r="D37" s="359"/>
      <c r="E37" s="355"/>
      <c r="F37" s="355"/>
      <c r="G37" s="357"/>
      <c r="H37" s="359"/>
      <c r="I37" s="355"/>
      <c r="J37" s="355"/>
      <c r="K37" s="357"/>
      <c r="L37" s="111">
        <f t="shared" si="6"/>
        <v>0</v>
      </c>
      <c r="M37" s="141">
        <f t="shared" si="2"/>
        <v>0.35000000000000003</v>
      </c>
      <c r="N37" s="45">
        <f t="shared" si="5"/>
        <v>-39.116666666666674</v>
      </c>
      <c r="O37" s="193"/>
      <c r="P37" s="355"/>
      <c r="Q37" s="355"/>
      <c r="R37" s="356"/>
      <c r="S37" s="357"/>
      <c r="T37" s="357"/>
      <c r="U37" s="358"/>
      <c r="V37" s="198"/>
      <c r="W37" s="373"/>
      <c r="X37" s="599"/>
      <c r="Y37" s="200"/>
      <c r="Z37" s="69"/>
      <c r="AA37" s="128"/>
      <c r="AB37" s="360">
        <f t="shared" si="7"/>
        <v>1</v>
      </c>
      <c r="AC37" s="360">
        <f t="shared" si="7"/>
        <v>1</v>
      </c>
      <c r="AD37" s="188" t="e">
        <f>IF(VLOOKUP(A37,Para1!$B$67:$E$72,2,FALSE)="6.",VLOOKUP(A37,Para1!$B$67:$E$72,3,FALSE),"")</f>
        <v>#N/A</v>
      </c>
      <c r="AE37" s="540" t="str">
        <f>IF((AB37+AC37)=0,"",IF(ISNA(AD37),"",IF(AD37="","",VLOOKUP(AD37,Para1!$D$67:$G$79,3,FALSE)*(IF(AB37+AC37=1,0.5,1)))))</f>
        <v/>
      </c>
      <c r="AF37" s="540" t="str">
        <f>IF(AB37+AC37=0,"",IF(ISNA(AD38),"",IF(AD38="","",VLOOKUP(AD38,Para1!$D$67:$G$79,4,FALSE)*(IF(AB37+AC37=1,0.5,1)))))</f>
        <v/>
      </c>
      <c r="AG37" s="188">
        <f t="shared" si="3"/>
        <v>0</v>
      </c>
      <c r="AH37" s="187">
        <f t="shared" si="4"/>
        <v>0.17500000000000002</v>
      </c>
    </row>
    <row r="38" spans="1:34" ht="16.5" customHeight="1">
      <c r="A38" s="112" t="s">
        <v>26</v>
      </c>
      <c r="B38" s="334" t="str">
        <f>IF(B37=Para1!$F$153,Para1!$F$107,IF(B37=Para1!$F$107,Para1!$F$148,IF(B37=Para1!$F$148,Para1!$F$109,IF(B37=Para1!$F$109,Para1!$F$118,IF(B37=Para1!$F$118,Para1!$F$173,IF(B37=Para1!$F$173,Para1!$F$176,Para1!$F$153))))))</f>
        <v>Di</v>
      </c>
      <c r="C38" s="305"/>
      <c r="D38" s="359"/>
      <c r="E38" s="355"/>
      <c r="F38" s="355"/>
      <c r="G38" s="357"/>
      <c r="H38" s="359"/>
      <c r="I38" s="355"/>
      <c r="J38" s="355"/>
      <c r="K38" s="357"/>
      <c r="L38" s="111">
        <f t="shared" si="6"/>
        <v>0</v>
      </c>
      <c r="M38" s="141">
        <f t="shared" si="2"/>
        <v>0.35000000000000003</v>
      </c>
      <c r="N38" s="45">
        <f t="shared" si="5"/>
        <v>-39.466666666666676</v>
      </c>
      <c r="O38" s="193"/>
      <c r="P38" s="355"/>
      <c r="Q38" s="355"/>
      <c r="R38" s="356"/>
      <c r="S38" s="357"/>
      <c r="T38" s="357"/>
      <c r="U38" s="358"/>
      <c r="V38" s="198"/>
      <c r="W38" s="373"/>
      <c r="X38" s="599"/>
      <c r="Y38" s="200"/>
      <c r="Z38" s="69"/>
      <c r="AA38" s="128"/>
      <c r="AB38" s="360">
        <f>AB31</f>
        <v>1</v>
      </c>
      <c r="AC38" s="360">
        <f>AC31</f>
        <v>1</v>
      </c>
      <c r="AD38" s="188" t="e">
        <f>IF(VLOOKUP(A38,Para1!$B$67:$E$72,2,FALSE)="6.",VLOOKUP(A38,Para1!$B$67:$E$72,3,FALSE),"")</f>
        <v>#N/A</v>
      </c>
      <c r="AE38" s="540" t="str">
        <f>IF((AB38+AC38)=0,"",IF(ISNA(AD38),"",IF(AD38="","",VLOOKUP(AD38,Para1!$D$67:$G$79,3,FALSE)*(IF(AB38+AC38=1,0.5,1)))))</f>
        <v/>
      </c>
      <c r="AF38" s="540" t="str">
        <f>IF(AB38+AC38=0,"",IF(ISNA(AD39),"",IF(AD39="","",VLOOKUP(AD39,Para1!$D$67:$G$79,4,FALSE)*(IF(AB38+AC38=1,0.5,1)))))</f>
        <v/>
      </c>
      <c r="AG38" s="188">
        <f t="shared" si="3"/>
        <v>0</v>
      </c>
      <c r="AH38" s="187">
        <f t="shared" si="4"/>
        <v>0.17500000000000002</v>
      </c>
    </row>
    <row r="39" spans="1:34" ht="16.5" customHeight="1">
      <c r="A39" s="112" t="s">
        <v>27</v>
      </c>
      <c r="B39" s="334" t="str">
        <f>IF(B38=Para1!$F$153,Para1!$F$107,IF(B38=Para1!$F$107,Para1!$F$148,IF(B38=Para1!$F$148,Para1!$F$109,IF(B38=Para1!$F$109,Para1!$F$118,IF(B38=Para1!$F$118,Para1!$F$173,IF(B38=Para1!$F$173,Para1!$F$176,Para1!$F$153))))))</f>
        <v>Mi</v>
      </c>
      <c r="C39" s="339"/>
      <c r="D39" s="359"/>
      <c r="E39" s="355"/>
      <c r="F39" s="355"/>
      <c r="G39" s="357"/>
      <c r="H39" s="359"/>
      <c r="I39" s="355"/>
      <c r="J39" s="355"/>
      <c r="K39" s="357"/>
      <c r="L39" s="111">
        <f t="shared" si="6"/>
        <v>0</v>
      </c>
      <c r="M39" s="141">
        <f t="shared" si="2"/>
        <v>0.35000000000000003</v>
      </c>
      <c r="N39" s="45">
        <f t="shared" si="5"/>
        <v>-39.816666666666677</v>
      </c>
      <c r="O39" s="192"/>
      <c r="P39" s="355"/>
      <c r="Q39" s="355"/>
      <c r="R39" s="356"/>
      <c r="S39" s="357"/>
      <c r="T39" s="357"/>
      <c r="U39" s="358"/>
      <c r="V39" s="198"/>
      <c r="W39" s="373"/>
      <c r="X39" s="599"/>
      <c r="Y39" s="200"/>
      <c r="Z39" s="69"/>
      <c r="AA39" s="128"/>
      <c r="AB39" s="360">
        <f t="shared" ref="AB39:AC44" si="8">AB32</f>
        <v>1</v>
      </c>
      <c r="AC39" s="360">
        <f t="shared" si="8"/>
        <v>1</v>
      </c>
      <c r="AD39" s="188" t="e">
        <f>IF(VLOOKUP(A39,Para1!$B$67:$E$72,2,FALSE)="6.",VLOOKUP(A39,Para1!$B$67:$E$72,3,FALSE),"")</f>
        <v>#N/A</v>
      </c>
      <c r="AE39" s="540" t="str">
        <f>IF((AB39+AC39)=0,"",IF(ISNA(AD39),"",IF(AD39="","",VLOOKUP(AD39,Para1!$D$67:$G$79,3,FALSE)*(IF(AB39+AC39=1,0.5,1)))))</f>
        <v/>
      </c>
      <c r="AF39" s="540" t="str">
        <f>IF(AB39+AC39=0,"",IF(ISNA(AD40),"",IF(AD40="","",VLOOKUP(AD40,Para1!$D$67:$G$79,4,FALSE)*(IF(AB39+AC39=1,0.5,1)))))</f>
        <v/>
      </c>
      <c r="AG39" s="188">
        <f t="shared" si="3"/>
        <v>0</v>
      </c>
      <c r="AH39" s="187">
        <f t="shared" si="4"/>
        <v>0.17500000000000002</v>
      </c>
    </row>
    <row r="40" spans="1:34" ht="16.5" customHeight="1">
      <c r="A40" s="112" t="s">
        <v>28</v>
      </c>
      <c r="B40" s="334" t="str">
        <f>IF(B39=Para1!$F$153,Para1!$F$107,IF(B39=Para1!$F$107,Para1!$F$148,IF(B39=Para1!$F$148,Para1!$F$109,IF(B39=Para1!$F$109,Para1!$F$118,IF(B39=Para1!$F$118,Para1!$F$173,IF(B39=Para1!$F$173,Para1!$F$176,Para1!$F$153))))))</f>
        <v>Do</v>
      </c>
      <c r="C40" s="339"/>
      <c r="D40" s="359"/>
      <c r="E40" s="355"/>
      <c r="F40" s="355"/>
      <c r="G40" s="357"/>
      <c r="H40" s="359"/>
      <c r="I40" s="355"/>
      <c r="J40" s="355"/>
      <c r="K40" s="357"/>
      <c r="L40" s="111">
        <f t="shared" si="6"/>
        <v>0</v>
      </c>
      <c r="M40" s="141">
        <f t="shared" si="2"/>
        <v>0.35000000000000003</v>
      </c>
      <c r="N40" s="45">
        <f t="shared" si="5"/>
        <v>-40.166666666666679</v>
      </c>
      <c r="O40" s="192"/>
      <c r="P40" s="355"/>
      <c r="Q40" s="355"/>
      <c r="R40" s="356"/>
      <c r="S40" s="357"/>
      <c r="T40" s="357"/>
      <c r="U40" s="358"/>
      <c r="V40" s="237"/>
      <c r="W40" s="373"/>
      <c r="X40" s="599"/>
      <c r="Y40" s="200"/>
      <c r="Z40" s="69"/>
      <c r="AA40" s="128"/>
      <c r="AB40" s="360">
        <f>AB26</f>
        <v>1</v>
      </c>
      <c r="AC40" s="360">
        <f>AC26</f>
        <v>1</v>
      </c>
      <c r="AD40" s="188" t="e">
        <f>IF(VLOOKUP(A40,Para1!$B$67:$E$72,2,FALSE)="6.",VLOOKUP(A40,Para1!$B$67:$E$72,3,FALSE),"")</f>
        <v>#N/A</v>
      </c>
      <c r="AE40" s="540" t="str">
        <f>IF((AB40+AC40)=0,"",IF(ISNA(AD40),"",IF(AD40="","",VLOOKUP(AD40,Para1!$D$67:$G$79,3,FALSE)*(IF(AB40+AC40=1,0.5,1)))))</f>
        <v/>
      </c>
      <c r="AF40" s="540" t="str">
        <f>IF(AB40+AC40=0,"",IF(ISNA(AD41),"",IF(AD41="","",VLOOKUP(AD41,Para1!$D$67:$G$79,4,FALSE)*(IF(AB40+AC40=1,0.5,1)))))</f>
        <v/>
      </c>
      <c r="AG40" s="188">
        <f t="shared" si="3"/>
        <v>0</v>
      </c>
      <c r="AH40" s="187">
        <f t="shared" si="4"/>
        <v>0.17500000000000002</v>
      </c>
    </row>
    <row r="41" spans="1:34" ht="16.5" customHeight="1">
      <c r="A41" s="112" t="s">
        <v>29</v>
      </c>
      <c r="B41" s="334" t="str">
        <f>IF(B40=Para1!$F$153,Para1!$F$107,IF(B40=Para1!$F$107,Para1!$F$148,IF(B40=Para1!$F$148,Para1!$F$109,IF(B40=Para1!$F$109,Para1!$F$118,IF(B40=Para1!$F$118,Para1!$F$173,IF(B40=Para1!$F$173,Para1!$F$176,Para1!$F$153))))))</f>
        <v>Fr</v>
      </c>
      <c r="C41" s="305"/>
      <c r="D41" s="359"/>
      <c r="E41" s="355"/>
      <c r="F41" s="355"/>
      <c r="G41" s="357"/>
      <c r="H41" s="359"/>
      <c r="I41" s="355"/>
      <c r="J41" s="355"/>
      <c r="K41" s="357"/>
      <c r="L41" s="111">
        <f t="shared" si="6"/>
        <v>0</v>
      </c>
      <c r="M41" s="141">
        <f t="shared" si="2"/>
        <v>0.35000000000000003</v>
      </c>
      <c r="N41" s="45">
        <f t="shared" si="5"/>
        <v>-40.51666666666668</v>
      </c>
      <c r="O41" s="193"/>
      <c r="P41" s="355"/>
      <c r="Q41" s="355"/>
      <c r="R41" s="356"/>
      <c r="S41" s="357"/>
      <c r="T41" s="357"/>
      <c r="U41" s="358"/>
      <c r="V41" s="198"/>
      <c r="W41" s="374"/>
      <c r="X41" s="599"/>
      <c r="Y41" s="200"/>
      <c r="Z41" s="69"/>
      <c r="AA41" s="128"/>
      <c r="AB41" s="360">
        <f t="shared" si="8"/>
        <v>1</v>
      </c>
      <c r="AC41" s="360">
        <f t="shared" si="8"/>
        <v>1</v>
      </c>
      <c r="AD41" s="188" t="e">
        <f>IF(VLOOKUP(A41,Para1!$B$67:$E$72,2,FALSE)="6.",VLOOKUP(A41,Para1!$B$67:$E$72,3,FALSE),"")</f>
        <v>#N/A</v>
      </c>
      <c r="AE41" s="540" t="str">
        <f>IF((AB41+AC41)=0,"",IF(ISNA(AD41),"",IF(AD41="","",VLOOKUP(AD41,Para1!$D$67:$G$79,3,FALSE)*(IF(AB41+AC41=1,0.5,1)))))</f>
        <v/>
      </c>
      <c r="AF41" s="540" t="str">
        <f>IF(AB41+AC41=0,"",IF(ISNA(AD42),"",IF(AD42="","",VLOOKUP(AD42,Para1!$D$67:$G$79,4,FALSE)*(IF(AB41+AC41=1,0.5,1)))))</f>
        <v/>
      </c>
      <c r="AG41" s="188">
        <f t="shared" si="3"/>
        <v>0</v>
      </c>
      <c r="AH41" s="187">
        <f t="shared" si="4"/>
        <v>0.17500000000000002</v>
      </c>
    </row>
    <row r="42" spans="1:34" s="50" customFormat="1" ht="16.5" customHeight="1">
      <c r="A42" s="30" t="s">
        <v>30</v>
      </c>
      <c r="B42" s="334" t="str">
        <f>IF(B41=Para1!$F$153,Para1!$F$107,IF(B41=Para1!$F$107,Para1!$F$148,IF(B41=Para1!$F$148,Para1!$F$109,IF(B41=Para1!$F$109,Para1!$F$118,IF(B41=Para1!$F$118,Para1!$F$173,IF(B41=Para1!$F$173,Para1!$F$176,Para1!$F$153))))))</f>
        <v>Sa</v>
      </c>
      <c r="C42" s="305"/>
      <c r="D42" s="359"/>
      <c r="E42" s="355"/>
      <c r="F42" s="355"/>
      <c r="G42" s="357"/>
      <c r="H42" s="359"/>
      <c r="I42" s="355"/>
      <c r="J42" s="355"/>
      <c r="K42" s="357"/>
      <c r="L42" s="119">
        <f t="shared" si="6"/>
        <v>0</v>
      </c>
      <c r="M42" s="141">
        <f t="shared" si="2"/>
        <v>0</v>
      </c>
      <c r="N42" s="45">
        <f t="shared" si="5"/>
        <v>-40.51666666666668</v>
      </c>
      <c r="O42" s="193"/>
      <c r="P42" s="355"/>
      <c r="Q42" s="355"/>
      <c r="R42" s="356"/>
      <c r="S42" s="357"/>
      <c r="T42" s="357"/>
      <c r="U42" s="358"/>
      <c r="V42" s="198"/>
      <c r="W42" s="374"/>
      <c r="X42" s="599"/>
      <c r="Y42" s="200"/>
      <c r="Z42" s="69"/>
      <c r="AA42" s="128"/>
      <c r="AB42" s="360">
        <f t="shared" si="8"/>
        <v>0</v>
      </c>
      <c r="AC42" s="360">
        <f t="shared" si="8"/>
        <v>0</v>
      </c>
      <c r="AD42" s="188" t="e">
        <f>IF(VLOOKUP(A42,Para1!$B$67:$E$72,2,FALSE)="6.",VLOOKUP(A42,Para1!$B$67:$E$72,3,FALSE),"")</f>
        <v>#N/A</v>
      </c>
      <c r="AE42" s="540" t="str">
        <f>IF((AB42+AC42)=0,"",IF(ISNA(AD42),"",IF(AD42="","",VLOOKUP(AD42,Para1!$D$67:$G$79,3,FALSE)*(IF(AB42+AC42=1,0.5,1)))))</f>
        <v/>
      </c>
      <c r="AF42" s="540" t="str">
        <f>IF(AB42+AC42=0,"",IF(ISNA(AD43),"",IF(AD43="","",VLOOKUP(AD43,Para1!$D$67:$G$79,4,FALSE)*(IF(AB42+AC42=1,0.5,1)))))</f>
        <v/>
      </c>
      <c r="AG42" s="188">
        <f t="shared" si="3"/>
        <v>0</v>
      </c>
      <c r="AH42" s="187">
        <f t="shared" si="4"/>
        <v>0</v>
      </c>
    </row>
    <row r="43" spans="1:34" s="50" customFormat="1" ht="16.5" customHeight="1">
      <c r="A43" s="30" t="s">
        <v>31</v>
      </c>
      <c r="B43" s="334" t="str">
        <f>IF(B42=Para1!$F$153,Para1!$F$107,IF(B42=Para1!$F$107,Para1!$F$148,IF(B42=Para1!$F$148,Para1!$F$109,IF(B42=Para1!$F$109,Para1!$F$118,IF(B42=Para1!$F$118,Para1!$F$173,IF(B42=Para1!$F$173,Para1!$F$176,Para1!$F$153))))))</f>
        <v>So</v>
      </c>
      <c r="C43" s="305"/>
      <c r="D43" s="359"/>
      <c r="E43" s="355"/>
      <c r="F43" s="355"/>
      <c r="G43" s="357"/>
      <c r="H43" s="359"/>
      <c r="I43" s="355"/>
      <c r="J43" s="355"/>
      <c r="K43" s="357"/>
      <c r="L43" s="119">
        <f t="shared" si="6"/>
        <v>0</v>
      </c>
      <c r="M43" s="141">
        <f t="shared" si="2"/>
        <v>0</v>
      </c>
      <c r="N43" s="45">
        <f t="shared" si="5"/>
        <v>-40.51666666666668</v>
      </c>
      <c r="O43" s="193"/>
      <c r="P43" s="355"/>
      <c r="Q43" s="355"/>
      <c r="R43" s="356"/>
      <c r="S43" s="357"/>
      <c r="T43" s="357"/>
      <c r="U43" s="358"/>
      <c r="V43" s="198"/>
      <c r="W43" s="373"/>
      <c r="X43" s="599"/>
      <c r="Y43" s="200"/>
      <c r="Z43" s="69"/>
      <c r="AA43" s="128"/>
      <c r="AB43" s="360">
        <f t="shared" si="8"/>
        <v>0</v>
      </c>
      <c r="AC43" s="360">
        <f t="shared" si="8"/>
        <v>0</v>
      </c>
      <c r="AD43" s="188" t="e">
        <f>IF(VLOOKUP(A43,Para1!$B$67:$E$72,2,FALSE)="6.",VLOOKUP(A43,Para1!$B$67:$E$72,3,FALSE),"")</f>
        <v>#N/A</v>
      </c>
      <c r="AE43" s="540" t="str">
        <f>IF((AB43+AC43)=0,"",IF(ISNA(AD43),"",IF(AD43="","",VLOOKUP(AD43,Para1!$D$67:$G$79,3,FALSE)*(IF(AB43+AC43=1,0.5,1)))))</f>
        <v/>
      </c>
      <c r="AF43" s="540" t="str">
        <f>IF(AB43+AC43=0,"",IF(ISNA(AD44),"",IF(AD44="","",VLOOKUP(AD44,Para1!$D$67:$G$79,4,FALSE)*(IF(AB43+AC43=1,0.5,1)))))</f>
        <v/>
      </c>
      <c r="AG43" s="188">
        <f t="shared" si="3"/>
        <v>0</v>
      </c>
      <c r="AH43" s="187">
        <f t="shared" si="4"/>
        <v>0</v>
      </c>
    </row>
    <row r="44" spans="1:34" ht="16.5" customHeight="1">
      <c r="A44" s="30" t="s">
        <v>32</v>
      </c>
      <c r="B44" s="334" t="str">
        <f>IF(B43=Para1!$F$153,Para1!$F$107,IF(B43=Para1!$F$107,Para1!$F$148,IF(B43=Para1!$F$148,Para1!$F$109,IF(B43=Para1!$F$109,Para1!$F$118,IF(B43=Para1!$F$118,Para1!$F$173,IF(B43=Para1!$F$173,Para1!$F$176,Para1!$F$153))))))</f>
        <v>Mo</v>
      </c>
      <c r="C44" s="305"/>
      <c r="D44" s="359"/>
      <c r="E44" s="355"/>
      <c r="F44" s="355"/>
      <c r="G44" s="357"/>
      <c r="H44" s="359"/>
      <c r="I44" s="355"/>
      <c r="J44" s="355"/>
      <c r="K44" s="357"/>
      <c r="L44" s="111">
        <f t="shared" si="6"/>
        <v>0</v>
      </c>
      <c r="M44" s="141">
        <f t="shared" si="2"/>
        <v>0.35000000000000003</v>
      </c>
      <c r="N44" s="45">
        <f t="shared" si="5"/>
        <v>-40.866666666666681</v>
      </c>
      <c r="O44" s="193"/>
      <c r="P44" s="355"/>
      <c r="Q44" s="355"/>
      <c r="R44" s="356"/>
      <c r="S44" s="357"/>
      <c r="T44" s="357"/>
      <c r="U44" s="358"/>
      <c r="V44" s="198"/>
      <c r="W44" s="373"/>
      <c r="X44" s="599"/>
      <c r="Y44" s="200"/>
      <c r="Z44" s="69"/>
      <c r="AA44" s="128"/>
      <c r="AB44" s="360">
        <f t="shared" si="8"/>
        <v>1</v>
      </c>
      <c r="AC44" s="360">
        <f t="shared" si="8"/>
        <v>1</v>
      </c>
      <c r="AD44" s="188" t="e">
        <f>IF(VLOOKUP(A44,Para1!$B$67:$E$72,2,FALSE)="6.",VLOOKUP(A44,Para1!$B$67:$E$72,3,FALSE),"")</f>
        <v>#N/A</v>
      </c>
      <c r="AE44" s="540" t="str">
        <f>IF((AB44+AC44)=0,"",IF(ISNA(AD44),"",IF(AD44="","",VLOOKUP(AD44,Para1!$D$67:$G$79,3,FALSE)*(IF(AB44+AC44=1,0.5,1)))))</f>
        <v/>
      </c>
      <c r="AF44" s="540" t="str">
        <f>IF(AB44+AC44=0,"",IF(ISNA(AD45),"",IF(AD45="","",VLOOKUP(AD45,Para1!$D$67:$G$79,4,FALSE)*(IF(AB44+AC44=1,0.5,1)))))</f>
        <v/>
      </c>
      <c r="AG44" s="188">
        <f t="shared" si="3"/>
        <v>0</v>
      </c>
      <c r="AH44" s="187">
        <f t="shared" si="4"/>
        <v>0.17500000000000002</v>
      </c>
    </row>
    <row r="45" spans="1:34" ht="16.5" customHeight="1">
      <c r="A45" s="112" t="s">
        <v>33</v>
      </c>
      <c r="B45" s="334" t="str">
        <f>IF(B44=Para1!$F$153,Para1!$F$107,IF(B44=Para1!$F$107,Para1!$F$148,IF(B44=Para1!$F$148,Para1!$F$109,IF(B44=Para1!$F$109,Para1!$F$118,IF(B44=Para1!$F$118,Para1!$F$173,IF(B44=Para1!$F$173,Para1!$F$176,Para1!$F$153))))))</f>
        <v>Di</v>
      </c>
      <c r="C45" s="305"/>
      <c r="D45" s="359"/>
      <c r="E45" s="355"/>
      <c r="F45" s="355"/>
      <c r="G45" s="357"/>
      <c r="H45" s="359"/>
      <c r="I45" s="355"/>
      <c r="J45" s="355"/>
      <c r="K45" s="357"/>
      <c r="L45" s="111">
        <f t="shared" si="6"/>
        <v>0</v>
      </c>
      <c r="M45" s="141">
        <f t="shared" si="2"/>
        <v>0.35000000000000003</v>
      </c>
      <c r="N45" s="45">
        <f t="shared" si="5"/>
        <v>-41.216666666666683</v>
      </c>
      <c r="O45" s="193"/>
      <c r="P45" s="355"/>
      <c r="Q45" s="355"/>
      <c r="R45" s="356"/>
      <c r="S45" s="357"/>
      <c r="T45" s="357"/>
      <c r="U45" s="358"/>
      <c r="V45" s="198"/>
      <c r="W45" s="373"/>
      <c r="X45" s="599"/>
      <c r="Y45" s="200"/>
      <c r="Z45" s="69"/>
      <c r="AA45" s="128"/>
      <c r="AB45" s="360">
        <f>AB38</f>
        <v>1</v>
      </c>
      <c r="AC45" s="360">
        <f>AC38</f>
        <v>1</v>
      </c>
      <c r="AD45" s="188" t="e">
        <f>IF(VLOOKUP(A45,Para1!$B$67:$E$72,2,FALSE)="6.",VLOOKUP(A45,Para1!$B$67:$E$72,3,FALSE),"")</f>
        <v>#N/A</v>
      </c>
      <c r="AE45" s="540" t="str">
        <f>IF((AB45+AC45)=0,"",IF(ISNA(AD45),"",IF(AD45="","",VLOOKUP(AD45,Para1!$D$67:$G$79,3,FALSE)*(IF(AB45+AC45=1,0.5,1)))))</f>
        <v/>
      </c>
      <c r="AF45" s="540" t="str">
        <f>IF(AB45+AC45=0,"",IF(ISNA(AD46),"",IF(AD46="","",VLOOKUP(AD46,Para1!$D$67:$G$79,4,FALSE)*(IF(AB45+AC45=1,0.5,1)))))</f>
        <v/>
      </c>
      <c r="AG45" s="188">
        <f t="shared" si="3"/>
        <v>0</v>
      </c>
      <c r="AH45" s="187">
        <f t="shared" si="4"/>
        <v>0.17500000000000002</v>
      </c>
    </row>
    <row r="46" spans="1:34" ht="16.5" customHeight="1">
      <c r="A46" s="112" t="s">
        <v>34</v>
      </c>
      <c r="B46" s="334" t="str">
        <f>IF(B45=Para1!$F$153,Para1!$F$107,IF(B45=Para1!$F$107,Para1!$F$148,IF(B45=Para1!$F$148,Para1!$F$109,IF(B45=Para1!$F$109,Para1!$F$118,IF(B45=Para1!$F$118,Para1!$F$173,IF(B45=Para1!$F$173,Para1!$F$176,Para1!$F$153))))))</f>
        <v>Mi</v>
      </c>
      <c r="C46" s="339"/>
      <c r="D46" s="359"/>
      <c r="E46" s="355"/>
      <c r="F46" s="355"/>
      <c r="G46" s="357"/>
      <c r="H46" s="359"/>
      <c r="I46" s="355"/>
      <c r="J46" s="355"/>
      <c r="K46" s="357"/>
      <c r="L46" s="111">
        <f t="shared" si="6"/>
        <v>0</v>
      </c>
      <c r="M46" s="141">
        <f t="shared" si="2"/>
        <v>0.35000000000000003</v>
      </c>
      <c r="N46" s="45">
        <f t="shared" si="5"/>
        <v>-41.566666666666684</v>
      </c>
      <c r="O46" s="192"/>
      <c r="P46" s="355"/>
      <c r="Q46" s="355"/>
      <c r="R46" s="356"/>
      <c r="S46" s="357"/>
      <c r="T46" s="357"/>
      <c r="U46" s="358"/>
      <c r="V46" s="198"/>
      <c r="W46" s="373"/>
      <c r="X46" s="599"/>
      <c r="Y46" s="200"/>
      <c r="Z46" s="69"/>
      <c r="AA46" s="128"/>
      <c r="AB46" s="360">
        <f t="shared" ref="AB46:AC51" si="9">AB39</f>
        <v>1</v>
      </c>
      <c r="AC46" s="360">
        <f t="shared" si="9"/>
        <v>1</v>
      </c>
      <c r="AD46" s="188" t="str">
        <f>IF(VLOOKUP(A46,Para1!$B$67:$E$72,2,FALSE)="6.",VLOOKUP(A46,Para1!$B$67:$E$72,3,FALSE),"")</f>
        <v/>
      </c>
      <c r="AE46" s="540" t="str">
        <f>IF((AB46+AC46)=0,"",IF(ISNA(AD46),"",IF(AD46="","",VLOOKUP(AD46,Para1!$D$67:$G$79,3,FALSE)*(IF(AB46+AC46=1,0.5,1)))))</f>
        <v/>
      </c>
      <c r="AF46" s="540" t="str">
        <f>IF(AB46+AC46=0,"",IF(ISNA(AD47),"",IF(AD47="","",VLOOKUP(AD47,Para1!$D$67:$G$79,4,FALSE)*(IF(AB46+AC46=1,0.5,1)))))</f>
        <v/>
      </c>
      <c r="AG46" s="188">
        <f t="shared" si="3"/>
        <v>0</v>
      </c>
      <c r="AH46" s="187">
        <f t="shared" si="4"/>
        <v>0.17500000000000002</v>
      </c>
    </row>
    <row r="47" spans="1:34" ht="16.5" customHeight="1">
      <c r="A47" s="112" t="s">
        <v>35</v>
      </c>
      <c r="B47" s="334" t="str">
        <f>IF(B46=Para1!$F$153,Para1!$F$107,IF(B46=Para1!$F$107,Para1!$F$148,IF(B46=Para1!$F$148,Para1!$F$109,IF(B46=Para1!$F$109,Para1!$F$118,IF(B46=Para1!$F$118,Para1!$F$173,IF(B46=Para1!$F$173,Para1!$F$176,Para1!$F$153))))))</f>
        <v>Do</v>
      </c>
      <c r="C47" s="339"/>
      <c r="D47" s="359"/>
      <c r="E47" s="355"/>
      <c r="F47" s="355"/>
      <c r="G47" s="357"/>
      <c r="H47" s="359"/>
      <c r="I47" s="355"/>
      <c r="J47" s="355"/>
      <c r="K47" s="357"/>
      <c r="L47" s="111">
        <f t="shared" si="6"/>
        <v>0</v>
      </c>
      <c r="M47" s="141">
        <f t="shared" si="2"/>
        <v>0.35000000000000003</v>
      </c>
      <c r="N47" s="45">
        <f t="shared" si="5"/>
        <v>-41.916666666666686</v>
      </c>
      <c r="O47" s="192"/>
      <c r="P47" s="355"/>
      <c r="Q47" s="355"/>
      <c r="R47" s="356"/>
      <c r="S47" s="357"/>
      <c r="T47" s="357"/>
      <c r="U47" s="358"/>
      <c r="V47" s="237"/>
      <c r="W47" s="373"/>
      <c r="X47" s="599"/>
      <c r="Y47" s="200"/>
      <c r="Z47" s="69"/>
      <c r="AA47" s="128"/>
      <c r="AB47" s="360">
        <f t="shared" si="9"/>
        <v>1</v>
      </c>
      <c r="AC47" s="360">
        <f t="shared" si="9"/>
        <v>1</v>
      </c>
      <c r="AD47" s="188" t="str">
        <f>IF(VLOOKUP(A47,Para1!$B$67:$E$72,2,FALSE)="6.",VLOOKUP(A47,Para1!$B$67:$E$72,3,FALSE),"")</f>
        <v/>
      </c>
      <c r="AE47" s="540" t="str">
        <f>IF((AB47+AC47)=0,"",IF(ISNA(AD47),"",IF(AD47="","",VLOOKUP(AD47,Para1!$D$67:$G$79,3,FALSE)*(IF(AB47+AC47=1,0.5,1)))))</f>
        <v/>
      </c>
      <c r="AF47" s="540" t="str">
        <f>IF(AB47+AC47=0,"",IF(ISNA(AD48),"",IF(AD48="","",VLOOKUP(AD48,Para1!$D$67:$G$79,4,FALSE)*(IF(AB47+AC47=1,0.5,1)))))</f>
        <v/>
      </c>
      <c r="AG47" s="188">
        <f t="shared" si="3"/>
        <v>0</v>
      </c>
      <c r="AH47" s="187">
        <f t="shared" si="4"/>
        <v>0.17500000000000002</v>
      </c>
    </row>
    <row r="48" spans="1:34" ht="16.5" customHeight="1">
      <c r="A48" s="112" t="s">
        <v>36</v>
      </c>
      <c r="B48" s="334" t="str">
        <f>IF(B47=Para1!$F$153,Para1!$F$107,IF(B47=Para1!$F$107,Para1!$F$148,IF(B47=Para1!$F$148,Para1!$F$109,IF(B47=Para1!$F$109,Para1!$F$118,IF(B47=Para1!$F$118,Para1!$F$173,IF(B47=Para1!$F$173,Para1!$F$176,Para1!$F$153))))))</f>
        <v>Fr</v>
      </c>
      <c r="C48" s="305"/>
      <c r="D48" s="359"/>
      <c r="E48" s="355"/>
      <c r="F48" s="355"/>
      <c r="G48" s="357"/>
      <c r="H48" s="359"/>
      <c r="I48" s="355"/>
      <c r="J48" s="355"/>
      <c r="K48" s="357"/>
      <c r="L48" s="111">
        <f t="shared" si="6"/>
        <v>0</v>
      </c>
      <c r="M48" s="141">
        <f t="shared" si="2"/>
        <v>0.35000000000000003</v>
      </c>
      <c r="N48" s="45">
        <f t="shared" si="5"/>
        <v>-42.266666666666687</v>
      </c>
      <c r="O48" s="193"/>
      <c r="P48" s="355"/>
      <c r="Q48" s="355"/>
      <c r="R48" s="356"/>
      <c r="S48" s="357"/>
      <c r="T48" s="357"/>
      <c r="U48" s="358"/>
      <c r="V48" s="198"/>
      <c r="W48" s="374"/>
      <c r="X48" s="599"/>
      <c r="Y48" s="200"/>
      <c r="Z48" s="69"/>
      <c r="AA48" s="128"/>
      <c r="AB48" s="360">
        <f t="shared" si="9"/>
        <v>1</v>
      </c>
      <c r="AC48" s="360">
        <f t="shared" si="9"/>
        <v>1</v>
      </c>
      <c r="AD48" s="188" t="e">
        <f>IF(VLOOKUP(A48,Para1!$B$67:$E$72,2,FALSE)="6.",VLOOKUP(A48,Para1!$B$67:$E$72,3,FALSE),"")</f>
        <v>#N/A</v>
      </c>
      <c r="AE48" s="540" t="str">
        <f>IF((AB48+AC48)=0,"",IF(ISNA(AD48),"",IF(AD48="","",VLOOKUP(AD48,Para1!$D$67:$G$79,3,FALSE)*(IF(AB48+AC48=1,0.5,1)))))</f>
        <v/>
      </c>
      <c r="AF48" s="540" t="str">
        <f>IF(AB48+AC48=0,"",IF(ISNA(AD49),"",IF(AD49="","",VLOOKUP(AD49,Para1!$D$67:$G$79,4,FALSE)*(IF(AB48+AC48=1,0.5,1)))))</f>
        <v/>
      </c>
      <c r="AG48" s="188">
        <f t="shared" si="3"/>
        <v>0</v>
      </c>
      <c r="AH48" s="187">
        <f t="shared" si="4"/>
        <v>0.17500000000000002</v>
      </c>
    </row>
    <row r="49" spans="1:34" s="50" customFormat="1" ht="16.5" customHeight="1">
      <c r="A49" s="30" t="s">
        <v>37</v>
      </c>
      <c r="B49" s="334" t="str">
        <f>IF(B48=Para1!$F$153,Para1!$F$107,IF(B48=Para1!$F$107,Para1!$F$148,IF(B48=Para1!$F$148,Para1!$F$109,IF(B48=Para1!$F$109,Para1!$F$118,IF(B48=Para1!$F$118,Para1!$F$173,IF(B48=Para1!$F$173,Para1!$F$176,Para1!$F$153))))))</f>
        <v>Sa</v>
      </c>
      <c r="C49" s="305"/>
      <c r="D49" s="359"/>
      <c r="E49" s="355"/>
      <c r="F49" s="355"/>
      <c r="G49" s="357"/>
      <c r="H49" s="359"/>
      <c r="I49" s="355"/>
      <c r="J49" s="355"/>
      <c r="K49" s="357"/>
      <c r="L49" s="119">
        <f t="shared" si="6"/>
        <v>0</v>
      </c>
      <c r="M49" s="141">
        <f t="shared" si="2"/>
        <v>0</v>
      </c>
      <c r="N49" s="45">
        <f t="shared" si="5"/>
        <v>-42.266666666666687</v>
      </c>
      <c r="O49" s="193"/>
      <c r="P49" s="355"/>
      <c r="Q49" s="355"/>
      <c r="R49" s="356"/>
      <c r="S49" s="357"/>
      <c r="T49" s="357"/>
      <c r="U49" s="358"/>
      <c r="V49" s="198"/>
      <c r="W49" s="374"/>
      <c r="X49" s="599"/>
      <c r="Y49" s="200"/>
      <c r="Z49" s="69"/>
      <c r="AA49" s="128"/>
      <c r="AB49" s="360">
        <f t="shared" si="9"/>
        <v>0</v>
      </c>
      <c r="AC49" s="360">
        <f t="shared" si="9"/>
        <v>0</v>
      </c>
      <c r="AD49" s="188" t="e">
        <f>IF(VLOOKUP(A49,Para1!$B$67:$E$72,2,FALSE)="6.",VLOOKUP(A49,Para1!$B$67:$E$72,3,FALSE),"")</f>
        <v>#N/A</v>
      </c>
      <c r="AE49" s="540" t="str">
        <f>IF((AB49+AC49)=0,"",IF(ISNA(AD49),"",IF(AD49="","",VLOOKUP(AD49,Para1!$D$67:$G$79,3,FALSE)*(IF(AB49+AC49=1,0.5,1)))))</f>
        <v/>
      </c>
      <c r="AF49" s="540" t="str">
        <f>IF(AB49+AC49=0,"",IF(ISNA(AD50),"",IF(AD50="","",VLOOKUP(AD50,Para1!$D$67:$G$79,4,FALSE)*(IF(AB49+AC49=1,0.5,1)))))</f>
        <v/>
      </c>
      <c r="AG49" s="188">
        <f t="shared" si="3"/>
        <v>0</v>
      </c>
      <c r="AH49" s="187">
        <f t="shared" si="4"/>
        <v>0</v>
      </c>
    </row>
    <row r="50" spans="1:34" s="50" customFormat="1" ht="16.5" customHeight="1">
      <c r="A50" s="30" t="s">
        <v>38</v>
      </c>
      <c r="B50" s="334" t="str">
        <f>IF(B49=Para1!$F$153,Para1!$F$107,IF(B49=Para1!$F$107,Para1!$F$148,IF(B49=Para1!$F$148,Para1!$F$109,IF(B49=Para1!$F$109,Para1!$F$118,IF(B49=Para1!$F$118,Para1!$F$173,IF(B49=Para1!$F$173,Para1!$F$176,Para1!$F$153))))))</f>
        <v>So</v>
      </c>
      <c r="C50" s="305"/>
      <c r="D50" s="359"/>
      <c r="E50" s="355"/>
      <c r="F50" s="355"/>
      <c r="G50" s="357"/>
      <c r="H50" s="359"/>
      <c r="I50" s="355"/>
      <c r="J50" s="355"/>
      <c r="K50" s="357"/>
      <c r="L50" s="119">
        <f t="shared" si="6"/>
        <v>0</v>
      </c>
      <c r="M50" s="141">
        <f t="shared" si="2"/>
        <v>0</v>
      </c>
      <c r="N50" s="45">
        <f t="shared" si="5"/>
        <v>-42.266666666666687</v>
      </c>
      <c r="O50" s="193"/>
      <c r="P50" s="355"/>
      <c r="Q50" s="355"/>
      <c r="R50" s="356"/>
      <c r="S50" s="357"/>
      <c r="T50" s="357"/>
      <c r="U50" s="358"/>
      <c r="V50" s="198"/>
      <c r="W50" s="373"/>
      <c r="X50" s="599"/>
      <c r="Y50" s="200"/>
      <c r="Z50" s="69"/>
      <c r="AA50" s="128"/>
      <c r="AB50" s="360">
        <f t="shared" si="9"/>
        <v>0</v>
      </c>
      <c r="AC50" s="360">
        <f t="shared" si="9"/>
        <v>0</v>
      </c>
      <c r="AD50" s="188" t="e">
        <f>IF(VLOOKUP(A50,Para1!$B$67:$E$72,2,FALSE)="6.",VLOOKUP(A50,Para1!$B$67:$E$72,3,FALSE),"")</f>
        <v>#N/A</v>
      </c>
      <c r="AE50" s="540" t="str">
        <f>IF((AB50+AC50)=0,"",IF(ISNA(AD50),"",IF(AD50="","",VLOOKUP(AD50,Para1!$D$67:$G$79,3,FALSE)*(IF(AB50+AC50=1,0.5,1)))))</f>
        <v/>
      </c>
      <c r="AF50" s="540" t="str">
        <f>IF(AB50+AC50=0,"",IF(ISNA(AD51),"",IF(AD51="","",VLOOKUP(AD51,Para1!$D$67:$G$79,4,FALSE)*(IF(AB50+AC50=1,0.5,1)))))</f>
        <v/>
      </c>
      <c r="AG50" s="188">
        <f t="shared" si="3"/>
        <v>0</v>
      </c>
      <c r="AH50" s="187">
        <f t="shared" si="4"/>
        <v>0</v>
      </c>
    </row>
    <row r="51" spans="1:34" ht="16.5" customHeight="1">
      <c r="A51" s="30" t="s">
        <v>39</v>
      </c>
      <c r="B51" s="334" t="str">
        <f>IF(B50=Para1!$F$153,Para1!$F$107,IF(B50=Para1!$F$107,Para1!$F$148,IF(B50=Para1!$F$148,Para1!$F$109,IF(B50=Para1!$F$109,Para1!$F$118,IF(B50=Para1!$F$118,Para1!$F$173,IF(B50=Para1!$F$173,Para1!$F$176,Para1!$F$153))))))</f>
        <v>Mo</v>
      </c>
      <c r="C51" s="305"/>
      <c r="D51" s="359"/>
      <c r="E51" s="355"/>
      <c r="F51" s="355"/>
      <c r="G51" s="357"/>
      <c r="H51" s="359"/>
      <c r="I51" s="355"/>
      <c r="J51" s="355"/>
      <c r="K51" s="357"/>
      <c r="L51" s="111">
        <f t="shared" si="6"/>
        <v>0</v>
      </c>
      <c r="M51" s="141">
        <f t="shared" si="2"/>
        <v>0.35000000000000003</v>
      </c>
      <c r="N51" s="45">
        <f t="shared" si="5"/>
        <v>-42.616666666666688</v>
      </c>
      <c r="O51" s="193"/>
      <c r="P51" s="355"/>
      <c r="Q51" s="355"/>
      <c r="R51" s="356"/>
      <c r="S51" s="357"/>
      <c r="T51" s="357"/>
      <c r="U51" s="358"/>
      <c r="V51" s="198"/>
      <c r="W51" s="373"/>
      <c r="X51" s="599"/>
      <c r="Y51" s="200"/>
      <c r="Z51" s="69"/>
      <c r="AA51" s="128"/>
      <c r="AB51" s="360">
        <f t="shared" si="9"/>
        <v>1</v>
      </c>
      <c r="AC51" s="360">
        <f t="shared" si="9"/>
        <v>1</v>
      </c>
      <c r="AD51" s="188" t="e">
        <f>IF(VLOOKUP(A51,Para1!$B$67:$E$72,2,FALSE)="6.",VLOOKUP(A51,Para1!$B$67:$E$72,3,FALSE),"")</f>
        <v>#N/A</v>
      </c>
      <c r="AE51" s="540" t="str">
        <f>IF((AB51+AC51)=0,"",IF(ISNA(AD51),"",IF(AD51="","",VLOOKUP(AD51,Para1!$D$67:$G$79,3,FALSE)*(IF(AB51+AC51=1,0.5,1)))))</f>
        <v/>
      </c>
      <c r="AF51" s="540" t="str">
        <f>IF(AB51+AC51=0,"",IF(ISNA(AD52),"",IF(AD52="","",VLOOKUP(AD52,Para1!$D$67:$G$79,4,FALSE)*(IF(AB51+AC51=1,0.5,1)))))</f>
        <v/>
      </c>
      <c r="AG51" s="188">
        <f t="shared" si="3"/>
        <v>0</v>
      </c>
      <c r="AH51" s="187">
        <f t="shared" si="4"/>
        <v>0.17500000000000002</v>
      </c>
    </row>
    <row r="52" spans="1:34" ht="16.5" customHeight="1">
      <c r="A52" s="112" t="s">
        <v>40</v>
      </c>
      <c r="B52" s="334" t="str">
        <f>IF(B51=Para1!$F$153,Para1!$F$107,IF(B51=Para1!$F$107,Para1!$F$148,IF(B51=Para1!$F$148,Para1!$F$109,IF(B51=Para1!$F$109,Para1!$F$118,IF(B51=Para1!$F$118,Para1!$F$173,IF(B51=Para1!$F$173,Para1!$F$176,Para1!$F$153))))))</f>
        <v>Di</v>
      </c>
      <c r="C52" s="305"/>
      <c r="D52" s="359"/>
      <c r="E52" s="355"/>
      <c r="F52" s="355"/>
      <c r="G52" s="357"/>
      <c r="H52" s="359"/>
      <c r="I52" s="355"/>
      <c r="J52" s="355"/>
      <c r="K52" s="357"/>
      <c r="L52" s="111">
        <f t="shared" si="6"/>
        <v>0</v>
      </c>
      <c r="M52" s="141">
        <f t="shared" si="2"/>
        <v>0.35000000000000003</v>
      </c>
      <c r="N52" s="45">
        <f t="shared" si="5"/>
        <v>-42.96666666666669</v>
      </c>
      <c r="O52" s="193"/>
      <c r="P52" s="355"/>
      <c r="Q52" s="355"/>
      <c r="R52" s="356"/>
      <c r="S52" s="357"/>
      <c r="T52" s="357"/>
      <c r="U52" s="358"/>
      <c r="V52" s="198"/>
      <c r="W52" s="373"/>
      <c r="X52" s="599"/>
      <c r="Y52" s="200"/>
      <c r="Z52" s="69"/>
      <c r="AA52" s="128"/>
      <c r="AB52" s="360">
        <f>AB45</f>
        <v>1</v>
      </c>
      <c r="AC52" s="360">
        <f>AC45</f>
        <v>1</v>
      </c>
      <c r="AD52" s="188" t="e">
        <f>IF(VLOOKUP(A52,Para1!$B$67:$E$72,2,FALSE)="6.",VLOOKUP(A52,Para1!$B$67:$E$72,3,FALSE),"")</f>
        <v>#N/A</v>
      </c>
      <c r="AE52" s="540" t="str">
        <f>IF((AB52+AC52)=0,"",IF(ISNA(AD52),"",IF(AD52="","",VLOOKUP(AD52,Para1!$D$67:$G$79,3,FALSE)*(IF(AB52+AC52=1,0.5,1)))))</f>
        <v/>
      </c>
      <c r="AF52" s="540" t="str">
        <f>IF(AB52+AC52=0,"",IF(ISNA(AD53),"",IF(AD53="","",VLOOKUP(AD53,Para1!$D$67:$G$79,4,FALSE)*(IF(AB52+AC52=1,0.5,1)))))</f>
        <v/>
      </c>
      <c r="AG52" s="188">
        <f t="shared" si="3"/>
        <v>0</v>
      </c>
      <c r="AH52" s="187">
        <f t="shared" si="4"/>
        <v>0.17500000000000002</v>
      </c>
    </row>
    <row r="53" spans="1:34" ht="16.5" customHeight="1" thickBot="1">
      <c r="A53" s="112" t="s">
        <v>41</v>
      </c>
      <c r="B53" s="334" t="str">
        <f>IF(B52=Para1!$F$153,Para1!$F$107,IF(B52=Para1!$F$107,Para1!$F$148,IF(B52=Para1!$F$148,Para1!$F$109,IF(B52=Para1!$F$109,Para1!$F$118,IF(B52=Para1!$F$118,Para1!$F$173,IF(B52=Para1!$F$173,Para1!$F$176,Para1!$F$153))))))</f>
        <v>Mi</v>
      </c>
      <c r="C53" s="339"/>
      <c r="D53" s="359"/>
      <c r="E53" s="355"/>
      <c r="F53" s="355"/>
      <c r="G53" s="357"/>
      <c r="H53" s="359"/>
      <c r="I53" s="355"/>
      <c r="J53" s="355"/>
      <c r="K53" s="357"/>
      <c r="L53" s="111">
        <f t="shared" si="6"/>
        <v>0</v>
      </c>
      <c r="M53" s="141">
        <f t="shared" si="2"/>
        <v>0.35000000000000003</v>
      </c>
      <c r="N53" s="45">
        <f t="shared" si="5"/>
        <v>-43.316666666666691</v>
      </c>
      <c r="O53" s="192"/>
      <c r="P53" s="355"/>
      <c r="Q53" s="355"/>
      <c r="R53" s="356"/>
      <c r="S53" s="357"/>
      <c r="T53" s="357"/>
      <c r="U53" s="358"/>
      <c r="V53" s="198"/>
      <c r="W53" s="530"/>
      <c r="X53" s="599"/>
      <c r="Y53" s="200"/>
      <c r="Z53" s="69"/>
      <c r="AA53" s="128"/>
      <c r="AB53" s="361">
        <f>AB46</f>
        <v>1</v>
      </c>
      <c r="AC53" s="361">
        <f>AC46</f>
        <v>1</v>
      </c>
      <c r="AD53" s="188" t="e">
        <f>IF(VLOOKUP(A53,Para1!$B$67:$E$72,2,FALSE)="6.",VLOOKUP(A53,Para1!$B$67:$E$72,3,FALSE),"")</f>
        <v>#N/A</v>
      </c>
      <c r="AE53" s="540" t="str">
        <f>IF((AB53+AC53)=0,"",IF(ISNA(AD53),"",IF(AD53="","",VLOOKUP(AD53,Para1!$D$67:$G$79,3,FALSE)*(IF(AB53+AC53=1,0.5,1)))))</f>
        <v/>
      </c>
      <c r="AF53" s="540" t="str">
        <f>IF(AB53+AC53=0,"",IF(ISNA(Juli!AD24),"",IF(Juli!AD24="","",VLOOKUP(Juli!AD24,Para1!$D$67:$G$79,4,FALSE)*(IF(AB53+AC53=1,0.5,1)))))</f>
        <v/>
      </c>
      <c r="AG53" s="188">
        <f t="shared" si="3"/>
        <v>0</v>
      </c>
      <c r="AH53" s="187">
        <f t="shared" si="4"/>
        <v>0.17500000000000002</v>
      </c>
    </row>
    <row r="54" spans="1:34" ht="16.5" customHeight="1" thickTop="1" thickBot="1">
      <c r="A54" s="49"/>
      <c r="B54" s="335"/>
      <c r="C54" s="337"/>
      <c r="D54" s="436"/>
      <c r="E54" s="434"/>
      <c r="F54" s="434"/>
      <c r="G54" s="435"/>
      <c r="H54" s="436"/>
      <c r="I54" s="434"/>
      <c r="J54" s="434"/>
      <c r="K54" s="437"/>
      <c r="L54" s="116"/>
      <c r="M54" s="372"/>
      <c r="N54" s="45">
        <f t="shared" si="5"/>
        <v>-43.316666666666691</v>
      </c>
      <c r="O54" s="192"/>
      <c r="P54" s="121"/>
      <c r="Q54" s="121"/>
      <c r="R54" s="123"/>
      <c r="S54" s="122"/>
      <c r="T54" s="122"/>
      <c r="U54" s="124"/>
      <c r="V54" s="237"/>
      <c r="W54" s="531"/>
      <c r="X54" s="739"/>
      <c r="Y54" s="200"/>
      <c r="Z54" s="69"/>
      <c r="AA54" s="128"/>
      <c r="AB54" s="240"/>
      <c r="AC54" s="240"/>
      <c r="AD54" s="188" t="e">
        <f>IF(VLOOKUP(A54,Para1!$B$67:$E$72,2,FALSE)="6.",VLOOKUP(A54,Para1!$B$67:$E$72,3,FALSE),"")</f>
        <v>#N/A</v>
      </c>
      <c r="AE54" s="540" t="str">
        <f>IF((AB54+AC54)=0,"",IF(ISNA(AD54),"",IF(AD54="","",VLOOKUP(AD54,Para1!$D$67:$G$79,3,FALSE)*(IF(AB54+AC54=1,0.5,1)))))</f>
        <v/>
      </c>
      <c r="AF54" s="540"/>
      <c r="AG54" s="188">
        <f t="shared" si="3"/>
        <v>0</v>
      </c>
      <c r="AH54" s="187">
        <f t="shared" si="4"/>
        <v>0</v>
      </c>
    </row>
    <row r="55" spans="1:34" ht="15" thickTop="1">
      <c r="A55" s="47"/>
      <c r="B55" s="37"/>
      <c r="C55" s="16"/>
      <c r="D55" s="38"/>
      <c r="E55" s="38"/>
      <c r="F55" s="38"/>
      <c r="G55" s="38"/>
      <c r="H55" s="38"/>
      <c r="I55" s="38"/>
      <c r="J55" s="38"/>
      <c r="K55" s="464" t="str">
        <f>Para1!F184&amp;" (hh:mm)"</f>
        <v>Total (hh:mm)</v>
      </c>
      <c r="L55" s="39">
        <f>SUM(L24:L54)</f>
        <v>0</v>
      </c>
      <c r="M55" s="44">
        <f>SUM(M24:M54)</f>
        <v>7.6999999999999966</v>
      </c>
      <c r="N55" s="235"/>
      <c r="O55" s="194"/>
      <c r="P55" s="110">
        <f t="shared" ref="P55:U55" si="10">SUM(P24:P54)</f>
        <v>0</v>
      </c>
      <c r="Q55" s="110">
        <f t="shared" si="10"/>
        <v>0</v>
      </c>
      <c r="R55" s="36">
        <f t="shared" si="10"/>
        <v>0</v>
      </c>
      <c r="S55" s="36">
        <f t="shared" si="10"/>
        <v>0</v>
      </c>
      <c r="T55" s="36">
        <f t="shared" si="10"/>
        <v>0</v>
      </c>
      <c r="U55" s="44">
        <f t="shared" si="10"/>
        <v>0</v>
      </c>
      <c r="V55" s="201"/>
      <c r="W55" s="230"/>
      <c r="X55" s="203"/>
      <c r="AB55" s="884" t="str">
        <f>Para1!F177&amp;" "&amp;Para1!F171</f>
        <v>Soll Halbtag</v>
      </c>
      <c r="AC55" s="885"/>
      <c r="AD55" s="188">
        <f>SUM(AG24:AG54)</f>
        <v>0</v>
      </c>
      <c r="AE55" s="540">
        <f>SUM(AE24:AE54)</f>
        <v>0</v>
      </c>
      <c r="AF55" s="540">
        <f>SUM(AF24:AF54)</f>
        <v>0</v>
      </c>
    </row>
    <row r="56" spans="1:34" ht="15" thickBot="1">
      <c r="A56" s="48"/>
      <c r="B56" s="40"/>
      <c r="C56" s="40"/>
      <c r="D56" s="41"/>
      <c r="E56" s="41"/>
      <c r="F56" s="41"/>
      <c r="G56" s="19"/>
      <c r="H56" s="19"/>
      <c r="I56" s="19"/>
      <c r="J56" s="19"/>
      <c r="K56" s="766" t="str">
        <f>Para1!F184&amp;" ("&amp;Para1!F106&amp;")"</f>
        <v>Total (dezimal)</v>
      </c>
      <c r="L56" s="767">
        <f>L55*24</f>
        <v>0</v>
      </c>
      <c r="M56" s="768">
        <f>M55*24</f>
        <v>184.79999999999993</v>
      </c>
      <c r="N56" s="772"/>
      <c r="O56" s="773"/>
      <c r="P56" s="771">
        <f t="shared" ref="P56:U56" si="11">P55*24</f>
        <v>0</v>
      </c>
      <c r="Q56" s="770">
        <f t="shared" si="11"/>
        <v>0</v>
      </c>
      <c r="R56" s="768">
        <f t="shared" si="11"/>
        <v>0</v>
      </c>
      <c r="S56" s="768">
        <f t="shared" si="11"/>
        <v>0</v>
      </c>
      <c r="T56" s="768">
        <f t="shared" si="11"/>
        <v>0</v>
      </c>
      <c r="U56" s="768">
        <f t="shared" si="11"/>
        <v>0</v>
      </c>
      <c r="V56" s="202"/>
      <c r="W56" s="229"/>
      <c r="X56" s="195"/>
      <c r="AB56" s="882">
        <f>(C8*24+((AE55+AF55)/100*H3))/(SUM(AB24:AC54)-AD55)/24</f>
        <v>0.17500000000000002</v>
      </c>
      <c r="AC56" s="883"/>
    </row>
    <row r="57" spans="1:34" ht="15" thickTop="1"/>
    <row r="58" spans="1:34">
      <c r="X58" s="130" t="str">
        <f>Para1!G2</f>
        <v>AZE v1_01 02.12.2020</v>
      </c>
      <c r="AC58" s="130"/>
    </row>
    <row r="60" spans="1:34" ht="22.5" customHeight="1">
      <c r="A60" s="849" t="str">
        <f>Para1!F104</f>
        <v>Datum</v>
      </c>
      <c r="B60" s="849"/>
      <c r="C60" s="54"/>
      <c r="D60" s="850"/>
      <c r="E60" s="850"/>
      <c r="H60" s="56" t="str">
        <f>Para1!F197&amp;" "&amp;Para1!F152</f>
        <v>Unterschrift Mitarbeiter/In</v>
      </c>
      <c r="I60" s="55"/>
      <c r="J60" s="55"/>
      <c r="K60" s="852"/>
      <c r="L60" s="852"/>
      <c r="M60" s="852"/>
      <c r="N60" s="852"/>
      <c r="O60" s="852"/>
      <c r="Q60" s="57" t="str">
        <f>Para1!F197&amp;" "&amp;Para1!F199</f>
        <v>Unterschrift Vorgesetzter</v>
      </c>
      <c r="R60" s="55"/>
      <c r="S60" s="55"/>
      <c r="T60" s="851"/>
      <c r="U60" s="851"/>
      <c r="V60" s="851"/>
      <c r="W60" s="851"/>
      <c r="X60" s="851"/>
      <c r="AB60" s="11"/>
    </row>
  </sheetData>
  <sheetProtection password="CC4A" sheet="1" objects="1" scenarios="1"/>
  <mergeCells count="45">
    <mergeCell ref="A60:B60"/>
    <mergeCell ref="C3:D3"/>
    <mergeCell ref="E3:G3"/>
    <mergeCell ref="W21:X21"/>
    <mergeCell ref="W22:W23"/>
    <mergeCell ref="X22:X23"/>
    <mergeCell ref="D22:G22"/>
    <mergeCell ref="H22:K22"/>
    <mergeCell ref="P22:P23"/>
    <mergeCell ref="S22:S23"/>
    <mergeCell ref="Q22:Q23"/>
    <mergeCell ref="P21:U21"/>
    <mergeCell ref="U22:U23"/>
    <mergeCell ref="T22:T23"/>
    <mergeCell ref="R22:R23"/>
    <mergeCell ref="D60:E60"/>
    <mergeCell ref="A1:B1"/>
    <mergeCell ref="A3:B3"/>
    <mergeCell ref="N22:N23"/>
    <mergeCell ref="A22:B22"/>
    <mergeCell ref="L21:N21"/>
    <mergeCell ref="M3:N3"/>
    <mergeCell ref="L22:L23"/>
    <mergeCell ref="M22:M23"/>
    <mergeCell ref="A23:B23"/>
    <mergeCell ref="AB21:AC21"/>
    <mergeCell ref="AB22:AB23"/>
    <mergeCell ref="AC22:AC23"/>
    <mergeCell ref="AB55:AC55"/>
    <mergeCell ref="AB56:AC56"/>
    <mergeCell ref="K60:O60"/>
    <mergeCell ref="T60:X60"/>
    <mergeCell ref="Y21:Z21"/>
    <mergeCell ref="C1:E1"/>
    <mergeCell ref="C7:D7"/>
    <mergeCell ref="N7:O7"/>
    <mergeCell ref="C8:D8"/>
    <mergeCell ref="N8:O8"/>
    <mergeCell ref="C9:D9"/>
    <mergeCell ref="C10:D10"/>
    <mergeCell ref="C11:D11"/>
    <mergeCell ref="C12:D12"/>
    <mergeCell ref="U14:V14"/>
    <mergeCell ref="U15:V15"/>
    <mergeCell ref="H1:I1"/>
  </mergeCells>
  <phoneticPr fontId="0" type="noConversion"/>
  <conditionalFormatting sqref="N24">
    <cfRule type="expression" dxfId="79" priority="11">
      <formula>$L$24=0</formula>
    </cfRule>
  </conditionalFormatting>
  <conditionalFormatting sqref="N24:N54">
    <cfRule type="cellIs" dxfId="78" priority="10" operator="equal">
      <formula>N23-M24</formula>
    </cfRule>
  </conditionalFormatting>
  <conditionalFormatting sqref="L24:M54 A24:B54">
    <cfRule type="expression" dxfId="77" priority="9">
      <formula>$M24=0</formula>
    </cfRule>
  </conditionalFormatting>
  <conditionalFormatting sqref="AB24:AB53 W24:W53 D24:G53">
    <cfRule type="expression" dxfId="76" priority="7">
      <formula>$AB24=0</formula>
    </cfRule>
  </conditionalFormatting>
  <conditionalFormatting sqref="AC24:AC53 X24:X53 H24:K53">
    <cfRule type="expression" dxfId="75" priority="6">
      <formula>$AC24=0</formula>
    </cfRule>
  </conditionalFormatting>
  <conditionalFormatting sqref="P24:U53">
    <cfRule type="expression" dxfId="74" priority="4">
      <formula>$AB24+$AC24=0</formula>
    </cfRule>
    <cfRule type="expression" dxfId="73" priority="5">
      <formula>$AB24+$AC24=1</formula>
    </cfRule>
  </conditionalFormatting>
  <conditionalFormatting sqref="AB24:AC53 W24:X53 P24:U53 D24:K53">
    <cfRule type="expression" dxfId="72" priority="3">
      <formula>$AE24:$AE53=0</formula>
    </cfRule>
  </conditionalFormatting>
  <pageMargins left="0.4" right="0.41" top="0.79" bottom="0.39370078740157483" header="0.28999999999999998" footer="0.15748031496062992"/>
  <pageSetup paperSize="9" scale="53" orientation="landscape" verticalDpi="300" r:id="rId1"/>
  <headerFooter alignWithMargins="0">
    <oddHeader>&amp;C&amp;"Arial,Fett Kursiv"&amp;16Zeiterfassung -  &amp;A</oddHeader>
    <oddFooter>&amp;L&amp;Z&amp;F</oddFooter>
  </headerFooter>
  <legacyDrawing r:id="rId2"/>
  <extLst>
    <ext xmlns:x14="http://schemas.microsoft.com/office/spreadsheetml/2009/9/main" uri="{78C0D931-6437-407d-A8EE-F0AAD7539E65}">
      <x14:conditionalFormattings>
        <x14:conditionalFormatting xmlns:xm="http://schemas.microsoft.com/office/excel/2006/main">
          <x14:cfRule type="expression" priority="2" id="{B61BCA8A-6FB9-4AC0-AB78-ABDFB19F683C}">
            <xm:f>OR('Persönliche Daten (pers. data)'!$K$5="Nein",'Persönliche Daten (pers. data)'!$K$5="no")</xm:f>
            <x14:dxf>
              <font>
                <color theme="0"/>
              </font>
              <border>
                <left/>
                <right/>
                <top/>
                <bottom/>
                <vertical/>
                <horizontal/>
              </border>
            </x14:dxf>
          </x14:cfRule>
          <xm:sqref>H14:I17</xm:sqref>
        </x14:conditionalFormatting>
        <x14:conditionalFormatting xmlns:xm="http://schemas.microsoft.com/office/excel/2006/main">
          <x14:cfRule type="expression" priority="1" id="{FA09474F-A96F-49CA-86E0-D2E33908FC2B}">
            <xm:f>OR('Persönliche Daten (pers. data)'!$K$5="Nein",'Persönliche Daten (pers. data)'!$K$5="no")</xm:f>
            <x14:dxf>
              <font>
                <color theme="0"/>
              </font>
              <border>
                <left/>
                <right/>
                <top style="thin">
                  <color auto="1"/>
                </top>
                <bottom/>
                <vertical/>
                <horizontal/>
              </border>
            </x14:dxf>
          </x14:cfRule>
          <xm:sqref>L18:Q18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18</vt:i4>
      </vt:variant>
      <vt:variant>
        <vt:lpstr>Benannte Bereiche</vt:lpstr>
      </vt:variant>
      <vt:variant>
        <vt:i4>15</vt:i4>
      </vt:variant>
    </vt:vector>
  </HeadingPairs>
  <TitlesOfParts>
    <vt:vector size="33" baseType="lpstr">
      <vt:lpstr>Information</vt:lpstr>
      <vt:lpstr>Persönliche Daten (pers. data)</vt:lpstr>
      <vt:lpstr>Jahresübersicht (Overview)</vt:lpstr>
      <vt:lpstr>Januar</vt:lpstr>
      <vt:lpstr>Februar</vt:lpstr>
      <vt:lpstr>Maerz</vt:lpstr>
      <vt:lpstr>April</vt:lpstr>
      <vt:lpstr>Mai</vt:lpstr>
      <vt:lpstr>Juni</vt:lpstr>
      <vt:lpstr>Juli</vt:lpstr>
      <vt:lpstr>August</vt:lpstr>
      <vt:lpstr>September</vt:lpstr>
      <vt:lpstr>Oktober</vt:lpstr>
      <vt:lpstr>November</vt:lpstr>
      <vt:lpstr>Dezember</vt:lpstr>
      <vt:lpstr>Zeitkennzahlen (key figures)</vt:lpstr>
      <vt:lpstr>Umrechnung (calculation)</vt:lpstr>
      <vt:lpstr>Para1</vt:lpstr>
      <vt:lpstr>April!Druckbereich</vt:lpstr>
      <vt:lpstr>August!Druckbereich</vt:lpstr>
      <vt:lpstr>Dezember!Druckbereich</vt:lpstr>
      <vt:lpstr>Februar!Druckbereich</vt:lpstr>
      <vt:lpstr>'Jahresübersicht (Overview)'!Druckbereich</vt:lpstr>
      <vt:lpstr>Januar!Druckbereich</vt:lpstr>
      <vt:lpstr>Juli!Druckbereich</vt:lpstr>
      <vt:lpstr>Juni!Druckbereich</vt:lpstr>
      <vt:lpstr>Maerz!Druckbereich</vt:lpstr>
      <vt:lpstr>Mai!Druckbereich</vt:lpstr>
      <vt:lpstr>November!Druckbereich</vt:lpstr>
      <vt:lpstr>Oktober!Druckbereich</vt:lpstr>
      <vt:lpstr>'Persönliche Daten (pers. data)'!Druckbereich</vt:lpstr>
      <vt:lpstr>September!Druckbereich</vt:lpstr>
      <vt:lpstr>'Zeitkennzahlen (key figures)'!Druckbereich</vt:lpstr>
    </vt:vector>
  </TitlesOfParts>
  <Company>Universität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AD/VD Netz</dc:creator>
  <dc:description>Kennwort: aze</dc:description>
  <cp:lastModifiedBy>Microsoft Office-Benutzer</cp:lastModifiedBy>
  <cp:lastPrinted>2013-02-25T11:00:41Z</cp:lastPrinted>
  <dcterms:created xsi:type="dcterms:W3CDTF">1998-05-15T09:55:22Z</dcterms:created>
  <dcterms:modified xsi:type="dcterms:W3CDTF">2021-01-04T15:03:45Z</dcterms:modified>
</cp:coreProperties>
</file>