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-repo\IIC1062\Ayudantías\Ayudantía 11\"/>
    </mc:Choice>
  </mc:AlternateContent>
  <xr:revisionPtr revIDLastSave="0" documentId="13_ncr:1_{9EB2C774-C806-4E6C-9C13-91C24ED40737}" xr6:coauthVersionLast="45" xr6:coauthVersionMax="45" xr10:uidLastSave="{00000000-0000-0000-0000-000000000000}"/>
  <bookViews>
    <workbookView xWindow="-120" yWindow="-120" windowWidth="29040" windowHeight="15840" activeTab="2" xr2:uid="{7910E762-6985-465B-AA7C-98E92D8C465C}"/>
  </bookViews>
  <sheets>
    <sheet name="BD_productos" sheetId="1" r:id="rId1"/>
    <sheet name="BD_proveedores" sheetId="2" r:id="rId2"/>
    <sheet name="TD_1" sheetId="3" r:id="rId3"/>
  </sheets>
  <definedNames>
    <definedName name="_xlnm._FilterDatabase" localSheetId="0" hidden="1">BD_productos!$A$1:$N$1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34" i="1"/>
  <c r="T33" i="1"/>
  <c r="S33" i="1"/>
  <c r="T27" i="1"/>
  <c r="S35" i="1"/>
  <c r="S34" i="1"/>
  <c r="S27" i="1"/>
  <c r="T29" i="1"/>
  <c r="T28" i="1"/>
  <c r="S29" i="1"/>
  <c r="S28" i="1"/>
  <c r="Q23" i="1"/>
  <c r="Q19" i="1"/>
  <c r="S23" i="1"/>
  <c r="S19" i="1"/>
  <c r="S13" i="1"/>
  <c r="S15" i="1"/>
  <c r="S14" i="1"/>
  <c r="S11" i="1"/>
  <c r="S12" i="1"/>
  <c r="S10" i="1"/>
  <c r="T13" i="1"/>
  <c r="T15" i="1"/>
  <c r="T14" i="1"/>
  <c r="T11" i="1"/>
  <c r="T12" i="1"/>
  <c r="T10" i="1"/>
  <c r="R5" i="1"/>
  <c r="R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</calcChain>
</file>

<file path=xl/sharedStrings.xml><?xml version="1.0" encoding="utf-8"?>
<sst xmlns="http://schemas.openxmlformats.org/spreadsheetml/2006/main" count="214" uniqueCount="108">
  <si>
    <t>Número</t>
  </si>
  <si>
    <t xml:space="preserve">EAN </t>
  </si>
  <si>
    <t>Nombre</t>
  </si>
  <si>
    <t>Categoría</t>
  </si>
  <si>
    <t>Nº Proveedor</t>
  </si>
  <si>
    <t>Lámpara de Cielo 3 luces Pyton Eglo</t>
  </si>
  <si>
    <t>Cielo</t>
  </si>
  <si>
    <t>Basement Home Lámpara Articulada Sobremesa</t>
  </si>
  <si>
    <t>Mesa</t>
  </si>
  <si>
    <t>Lámpara de Cielo Pinto Nero Eglo</t>
  </si>
  <si>
    <t>Lámpara de Cielo Lord Eglo</t>
  </si>
  <si>
    <t>Basement Home Lámpara de Pie Tripode Negro</t>
  </si>
  <si>
    <t>Piso</t>
  </si>
  <si>
    <t>Lámpara de Mesa Tanga Eglo</t>
  </si>
  <si>
    <t>Mica Lampara 3 luces lágrimas gris</t>
  </si>
  <si>
    <t>Lámpara de Cielo Reed Amarillo Koziol</t>
  </si>
  <si>
    <t>Basement Home Lámpara Sobremesa Articulada Cromo</t>
  </si>
  <si>
    <t>Lámpara de Cielo Pinto Eglo</t>
  </si>
  <si>
    <t>LAMPARA INFANTIL SMOBY</t>
  </si>
  <si>
    <t>Niño</t>
  </si>
  <si>
    <t>Lámpara de Mesa Orion Rojo Koziol</t>
  </si>
  <si>
    <t>Lámpara de Mesa Orion Rosado Koziol</t>
  </si>
  <si>
    <t>Lámpara de Pie Brown Sugar Eglo</t>
  </si>
  <si>
    <t>Lámpara de Cielo Batista Eglo</t>
  </si>
  <si>
    <t>LAMPARA INFANTIL LUMINOPET LUMINOSO</t>
  </si>
  <si>
    <t>Mica Lámpara Led Velador</t>
  </si>
  <si>
    <t>Velador</t>
  </si>
  <si>
    <t>LAMPARA DE LAVA VOX</t>
  </si>
  <si>
    <t>Escritorio</t>
  </si>
  <si>
    <t>Lámpara de Mesa Orion Naranjo Koziol</t>
  </si>
  <si>
    <t>Basement Home Lámpara Sobremesa Flexible Paragon</t>
  </si>
  <si>
    <t>Mica Lámpara 3 Luces Lágrimas Negra</t>
  </si>
  <si>
    <t>Lámpara de cielo Josephine M Blanco</t>
  </si>
  <si>
    <t>Lámpara de Mesa Pinto Nero Eglo</t>
  </si>
  <si>
    <t>Basement Home Lámpara de Pie 2 Luces Argus</t>
  </si>
  <si>
    <t>Lámpara de Mesa Nizza Eglo</t>
  </si>
  <si>
    <t>Mica Lámpara 3 luces Lágrimas Roja</t>
  </si>
  <si>
    <t>Basement Home Lámpara Articulada Pi</t>
  </si>
  <si>
    <t>Lámpara de Pie Tube Eglo</t>
  </si>
  <si>
    <t>Lámpara de Cielo 3 luces Troy Eglo</t>
  </si>
  <si>
    <t>LAMPARA ESCRITORIO VOX</t>
  </si>
  <si>
    <t>Lámpara de Mesa Glossy Eglo</t>
  </si>
  <si>
    <t>Mica Lámpara Pie Led</t>
  </si>
  <si>
    <t>Lámpara de Cielo Reed Negro Koziol</t>
  </si>
  <si>
    <t>Lámpara de Cielo Sendo Eglo</t>
  </si>
  <si>
    <t>Lámpara de Cielo Troy Eglo</t>
  </si>
  <si>
    <t>Lámpara de Mesa Mood Rojo Koziol</t>
  </si>
  <si>
    <t>LAMPARA DE PISO VOX</t>
  </si>
  <si>
    <t>LAMPARA AMPOLLETA VOX</t>
  </si>
  <si>
    <t>Lámpara de Cielo 3 luces Tanga 1 Eglo</t>
  </si>
  <si>
    <t>Basement Home Lámpara Pie Flexime Paragon Led</t>
  </si>
  <si>
    <t>Lámpara de Cielo Brown Sugar Eglo</t>
  </si>
  <si>
    <t>Lámpara de Cielo 3 luces Almera Eglo</t>
  </si>
  <si>
    <t>Lámpara de Cielo 3 luces Brown Sugar Eglo</t>
  </si>
  <si>
    <t>Mica Lámpara Pie Led Cromada</t>
  </si>
  <si>
    <t>Lámpara de Mesa Amadora Eglo</t>
  </si>
  <si>
    <t>Basement Home Lámpara de Velador Ele</t>
  </si>
  <si>
    <t>Mica Lámpara Pie Led Negra</t>
  </si>
  <si>
    <t>Lámpara de Mesa Orion Negro Koziol</t>
  </si>
  <si>
    <t>Mica Lampara Pie Led Cromada</t>
  </si>
  <si>
    <t>LAMPARA DE GLITTER VOX</t>
  </si>
  <si>
    <t>Lámpara de Mesa Pyton Eglo</t>
  </si>
  <si>
    <t>Lámpara de Cielo Reed Rojo Koziol</t>
  </si>
  <si>
    <t>Lámpara de Cielo Tanga Eglo</t>
  </si>
  <si>
    <t>Basement Home Lámpara de Pie Ele</t>
  </si>
  <si>
    <t>Basement Home Lámpara Sobremesa con Tubo Paragon Led</t>
  </si>
  <si>
    <t>Lámpara de Pie Amadora Eglo</t>
  </si>
  <si>
    <t>Lámpara de Cielo Kameo Eglo</t>
  </si>
  <si>
    <t>Lámpara de Cielo Stella M Morado Koziol</t>
  </si>
  <si>
    <t>Lámpara de Mesa Orion Verde Koziol</t>
  </si>
  <si>
    <t>Lámpara de Cielo Amadora Eglo</t>
  </si>
  <si>
    <t>Basement Home Lámpara Sobremesa 2 Luces Argus</t>
  </si>
  <si>
    <t>Basement Home Lámpara de Sobremesa Flexible Pinzas Led</t>
  </si>
  <si>
    <t>Lámpara de Mesa Mood Naranjo Koziol</t>
  </si>
  <si>
    <t>Basement Home Lámpara sobre Mesa Tripode Lino</t>
  </si>
  <si>
    <t>Lámpara de Cielo Tanga 1 Eglo</t>
  </si>
  <si>
    <t>Lámpara de Cielo 3 luces Amadora Eglo</t>
  </si>
  <si>
    <t>Unidades vendidas</t>
  </si>
  <si>
    <t>Código producto</t>
  </si>
  <si>
    <t>Proveedor</t>
  </si>
  <si>
    <t>Código</t>
  </si>
  <si>
    <t>Importadora Oriental Ltda.</t>
  </si>
  <si>
    <t>Comercial  Taiwan S. A.</t>
  </si>
  <si>
    <t>Lejano Oriente S. A.</t>
  </si>
  <si>
    <t xml:space="preserve">Ingresos </t>
  </si>
  <si>
    <t>Utilidad unitaria</t>
  </si>
  <si>
    <t xml:space="preserve">Clasificación </t>
  </si>
  <si>
    <t>Productos vendidos por categoría</t>
  </si>
  <si>
    <t>Cantidad</t>
  </si>
  <si>
    <t>Producto más vendido</t>
  </si>
  <si>
    <t xml:space="preserve">Producto </t>
  </si>
  <si>
    <t>Producto menos vendido</t>
  </si>
  <si>
    <t>Productos vendidos por proveedor</t>
  </si>
  <si>
    <t>Utilidad total</t>
  </si>
  <si>
    <t>Ingresos</t>
  </si>
  <si>
    <t>Productos según clasificación</t>
  </si>
  <si>
    <t>Clasificación</t>
  </si>
  <si>
    <t>Total ingresos</t>
  </si>
  <si>
    <t>Total utilidad</t>
  </si>
  <si>
    <t>Precio venta</t>
  </si>
  <si>
    <t xml:space="preserve">Costo </t>
  </si>
  <si>
    <t>ALTA</t>
  </si>
  <si>
    <t>MEDIA</t>
  </si>
  <si>
    <t>BAJA</t>
  </si>
  <si>
    <t>Sum of Unidades vendidas</t>
  </si>
  <si>
    <t>Row Labels</t>
  </si>
  <si>
    <t>Grand Total</t>
  </si>
  <si>
    <t xml:space="preserve">Average of Costo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</si>
</sst>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 &quot;$&quot;* #,##0_ ;_ &quot;$&quot;* \-#,##0_ ;_ &quot;$&quot;* &quot;-&quot;_ ;_ @_ "/>
    <numFmt numFmtId="165" formatCode="_([$$-409]* #,##0_);_([$$-409]* \(#,##0\);_([$$-409]* &quot;-&quot;??_);_(@_)"/>
    <numFmt numFmtId="166" formatCode="_-&quot;$&quot;\ * #,##0_-;\-&quot;$&quot;\ * #,##0_-;_-&quot;$&quot;\ * &quot;-&quot;??_-;_-@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1" fontId="3" fillId="2" borderId="2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top"/>
    </xf>
    <xf numFmtId="165" fontId="3" fillId="0" borderId="2" xfId="0" applyNumberFormat="1" applyFont="1" applyBorder="1" applyAlignment="1">
      <alignment vertical="top"/>
    </xf>
    <xf numFmtId="166" fontId="3" fillId="2" borderId="2" xfId="0" applyNumberFormat="1" applyFont="1" applyFill="1" applyBorder="1" applyAlignment="1">
      <alignment vertical="top"/>
    </xf>
    <xf numFmtId="1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165" fontId="3" fillId="0" borderId="3" xfId="0" applyNumberFormat="1" applyFont="1" applyBorder="1" applyAlignment="1">
      <alignment vertical="top"/>
    </xf>
    <xf numFmtId="166" fontId="3" fillId="2" borderId="3" xfId="0" applyNumberFormat="1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/>
    </xf>
    <xf numFmtId="165" fontId="3" fillId="0" borderId="4" xfId="0" applyNumberFormat="1" applyFont="1" applyBorder="1" applyAlignment="1">
      <alignment vertical="top"/>
    </xf>
    <xf numFmtId="166" fontId="3" fillId="2" borderId="4" xfId="0" applyNumberFormat="1" applyFont="1" applyFill="1" applyBorder="1" applyAlignment="1">
      <alignment vertical="top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1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top"/>
    </xf>
    <xf numFmtId="166" fontId="0" fillId="0" borderId="19" xfId="0" applyNumberFormat="1" applyBorder="1"/>
    <xf numFmtId="0" fontId="0" fillId="0" borderId="19" xfId="0" applyBorder="1"/>
    <xf numFmtId="0" fontId="4" fillId="3" borderId="20" xfId="0" applyFont="1" applyFill="1" applyBorder="1" applyAlignment="1">
      <alignment horizontal="center" vertical="top"/>
    </xf>
    <xf numFmtId="0" fontId="4" fillId="3" borderId="21" xfId="0" applyFont="1" applyFill="1" applyBorder="1" applyAlignment="1">
      <alignment horizontal="center" vertical="top"/>
    </xf>
    <xf numFmtId="0" fontId="4" fillId="3" borderId="2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top"/>
    </xf>
    <xf numFmtId="164" fontId="0" fillId="0" borderId="0" xfId="1" applyFont="1" applyFill="1" applyBorder="1" applyAlignment="1">
      <alignment vertical="center"/>
    </xf>
    <xf numFmtId="164" fontId="0" fillId="0" borderId="14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8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164" fontId="0" fillId="0" borderId="10" xfId="1" applyFont="1" applyFill="1" applyBorder="1" applyAlignment="1">
      <alignment horizontal="center" vertical="center"/>
    </xf>
    <xf numFmtId="164" fontId="0" fillId="0" borderId="11" xfId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top"/>
    </xf>
    <xf numFmtId="0" fontId="3" fillId="2" borderId="27" xfId="0" applyFont="1" applyFill="1" applyBorder="1" applyAlignment="1">
      <alignment horizontal="center" vertical="top"/>
    </xf>
    <xf numFmtId="0" fontId="3" fillId="2" borderId="28" xfId="0" applyFont="1" applyFill="1" applyBorder="1" applyAlignment="1">
      <alignment horizontal="center" vertical="top"/>
    </xf>
    <xf numFmtId="0" fontId="3" fillId="2" borderId="29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center"/>
    </xf>
    <xf numFmtId="0" fontId="5" fillId="0" borderId="8" xfId="0" applyFont="1" applyBorder="1"/>
    <xf numFmtId="0" fontId="4" fillId="3" borderId="27" xfId="0" applyFont="1" applyFill="1" applyBorder="1" applyAlignment="1">
      <alignment horizontal="center"/>
    </xf>
    <xf numFmtId="0" fontId="4" fillId="3" borderId="7" xfId="0" applyFont="1" applyFill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/>
    <xf numFmtId="0" fontId="0" fillId="0" borderId="0" xfId="0" applyAlignment="1"/>
    <xf numFmtId="168" fontId="0" fillId="0" borderId="14" xfId="2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2" fontId="0" fillId="0" borderId="0" xfId="0" applyNumberFormat="1"/>
  </cellXfs>
  <cellStyles count="3">
    <cellStyle name="Currency" xfId="2" builtinId="4"/>
    <cellStyle name="Currency [0]" xfId="1" builtinId="7"/>
    <cellStyle name="Normal" xfId="0" builtinId="0"/>
  </cellStyles>
  <dxfs count="24"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-&quot;$&quot;\ * #,##0_-;\-&quot;$&quot;\ * #,##0_-;_-&quot;$&quot;\ * &quot;-&quot;??_-;_-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-&quot;$&quot;\ * #,##0_-;\-&quot;$&quot;\ * #,##0_-;_-&quot;$&quot;\ * &quot;-&quot;??_-;_-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-&quot;$&quot;\ * #,##0_-;\-&quot;$&quot;\ * #,##0_-;_-&quot;$&quot;\ * &quot;-&quot;??_-;_-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-&quot;$&quot;\ * #,##0_-;\-&quot;$&quot;\ * #,##0_-;_-&quot;$&quot;\ * &quot;-&quot;??_-;_-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6" formatCode="_-&quot;$&quot;\ * #,##0_-;\-&quot;$&quot;\ * #,##0_-;_-&quot;$&quot;\ * &quot;-&quot;??_-;_-@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00"/>
          <bgColor theme="4" tint="0.79998168889431442"/>
        </patternFill>
      </fill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$&quot;\ * #,##0_-;\-&quot;$&quot;\ * #,##0_-;_-&quot;$&quot;\ * &quot;-&quot;??_-;_-@"/>
      <fill>
        <patternFill patternType="solid">
          <fgColor theme="0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[$$-409]* #,##0_);_([$$-409]* \(#,##0\);_([$$-409]* &quot;-&quot;??_);_(@_)"/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theme="0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Duhalde" refreshedDate="44012.60858576389" createdVersion="6" refreshedVersion="6" minRefreshableVersion="3" recordCount="71" xr:uid="{AB41400C-C9DC-45E4-B403-DF5FAB1C6B72}">
  <cacheSource type="worksheet">
    <worksheetSource name="BD"/>
  </cacheSource>
  <cacheFields count="14">
    <cacheField name="Número" numFmtId="0">
      <sharedItems containsSemiMixedTypes="0" containsString="0" containsNumber="1" containsInteger="1" minValue="1" maxValue="71"/>
    </cacheField>
    <cacheField name="EAN " numFmtId="1">
      <sharedItems containsSemiMixedTypes="0" containsString="0" containsNumber="1" containsInteger="1" minValue="7801130794486" maxValue="7809949055835"/>
    </cacheField>
    <cacheField name="Nombre" numFmtId="0">
      <sharedItems count="66">
        <s v="Lámpara de Cielo 3 luces Pyton Eglo"/>
        <s v="Basement Home Lámpara Articulada Sobremesa"/>
        <s v="Lámpara de Cielo Pinto Nero Eglo"/>
        <s v="Lámpara de Cielo Lord Eglo"/>
        <s v="Basement Home Lámpara de Pie Tripode Negro"/>
        <s v="Lámpara de Mesa Tanga Eglo"/>
        <s v="Mica Lampara 3 luces lágrimas gris"/>
        <s v="Lámpara de Cielo Reed Amarillo Koziol"/>
        <s v="Basement Home Lámpara Sobremesa Articulada Cromo"/>
        <s v="Lámpara de Cielo Pinto Eglo"/>
        <s v="LAMPARA INFANTIL SMOBY"/>
        <s v="Lámpara de Mesa Orion Rojo Koziol"/>
        <s v="Lámpara de Mesa Orion Rosado Koziol"/>
        <s v="Lámpara de Pie Brown Sugar Eglo"/>
        <s v="Lámpara de Cielo Batista Eglo"/>
        <s v="LAMPARA INFANTIL LUMINOPET LUMINOSO"/>
        <s v="Mica Lámpara Led Velador"/>
        <s v="LAMPARA DE LAVA VOX"/>
        <s v="Lámpara de Mesa Orion Naranjo Koziol"/>
        <s v="Basement Home Lámpara Sobremesa Flexible Paragon"/>
        <s v="Mica Lámpara 3 Luces Lágrimas Negra"/>
        <s v="Lámpara de cielo Josephine M Blanco"/>
        <s v="Lámpara de Mesa Pinto Nero Eglo"/>
        <s v="Basement Home Lámpara de Pie 2 Luces Argus"/>
        <s v="Lámpara de Mesa Nizza Eglo"/>
        <s v="Mica Lámpara 3 luces Lágrimas Roja"/>
        <s v="Basement Home Lámpara Articulada Pi"/>
        <s v="Lámpara de Pie Tube Eglo"/>
        <s v="Lámpara de Cielo 3 luces Troy Eglo"/>
        <s v="LAMPARA ESCRITORIO VOX"/>
        <s v="Lámpara de Mesa Glossy Eglo"/>
        <s v="Mica Lámpara Pie Led"/>
        <s v="Lámpara de Cielo Reed Negro Koziol"/>
        <s v="Lámpara de Cielo Sendo Eglo"/>
        <s v="Lámpara de Cielo Troy Eglo"/>
        <s v="Lámpara de Mesa Mood Rojo Koziol"/>
        <s v="LAMPARA DE PISO VOX"/>
        <s v="LAMPARA AMPOLLETA VOX"/>
        <s v="Lámpara de Cielo 3 luces Tanga 1 Eglo"/>
        <s v="Basement Home Lámpara Pie Flexime Paragon Led"/>
        <s v="Lámpara de Cielo Brown Sugar Eglo"/>
        <s v="Lámpara de Cielo 3 luces Almera Eglo"/>
        <s v="Lámpara de Cielo 3 luces Brown Sugar Eglo"/>
        <s v="Mica Lámpara Pie Led Cromada"/>
        <s v="Lámpara de Mesa Amadora Eglo"/>
        <s v="Basement Home Lámpara de Velador Ele"/>
        <s v="Mica Lámpara Pie Led Negra"/>
        <s v="Lámpara de Mesa Orion Negro Koziol"/>
        <s v="Mica Lampara Pie Led Cromada"/>
        <s v="LAMPARA DE GLITTER VOX"/>
        <s v="Lámpara de Mesa Pyton Eglo"/>
        <s v="Lámpara de Cielo Reed Rojo Koziol"/>
        <s v="Lámpara de Cielo Tanga Eglo"/>
        <s v="Basement Home Lámpara de Pie Ele"/>
        <s v="Basement Home Lámpara Sobremesa con Tubo Paragon Led"/>
        <s v="Lámpara de Pie Amadora Eglo"/>
        <s v="Lámpara de Cielo Kameo Eglo"/>
        <s v="Lámpara de Cielo Stella M Morado Koziol"/>
        <s v="Lámpara de Mesa Orion Verde Koziol"/>
        <s v="Lámpara de Cielo Amadora Eglo"/>
        <s v="Basement Home Lámpara Sobremesa 2 Luces Argus"/>
        <s v="Basement Home Lámpara de Sobremesa Flexible Pinzas Led"/>
        <s v="Lámpara de Mesa Mood Naranjo Koziol"/>
        <s v="Basement Home Lámpara sobre Mesa Tripode Lino"/>
        <s v="Lámpara de Cielo Tanga 1 Eglo"/>
        <s v="Lámpara de Cielo 3 luces Amadora Eglo"/>
      </sharedItems>
    </cacheField>
    <cacheField name="Categoría" numFmtId="0">
      <sharedItems count="6">
        <s v="Cielo"/>
        <s v="Mesa"/>
        <s v="Piso"/>
        <s v="Niño"/>
        <s v="Velador"/>
        <s v="Escritorio"/>
      </sharedItems>
    </cacheField>
    <cacheField name="Costo " numFmtId="165">
      <sharedItems containsSemiMixedTypes="0" containsString="0" containsNumber="1" containsInteger="1" minValue="4954" maxValue="84361"/>
    </cacheField>
    <cacheField name="Precio venta" numFmtId="166">
      <sharedItems containsSemiMixedTypes="0" containsString="0" containsNumber="1" minValue="9937.8798058252432" maxValue="162000"/>
    </cacheField>
    <cacheField name="Nº Proveedor" numFmtId="0">
      <sharedItems containsSemiMixedTypes="0" containsString="0" containsNumber="1" containsInteger="1" minValue="1" maxValue="3"/>
    </cacheField>
    <cacheField name="Unidades vendidas" numFmtId="0">
      <sharedItems containsSemiMixedTypes="0" containsString="0" containsNumber="1" containsInteger="1" minValue="1" maxValue="100"/>
    </cacheField>
    <cacheField name="Código producto" numFmtId="166">
      <sharedItems/>
    </cacheField>
    <cacheField name="Proveedor" numFmtId="166">
      <sharedItems/>
    </cacheField>
    <cacheField name="Ingresos " numFmtId="166">
      <sharedItems containsSemiMixedTypes="0" containsString="0" containsNumber="1" minValue="54245.171650485441" maxValue="14256000"/>
    </cacheField>
    <cacheField name="Utilidad unitaria" numFmtId="166">
      <sharedItems containsSemiMixedTypes="0" containsString="0" containsNumber="1" minValue="4983.8798058252432" maxValue="83853.487766990293"/>
    </cacheField>
    <cacheField name="Utilidad total" numFmtId="166">
      <sharedItems containsSemiMixedTypes="0" containsString="0" containsNumber="1" minValue="28339.171650485441" maxValue="7031982.6601941753"/>
    </cacheField>
    <cacheField name="Clasificación " numFmtId="0">
      <sharedItems count="3">
        <s v="ALTA"/>
        <s v="MEDIA"/>
        <s v="BAJ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n v="7801130794486"/>
    <x v="0"/>
    <x v="0"/>
    <n v="84361"/>
    <n v="162000"/>
    <n v="3"/>
    <n v="88"/>
    <s v="486LámC"/>
    <s v="Lejano Oriente S. A."/>
    <n v="14256000"/>
    <n v="77639"/>
    <n v="6832232"/>
    <x v="0"/>
  </r>
  <r>
    <n v="2"/>
    <n v="7801305809069"/>
    <x v="1"/>
    <x v="1"/>
    <n v="46448"/>
    <n v="91000"/>
    <n v="1"/>
    <n v="68"/>
    <s v="069BasM"/>
    <s v="Importadora Oriental Ltda."/>
    <n v="6188000"/>
    <n v="44552"/>
    <n v="3029536"/>
    <x v="0"/>
  </r>
  <r>
    <n v="3"/>
    <n v="7801357246126"/>
    <x v="2"/>
    <x v="0"/>
    <n v="31448"/>
    <n v="64000"/>
    <n v="1"/>
    <n v="77"/>
    <s v="126LámC"/>
    <s v="Importadora Oriental Ltda."/>
    <n v="4928000"/>
    <n v="32552"/>
    <n v="2506504"/>
    <x v="1"/>
  </r>
  <r>
    <n v="4"/>
    <n v="7801470268777"/>
    <x v="3"/>
    <x v="0"/>
    <n v="11409"/>
    <n v="23229.376310679614"/>
    <n v="3"/>
    <n v="95"/>
    <s v="777LámC"/>
    <s v="Lejano Oriente S. A."/>
    <n v="2206790.7495145635"/>
    <n v="11820.376310679614"/>
    <n v="1122935.7495145632"/>
    <x v="1"/>
  </r>
  <r>
    <n v="5"/>
    <n v="7801566649404"/>
    <x v="4"/>
    <x v="2"/>
    <n v="36205"/>
    <n v="78347.304854368937"/>
    <n v="3"/>
    <n v="45"/>
    <s v="404BasP"/>
    <s v="Lejano Oriente S. A."/>
    <n v="3525628.7184466021"/>
    <n v="42142.304854368937"/>
    <n v="1896403.7184466021"/>
    <x v="1"/>
  </r>
  <r>
    <n v="6"/>
    <n v="7801585511645"/>
    <x v="5"/>
    <x v="1"/>
    <n v="30749"/>
    <n v="67093.746019417478"/>
    <n v="3"/>
    <n v="5"/>
    <s v="645LámM"/>
    <s v="Lejano Oriente S. A."/>
    <n v="335468.73009708739"/>
    <n v="36344.746019417478"/>
    <n v="181723.73009708739"/>
    <x v="1"/>
  </r>
  <r>
    <n v="7"/>
    <n v="7801697430469"/>
    <x v="6"/>
    <x v="0"/>
    <n v="34943"/>
    <n v="74707.53203883495"/>
    <n v="2"/>
    <n v="28"/>
    <s v="469MicC"/>
    <s v="Comercial  Taiwan S. A."/>
    <n v="2091810.8970873787"/>
    <n v="39764.53203883495"/>
    <n v="1113406.8970873787"/>
    <x v="1"/>
  </r>
  <r>
    <n v="8"/>
    <n v="7801888869528"/>
    <x v="7"/>
    <x v="0"/>
    <n v="30578"/>
    <n v="59382.777669902913"/>
    <n v="3"/>
    <n v="79"/>
    <s v="528LámC"/>
    <s v="Lejano Oriente S. A."/>
    <n v="4691239.4359223302"/>
    <n v="28804.777669902913"/>
    <n v="2275577.4359223302"/>
    <x v="1"/>
  </r>
  <r>
    <n v="9"/>
    <n v="7802005131603"/>
    <x v="8"/>
    <x v="1"/>
    <n v="23702"/>
    <n v="51574.580194174756"/>
    <n v="3"/>
    <n v="12"/>
    <s v="603BasM"/>
    <s v="Lejano Oriente S. A."/>
    <n v="618894.9623300971"/>
    <n v="27872.580194174756"/>
    <n v="334470.9623300971"/>
    <x v="1"/>
  </r>
  <r>
    <n v="10"/>
    <n v="7802047351151"/>
    <x v="9"/>
    <x v="0"/>
    <n v="29555"/>
    <n v="63778.956699029128"/>
    <n v="2"/>
    <n v="65"/>
    <s v="151LámC"/>
    <s v="Comercial  Taiwan S. A."/>
    <n v="4145632.1854368933"/>
    <n v="34223.956699029128"/>
    <n v="2224557.1854368933"/>
    <x v="1"/>
  </r>
  <r>
    <n v="11"/>
    <n v="7802147246937"/>
    <x v="10"/>
    <x v="3"/>
    <n v="4954"/>
    <n v="9937.8798058252432"/>
    <n v="3"/>
    <n v="68"/>
    <s v="937LAMN"/>
    <s v="Lejano Oriente S. A."/>
    <n v="675775.82679611654"/>
    <n v="4983.8798058252432"/>
    <n v="338903.82679611654"/>
    <x v="2"/>
  </r>
  <r>
    <n v="12"/>
    <n v="7802234957111"/>
    <x v="11"/>
    <x v="1"/>
    <n v="28830"/>
    <n v="61868.554951456317"/>
    <n v="2"/>
    <n v="1"/>
    <s v="111LámM"/>
    <s v="Comercial  Taiwan S. A."/>
    <n v="61868.554951456317"/>
    <n v="33038.554951456317"/>
    <n v="33038.554951456317"/>
    <x v="1"/>
  </r>
  <r>
    <n v="13"/>
    <n v="7802412459321"/>
    <x v="12"/>
    <x v="1"/>
    <n v="24665"/>
    <n v="53770.610097087381"/>
    <n v="3"/>
    <n v="43"/>
    <s v="321LámM"/>
    <s v="Lejano Oriente S. A."/>
    <n v="2312136.2341747573"/>
    <n v="29105.610097087381"/>
    <n v="1251541.2341747575"/>
    <x v="1"/>
  </r>
  <r>
    <n v="14"/>
    <n v="7802819605420"/>
    <x v="13"/>
    <x v="2"/>
    <n v="37372"/>
    <n v="73248.815533980582"/>
    <n v="3"/>
    <n v="97"/>
    <s v="420LámP"/>
    <s v="Lejano Oriente S. A."/>
    <n v="7105135.1067961166"/>
    <n v="35876.815533980582"/>
    <n v="3480051.1067961166"/>
    <x v="0"/>
  </r>
  <r>
    <n v="15"/>
    <n v="7802871717666"/>
    <x v="14"/>
    <x v="0"/>
    <n v="22741"/>
    <n v="43207.291262135921"/>
    <n v="1"/>
    <n v="10"/>
    <s v="666LámC"/>
    <s v="Importadora Oriental Ltda."/>
    <n v="432072.91262135922"/>
    <n v="20466.291262135921"/>
    <n v="204662.91262135922"/>
    <x v="1"/>
  </r>
  <r>
    <n v="16"/>
    <n v="7802896078384"/>
    <x v="15"/>
    <x v="3"/>
    <n v="17079"/>
    <n v="36787.810485436894"/>
    <n v="3"/>
    <n v="98"/>
    <s v="384LAMN"/>
    <s v="Lejano Oriente S. A."/>
    <n v="3605205.4275728157"/>
    <n v="19708.810485436894"/>
    <n v="1931463.4275728157"/>
    <x v="1"/>
  </r>
  <r>
    <n v="17"/>
    <n v="7802941555419"/>
    <x v="16"/>
    <x v="4"/>
    <n v="15138"/>
    <n v="31154.123883495147"/>
    <n v="1"/>
    <n v="35"/>
    <s v="419MicV"/>
    <s v="Importadora Oriental Ltda."/>
    <n v="1090394.3359223302"/>
    <n v="16016.123883495147"/>
    <n v="560564.33592233015"/>
    <x v="2"/>
  </r>
  <r>
    <n v="18"/>
    <n v="7803350771933"/>
    <x v="17"/>
    <x v="5"/>
    <n v="16593"/>
    <n v="34812.541747572817"/>
    <n v="2"/>
    <n v="74"/>
    <s v="933LAME"/>
    <s v="Comercial  Taiwan S. A."/>
    <n v="2576128.0893203886"/>
    <n v="18219.541747572817"/>
    <n v="1348246.0893203884"/>
    <x v="1"/>
  </r>
  <r>
    <n v="19"/>
    <n v="7803441875823"/>
    <x v="18"/>
    <x v="1"/>
    <n v="22743"/>
    <n v="48034.1387184466"/>
    <n v="3"/>
    <n v="98"/>
    <s v="823LámM"/>
    <s v="Lejano Oriente S. A."/>
    <n v="4707345.5944077671"/>
    <n v="25291.1387184466"/>
    <n v="2478531.5944077671"/>
    <x v="1"/>
  </r>
  <r>
    <n v="20"/>
    <n v="7803606809144"/>
    <x v="19"/>
    <x v="1"/>
    <n v="33633"/>
    <n v="70159.065825242724"/>
    <n v="1"/>
    <n v="73"/>
    <s v="144BasM"/>
    <s v="Importadora Oriental Ltda."/>
    <n v="5121611.8052427191"/>
    <n v="36526.065825242724"/>
    <n v="2666402.8052427187"/>
    <x v="1"/>
  </r>
  <r>
    <n v="21"/>
    <n v="7803921254094"/>
    <x v="20"/>
    <x v="0"/>
    <n v="29119"/>
    <n v="60392.665048543691"/>
    <n v="2"/>
    <n v="2"/>
    <s v="094MicC"/>
    <s v="Comercial  Taiwan S. A."/>
    <n v="120785.33009708738"/>
    <n v="31273.665048543691"/>
    <n v="62547.330097087382"/>
    <x v="1"/>
  </r>
  <r>
    <n v="22"/>
    <n v="7803996699585"/>
    <x v="21"/>
    <x v="0"/>
    <n v="36286"/>
    <n v="76708.768194174758"/>
    <n v="1"/>
    <n v="25"/>
    <s v="585LámC"/>
    <s v="Importadora Oriental Ltda."/>
    <n v="1917719.2048543689"/>
    <n v="40422.768194174758"/>
    <n v="1010569.2048543689"/>
    <x v="1"/>
  </r>
  <r>
    <n v="23"/>
    <n v="7804405384702"/>
    <x v="22"/>
    <x v="1"/>
    <n v="32225"/>
    <n v="70443.743883495146"/>
    <n v="2"/>
    <n v="90"/>
    <s v="702LámM"/>
    <s v="Comercial  Taiwan S. A."/>
    <n v="6339936.9495145632"/>
    <n v="38218.743883495146"/>
    <n v="3439686.9495145632"/>
    <x v="0"/>
  </r>
  <r>
    <n v="24"/>
    <n v="7804556874572"/>
    <x v="23"/>
    <x v="2"/>
    <n v="39507"/>
    <n v="81859.288543689327"/>
    <n v="2"/>
    <n v="84"/>
    <s v="572BasP"/>
    <s v="Comercial  Taiwan S. A."/>
    <n v="6876180.2376699038"/>
    <n v="42352.288543689327"/>
    <n v="3557592.2376699033"/>
    <x v="0"/>
  </r>
  <r>
    <n v="25"/>
    <n v="7804565733907"/>
    <x v="24"/>
    <x v="1"/>
    <n v="14362"/>
    <n v="31394.78019417476"/>
    <n v="1"/>
    <n v="81"/>
    <s v="907LámM"/>
    <s v="Importadora Oriental Ltda."/>
    <n v="2542977.1957281558"/>
    <n v="17032.78019417476"/>
    <n v="1379655.1957281556"/>
    <x v="1"/>
  </r>
  <r>
    <n v="26"/>
    <n v="7804693691131"/>
    <x v="25"/>
    <x v="0"/>
    <n v="27178"/>
    <n v="56746.974757281554"/>
    <n v="1"/>
    <n v="83"/>
    <s v="131MicC"/>
    <s v="Importadora Oriental Ltda."/>
    <n v="4709998.9048543693"/>
    <n v="29568.974757281554"/>
    <n v="2454224.9048543689"/>
    <x v="1"/>
  </r>
  <r>
    <n v="27"/>
    <n v="7804788222905"/>
    <x v="26"/>
    <x v="2"/>
    <n v="54361"/>
    <n v="117093.94951456311"/>
    <n v="3"/>
    <n v="45"/>
    <s v="905BasP"/>
    <s v="Lejano Oriente S. A."/>
    <n v="5269227.7281553401"/>
    <n v="62732.949514563108"/>
    <n v="2822982.7281553401"/>
    <x v="0"/>
  </r>
  <r>
    <n v="28"/>
    <n v="7804907236110"/>
    <x v="27"/>
    <x v="2"/>
    <n v="37147"/>
    <n v="78008.067961165041"/>
    <n v="3"/>
    <n v="77"/>
    <s v="110LámP"/>
    <s v="Lejano Oriente S. A."/>
    <n v="6006621.2330097081"/>
    <n v="40861.067961165041"/>
    <n v="3146302.2330097081"/>
    <x v="0"/>
  </r>
  <r>
    <n v="29"/>
    <n v="7805028956048"/>
    <x v="28"/>
    <x v="0"/>
    <n v="38119"/>
    <n v="76923.613009708744"/>
    <n v="3"/>
    <n v="35"/>
    <s v="048LámC"/>
    <s v="Lejano Oriente S. A."/>
    <n v="2692326.4553398062"/>
    <n v="38804.613009708744"/>
    <n v="1358161.4553398062"/>
    <x v="1"/>
  </r>
  <r>
    <n v="30"/>
    <n v="7805052680827"/>
    <x v="29"/>
    <x v="5"/>
    <n v="7856"/>
    <n v="16262.362135922333"/>
    <n v="2"/>
    <n v="7"/>
    <s v="827LAME"/>
    <s v="Comercial  Taiwan S. A."/>
    <n v="113836.53495145633"/>
    <n v="8406.3621359223325"/>
    <n v="58844.534951456328"/>
    <x v="2"/>
  </r>
  <r>
    <n v="31"/>
    <n v="7805111853308"/>
    <x v="30"/>
    <x v="1"/>
    <n v="29040"/>
    <n v="58835.040000000001"/>
    <n v="1"/>
    <n v="11"/>
    <s v="308LámM"/>
    <s v="Importadora Oriental Ltda."/>
    <n v="647185.44000000006"/>
    <n v="29795.040000000001"/>
    <n v="327745.44"/>
    <x v="1"/>
  </r>
  <r>
    <n v="32"/>
    <n v="7805367674474"/>
    <x v="31"/>
    <x v="2"/>
    <n v="20964"/>
    <n v="41005.356116504852"/>
    <n v="3"/>
    <n v="98"/>
    <s v="474MicP"/>
    <s v="Lejano Oriente S. A."/>
    <n v="4018524.8994174753"/>
    <n v="20041.356116504852"/>
    <n v="1964052.8994174756"/>
    <x v="1"/>
  </r>
  <r>
    <n v="33"/>
    <n v="7805671225140"/>
    <x v="32"/>
    <x v="0"/>
    <n v="32617"/>
    <n v="66407.599223300975"/>
    <n v="3"/>
    <n v="66"/>
    <s v="140LámC"/>
    <s v="Lejano Oriente S. A."/>
    <n v="4382901.548737864"/>
    <n v="33790.599223300975"/>
    <n v="2230179.5487378645"/>
    <x v="1"/>
  </r>
  <r>
    <n v="34"/>
    <n v="7805683368279"/>
    <x v="33"/>
    <x v="0"/>
    <n v="18749"/>
    <n v="37498.25242718446"/>
    <n v="3"/>
    <n v="8"/>
    <s v="279LámC"/>
    <s v="Lejano Oriente S. A."/>
    <n v="299986.01941747568"/>
    <n v="18749.25242718446"/>
    <n v="149994.01941747568"/>
    <x v="2"/>
  </r>
  <r>
    <n v="35"/>
    <n v="7805971729898"/>
    <x v="34"/>
    <x v="0"/>
    <n v="15021"/>
    <n v="30131.678058252426"/>
    <n v="3"/>
    <n v="30"/>
    <s v="898LámC"/>
    <s v="Lejano Oriente S. A."/>
    <n v="903950.34174757276"/>
    <n v="15110.678058252426"/>
    <n v="453320.34174757276"/>
    <x v="2"/>
  </r>
  <r>
    <n v="36"/>
    <n v="7806069081669"/>
    <x v="35"/>
    <x v="1"/>
    <n v="14605"/>
    <n v="30700.301825242721"/>
    <n v="2"/>
    <n v="3"/>
    <s v="669LámM"/>
    <s v="Comercial  Taiwan S. A."/>
    <n v="92100.905475728156"/>
    <n v="16095.301825242721"/>
    <n v="48285.905475728163"/>
    <x v="2"/>
  </r>
  <r>
    <n v="37"/>
    <n v="7806319473176"/>
    <x v="36"/>
    <x v="2"/>
    <n v="28875"/>
    <n v="62832.528155339809"/>
    <n v="2"/>
    <n v="41"/>
    <s v="176LAMP"/>
    <s v="Comercial  Taiwan S. A."/>
    <n v="2576133.6543689324"/>
    <n v="33957.528155339809"/>
    <n v="1392258.6543689321"/>
    <x v="1"/>
  </r>
  <r>
    <n v="38"/>
    <n v="7806322682558"/>
    <x v="37"/>
    <x v="4"/>
    <n v="13196"/>
    <n v="25706.034951456309"/>
    <n v="2"/>
    <n v="15"/>
    <s v="558LAMV"/>
    <s v="Comercial  Taiwan S. A."/>
    <n v="385590.52427184465"/>
    <n v="12510.034951456309"/>
    <n v="187650.52427184465"/>
    <x v="2"/>
  </r>
  <r>
    <n v="39"/>
    <n v="7806396185610"/>
    <x v="17"/>
    <x v="5"/>
    <n v="15671"/>
    <n v="30653.178640776699"/>
    <n v="1"/>
    <n v="68"/>
    <s v="610LAME"/>
    <s v="Importadora Oriental Ltda."/>
    <n v="2084416.1475728157"/>
    <n v="14982.178640776699"/>
    <n v="1018788.1475728155"/>
    <x v="1"/>
  </r>
  <r>
    <n v="40"/>
    <n v="7806482442269"/>
    <x v="38"/>
    <x v="0"/>
    <n v="62360"/>
    <n v="135945.64660194173"/>
    <n v="1"/>
    <n v="10"/>
    <s v="269LámC"/>
    <s v="Importadora Oriental Ltda."/>
    <n v="1359456.4660194172"/>
    <n v="73585.646601941728"/>
    <n v="735856.46601941728"/>
    <x v="0"/>
  </r>
  <r>
    <n v="41"/>
    <n v="7806533722043"/>
    <x v="36"/>
    <x v="2"/>
    <n v="75137"/>
    <n v="158990.48776699029"/>
    <n v="1"/>
    <n v="62"/>
    <s v="043LAMP"/>
    <s v="Importadora Oriental Ltda."/>
    <n v="9857410.2415533978"/>
    <n v="83853.487766990293"/>
    <n v="5198916.2415533978"/>
    <x v="0"/>
  </r>
  <r>
    <n v="42"/>
    <n v="7806757448835"/>
    <x v="36"/>
    <x v="2"/>
    <n v="42517"/>
    <n v="88350.709320388341"/>
    <n v="2"/>
    <n v="76"/>
    <s v="835LAMP"/>
    <s v="Comercial  Taiwan S. A."/>
    <n v="6714653.908349514"/>
    <n v="45833.709320388341"/>
    <n v="3483361.908349514"/>
    <x v="0"/>
  </r>
  <r>
    <n v="43"/>
    <n v="7806855300257"/>
    <x v="39"/>
    <x v="2"/>
    <n v="51836"/>
    <n v="111136.42563106795"/>
    <n v="3"/>
    <n v="40"/>
    <s v="257BasP"/>
    <s v="Lejano Oriente S. A."/>
    <n v="4445457.0252427179"/>
    <n v="59300.425631067948"/>
    <n v="2372017.0252427179"/>
    <x v="0"/>
  </r>
  <r>
    <n v="44"/>
    <n v="7807134307899"/>
    <x v="40"/>
    <x v="0"/>
    <n v="19294"/>
    <n v="39128.389514563103"/>
    <n v="1"/>
    <n v="44"/>
    <s v="899LámC"/>
    <s v="Importadora Oriental Ltda."/>
    <n v="1721649.1386407765"/>
    <n v="19834.389514563103"/>
    <n v="872713.13864077651"/>
    <x v="2"/>
  </r>
  <r>
    <n v="45"/>
    <n v="7807153985740"/>
    <x v="41"/>
    <x v="0"/>
    <n v="66168"/>
    <n v="131012.37087378641"/>
    <n v="1"/>
    <n v="7"/>
    <s v="740LámC"/>
    <s v="Importadora Oriental Ltda."/>
    <n v="917086.59611650486"/>
    <n v="64844.370873786407"/>
    <n v="453910.59611650486"/>
    <x v="0"/>
  </r>
  <r>
    <n v="46"/>
    <n v="7807275218436"/>
    <x v="42"/>
    <x v="0"/>
    <n v="74263"/>
    <n v="156992.20776699029"/>
    <n v="3"/>
    <n v="85"/>
    <s v="436LámC"/>
    <s v="Lejano Oriente S. A."/>
    <n v="13344337.660194175"/>
    <n v="82729.207766990294"/>
    <n v="7031982.6601941753"/>
    <x v="0"/>
  </r>
  <r>
    <n v="47"/>
    <n v="7807291472423"/>
    <x v="43"/>
    <x v="2"/>
    <n v="31060"/>
    <n v="61934.027184466016"/>
    <n v="2"/>
    <n v="53"/>
    <s v="423MicP"/>
    <s v="Comercial  Taiwan S. A."/>
    <n v="3282503.4407766988"/>
    <n v="30874.027184466016"/>
    <n v="1636323.4407766988"/>
    <x v="1"/>
  </r>
  <r>
    <n v="48"/>
    <n v="7807461895496"/>
    <x v="44"/>
    <x v="1"/>
    <n v="18080"/>
    <n v="36014.393009708743"/>
    <n v="1"/>
    <n v="100"/>
    <s v="496LámM"/>
    <s v="Importadora Oriental Ltda."/>
    <n v="3601439.3009708743"/>
    <n v="17934.393009708743"/>
    <n v="1793439.3009708743"/>
    <x v="1"/>
  </r>
  <r>
    <n v="49"/>
    <n v="7807590424338"/>
    <x v="45"/>
    <x v="4"/>
    <n v="13780"/>
    <n v="28303.122912621358"/>
    <n v="1"/>
    <n v="62"/>
    <s v="338BasV"/>
    <s v="Importadora Oriental Ltda."/>
    <n v="1754793.6205825242"/>
    <n v="14523.122912621358"/>
    <n v="900433.62058252422"/>
    <x v="2"/>
  </r>
  <r>
    <n v="50"/>
    <n v="7807620078746"/>
    <x v="46"/>
    <x v="2"/>
    <n v="32225"/>
    <n v="64836.602330097085"/>
    <n v="2"/>
    <n v="27"/>
    <s v="746MicP"/>
    <s v="Comercial  Taiwan S. A."/>
    <n v="1750588.2629126213"/>
    <n v="32611.602330097085"/>
    <n v="880513.26291262126"/>
    <x v="1"/>
  </r>
  <r>
    <n v="51"/>
    <n v="7807682660743"/>
    <x v="47"/>
    <x v="1"/>
    <n v="24986"/>
    <n v="53369.556815533979"/>
    <n v="2"/>
    <n v="50"/>
    <s v="743LámM"/>
    <s v="Comercial  Taiwan S. A."/>
    <n v="2668477.8407766991"/>
    <n v="28383.556815533979"/>
    <n v="1419177.8407766989"/>
    <x v="1"/>
  </r>
  <r>
    <n v="52"/>
    <n v="7807950399283"/>
    <x v="48"/>
    <x v="2"/>
    <n v="25914"/>
    <n v="52812.098834951459"/>
    <n v="1"/>
    <n v="65"/>
    <s v="283MicP"/>
    <s v="Importadora Oriental Ltda."/>
    <n v="3432786.4242718448"/>
    <n v="26898.098834951459"/>
    <n v="1748376.4242718448"/>
    <x v="1"/>
  </r>
  <r>
    <n v="53"/>
    <n v="7808007383019"/>
    <x v="49"/>
    <x v="5"/>
    <n v="12953"/>
    <n v="27122.585825242721"/>
    <n v="2"/>
    <n v="2"/>
    <s v="019LAME"/>
    <s v="Comercial  Taiwan S. A."/>
    <n v="54245.171650485441"/>
    <n v="14169.585825242721"/>
    <n v="28339.171650485441"/>
    <x v="2"/>
  </r>
  <r>
    <n v="54"/>
    <n v="7808076181585"/>
    <x v="50"/>
    <x v="1"/>
    <n v="31391"/>
    <n v="59767.669126213594"/>
    <n v="3"/>
    <n v="49"/>
    <s v="585LámM"/>
    <s v="Lejano Oriente S. A."/>
    <n v="2928615.7871844661"/>
    <n v="28376.669126213594"/>
    <n v="1390456.7871844661"/>
    <x v="1"/>
  </r>
  <r>
    <n v="55"/>
    <n v="7808214271161"/>
    <x v="51"/>
    <x v="0"/>
    <n v="30578"/>
    <n v="59076.996116504852"/>
    <n v="1"/>
    <n v="45"/>
    <s v="161LámC"/>
    <s v="Importadora Oriental Ltda."/>
    <n v="2658464.8252427182"/>
    <n v="28498.996116504852"/>
    <n v="1282454.8252427182"/>
    <x v="1"/>
  </r>
  <r>
    <n v="56"/>
    <n v="7808299775653"/>
    <x v="29"/>
    <x v="5"/>
    <n v="6886"/>
    <n v="15149.88349514563"/>
    <n v="3"/>
    <n v="94"/>
    <s v="653LAME"/>
    <s v="Lejano Oriente S. A."/>
    <n v="1424089.0485436893"/>
    <n v="8263.8834951456301"/>
    <n v="776805.04854368919"/>
    <x v="2"/>
  </r>
  <r>
    <n v="57"/>
    <n v="7808429910145"/>
    <x v="52"/>
    <x v="0"/>
    <n v="18672"/>
    <n v="36411.233009708732"/>
    <n v="3"/>
    <n v="76"/>
    <s v="145LámC"/>
    <s v="Lejano Oriente S. A."/>
    <n v="2767253.7087378637"/>
    <n v="17739.233009708732"/>
    <n v="1348181.7087378637"/>
    <x v="1"/>
  </r>
  <r>
    <n v="58"/>
    <n v="7808600171815"/>
    <x v="53"/>
    <x v="2"/>
    <n v="40283"/>
    <n v="81855.470291262129"/>
    <n v="1"/>
    <n v="21"/>
    <s v="815BasP"/>
    <s v="Importadora Oriental Ltda."/>
    <n v="1718964.8761165047"/>
    <n v="41572.470291262129"/>
    <n v="873021.87611650466"/>
    <x v="1"/>
  </r>
  <r>
    <n v="59"/>
    <n v="7808638258700"/>
    <x v="54"/>
    <x v="1"/>
    <n v="38875"/>
    <n v="74250.971844660191"/>
    <n v="3"/>
    <n v="84"/>
    <s v="700BasM"/>
    <s v="Lejano Oriente S. A."/>
    <n v="6237081.6349514564"/>
    <n v="35375.971844660191"/>
    <n v="2971581.634951456"/>
    <x v="1"/>
  </r>
  <r>
    <n v="60"/>
    <n v="7808693945577"/>
    <x v="55"/>
    <x v="2"/>
    <n v="38672"/>
    <n v="78193.880970873783"/>
    <n v="2"/>
    <n v="88"/>
    <s v="577LámP"/>
    <s v="Comercial  Taiwan S. A."/>
    <n v="6881061.5254368931"/>
    <n v="39521.880970873783"/>
    <n v="3477925.5254368931"/>
    <x v="0"/>
  </r>
  <r>
    <n v="61"/>
    <n v="7808817111604"/>
    <x v="56"/>
    <x v="0"/>
    <n v="21487"/>
    <n v="43919.805048543691"/>
    <n v="3"/>
    <n v="30"/>
    <s v="604LámC"/>
    <s v="Lejano Oriente S. A."/>
    <n v="1317594.1514563106"/>
    <n v="22432.805048543691"/>
    <n v="672984.15145631076"/>
    <x v="1"/>
  </r>
  <r>
    <n v="62"/>
    <n v="7808887314158"/>
    <x v="17"/>
    <x v="2"/>
    <n v="17934"/>
    <n v="34432.497087378637"/>
    <n v="1"/>
    <n v="48"/>
    <s v="158LAMP"/>
    <s v="Importadora Oriental Ltda."/>
    <n v="1652759.8601941746"/>
    <n v="16498.497087378637"/>
    <n v="791927.86019417457"/>
    <x v="2"/>
  </r>
  <r>
    <n v="63"/>
    <n v="7808890002172"/>
    <x v="57"/>
    <x v="0"/>
    <n v="35471"/>
    <n v="68671.198135922328"/>
    <n v="2"/>
    <n v="39"/>
    <s v="172LámC"/>
    <s v="Comercial  Taiwan S. A."/>
    <n v="2678176.7273009708"/>
    <n v="33200.198135922328"/>
    <n v="1294807.7273009708"/>
    <x v="1"/>
  </r>
  <r>
    <n v="64"/>
    <n v="7808901646715"/>
    <x v="58"/>
    <x v="1"/>
    <n v="28189"/>
    <n v="61903.15060194175"/>
    <n v="1"/>
    <n v="4"/>
    <s v="715LámM"/>
    <s v="Importadora Oriental Ltda."/>
    <n v="247612.602407767"/>
    <n v="33714.15060194175"/>
    <n v="134856.602407767"/>
    <x v="1"/>
  </r>
  <r>
    <n v="65"/>
    <n v="7808924033936"/>
    <x v="59"/>
    <x v="0"/>
    <n v="16914"/>
    <n v="33388.772621359225"/>
    <n v="1"/>
    <n v="52"/>
    <s v="936LámC"/>
    <s v="Importadora Oriental Ltda."/>
    <n v="1736216.1763106796"/>
    <n v="16474.772621359225"/>
    <n v="856688.17631067964"/>
    <x v="2"/>
  </r>
  <r>
    <n v="66"/>
    <n v="7808983698589"/>
    <x v="60"/>
    <x v="1"/>
    <n v="27178"/>
    <n v="57399.238834951459"/>
    <n v="2"/>
    <n v="64"/>
    <s v="589BasM"/>
    <s v="Comercial  Taiwan S. A."/>
    <n v="3673551.2854368933"/>
    <n v="30221.238834951459"/>
    <n v="1934159.2854368933"/>
    <x v="1"/>
  </r>
  <r>
    <n v="67"/>
    <n v="7809391323476"/>
    <x v="61"/>
    <x v="1"/>
    <n v="20586"/>
    <n v="42572.691262135922"/>
    <n v="1"/>
    <n v="10"/>
    <s v="476BasM"/>
    <s v="Importadora Oriental Ltda."/>
    <n v="425726.91262135922"/>
    <n v="21986.691262135922"/>
    <n v="219866.91262135922"/>
    <x v="1"/>
  </r>
  <r>
    <n v="68"/>
    <n v="7809488107040"/>
    <x v="62"/>
    <x v="1"/>
    <n v="15758"/>
    <n v="32871.876582524274"/>
    <n v="2"/>
    <n v="14"/>
    <s v="040LámM"/>
    <s v="Comercial  Taiwan S. A."/>
    <n v="460206.27215533983"/>
    <n v="17113.876582524274"/>
    <n v="239594.27215533983"/>
    <x v="2"/>
  </r>
  <r>
    <n v="69"/>
    <n v="7809679563761"/>
    <x v="63"/>
    <x v="1"/>
    <n v="24108"/>
    <n v="50095.939805825248"/>
    <n v="3"/>
    <n v="23"/>
    <s v="761BasM"/>
    <s v="Lejano Oriente S. A."/>
    <n v="1152206.6155339808"/>
    <n v="25987.939805825248"/>
    <n v="597722.61553398066"/>
    <x v="1"/>
  </r>
  <r>
    <n v="70"/>
    <n v="7809798479790"/>
    <x v="64"/>
    <x v="0"/>
    <n v="19865"/>
    <n v="37942.428155339803"/>
    <n v="2"/>
    <n v="4"/>
    <s v="790LámC"/>
    <s v="Comercial  Taiwan S. A."/>
    <n v="151769.71262135921"/>
    <n v="18077.428155339803"/>
    <n v="72309.712621359213"/>
    <x v="2"/>
  </r>
  <r>
    <n v="71"/>
    <n v="7809949055835"/>
    <x v="65"/>
    <x v="0"/>
    <n v="51565"/>
    <n v="105192.10485436892"/>
    <n v="1"/>
    <n v="22"/>
    <s v="835LámC"/>
    <s v="Importadora Oriental Ltda."/>
    <n v="2314226.3067961163"/>
    <n v="53627.104854368925"/>
    <n v="1179796.306796116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75AD7-B161-4B6C-B398-CE5ABE6627E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B4:D22" firstHeaderRow="0" firstDataRow="1" firstDataCol="1"/>
  <pivotFields count="14">
    <pivotField showAll="0"/>
    <pivotField numFmtId="1" showAll="0"/>
    <pivotField axis="axisRow" showAll="0" measureFilter="1">
      <items count="67">
        <item x="26"/>
        <item x="1"/>
        <item x="23"/>
        <item x="53"/>
        <item x="4"/>
        <item x="61"/>
        <item x="45"/>
        <item x="39"/>
        <item x="63"/>
        <item x="60"/>
        <item x="8"/>
        <item x="54"/>
        <item x="19"/>
        <item x="37"/>
        <item x="41"/>
        <item x="65"/>
        <item x="42"/>
        <item x="0"/>
        <item x="38"/>
        <item x="28"/>
        <item x="59"/>
        <item x="14"/>
        <item x="40"/>
        <item x="21"/>
        <item x="56"/>
        <item x="3"/>
        <item x="9"/>
        <item x="2"/>
        <item x="7"/>
        <item x="32"/>
        <item x="51"/>
        <item x="33"/>
        <item x="57"/>
        <item x="64"/>
        <item x="52"/>
        <item x="34"/>
        <item x="49"/>
        <item x="17"/>
        <item x="44"/>
        <item x="30"/>
        <item x="62"/>
        <item x="35"/>
        <item x="24"/>
        <item x="18"/>
        <item x="47"/>
        <item x="11"/>
        <item x="12"/>
        <item x="58"/>
        <item x="22"/>
        <item x="50"/>
        <item x="5"/>
        <item x="55"/>
        <item x="13"/>
        <item x="27"/>
        <item x="36"/>
        <item x="29"/>
        <item x="15"/>
        <item x="10"/>
        <item x="6"/>
        <item x="20"/>
        <item x="25"/>
        <item x="16"/>
        <item x="31"/>
        <item x="48"/>
        <item x="43"/>
        <item x="46"/>
        <item t="default"/>
      </items>
    </pivotField>
    <pivotField axis="axisRow" showAll="0" measureFilter="1">
      <items count="7">
        <item x="0"/>
        <item x="5"/>
        <item x="1"/>
        <item x="3"/>
        <item x="2"/>
        <item x="4"/>
        <item t="default"/>
      </items>
    </pivotField>
    <pivotField dataField="1" numFmtId="165" showAll="0"/>
    <pivotField numFmtId="166" showAll="0"/>
    <pivotField showAll="0"/>
    <pivotField dataField="1" showAll="0"/>
    <pivotField showAll="0"/>
    <pivotField showAll="0"/>
    <pivotField numFmtId="166" showAll="0"/>
    <pivotField numFmtId="166" showAll="0"/>
    <pivotField numFmtId="166" showAll="0"/>
    <pivotField axis="axisRow" showAll="0">
      <items count="4">
        <item x="0"/>
        <item x="2"/>
        <item x="1"/>
        <item t="default"/>
      </items>
    </pivotField>
  </pivotFields>
  <rowFields count="3">
    <field x="3"/>
    <field x="13"/>
    <field x="2"/>
  </rowFields>
  <rowItems count="18">
    <i>
      <x v="1"/>
    </i>
    <i r="1">
      <x v="1"/>
    </i>
    <i r="2">
      <x v="55"/>
    </i>
    <i r="1">
      <x v="2"/>
    </i>
    <i r="2">
      <x v="37"/>
    </i>
    <i>
      <x v="2"/>
    </i>
    <i r="1">
      <x/>
    </i>
    <i r="2">
      <x v="48"/>
    </i>
    <i r="1">
      <x v="2"/>
    </i>
    <i r="2">
      <x v="11"/>
    </i>
    <i r="2">
      <x v="12"/>
    </i>
    <i r="2">
      <x v="38"/>
    </i>
    <i r="2">
      <x v="42"/>
    </i>
    <i r="2">
      <x v="43"/>
    </i>
    <i>
      <x v="3"/>
    </i>
    <i r="1">
      <x v="2"/>
    </i>
    <i r="2"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dades vendidas" fld="7" baseField="0" baseItem="0"/>
    <dataField name="Average of Costo " fld="4" subtotal="average" baseField="2" baseItem="14" numFmtId="42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filters count="2">
    <filter fld="2" type="valueGreaterThan" evalOrder="-1" id="1" iMeasureFld="0">
      <autoFilter ref="A1">
        <filterColumn colId="0">
          <customFilters>
            <customFilter operator="greaterThan" val="70"/>
          </customFilters>
        </filterColumn>
      </autoFilter>
    </filter>
    <filter fld="3" type="valueLessThan" evalOrder="-1" id="2" iMeasureFld="1">
      <autoFilter ref="A1">
        <filterColumn colId="0">
          <customFilters>
            <customFilter operator="lessThan" val="3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B05EA-4091-4798-81AA-518FAFA0FA48}" name="BD" displayName="BD" ref="A1:N72" totalsRowShown="0" headerRowDxfId="13" tableBorderDxfId="22">
  <autoFilter ref="A1:N72" xr:uid="{44A56A77-44D4-4AAF-95A6-1997B79B5FB5}"/>
  <tableColumns count="14">
    <tableColumn id="1" xr3:uid="{D0020069-DA1F-4BE6-B290-F6CF61EDD84B}" name="Número" dataDxfId="21"/>
    <tableColumn id="2" xr3:uid="{6D684BCE-3C5D-4BFB-B072-866CDE1B5DC1}" name="EAN " dataDxfId="20"/>
    <tableColumn id="3" xr3:uid="{D0A2D6B5-E292-4CF0-9DBE-5681075D2126}" name="Nombre" dataDxfId="19"/>
    <tableColumn id="4" xr3:uid="{079E107E-4E1D-4132-816B-879D16729333}" name="Categoría" dataDxfId="18"/>
    <tableColumn id="5" xr3:uid="{3556B8B5-2442-4FB2-9D33-B156DD2CC13A}" name="Costo " dataDxfId="17"/>
    <tableColumn id="6" xr3:uid="{A103552E-6549-4DB4-98FE-3538EB8267DE}" name="Precio venta" dataDxfId="16"/>
    <tableColumn id="7" xr3:uid="{FB9448A6-05BF-4CB3-B012-1082D1463094}" name="Nº Proveedor" dataDxfId="15"/>
    <tableColumn id="8" xr3:uid="{A9FC7A5B-06BF-4D8F-959D-D7252F29B432}" name="Unidades vendidas" dataDxfId="14"/>
    <tableColumn id="9" xr3:uid="{7DFF59C4-3F97-41D9-B1FE-A9E9A9359BF6}" name="Código producto" dataDxfId="7">
      <calculatedColumnFormula>_xlfn.CONCAT(RIGHT(BD[[#This Row],[EAN ]],3),LEFT(BD[[#This Row],[Nombre]],3),LEFT(BD[[#This Row],[Categoría]],1))</calculatedColumnFormula>
    </tableColumn>
    <tableColumn id="10" xr3:uid="{82354035-6A8F-48F6-A270-8780D270F4C3}" name="Proveedor" dataDxfId="6">
      <calculatedColumnFormula>VLOOKUP(BD[[#This Row],[Nº Proveedor]],Proveedores[],2,FALSE)</calculatedColumnFormula>
    </tableColumn>
    <tableColumn id="11" xr3:uid="{47CE49C1-C35B-47BA-9829-119BFC656B7C}" name="Ingresos " dataDxfId="5">
      <calculatedColumnFormula>BD[[#This Row],[Unidades vendidas]]*BD[[#This Row],[Precio venta]]</calculatedColumnFormula>
    </tableColumn>
    <tableColumn id="12" xr3:uid="{E10FC1C4-5940-4D09-A16C-2FA22A11F358}" name="Utilidad unitaria" dataDxfId="4">
      <calculatedColumnFormula>BD[[#This Row],[Precio venta]]-BD[[#This Row],[Costo ]]</calculatedColumnFormula>
    </tableColumn>
    <tableColumn id="13" xr3:uid="{DBFC78DC-BA91-4D47-AC02-87EB91D2A9E8}" name="Utilidad total" dataDxfId="3">
      <calculatedColumnFormula>BD[[#This Row],[Utilidad unitaria]]*BD[[#This Row],[Unidades vendidas]]</calculatedColumnFormula>
    </tableColumn>
    <tableColumn id="14" xr3:uid="{18F6CAE4-2C2D-431B-9AC3-D0B2D521CB90}" name="Clasificación " dataDxfId="2">
      <calculatedColumnFormula>IF(OR(BD[[#This Row],[Utilidad unitaria]]&gt;50000,BD[[#This Row],[Utilidad total]]&gt;3000000),"ALTA",IF(AND(BD[[#This Row],[Utilidad unitaria]]&lt;20000,BD[[#This Row],[Utilidad total]]&lt;1000000),"BAJA","MEDIA"))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EFED5-535B-4729-80CE-2EF2E6172062}" name="Proveedores" displayName="Proveedores" ref="B2:C5" totalsRowShown="0" headerRowBorderDxfId="11" tableBorderDxfId="12" totalsRowBorderDxfId="10">
  <autoFilter ref="B2:C5" xr:uid="{0EEBE694-64B7-4568-B878-BFCCC141309B}"/>
  <tableColumns count="2">
    <tableColumn id="1" xr3:uid="{371077E8-A754-49D9-8424-1C558D1C4BB0}" name="Código" dataDxfId="9"/>
    <tableColumn id="2" xr3:uid="{467DE006-9C88-497D-A45A-CEB3B2B768DA}" name="Nombr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C1C9-E5C3-4344-BF81-2D9D788B2FA3}">
  <dimension ref="A1:T1000"/>
  <sheetViews>
    <sheetView workbookViewId="0">
      <selection activeCell="T36" sqref="T36"/>
    </sheetView>
  </sheetViews>
  <sheetFormatPr defaultColWidth="14.42578125" defaultRowHeight="15" x14ac:dyDescent="0.25"/>
  <cols>
    <col min="1" max="1" width="10.42578125" customWidth="1"/>
    <col min="3" max="3" width="32.140625" customWidth="1"/>
    <col min="4" max="4" width="11.5703125" customWidth="1"/>
    <col min="5" max="5" width="10.7109375" customWidth="1"/>
    <col min="6" max="6" width="16.5703125" bestFit="1" customWidth="1"/>
    <col min="7" max="7" width="15.28515625" customWidth="1"/>
    <col min="8" max="8" width="20" customWidth="1"/>
    <col min="9" max="9" width="17.7109375" customWidth="1"/>
    <col min="10" max="10" width="25.42578125" bestFit="1" customWidth="1"/>
    <col min="11" max="11" width="13.42578125" bestFit="1" customWidth="1"/>
    <col min="12" max="12" width="17.5703125" customWidth="1"/>
    <col min="13" max="13" width="15.42578125" customWidth="1"/>
    <col min="14" max="14" width="14.5703125" customWidth="1"/>
    <col min="15" max="17" width="10.7109375" customWidth="1"/>
    <col min="18" max="18" width="21.42578125" customWidth="1"/>
    <col min="19" max="19" width="10.7109375" customWidth="1"/>
    <col min="20" max="20" width="16.28515625" bestFit="1" customWidth="1"/>
    <col min="21" max="25" width="10.7109375" customWidth="1"/>
  </cols>
  <sheetData>
    <row r="1" spans="1:20" ht="16.5" customHeight="1" thickBot="1" x14ac:dyDescent="0.3">
      <c r="A1" s="51" t="s">
        <v>0</v>
      </c>
      <c r="B1" s="19" t="s">
        <v>1</v>
      </c>
      <c r="C1" s="20" t="s">
        <v>2</v>
      </c>
      <c r="D1" s="21" t="s">
        <v>3</v>
      </c>
      <c r="E1" s="21" t="s">
        <v>100</v>
      </c>
      <c r="F1" s="20" t="s">
        <v>99</v>
      </c>
      <c r="G1" s="22" t="s">
        <v>4</v>
      </c>
      <c r="H1" s="26" t="s">
        <v>77</v>
      </c>
      <c r="I1" s="29" t="s">
        <v>78</v>
      </c>
      <c r="J1" s="30" t="s">
        <v>79</v>
      </c>
      <c r="K1" s="30" t="s">
        <v>84</v>
      </c>
      <c r="L1" s="30" t="s">
        <v>85</v>
      </c>
      <c r="M1" s="34" t="s">
        <v>93</v>
      </c>
      <c r="N1" s="31" t="s">
        <v>86</v>
      </c>
    </row>
    <row r="2" spans="1:20" ht="14.25" customHeight="1" x14ac:dyDescent="0.25">
      <c r="A2" s="52">
        <v>1</v>
      </c>
      <c r="B2" s="1">
        <v>7801130794486</v>
      </c>
      <c r="C2" s="2" t="s">
        <v>5</v>
      </c>
      <c r="D2" s="3" t="s">
        <v>6</v>
      </c>
      <c r="E2" s="4">
        <v>84361</v>
      </c>
      <c r="F2" s="5">
        <v>162000</v>
      </c>
      <c r="G2" s="16">
        <v>3</v>
      </c>
      <c r="H2" s="23">
        <v>88</v>
      </c>
      <c r="I2" s="27" t="str">
        <f>_xlfn.CONCAT(RIGHT(BD[[#This Row],[EAN ]],3),LEFT(BD[[#This Row],[Nombre]],3),LEFT(BD[[#This Row],[Categoría]],1))</f>
        <v>486LámC</v>
      </c>
      <c r="J2" s="27" t="str">
        <f>VLOOKUP(BD[[#This Row],[Nº Proveedor]],Proveedores[],2,FALSE)</f>
        <v>Lejano Oriente S. A.</v>
      </c>
      <c r="K2" s="27">
        <f>BD[[#This Row],[Unidades vendidas]]*BD[[#This Row],[Precio venta]]</f>
        <v>14256000</v>
      </c>
      <c r="L2" s="27">
        <f>BD[[#This Row],[Precio venta]]-BD[[#This Row],[Costo ]]</f>
        <v>77639</v>
      </c>
      <c r="M2" s="27">
        <f>BD[[#This Row],[Utilidad unitaria]]*BD[[#This Row],[Unidades vendidas]]</f>
        <v>6832232</v>
      </c>
      <c r="N2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2" s="47" t="s">
        <v>97</v>
      </c>
      <c r="R2" s="49">
        <f>SUMPRODUCT(BD[[Ingresos ]])</f>
        <v>217986001.94893211</v>
      </c>
      <c r="S2" s="35"/>
    </row>
    <row r="3" spans="1:20" ht="14.25" customHeight="1" thickBot="1" x14ac:dyDescent="0.3">
      <c r="A3" s="53">
        <v>2</v>
      </c>
      <c r="B3" s="6">
        <v>7801305809069</v>
      </c>
      <c r="C3" s="7" t="s">
        <v>7</v>
      </c>
      <c r="D3" s="8" t="s">
        <v>8</v>
      </c>
      <c r="E3" s="9">
        <v>46448</v>
      </c>
      <c r="F3" s="10">
        <v>91000</v>
      </c>
      <c r="G3" s="17">
        <v>1</v>
      </c>
      <c r="H3" s="24">
        <v>68</v>
      </c>
      <c r="I3" s="27" t="str">
        <f>_xlfn.CONCAT(RIGHT(BD[[#This Row],[EAN ]],3),LEFT(BD[[#This Row],[Nombre]],3),LEFT(BD[[#This Row],[Categoría]],1))</f>
        <v>069BasM</v>
      </c>
      <c r="J3" s="27" t="str">
        <f>VLOOKUP(BD[[#This Row],[Nº Proveedor]],Proveedores[],2,FALSE)</f>
        <v>Importadora Oriental Ltda.</v>
      </c>
      <c r="K3" s="27">
        <f>BD[[#This Row],[Unidades vendidas]]*BD[[#This Row],[Precio venta]]</f>
        <v>6188000</v>
      </c>
      <c r="L3" s="27">
        <f>BD[[#This Row],[Precio venta]]-BD[[#This Row],[Costo ]]</f>
        <v>44552</v>
      </c>
      <c r="M3" s="27">
        <f>BD[[#This Row],[Utilidad unitaria]]*BD[[#This Row],[Unidades vendidas]]</f>
        <v>3029536</v>
      </c>
      <c r="N3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3" s="48"/>
      <c r="R3" s="50"/>
      <c r="S3" s="35"/>
    </row>
    <row r="4" spans="1:20" ht="14.25" customHeight="1" thickBot="1" x14ac:dyDescent="0.3">
      <c r="A4" s="53">
        <v>3</v>
      </c>
      <c r="B4" s="6">
        <v>7801357246126</v>
      </c>
      <c r="C4" s="7" t="s">
        <v>9</v>
      </c>
      <c r="D4" s="8" t="s">
        <v>6</v>
      </c>
      <c r="E4" s="9">
        <v>31448</v>
      </c>
      <c r="F4" s="10">
        <v>64000</v>
      </c>
      <c r="G4" s="17">
        <v>1</v>
      </c>
      <c r="H4" s="24">
        <v>77</v>
      </c>
      <c r="I4" s="27" t="str">
        <f>_xlfn.CONCAT(RIGHT(BD[[#This Row],[EAN ]],3),LEFT(BD[[#This Row],[Nombre]],3),LEFT(BD[[#This Row],[Categoría]],1))</f>
        <v>126LámC</v>
      </c>
      <c r="J4" s="27" t="str">
        <f>VLOOKUP(BD[[#This Row],[Nº Proveedor]],Proveedores[],2,FALSE)</f>
        <v>Importadora Oriental Ltda.</v>
      </c>
      <c r="K4" s="27">
        <f>BD[[#This Row],[Unidades vendidas]]*BD[[#This Row],[Precio venta]]</f>
        <v>4928000</v>
      </c>
      <c r="L4" s="27">
        <f>BD[[#This Row],[Precio venta]]-BD[[#This Row],[Costo ]]</f>
        <v>32552</v>
      </c>
      <c r="M4" s="27">
        <f>BD[[#This Row],[Utilidad unitaria]]*BD[[#This Row],[Unidades vendidas]]</f>
        <v>2506504</v>
      </c>
      <c r="N4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" spans="1:20" ht="14.25" customHeight="1" x14ac:dyDescent="0.25">
      <c r="A5" s="53">
        <v>4</v>
      </c>
      <c r="B5" s="6">
        <v>7801470268777</v>
      </c>
      <c r="C5" s="7" t="s">
        <v>10</v>
      </c>
      <c r="D5" s="8" t="s">
        <v>6</v>
      </c>
      <c r="E5" s="9">
        <v>11409</v>
      </c>
      <c r="F5" s="10">
        <v>23229.376310679614</v>
      </c>
      <c r="G5" s="17">
        <v>3</v>
      </c>
      <c r="H5" s="24">
        <v>95</v>
      </c>
      <c r="I5" s="27" t="str">
        <f>_xlfn.CONCAT(RIGHT(BD[[#This Row],[EAN ]],3),LEFT(BD[[#This Row],[Nombre]],3),LEFT(BD[[#This Row],[Categoría]],1))</f>
        <v>777LámC</v>
      </c>
      <c r="J5" s="27" t="str">
        <f>VLOOKUP(BD[[#This Row],[Nº Proveedor]],Proveedores[],2,FALSE)</f>
        <v>Lejano Oriente S. A.</v>
      </c>
      <c r="K5" s="27">
        <f>BD[[#This Row],[Unidades vendidas]]*BD[[#This Row],[Precio venta]]</f>
        <v>2206790.7495145635</v>
      </c>
      <c r="L5" s="27">
        <f>BD[[#This Row],[Precio venta]]-BD[[#This Row],[Costo ]]</f>
        <v>11820.376310679614</v>
      </c>
      <c r="M5" s="27">
        <f>BD[[#This Row],[Utilidad unitaria]]*BD[[#This Row],[Unidades vendidas]]</f>
        <v>1122935.7495145632</v>
      </c>
      <c r="N5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5" s="47" t="s">
        <v>98</v>
      </c>
      <c r="R5" s="49">
        <f>SUMPRODUCT(BD[Utilidad total])</f>
        <v>111544097.94893201</v>
      </c>
      <c r="S5" s="35"/>
    </row>
    <row r="6" spans="1:20" ht="14.25" customHeight="1" thickBot="1" x14ac:dyDescent="0.3">
      <c r="A6" s="53">
        <v>5</v>
      </c>
      <c r="B6" s="6">
        <v>7801566649404</v>
      </c>
      <c r="C6" s="7" t="s">
        <v>11</v>
      </c>
      <c r="D6" s="8" t="s">
        <v>12</v>
      </c>
      <c r="E6" s="9">
        <v>36205</v>
      </c>
      <c r="F6" s="10">
        <v>78347.304854368937</v>
      </c>
      <c r="G6" s="17">
        <v>3</v>
      </c>
      <c r="H6" s="24">
        <v>45</v>
      </c>
      <c r="I6" s="27" t="str">
        <f>_xlfn.CONCAT(RIGHT(BD[[#This Row],[EAN ]],3),LEFT(BD[[#This Row],[Nombre]],3),LEFT(BD[[#This Row],[Categoría]],1))</f>
        <v>404BasP</v>
      </c>
      <c r="J6" s="27" t="str">
        <f>VLOOKUP(BD[[#This Row],[Nº Proveedor]],Proveedores[],2,FALSE)</f>
        <v>Lejano Oriente S. A.</v>
      </c>
      <c r="K6" s="27">
        <f>BD[[#This Row],[Unidades vendidas]]*BD[[#This Row],[Precio venta]]</f>
        <v>3525628.7184466021</v>
      </c>
      <c r="L6" s="27">
        <f>BD[[#This Row],[Precio venta]]-BD[[#This Row],[Costo ]]</f>
        <v>42142.304854368937</v>
      </c>
      <c r="M6" s="27">
        <f>BD[[#This Row],[Utilidad unitaria]]*BD[[#This Row],[Unidades vendidas]]</f>
        <v>1896403.7184466021</v>
      </c>
      <c r="N6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6" s="48"/>
      <c r="R6" s="50"/>
      <c r="S6" s="35"/>
    </row>
    <row r="7" spans="1:20" ht="14.25" customHeight="1" thickBot="1" x14ac:dyDescent="0.3">
      <c r="A7" s="53">
        <v>6</v>
      </c>
      <c r="B7" s="6">
        <v>7801585511645</v>
      </c>
      <c r="C7" s="7" t="s">
        <v>13</v>
      </c>
      <c r="D7" s="8" t="s">
        <v>8</v>
      </c>
      <c r="E7" s="9">
        <v>30749</v>
      </c>
      <c r="F7" s="10">
        <v>67093.746019417478</v>
      </c>
      <c r="G7" s="17">
        <v>3</v>
      </c>
      <c r="H7" s="24">
        <v>5</v>
      </c>
      <c r="I7" s="27" t="str">
        <f>_xlfn.CONCAT(RIGHT(BD[[#This Row],[EAN ]],3),LEFT(BD[[#This Row],[Nombre]],3),LEFT(BD[[#This Row],[Categoría]],1))</f>
        <v>645LámM</v>
      </c>
      <c r="J7" s="27" t="str">
        <f>VLOOKUP(BD[[#This Row],[Nº Proveedor]],Proveedores[],2,FALSE)</f>
        <v>Lejano Oriente S. A.</v>
      </c>
      <c r="K7" s="27">
        <f>BD[[#This Row],[Unidades vendidas]]*BD[[#This Row],[Precio venta]]</f>
        <v>335468.73009708739</v>
      </c>
      <c r="L7" s="27">
        <f>BD[[#This Row],[Precio venta]]-BD[[#This Row],[Costo ]]</f>
        <v>36344.746019417478</v>
      </c>
      <c r="M7" s="27">
        <f>BD[[#This Row],[Utilidad unitaria]]*BD[[#This Row],[Unidades vendidas]]</f>
        <v>181723.73009708739</v>
      </c>
      <c r="N7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8" spans="1:20" ht="14.25" customHeight="1" thickBot="1" x14ac:dyDescent="0.3">
      <c r="A8" s="53">
        <v>7</v>
      </c>
      <c r="B8" s="6">
        <v>7801697430469</v>
      </c>
      <c r="C8" s="7" t="s">
        <v>14</v>
      </c>
      <c r="D8" s="8" t="s">
        <v>6</v>
      </c>
      <c r="E8" s="9">
        <v>34943</v>
      </c>
      <c r="F8" s="10">
        <v>74707.53203883495</v>
      </c>
      <c r="G8" s="17">
        <v>2</v>
      </c>
      <c r="H8" s="24">
        <v>28</v>
      </c>
      <c r="I8" s="27" t="str">
        <f>_xlfn.CONCAT(RIGHT(BD[[#This Row],[EAN ]],3),LEFT(BD[[#This Row],[Nombre]],3),LEFT(BD[[#This Row],[Categoría]],1))</f>
        <v>469MicC</v>
      </c>
      <c r="J8" s="27" t="str">
        <f>VLOOKUP(BD[[#This Row],[Nº Proveedor]],Proveedores[],2,FALSE)</f>
        <v>Comercial  Taiwan S. A.</v>
      </c>
      <c r="K8" s="27">
        <f>BD[[#This Row],[Unidades vendidas]]*BD[[#This Row],[Precio venta]]</f>
        <v>2091810.8970873787</v>
      </c>
      <c r="L8" s="27">
        <f>BD[[#This Row],[Precio venta]]-BD[[#This Row],[Costo ]]</f>
        <v>39764.53203883495</v>
      </c>
      <c r="M8" s="27">
        <f>BD[[#This Row],[Utilidad unitaria]]*BD[[#This Row],[Unidades vendidas]]</f>
        <v>1113406.8970873787</v>
      </c>
      <c r="N8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8" s="42" t="s">
        <v>87</v>
      </c>
      <c r="R8" s="44"/>
      <c r="S8" s="44"/>
      <c r="T8" s="43"/>
    </row>
    <row r="9" spans="1:20" ht="14.25" customHeight="1" thickBot="1" x14ac:dyDescent="0.3">
      <c r="A9" s="53">
        <v>8</v>
      </c>
      <c r="B9" s="6">
        <v>7801888869528</v>
      </c>
      <c r="C9" s="7" t="s">
        <v>15</v>
      </c>
      <c r="D9" s="8" t="s">
        <v>6</v>
      </c>
      <c r="E9" s="9">
        <v>30578</v>
      </c>
      <c r="F9" s="10">
        <v>59382.777669902913</v>
      </c>
      <c r="G9" s="17">
        <v>3</v>
      </c>
      <c r="H9" s="24">
        <v>79</v>
      </c>
      <c r="I9" s="27" t="str">
        <f>_xlfn.CONCAT(RIGHT(BD[[#This Row],[EAN ]],3),LEFT(BD[[#This Row],[Nombre]],3),LEFT(BD[[#This Row],[Categoría]],1))</f>
        <v>528LámC</v>
      </c>
      <c r="J9" s="27" t="str">
        <f>VLOOKUP(BD[[#This Row],[Nº Proveedor]],Proveedores[],2,FALSE)</f>
        <v>Lejano Oriente S. A.</v>
      </c>
      <c r="K9" s="27">
        <f>BD[[#This Row],[Unidades vendidas]]*BD[[#This Row],[Precio venta]]</f>
        <v>4691239.4359223302</v>
      </c>
      <c r="L9" s="27">
        <f>BD[[#This Row],[Precio venta]]-BD[[#This Row],[Costo ]]</f>
        <v>28804.777669902913</v>
      </c>
      <c r="M9" s="27">
        <f>BD[[#This Row],[Utilidad unitaria]]*BD[[#This Row],[Unidades vendidas]]</f>
        <v>2275577.4359223302</v>
      </c>
      <c r="N9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9" s="42" t="s">
        <v>3</v>
      </c>
      <c r="R9" s="43"/>
      <c r="S9" s="32" t="s">
        <v>88</v>
      </c>
      <c r="T9" s="32" t="s">
        <v>94</v>
      </c>
    </row>
    <row r="10" spans="1:20" ht="14.25" customHeight="1" thickBot="1" x14ac:dyDescent="0.3">
      <c r="A10" s="53">
        <v>9</v>
      </c>
      <c r="B10" s="6">
        <v>7802005131603</v>
      </c>
      <c r="C10" s="7" t="s">
        <v>16</v>
      </c>
      <c r="D10" s="8" t="s">
        <v>8</v>
      </c>
      <c r="E10" s="9">
        <v>23702</v>
      </c>
      <c r="F10" s="10">
        <v>51574.580194174756</v>
      </c>
      <c r="G10" s="17">
        <v>3</v>
      </c>
      <c r="H10" s="24">
        <v>12</v>
      </c>
      <c r="I10" s="27" t="str">
        <f>_xlfn.CONCAT(RIGHT(BD[[#This Row],[EAN ]],3),LEFT(BD[[#This Row],[Nombre]],3),LEFT(BD[[#This Row],[Categoría]],1))</f>
        <v>603BasM</v>
      </c>
      <c r="J10" s="27" t="str">
        <f>VLOOKUP(BD[[#This Row],[Nº Proveedor]],Proveedores[],2,FALSE)</f>
        <v>Lejano Oriente S. A.</v>
      </c>
      <c r="K10" s="27">
        <f>BD[[#This Row],[Unidades vendidas]]*BD[[#This Row],[Precio venta]]</f>
        <v>618894.9623300971</v>
      </c>
      <c r="L10" s="27">
        <f>BD[[#This Row],[Precio venta]]-BD[[#This Row],[Costo ]]</f>
        <v>27872.580194174756</v>
      </c>
      <c r="M10" s="27">
        <f>BD[[#This Row],[Utilidad unitaria]]*BD[[#This Row],[Unidades vendidas]]</f>
        <v>334470.9623300971</v>
      </c>
      <c r="N1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0" s="40" t="s">
        <v>6</v>
      </c>
      <c r="R10" s="41"/>
      <c r="S10" s="33">
        <f>SUMIFS(BD[Unidades vendidas],BD[Categoría],Q10)</f>
        <v>1105</v>
      </c>
      <c r="T10" s="36">
        <f>SUMIFS(BD[[Ingresos ]],BD[Categoría],Q10)</f>
        <v>78745445.455067962</v>
      </c>
    </row>
    <row r="11" spans="1:20" ht="14.25" customHeight="1" thickBot="1" x14ac:dyDescent="0.3">
      <c r="A11" s="53">
        <v>10</v>
      </c>
      <c r="B11" s="6">
        <v>7802047351151</v>
      </c>
      <c r="C11" s="7" t="s">
        <v>17</v>
      </c>
      <c r="D11" s="8" t="s">
        <v>6</v>
      </c>
      <c r="E11" s="9">
        <v>29555</v>
      </c>
      <c r="F11" s="10">
        <v>63778.956699029128</v>
      </c>
      <c r="G11" s="17">
        <v>2</v>
      </c>
      <c r="H11" s="24">
        <v>65</v>
      </c>
      <c r="I11" s="27" t="str">
        <f>_xlfn.CONCAT(RIGHT(BD[[#This Row],[EAN ]],3),LEFT(BD[[#This Row],[Nombre]],3),LEFT(BD[[#This Row],[Categoría]],1))</f>
        <v>151LámC</v>
      </c>
      <c r="J11" s="27" t="str">
        <f>VLOOKUP(BD[[#This Row],[Nº Proveedor]],Proveedores[],2,FALSE)</f>
        <v>Comercial  Taiwan S. A.</v>
      </c>
      <c r="K11" s="27">
        <f>BD[[#This Row],[Unidades vendidas]]*BD[[#This Row],[Precio venta]]</f>
        <v>4145632.1854368933</v>
      </c>
      <c r="L11" s="27">
        <f>BD[[#This Row],[Precio venta]]-BD[[#This Row],[Costo ]]</f>
        <v>34223.956699029128</v>
      </c>
      <c r="M11" s="27">
        <f>BD[[#This Row],[Utilidad unitaria]]*BD[[#This Row],[Unidades vendidas]]</f>
        <v>2224557.1854368933</v>
      </c>
      <c r="N11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1" s="40" t="s">
        <v>12</v>
      </c>
      <c r="R11" s="41"/>
      <c r="S11" s="37">
        <f>SUMIFS(BD[Unidades vendidas],BD[Categoría],Q11)</f>
        <v>967</v>
      </c>
      <c r="T11" s="36">
        <f>SUMIFS(BD[[Ingresos ]],BD[Categoría],Q11)</f>
        <v>75113637.142718434</v>
      </c>
    </row>
    <row r="12" spans="1:20" ht="14.25" customHeight="1" thickBot="1" x14ac:dyDescent="0.3">
      <c r="A12" s="53">
        <v>11</v>
      </c>
      <c r="B12" s="6">
        <v>7802147246937</v>
      </c>
      <c r="C12" s="7" t="s">
        <v>18</v>
      </c>
      <c r="D12" s="8" t="s">
        <v>19</v>
      </c>
      <c r="E12" s="9">
        <v>4954</v>
      </c>
      <c r="F12" s="10">
        <v>9937.8798058252432</v>
      </c>
      <c r="G12" s="17">
        <v>3</v>
      </c>
      <c r="H12" s="24">
        <v>68</v>
      </c>
      <c r="I12" s="27" t="str">
        <f>_xlfn.CONCAT(RIGHT(BD[[#This Row],[EAN ]],3),LEFT(BD[[#This Row],[Nombre]],3),LEFT(BD[[#This Row],[Categoría]],1))</f>
        <v>937LAMN</v>
      </c>
      <c r="J12" s="27" t="str">
        <f>VLOOKUP(BD[[#This Row],[Nº Proveedor]],Proveedores[],2,FALSE)</f>
        <v>Lejano Oriente S. A.</v>
      </c>
      <c r="K12" s="27">
        <f>BD[[#This Row],[Unidades vendidas]]*BD[[#This Row],[Precio venta]]</f>
        <v>675775.82679611654</v>
      </c>
      <c r="L12" s="27">
        <f>BD[[#This Row],[Precio venta]]-BD[[#This Row],[Costo ]]</f>
        <v>4983.8798058252432</v>
      </c>
      <c r="M12" s="27">
        <f>BD[[#This Row],[Utilidad unitaria]]*BD[[#This Row],[Unidades vendidas]]</f>
        <v>338903.82679611654</v>
      </c>
      <c r="N12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  <c r="Q12" s="40" t="s">
        <v>8</v>
      </c>
      <c r="R12" s="41"/>
      <c r="S12" s="37">
        <f>SUMIFS(BD[Unidades vendidas],BD[Categoría],Q12)</f>
        <v>883</v>
      </c>
      <c r="T12" s="36">
        <f>SUMIFS(BD[[Ingresos ]],BD[Categoría],Q12)</f>
        <v>50362444.623961166</v>
      </c>
    </row>
    <row r="13" spans="1:20" ht="14.25" customHeight="1" thickBot="1" x14ac:dyDescent="0.3">
      <c r="A13" s="53">
        <v>12</v>
      </c>
      <c r="B13" s="6">
        <v>7802234957111</v>
      </c>
      <c r="C13" s="7" t="s">
        <v>20</v>
      </c>
      <c r="D13" s="8" t="s">
        <v>8</v>
      </c>
      <c r="E13" s="9">
        <v>28830</v>
      </c>
      <c r="F13" s="10">
        <v>61868.554951456317</v>
      </c>
      <c r="G13" s="17">
        <v>2</v>
      </c>
      <c r="H13" s="24">
        <v>1</v>
      </c>
      <c r="I13" s="27" t="str">
        <f>_xlfn.CONCAT(RIGHT(BD[[#This Row],[EAN ]],3),LEFT(BD[[#This Row],[Nombre]],3),LEFT(BD[[#This Row],[Categoría]],1))</f>
        <v>111LámM</v>
      </c>
      <c r="J13" s="27" t="str">
        <f>VLOOKUP(BD[[#This Row],[Nº Proveedor]],Proveedores[],2,FALSE)</f>
        <v>Comercial  Taiwan S. A.</v>
      </c>
      <c r="K13" s="27">
        <f>BD[[#This Row],[Unidades vendidas]]*BD[[#This Row],[Precio venta]]</f>
        <v>61868.554951456317</v>
      </c>
      <c r="L13" s="27">
        <f>BD[[#This Row],[Precio venta]]-BD[[#This Row],[Costo ]]</f>
        <v>33038.554951456317</v>
      </c>
      <c r="M13" s="27">
        <f>BD[[#This Row],[Utilidad unitaria]]*BD[[#This Row],[Unidades vendidas]]</f>
        <v>33038.554951456317</v>
      </c>
      <c r="N13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3" s="40" t="s">
        <v>28</v>
      </c>
      <c r="R13" s="41"/>
      <c r="S13" s="37">
        <f>SUMIFS(BD[Unidades vendidas],BD[Categoría],Q13)</f>
        <v>245</v>
      </c>
      <c r="T13" s="36">
        <f>SUMIFS(BD[[Ingresos ]],BD[Categoría],Q13)</f>
        <v>6252714.9920388348</v>
      </c>
    </row>
    <row r="14" spans="1:20" ht="14.25" customHeight="1" thickBot="1" x14ac:dyDescent="0.3">
      <c r="A14" s="53">
        <v>13</v>
      </c>
      <c r="B14" s="6">
        <v>7802412459321</v>
      </c>
      <c r="C14" s="7" t="s">
        <v>21</v>
      </c>
      <c r="D14" s="8" t="s">
        <v>8</v>
      </c>
      <c r="E14" s="9">
        <v>24665</v>
      </c>
      <c r="F14" s="10">
        <v>53770.610097087381</v>
      </c>
      <c r="G14" s="17">
        <v>3</v>
      </c>
      <c r="H14" s="24">
        <v>43</v>
      </c>
      <c r="I14" s="27" t="str">
        <f>_xlfn.CONCAT(RIGHT(BD[[#This Row],[EAN ]],3),LEFT(BD[[#This Row],[Nombre]],3),LEFT(BD[[#This Row],[Categoría]],1))</f>
        <v>321LámM</v>
      </c>
      <c r="J14" s="27" t="str">
        <f>VLOOKUP(BD[[#This Row],[Nº Proveedor]],Proveedores[],2,FALSE)</f>
        <v>Lejano Oriente S. A.</v>
      </c>
      <c r="K14" s="27">
        <f>BD[[#This Row],[Unidades vendidas]]*BD[[#This Row],[Precio venta]]</f>
        <v>2312136.2341747573</v>
      </c>
      <c r="L14" s="27">
        <f>BD[[#This Row],[Precio venta]]-BD[[#This Row],[Costo ]]</f>
        <v>29105.610097087381</v>
      </c>
      <c r="M14" s="27">
        <f>BD[[#This Row],[Utilidad unitaria]]*BD[[#This Row],[Unidades vendidas]]</f>
        <v>1251541.2341747575</v>
      </c>
      <c r="N14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4" s="40" t="s">
        <v>19</v>
      </c>
      <c r="R14" s="41"/>
      <c r="S14" s="37">
        <f>SUMIFS(BD[Unidades vendidas],BD[Categoría],Q14)</f>
        <v>166</v>
      </c>
      <c r="T14" s="36">
        <f>SUMIFS(BD[[Ingresos ]],BD[Categoría],Q14)</f>
        <v>4280981.254368932</v>
      </c>
    </row>
    <row r="15" spans="1:20" ht="14.25" customHeight="1" thickBot="1" x14ac:dyDescent="0.3">
      <c r="A15" s="53">
        <v>14</v>
      </c>
      <c r="B15" s="6">
        <v>7802819605420</v>
      </c>
      <c r="C15" s="7" t="s">
        <v>22</v>
      </c>
      <c r="D15" s="8" t="s">
        <v>12</v>
      </c>
      <c r="E15" s="9">
        <v>37372</v>
      </c>
      <c r="F15" s="10">
        <v>73248.815533980582</v>
      </c>
      <c r="G15" s="17">
        <v>3</v>
      </c>
      <c r="H15" s="24">
        <v>97</v>
      </c>
      <c r="I15" s="27" t="str">
        <f>_xlfn.CONCAT(RIGHT(BD[[#This Row],[EAN ]],3),LEFT(BD[[#This Row],[Nombre]],3),LEFT(BD[[#This Row],[Categoría]],1))</f>
        <v>420LámP</v>
      </c>
      <c r="J15" s="27" t="str">
        <f>VLOOKUP(BD[[#This Row],[Nº Proveedor]],Proveedores[],2,FALSE)</f>
        <v>Lejano Oriente S. A.</v>
      </c>
      <c r="K15" s="27">
        <f>BD[[#This Row],[Unidades vendidas]]*BD[[#This Row],[Precio venta]]</f>
        <v>7105135.1067961166</v>
      </c>
      <c r="L15" s="27">
        <f>BD[[#This Row],[Precio venta]]-BD[[#This Row],[Costo ]]</f>
        <v>35876.815533980582</v>
      </c>
      <c r="M15" s="27">
        <f>BD[[#This Row],[Utilidad unitaria]]*BD[[#This Row],[Unidades vendidas]]</f>
        <v>3480051.1067961166</v>
      </c>
      <c r="N15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15" s="40" t="s">
        <v>26</v>
      </c>
      <c r="R15" s="41"/>
      <c r="S15" s="37">
        <f>SUMIFS(BD[Unidades vendidas],BD[Categoría],Q15)</f>
        <v>112</v>
      </c>
      <c r="T15" s="36">
        <f>SUMIFS(BD[[Ingresos ]],BD[Categoría],Q15)</f>
        <v>3230778.4807766993</v>
      </c>
    </row>
    <row r="16" spans="1:20" ht="14.25" customHeight="1" thickBot="1" x14ac:dyDescent="0.3">
      <c r="A16" s="53">
        <v>15</v>
      </c>
      <c r="B16" s="6">
        <v>7802871717666</v>
      </c>
      <c r="C16" s="7" t="s">
        <v>23</v>
      </c>
      <c r="D16" s="8" t="s">
        <v>6</v>
      </c>
      <c r="E16" s="9">
        <v>22741</v>
      </c>
      <c r="F16" s="10">
        <v>43207.291262135921</v>
      </c>
      <c r="G16" s="17">
        <v>1</v>
      </c>
      <c r="H16" s="24">
        <v>10</v>
      </c>
      <c r="I16" s="27" t="str">
        <f>_xlfn.CONCAT(RIGHT(BD[[#This Row],[EAN ]],3),LEFT(BD[[#This Row],[Nombre]],3),LEFT(BD[[#This Row],[Categoría]],1))</f>
        <v>666LámC</v>
      </c>
      <c r="J16" s="27" t="str">
        <f>VLOOKUP(BD[[#This Row],[Nº Proveedor]],Proveedores[],2,FALSE)</f>
        <v>Importadora Oriental Ltda.</v>
      </c>
      <c r="K16" s="27">
        <f>BD[[#This Row],[Unidades vendidas]]*BD[[#This Row],[Precio venta]]</f>
        <v>432072.91262135922</v>
      </c>
      <c r="L16" s="27">
        <f>BD[[#This Row],[Precio venta]]-BD[[#This Row],[Costo ]]</f>
        <v>20466.291262135921</v>
      </c>
      <c r="M16" s="27">
        <f>BD[[#This Row],[Utilidad unitaria]]*BD[[#This Row],[Unidades vendidas]]</f>
        <v>204662.91262135922</v>
      </c>
      <c r="N16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17" spans="1:20" ht="14.25" customHeight="1" thickBot="1" x14ac:dyDescent="0.3">
      <c r="A17" s="53">
        <v>16</v>
      </c>
      <c r="B17" s="6">
        <v>7802896078384</v>
      </c>
      <c r="C17" s="7" t="s">
        <v>24</v>
      </c>
      <c r="D17" s="8" t="s">
        <v>19</v>
      </c>
      <c r="E17" s="9">
        <v>17079</v>
      </c>
      <c r="F17" s="10">
        <v>36787.810485436894</v>
      </c>
      <c r="G17" s="17">
        <v>3</v>
      </c>
      <c r="H17" s="24">
        <v>98</v>
      </c>
      <c r="I17" s="27" t="str">
        <f>_xlfn.CONCAT(RIGHT(BD[[#This Row],[EAN ]],3),LEFT(BD[[#This Row],[Nombre]],3),LEFT(BD[[#This Row],[Categoría]],1))</f>
        <v>384LAMN</v>
      </c>
      <c r="J17" s="27" t="str">
        <f>VLOOKUP(BD[[#This Row],[Nº Proveedor]],Proveedores[],2,FALSE)</f>
        <v>Lejano Oriente S. A.</v>
      </c>
      <c r="K17" s="27">
        <f>BD[[#This Row],[Unidades vendidas]]*BD[[#This Row],[Precio venta]]</f>
        <v>3605205.4275728157</v>
      </c>
      <c r="L17" s="27">
        <f>BD[[#This Row],[Precio venta]]-BD[[#This Row],[Costo ]]</f>
        <v>19708.810485436894</v>
      </c>
      <c r="M17" s="27">
        <f>BD[[#This Row],[Utilidad unitaria]]*BD[[#This Row],[Unidades vendidas]]</f>
        <v>1931463.4275728157</v>
      </c>
      <c r="N17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7" s="42" t="s">
        <v>89</v>
      </c>
      <c r="R17" s="44"/>
      <c r="S17" s="43"/>
    </row>
    <row r="18" spans="1:20" ht="14.25" customHeight="1" thickBot="1" x14ac:dyDescent="0.3">
      <c r="A18" s="53">
        <v>17</v>
      </c>
      <c r="B18" s="6">
        <v>7802941555419</v>
      </c>
      <c r="C18" s="7" t="s">
        <v>25</v>
      </c>
      <c r="D18" s="8" t="s">
        <v>26</v>
      </c>
      <c r="E18" s="9">
        <v>15138</v>
      </c>
      <c r="F18" s="10">
        <v>31154.123883495147</v>
      </c>
      <c r="G18" s="17">
        <v>1</v>
      </c>
      <c r="H18" s="24">
        <v>35</v>
      </c>
      <c r="I18" s="27" t="str">
        <f>_xlfn.CONCAT(RIGHT(BD[[#This Row],[EAN ]],3),LEFT(BD[[#This Row],[Nombre]],3),LEFT(BD[[#This Row],[Categoría]],1))</f>
        <v>419MicV</v>
      </c>
      <c r="J18" s="27" t="str">
        <f>VLOOKUP(BD[[#This Row],[Nº Proveedor]],Proveedores[],2,FALSE)</f>
        <v>Importadora Oriental Ltda.</v>
      </c>
      <c r="K18" s="27">
        <f>BD[[#This Row],[Unidades vendidas]]*BD[[#This Row],[Precio venta]]</f>
        <v>1090394.3359223302</v>
      </c>
      <c r="L18" s="27">
        <f>BD[[#This Row],[Precio venta]]-BD[[#This Row],[Costo ]]</f>
        <v>16016.123883495147</v>
      </c>
      <c r="M18" s="27">
        <f>BD[[#This Row],[Utilidad unitaria]]*BD[[#This Row],[Unidades vendidas]]</f>
        <v>560564.33592233015</v>
      </c>
      <c r="N18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  <c r="Q18" s="42" t="s">
        <v>90</v>
      </c>
      <c r="R18" s="43"/>
      <c r="S18" s="32" t="s">
        <v>88</v>
      </c>
    </row>
    <row r="19" spans="1:20" ht="14.25" customHeight="1" thickBot="1" x14ac:dyDescent="0.3">
      <c r="A19" s="53">
        <v>18</v>
      </c>
      <c r="B19" s="6">
        <v>7803350771933</v>
      </c>
      <c r="C19" s="7" t="s">
        <v>27</v>
      </c>
      <c r="D19" s="8" t="s">
        <v>28</v>
      </c>
      <c r="E19" s="9">
        <v>16593</v>
      </c>
      <c r="F19" s="10">
        <v>34812.541747572817</v>
      </c>
      <c r="G19" s="17">
        <v>2</v>
      </c>
      <c r="H19" s="24">
        <v>74</v>
      </c>
      <c r="I19" s="27" t="str">
        <f>_xlfn.CONCAT(RIGHT(BD[[#This Row],[EAN ]],3),LEFT(BD[[#This Row],[Nombre]],3),LEFT(BD[[#This Row],[Categoría]],1))</f>
        <v>933LAME</v>
      </c>
      <c r="J19" s="27" t="str">
        <f>VLOOKUP(BD[[#This Row],[Nº Proveedor]],Proveedores[],2,FALSE)</f>
        <v>Comercial  Taiwan S. A.</v>
      </c>
      <c r="K19" s="27">
        <f>BD[[#This Row],[Unidades vendidas]]*BD[[#This Row],[Precio venta]]</f>
        <v>2576128.0893203886</v>
      </c>
      <c r="L19" s="27">
        <f>BD[[#This Row],[Precio venta]]-BD[[#This Row],[Costo ]]</f>
        <v>18219.541747572817</v>
      </c>
      <c r="M19" s="27">
        <f>BD[[#This Row],[Utilidad unitaria]]*BD[[#This Row],[Unidades vendidas]]</f>
        <v>1348246.0893203884</v>
      </c>
      <c r="N19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19" s="40" t="str">
        <f>INDEX(BD[],MATCH(S19,BD[Unidades vendidas],0),3)</f>
        <v>Lámpara de Mesa Amadora Eglo</v>
      </c>
      <c r="R19" s="41"/>
      <c r="S19" s="33">
        <f>MAX(BD[Unidades vendidas])</f>
        <v>100</v>
      </c>
    </row>
    <row r="20" spans="1:20" ht="14.25" customHeight="1" thickBot="1" x14ac:dyDescent="0.3">
      <c r="A20" s="53">
        <v>19</v>
      </c>
      <c r="B20" s="6">
        <v>7803441875823</v>
      </c>
      <c r="C20" s="7" t="s">
        <v>29</v>
      </c>
      <c r="D20" s="8" t="s">
        <v>8</v>
      </c>
      <c r="E20" s="9">
        <v>22743</v>
      </c>
      <c r="F20" s="10">
        <v>48034.1387184466</v>
      </c>
      <c r="G20" s="17">
        <v>3</v>
      </c>
      <c r="H20" s="24">
        <v>98</v>
      </c>
      <c r="I20" s="27" t="str">
        <f>_xlfn.CONCAT(RIGHT(BD[[#This Row],[EAN ]],3),LEFT(BD[[#This Row],[Nombre]],3),LEFT(BD[[#This Row],[Categoría]],1))</f>
        <v>823LámM</v>
      </c>
      <c r="J20" s="27" t="str">
        <f>VLOOKUP(BD[[#This Row],[Nº Proveedor]],Proveedores[],2,FALSE)</f>
        <v>Lejano Oriente S. A.</v>
      </c>
      <c r="K20" s="27">
        <f>BD[[#This Row],[Unidades vendidas]]*BD[[#This Row],[Precio venta]]</f>
        <v>4707345.5944077671</v>
      </c>
      <c r="L20" s="27">
        <f>BD[[#This Row],[Precio venta]]-BD[[#This Row],[Costo ]]</f>
        <v>25291.1387184466</v>
      </c>
      <c r="M20" s="27">
        <f>BD[[#This Row],[Utilidad unitaria]]*BD[[#This Row],[Unidades vendidas]]</f>
        <v>2478531.5944077671</v>
      </c>
      <c r="N2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21" spans="1:20" ht="14.25" customHeight="1" thickBot="1" x14ac:dyDescent="0.3">
      <c r="A21" s="53">
        <v>20</v>
      </c>
      <c r="B21" s="6">
        <v>7803606809144</v>
      </c>
      <c r="C21" s="7" t="s">
        <v>30</v>
      </c>
      <c r="D21" s="8" t="s">
        <v>8</v>
      </c>
      <c r="E21" s="9">
        <v>33633</v>
      </c>
      <c r="F21" s="10">
        <v>70159.065825242724</v>
      </c>
      <c r="G21" s="17">
        <v>1</v>
      </c>
      <c r="H21" s="24">
        <v>73</v>
      </c>
      <c r="I21" s="27" t="str">
        <f>_xlfn.CONCAT(RIGHT(BD[[#This Row],[EAN ]],3),LEFT(BD[[#This Row],[Nombre]],3),LEFT(BD[[#This Row],[Categoría]],1))</f>
        <v>144BasM</v>
      </c>
      <c r="J21" s="27" t="str">
        <f>VLOOKUP(BD[[#This Row],[Nº Proveedor]],Proveedores[],2,FALSE)</f>
        <v>Importadora Oriental Ltda.</v>
      </c>
      <c r="K21" s="27">
        <f>BD[[#This Row],[Unidades vendidas]]*BD[[#This Row],[Precio venta]]</f>
        <v>5121611.8052427191</v>
      </c>
      <c r="L21" s="27">
        <f>BD[[#This Row],[Precio venta]]-BD[[#This Row],[Costo ]]</f>
        <v>36526.065825242724</v>
      </c>
      <c r="M21" s="27">
        <f>BD[[#This Row],[Utilidad unitaria]]*BD[[#This Row],[Unidades vendidas]]</f>
        <v>2666402.8052427187</v>
      </c>
      <c r="N21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21" s="42" t="s">
        <v>91</v>
      </c>
      <c r="R21" s="44"/>
      <c r="S21" s="43"/>
    </row>
    <row r="22" spans="1:20" ht="14.25" customHeight="1" thickBot="1" x14ac:dyDescent="0.3">
      <c r="A22" s="53">
        <v>21</v>
      </c>
      <c r="B22" s="6">
        <v>7803921254094</v>
      </c>
      <c r="C22" s="7" t="s">
        <v>31</v>
      </c>
      <c r="D22" s="8" t="s">
        <v>6</v>
      </c>
      <c r="E22" s="9">
        <v>29119</v>
      </c>
      <c r="F22" s="10">
        <v>60392.665048543691</v>
      </c>
      <c r="G22" s="17">
        <v>2</v>
      </c>
      <c r="H22" s="24">
        <v>2</v>
      </c>
      <c r="I22" s="27" t="str">
        <f>_xlfn.CONCAT(RIGHT(BD[[#This Row],[EAN ]],3),LEFT(BD[[#This Row],[Nombre]],3),LEFT(BD[[#This Row],[Categoría]],1))</f>
        <v>094MicC</v>
      </c>
      <c r="J22" s="27" t="str">
        <f>VLOOKUP(BD[[#This Row],[Nº Proveedor]],Proveedores[],2,FALSE)</f>
        <v>Comercial  Taiwan S. A.</v>
      </c>
      <c r="K22" s="27">
        <f>BD[[#This Row],[Unidades vendidas]]*BD[[#This Row],[Precio venta]]</f>
        <v>120785.33009708738</v>
      </c>
      <c r="L22" s="27">
        <f>BD[[#This Row],[Precio venta]]-BD[[#This Row],[Costo ]]</f>
        <v>31273.665048543691</v>
      </c>
      <c r="M22" s="27">
        <f>BD[[#This Row],[Utilidad unitaria]]*BD[[#This Row],[Unidades vendidas]]</f>
        <v>62547.330097087382</v>
      </c>
      <c r="N22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22" s="42" t="s">
        <v>90</v>
      </c>
      <c r="R22" s="43"/>
      <c r="S22" s="32" t="s">
        <v>88</v>
      </c>
    </row>
    <row r="23" spans="1:20" ht="14.25" customHeight="1" thickBot="1" x14ac:dyDescent="0.3">
      <c r="A23" s="53">
        <v>22</v>
      </c>
      <c r="B23" s="6">
        <v>7803996699585</v>
      </c>
      <c r="C23" s="7" t="s">
        <v>32</v>
      </c>
      <c r="D23" s="8" t="s">
        <v>6</v>
      </c>
      <c r="E23" s="9">
        <v>36286</v>
      </c>
      <c r="F23" s="10">
        <v>76708.768194174758</v>
      </c>
      <c r="G23" s="17">
        <v>1</v>
      </c>
      <c r="H23" s="24">
        <v>25</v>
      </c>
      <c r="I23" s="27" t="str">
        <f>_xlfn.CONCAT(RIGHT(BD[[#This Row],[EAN ]],3),LEFT(BD[[#This Row],[Nombre]],3),LEFT(BD[[#This Row],[Categoría]],1))</f>
        <v>585LámC</v>
      </c>
      <c r="J23" s="27" t="str">
        <f>VLOOKUP(BD[[#This Row],[Nº Proveedor]],Proveedores[],2,FALSE)</f>
        <v>Importadora Oriental Ltda.</v>
      </c>
      <c r="K23" s="27">
        <f>BD[[#This Row],[Unidades vendidas]]*BD[[#This Row],[Precio venta]]</f>
        <v>1917719.2048543689</v>
      </c>
      <c r="L23" s="27">
        <f>BD[[#This Row],[Precio venta]]-BD[[#This Row],[Costo ]]</f>
        <v>40422.768194174758</v>
      </c>
      <c r="M23" s="27">
        <f>BD[[#This Row],[Utilidad unitaria]]*BD[[#This Row],[Unidades vendidas]]</f>
        <v>1010569.2048543689</v>
      </c>
      <c r="N23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23" s="40" t="str">
        <f>INDEX(BD[],MATCH(S23,BD[Unidades vendidas],0),3)</f>
        <v>Lámpara de Mesa Orion Rojo Koziol</v>
      </c>
      <c r="R23" s="41"/>
      <c r="S23" s="33">
        <f>MIN(BD[Unidades vendidas])</f>
        <v>1</v>
      </c>
    </row>
    <row r="24" spans="1:20" ht="14.25" customHeight="1" thickBot="1" x14ac:dyDescent="0.3">
      <c r="A24" s="53">
        <v>23</v>
      </c>
      <c r="B24" s="6">
        <v>7804405384702</v>
      </c>
      <c r="C24" s="7" t="s">
        <v>33</v>
      </c>
      <c r="D24" s="8" t="s">
        <v>8</v>
      </c>
      <c r="E24" s="9">
        <v>32225</v>
      </c>
      <c r="F24" s="10">
        <v>70443.743883495146</v>
      </c>
      <c r="G24" s="17">
        <v>2</v>
      </c>
      <c r="H24" s="24">
        <v>90</v>
      </c>
      <c r="I24" s="27" t="str">
        <f>_xlfn.CONCAT(RIGHT(BD[[#This Row],[EAN ]],3),LEFT(BD[[#This Row],[Nombre]],3),LEFT(BD[[#This Row],[Categoría]],1))</f>
        <v>702LámM</v>
      </c>
      <c r="J24" s="27" t="str">
        <f>VLOOKUP(BD[[#This Row],[Nº Proveedor]],Proveedores[],2,FALSE)</f>
        <v>Comercial  Taiwan S. A.</v>
      </c>
      <c r="K24" s="27">
        <f>BD[[#This Row],[Unidades vendidas]]*BD[[#This Row],[Precio venta]]</f>
        <v>6339936.9495145632</v>
      </c>
      <c r="L24" s="27">
        <f>BD[[#This Row],[Precio venta]]-BD[[#This Row],[Costo ]]</f>
        <v>38218.743883495146</v>
      </c>
      <c r="M24" s="27">
        <f>BD[[#This Row],[Utilidad unitaria]]*BD[[#This Row],[Unidades vendidas]]</f>
        <v>3439686.9495145632</v>
      </c>
      <c r="N24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25" spans="1:20" ht="14.25" customHeight="1" thickBot="1" x14ac:dyDescent="0.3">
      <c r="A25" s="53">
        <v>24</v>
      </c>
      <c r="B25" s="6">
        <v>7804556874572</v>
      </c>
      <c r="C25" s="7" t="s">
        <v>34</v>
      </c>
      <c r="D25" s="8" t="s">
        <v>12</v>
      </c>
      <c r="E25" s="9">
        <v>39507</v>
      </c>
      <c r="F25" s="10">
        <v>81859.288543689327</v>
      </c>
      <c r="G25" s="17">
        <v>2</v>
      </c>
      <c r="H25" s="24">
        <v>84</v>
      </c>
      <c r="I25" s="27" t="str">
        <f>_xlfn.CONCAT(RIGHT(BD[[#This Row],[EAN ]],3),LEFT(BD[[#This Row],[Nombre]],3),LEFT(BD[[#This Row],[Categoría]],1))</f>
        <v>572BasP</v>
      </c>
      <c r="J25" s="27" t="str">
        <f>VLOOKUP(BD[[#This Row],[Nº Proveedor]],Proveedores[],2,FALSE)</f>
        <v>Comercial  Taiwan S. A.</v>
      </c>
      <c r="K25" s="27">
        <f>BD[[#This Row],[Unidades vendidas]]*BD[[#This Row],[Precio venta]]</f>
        <v>6876180.2376699038</v>
      </c>
      <c r="L25" s="27">
        <f>BD[[#This Row],[Precio venta]]-BD[[#This Row],[Costo ]]</f>
        <v>42352.288543689327</v>
      </c>
      <c r="M25" s="27">
        <f>BD[[#This Row],[Utilidad unitaria]]*BD[[#This Row],[Unidades vendidas]]</f>
        <v>3557592.2376699033</v>
      </c>
      <c r="N25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25" s="42" t="s">
        <v>92</v>
      </c>
      <c r="R25" s="44"/>
      <c r="S25" s="44"/>
      <c r="T25" s="43"/>
    </row>
    <row r="26" spans="1:20" ht="14.25" customHeight="1" thickBot="1" x14ac:dyDescent="0.3">
      <c r="A26" s="53">
        <v>25</v>
      </c>
      <c r="B26" s="6">
        <v>7804565733907</v>
      </c>
      <c r="C26" s="7" t="s">
        <v>35</v>
      </c>
      <c r="D26" s="8" t="s">
        <v>8</v>
      </c>
      <c r="E26" s="9">
        <v>14362</v>
      </c>
      <c r="F26" s="10">
        <v>31394.78019417476</v>
      </c>
      <c r="G26" s="17">
        <v>1</v>
      </c>
      <c r="H26" s="24">
        <v>81</v>
      </c>
      <c r="I26" s="27" t="str">
        <f>_xlfn.CONCAT(RIGHT(BD[[#This Row],[EAN ]],3),LEFT(BD[[#This Row],[Nombre]],3),LEFT(BD[[#This Row],[Categoría]],1))</f>
        <v>907LámM</v>
      </c>
      <c r="J26" s="27" t="str">
        <f>VLOOKUP(BD[[#This Row],[Nº Proveedor]],Proveedores[],2,FALSE)</f>
        <v>Importadora Oriental Ltda.</v>
      </c>
      <c r="K26" s="27">
        <f>BD[[#This Row],[Unidades vendidas]]*BD[[#This Row],[Precio venta]]</f>
        <v>2542977.1957281558</v>
      </c>
      <c r="L26" s="27">
        <f>BD[[#This Row],[Precio venta]]-BD[[#This Row],[Costo ]]</f>
        <v>17032.78019417476</v>
      </c>
      <c r="M26" s="27">
        <f>BD[[#This Row],[Utilidad unitaria]]*BD[[#This Row],[Unidades vendidas]]</f>
        <v>1379655.1957281556</v>
      </c>
      <c r="N26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26" s="42" t="s">
        <v>79</v>
      </c>
      <c r="R26" s="43"/>
      <c r="S26" s="32" t="s">
        <v>88</v>
      </c>
      <c r="T26" s="32" t="s">
        <v>94</v>
      </c>
    </row>
    <row r="27" spans="1:20" ht="14.25" customHeight="1" thickBot="1" x14ac:dyDescent="0.3">
      <c r="A27" s="53">
        <v>26</v>
      </c>
      <c r="B27" s="6">
        <v>7804693691131</v>
      </c>
      <c r="C27" s="7" t="s">
        <v>36</v>
      </c>
      <c r="D27" s="8" t="s">
        <v>6</v>
      </c>
      <c r="E27" s="9">
        <v>27178</v>
      </c>
      <c r="F27" s="10">
        <v>56746.974757281554</v>
      </c>
      <c r="G27" s="17">
        <v>1</v>
      </c>
      <c r="H27" s="24">
        <v>83</v>
      </c>
      <c r="I27" s="27" t="str">
        <f>_xlfn.CONCAT(RIGHT(BD[[#This Row],[EAN ]],3),LEFT(BD[[#This Row],[Nombre]],3),LEFT(BD[[#This Row],[Categoría]],1))</f>
        <v>131MicC</v>
      </c>
      <c r="J27" s="27" t="str">
        <f>VLOOKUP(BD[[#This Row],[Nº Proveedor]],Proveedores[],2,FALSE)</f>
        <v>Importadora Oriental Ltda.</v>
      </c>
      <c r="K27" s="27">
        <f>BD[[#This Row],[Unidades vendidas]]*BD[[#This Row],[Precio venta]]</f>
        <v>4709998.9048543693</v>
      </c>
      <c r="L27" s="27">
        <f>BD[[#This Row],[Precio venta]]-BD[[#This Row],[Costo ]]</f>
        <v>29568.974757281554</v>
      </c>
      <c r="M27" s="27">
        <f>BD[[#This Row],[Utilidad unitaria]]*BD[[#This Row],[Unidades vendidas]]</f>
        <v>2454224.9048543689</v>
      </c>
      <c r="N27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27" s="40" t="s">
        <v>81</v>
      </c>
      <c r="R27" s="41"/>
      <c r="S27" s="33">
        <f>SUMIFS(BD[Unidades vendidas],BD[Proveedor],Q27)</f>
        <v>1083</v>
      </c>
      <c r="T27" s="62">
        <f>SUMIFS(BD[[Ingresos ]],BD[Proveedor],Q27)</f>
        <v>63060969.294640787</v>
      </c>
    </row>
    <row r="28" spans="1:20" ht="14.25" customHeight="1" thickBot="1" x14ac:dyDescent="0.3">
      <c r="A28" s="53">
        <v>27</v>
      </c>
      <c r="B28" s="6">
        <v>7804788222905</v>
      </c>
      <c r="C28" s="7" t="s">
        <v>37</v>
      </c>
      <c r="D28" s="8" t="s">
        <v>12</v>
      </c>
      <c r="E28" s="9">
        <v>54361</v>
      </c>
      <c r="F28" s="10">
        <v>117093.94951456311</v>
      </c>
      <c r="G28" s="17">
        <v>3</v>
      </c>
      <c r="H28" s="24">
        <v>45</v>
      </c>
      <c r="I28" s="27" t="str">
        <f>_xlfn.CONCAT(RIGHT(BD[[#This Row],[EAN ]],3),LEFT(BD[[#This Row],[Nombre]],3),LEFT(BD[[#This Row],[Categoría]],1))</f>
        <v>905BasP</v>
      </c>
      <c r="J28" s="27" t="str">
        <f>VLOOKUP(BD[[#This Row],[Nº Proveedor]],Proveedores[],2,FALSE)</f>
        <v>Lejano Oriente S. A.</v>
      </c>
      <c r="K28" s="27">
        <f>BD[[#This Row],[Unidades vendidas]]*BD[[#This Row],[Precio venta]]</f>
        <v>5269227.7281553401</v>
      </c>
      <c r="L28" s="27">
        <f>BD[[#This Row],[Precio venta]]-BD[[#This Row],[Costo ]]</f>
        <v>62732.949514563108</v>
      </c>
      <c r="M28" s="27">
        <f>BD[[#This Row],[Utilidad unitaria]]*BD[[#This Row],[Unidades vendidas]]</f>
        <v>2822982.7281553401</v>
      </c>
      <c r="N28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28" s="40" t="s">
        <v>82</v>
      </c>
      <c r="R28" s="41"/>
      <c r="S28" s="37">
        <f>SUMIFS(BD[Unidades vendidas],BD[Proveedor],Q28)</f>
        <v>827</v>
      </c>
      <c r="T28" s="62">
        <f>SUMIFS(BD[[Ingresos ]],BD[Proveedor],Q28)</f>
        <v>53695238.010563105</v>
      </c>
    </row>
    <row r="29" spans="1:20" ht="14.25" customHeight="1" thickBot="1" x14ac:dyDescent="0.3">
      <c r="A29" s="53">
        <v>28</v>
      </c>
      <c r="B29" s="6">
        <v>7804907236110</v>
      </c>
      <c r="C29" s="7" t="s">
        <v>38</v>
      </c>
      <c r="D29" s="8" t="s">
        <v>12</v>
      </c>
      <c r="E29" s="9">
        <v>37147</v>
      </c>
      <c r="F29" s="10">
        <v>78008.067961165041</v>
      </c>
      <c r="G29" s="17">
        <v>3</v>
      </c>
      <c r="H29" s="24">
        <v>77</v>
      </c>
      <c r="I29" s="27" t="str">
        <f>_xlfn.CONCAT(RIGHT(BD[[#This Row],[EAN ]],3),LEFT(BD[[#This Row],[Nombre]],3),LEFT(BD[[#This Row],[Categoría]],1))</f>
        <v>110LámP</v>
      </c>
      <c r="J29" s="27" t="str">
        <f>VLOOKUP(BD[[#This Row],[Nº Proveedor]],Proveedores[],2,FALSE)</f>
        <v>Lejano Oriente S. A.</v>
      </c>
      <c r="K29" s="27">
        <f>BD[[#This Row],[Unidades vendidas]]*BD[[#This Row],[Precio venta]]</f>
        <v>6006621.2330097081</v>
      </c>
      <c r="L29" s="27">
        <f>BD[[#This Row],[Precio venta]]-BD[[#This Row],[Costo ]]</f>
        <v>40861.067961165041</v>
      </c>
      <c r="M29" s="27">
        <f>BD[[#This Row],[Utilidad unitaria]]*BD[[#This Row],[Unidades vendidas]]</f>
        <v>3146302.2330097081</v>
      </c>
      <c r="N29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29" s="40" t="s">
        <v>83</v>
      </c>
      <c r="R29" s="41"/>
      <c r="S29" s="37">
        <f>SUMIFS(BD[Unidades vendidas],BD[Proveedor],Q29)</f>
        <v>1568</v>
      </c>
      <c r="T29" s="62">
        <f>SUMIFS(BD[[Ingresos ]],BD[Proveedor],Q29)</f>
        <v>101229794.64372815</v>
      </c>
    </row>
    <row r="30" spans="1:20" ht="14.25" customHeight="1" thickBot="1" x14ac:dyDescent="0.3">
      <c r="A30" s="53">
        <v>29</v>
      </c>
      <c r="B30" s="6">
        <v>7805028956048</v>
      </c>
      <c r="C30" s="7" t="s">
        <v>39</v>
      </c>
      <c r="D30" s="8" t="s">
        <v>6</v>
      </c>
      <c r="E30" s="9">
        <v>38119</v>
      </c>
      <c r="F30" s="10">
        <v>76923.613009708744</v>
      </c>
      <c r="G30" s="17">
        <v>3</v>
      </c>
      <c r="H30" s="24">
        <v>35</v>
      </c>
      <c r="I30" s="27" t="str">
        <f>_xlfn.CONCAT(RIGHT(BD[[#This Row],[EAN ]],3),LEFT(BD[[#This Row],[Nombre]],3),LEFT(BD[[#This Row],[Categoría]],1))</f>
        <v>048LámC</v>
      </c>
      <c r="J30" s="27" t="str">
        <f>VLOOKUP(BD[[#This Row],[Nº Proveedor]],Proveedores[],2,FALSE)</f>
        <v>Lejano Oriente S. A.</v>
      </c>
      <c r="K30" s="27">
        <f>BD[[#This Row],[Unidades vendidas]]*BD[[#This Row],[Precio venta]]</f>
        <v>2692326.4553398062</v>
      </c>
      <c r="L30" s="27">
        <f>BD[[#This Row],[Precio venta]]-BD[[#This Row],[Costo ]]</f>
        <v>38804.613009708744</v>
      </c>
      <c r="M30" s="27">
        <f>BD[[#This Row],[Utilidad unitaria]]*BD[[#This Row],[Unidades vendidas]]</f>
        <v>1358161.4553398062</v>
      </c>
      <c r="N3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31" spans="1:20" ht="14.25" customHeight="1" thickBot="1" x14ac:dyDescent="0.3">
      <c r="A31" s="53">
        <v>30</v>
      </c>
      <c r="B31" s="6">
        <v>7805052680827</v>
      </c>
      <c r="C31" s="7" t="s">
        <v>40</v>
      </c>
      <c r="D31" s="8" t="s">
        <v>28</v>
      </c>
      <c r="E31" s="9">
        <v>7856</v>
      </c>
      <c r="F31" s="10">
        <v>16262.362135922333</v>
      </c>
      <c r="G31" s="17">
        <v>2</v>
      </c>
      <c r="H31" s="24">
        <v>7</v>
      </c>
      <c r="I31" s="27" t="str">
        <f>_xlfn.CONCAT(RIGHT(BD[[#This Row],[EAN ]],3),LEFT(BD[[#This Row],[Nombre]],3),LEFT(BD[[#This Row],[Categoría]],1))</f>
        <v>827LAME</v>
      </c>
      <c r="J31" s="27" t="str">
        <f>VLOOKUP(BD[[#This Row],[Nº Proveedor]],Proveedores[],2,FALSE)</f>
        <v>Comercial  Taiwan S. A.</v>
      </c>
      <c r="K31" s="27">
        <f>BD[[#This Row],[Unidades vendidas]]*BD[[#This Row],[Precio venta]]</f>
        <v>113836.53495145633</v>
      </c>
      <c r="L31" s="27">
        <f>BD[[#This Row],[Precio venta]]-BD[[#This Row],[Costo ]]</f>
        <v>8406.3621359223325</v>
      </c>
      <c r="M31" s="27">
        <f>BD[[#This Row],[Utilidad unitaria]]*BD[[#This Row],[Unidades vendidas]]</f>
        <v>58844.534951456328</v>
      </c>
      <c r="N31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  <c r="Q31" s="42" t="s">
        <v>95</v>
      </c>
      <c r="R31" s="44"/>
      <c r="S31" s="44"/>
      <c r="T31" s="43"/>
    </row>
    <row r="32" spans="1:20" ht="14.25" customHeight="1" thickBot="1" x14ac:dyDescent="0.3">
      <c r="A32" s="53">
        <v>31</v>
      </c>
      <c r="B32" s="6">
        <v>7805111853308</v>
      </c>
      <c r="C32" s="7" t="s">
        <v>41</v>
      </c>
      <c r="D32" s="8" t="s">
        <v>8</v>
      </c>
      <c r="E32" s="9">
        <v>29040</v>
      </c>
      <c r="F32" s="10">
        <v>58835.040000000001</v>
      </c>
      <c r="G32" s="17">
        <v>1</v>
      </c>
      <c r="H32" s="24">
        <v>11</v>
      </c>
      <c r="I32" s="27" t="str">
        <f>_xlfn.CONCAT(RIGHT(BD[[#This Row],[EAN ]],3),LEFT(BD[[#This Row],[Nombre]],3),LEFT(BD[[#This Row],[Categoría]],1))</f>
        <v>308LámM</v>
      </c>
      <c r="J32" s="27" t="str">
        <f>VLOOKUP(BD[[#This Row],[Nº Proveedor]],Proveedores[],2,FALSE)</f>
        <v>Importadora Oriental Ltda.</v>
      </c>
      <c r="K32" s="27">
        <f>BD[[#This Row],[Unidades vendidas]]*BD[[#This Row],[Precio venta]]</f>
        <v>647185.44000000006</v>
      </c>
      <c r="L32" s="27">
        <f>BD[[#This Row],[Precio venta]]-BD[[#This Row],[Costo ]]</f>
        <v>29795.040000000001</v>
      </c>
      <c r="M32" s="27">
        <f>BD[[#This Row],[Utilidad unitaria]]*BD[[#This Row],[Unidades vendidas]]</f>
        <v>327745.44</v>
      </c>
      <c r="N32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32" s="42" t="s">
        <v>96</v>
      </c>
      <c r="R32" s="43"/>
      <c r="S32" s="32" t="s">
        <v>88</v>
      </c>
      <c r="T32" s="32" t="s">
        <v>94</v>
      </c>
    </row>
    <row r="33" spans="1:20" ht="14.25" customHeight="1" thickBot="1" x14ac:dyDescent="0.3">
      <c r="A33" s="53">
        <v>32</v>
      </c>
      <c r="B33" s="6">
        <v>7805367674474</v>
      </c>
      <c r="C33" s="7" t="s">
        <v>42</v>
      </c>
      <c r="D33" s="8" t="s">
        <v>12</v>
      </c>
      <c r="E33" s="9">
        <v>20964</v>
      </c>
      <c r="F33" s="10">
        <v>41005.356116504852</v>
      </c>
      <c r="G33" s="17">
        <v>3</v>
      </c>
      <c r="H33" s="24">
        <v>98</v>
      </c>
      <c r="I33" s="27" t="str">
        <f>_xlfn.CONCAT(RIGHT(BD[[#This Row],[EAN ]],3),LEFT(BD[[#This Row],[Nombre]],3),LEFT(BD[[#This Row],[Categoría]],1))</f>
        <v>474MicP</v>
      </c>
      <c r="J33" s="27" t="str">
        <f>VLOOKUP(BD[[#This Row],[Nº Proveedor]],Proveedores[],2,FALSE)</f>
        <v>Lejano Oriente S. A.</v>
      </c>
      <c r="K33" s="27">
        <f>BD[[#This Row],[Unidades vendidas]]*BD[[#This Row],[Precio venta]]</f>
        <v>4018524.8994174753</v>
      </c>
      <c r="L33" s="27">
        <f>BD[[#This Row],[Precio venta]]-BD[[#This Row],[Costo ]]</f>
        <v>20041.356116504852</v>
      </c>
      <c r="M33" s="27">
        <f>BD[[#This Row],[Utilidad unitaria]]*BD[[#This Row],[Unidades vendidas]]</f>
        <v>1964052.8994174756</v>
      </c>
      <c r="N33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33" s="40" t="s">
        <v>101</v>
      </c>
      <c r="R33" s="41"/>
      <c r="S33" s="33">
        <f>SUMIFS(BD[Unidades vendidas],BD[[Clasificación ]],Q33)</f>
        <v>939</v>
      </c>
      <c r="T33" s="36">
        <f>SUMIFS(BD[[Ingresos ]],BD[[Clasificación ]],Q33)</f>
        <v>97874790.984854355</v>
      </c>
    </row>
    <row r="34" spans="1:20" ht="14.25" customHeight="1" thickBot="1" x14ac:dyDescent="0.3">
      <c r="A34" s="53">
        <v>33</v>
      </c>
      <c r="B34" s="6">
        <v>7805671225140</v>
      </c>
      <c r="C34" s="7" t="s">
        <v>43</v>
      </c>
      <c r="D34" s="8" t="s">
        <v>6</v>
      </c>
      <c r="E34" s="9">
        <v>32617</v>
      </c>
      <c r="F34" s="10">
        <v>66407.599223300975</v>
      </c>
      <c r="G34" s="17">
        <v>3</v>
      </c>
      <c r="H34" s="24">
        <v>66</v>
      </c>
      <c r="I34" s="27" t="str">
        <f>_xlfn.CONCAT(RIGHT(BD[[#This Row],[EAN ]],3),LEFT(BD[[#This Row],[Nombre]],3),LEFT(BD[[#This Row],[Categoría]],1))</f>
        <v>140LámC</v>
      </c>
      <c r="J34" s="27" t="str">
        <f>VLOOKUP(BD[[#This Row],[Nº Proveedor]],Proveedores[],2,FALSE)</f>
        <v>Lejano Oriente S. A.</v>
      </c>
      <c r="K34" s="27">
        <f>BD[[#This Row],[Unidades vendidas]]*BD[[#This Row],[Precio venta]]</f>
        <v>4382901.548737864</v>
      </c>
      <c r="L34" s="27">
        <f>BD[[#This Row],[Precio venta]]-BD[[#This Row],[Costo ]]</f>
        <v>33790.599223300975</v>
      </c>
      <c r="M34" s="27">
        <f>BD[[#This Row],[Utilidad unitaria]]*BD[[#This Row],[Unidades vendidas]]</f>
        <v>2230179.5487378645</v>
      </c>
      <c r="N34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34" s="38" t="s">
        <v>102</v>
      </c>
      <c r="R34" s="39"/>
      <c r="S34" s="37">
        <f>SUMIFS(BD[Unidades vendidas],BD[[Clasificación ]],Q34)</f>
        <v>2053</v>
      </c>
      <c r="T34" s="36">
        <f>SUMIFS(BD[[Ingresos ]],BD[[Clasificación ]],Q34)</f>
        <v>107593847.4747961</v>
      </c>
    </row>
    <row r="35" spans="1:20" ht="14.25" customHeight="1" thickBot="1" x14ac:dyDescent="0.3">
      <c r="A35" s="53">
        <v>34</v>
      </c>
      <c r="B35" s="6">
        <v>7805683368279</v>
      </c>
      <c r="C35" s="7" t="s">
        <v>44</v>
      </c>
      <c r="D35" s="8" t="s">
        <v>6</v>
      </c>
      <c r="E35" s="9">
        <v>18749</v>
      </c>
      <c r="F35" s="10">
        <v>37498.25242718446</v>
      </c>
      <c r="G35" s="17">
        <v>3</v>
      </c>
      <c r="H35" s="24">
        <v>8</v>
      </c>
      <c r="I35" s="27" t="str">
        <f>_xlfn.CONCAT(RIGHT(BD[[#This Row],[EAN ]],3),LEFT(BD[[#This Row],[Nombre]],3),LEFT(BD[[#This Row],[Categoría]],1))</f>
        <v>279LámC</v>
      </c>
      <c r="J35" s="27" t="str">
        <f>VLOOKUP(BD[[#This Row],[Nº Proveedor]],Proveedores[],2,FALSE)</f>
        <v>Lejano Oriente S. A.</v>
      </c>
      <c r="K35" s="27">
        <f>BD[[#This Row],[Unidades vendidas]]*BD[[#This Row],[Precio venta]]</f>
        <v>299986.01941747568</v>
      </c>
      <c r="L35" s="27">
        <f>BD[[#This Row],[Precio venta]]-BD[[#This Row],[Costo ]]</f>
        <v>18749.25242718446</v>
      </c>
      <c r="M35" s="27">
        <f>BD[[#This Row],[Utilidad unitaria]]*BD[[#This Row],[Unidades vendidas]]</f>
        <v>149994.01941747568</v>
      </c>
      <c r="N35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  <c r="Q35" s="45" t="s">
        <v>103</v>
      </c>
      <c r="R35" s="46"/>
      <c r="S35" s="37">
        <f>SUMIFS(BD[Unidades vendidas],BD[[Clasificación ]],Q35)</f>
        <v>486</v>
      </c>
      <c r="T35" s="36">
        <f>SUMIFS(BD[[Ingresos ]],BD[[Clasificación ]],Q35)</f>
        <v>12517363.489281552</v>
      </c>
    </row>
    <row r="36" spans="1:20" ht="14.25" customHeight="1" x14ac:dyDescent="0.25">
      <c r="A36" s="53">
        <v>35</v>
      </c>
      <c r="B36" s="6">
        <v>7805971729898</v>
      </c>
      <c r="C36" s="7" t="s">
        <v>45</v>
      </c>
      <c r="D36" s="8" t="s">
        <v>6</v>
      </c>
      <c r="E36" s="9">
        <v>15021</v>
      </c>
      <c r="F36" s="10">
        <v>30131.678058252426</v>
      </c>
      <c r="G36" s="17">
        <v>3</v>
      </c>
      <c r="H36" s="24">
        <v>30</v>
      </c>
      <c r="I36" s="27" t="str">
        <f>_xlfn.CONCAT(RIGHT(BD[[#This Row],[EAN ]],3),LEFT(BD[[#This Row],[Nombre]],3),LEFT(BD[[#This Row],[Categoría]],1))</f>
        <v>898LámC</v>
      </c>
      <c r="J36" s="27" t="str">
        <f>VLOOKUP(BD[[#This Row],[Nº Proveedor]],Proveedores[],2,FALSE)</f>
        <v>Lejano Oriente S. A.</v>
      </c>
      <c r="K36" s="27">
        <f>BD[[#This Row],[Unidades vendidas]]*BD[[#This Row],[Precio venta]]</f>
        <v>903950.34174757276</v>
      </c>
      <c r="L36" s="27">
        <f>BD[[#This Row],[Precio venta]]-BD[[#This Row],[Costo ]]</f>
        <v>15110.678058252426</v>
      </c>
      <c r="M36" s="27">
        <f>BD[[#This Row],[Utilidad unitaria]]*BD[[#This Row],[Unidades vendidas]]</f>
        <v>453320.34174757276</v>
      </c>
      <c r="N36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37" spans="1:20" ht="14.25" customHeight="1" x14ac:dyDescent="0.25">
      <c r="A37" s="53">
        <v>36</v>
      </c>
      <c r="B37" s="6">
        <v>7806069081669</v>
      </c>
      <c r="C37" s="7" t="s">
        <v>46</v>
      </c>
      <c r="D37" s="8" t="s">
        <v>8</v>
      </c>
      <c r="E37" s="9">
        <v>14605</v>
      </c>
      <c r="F37" s="10">
        <v>30700.301825242721</v>
      </c>
      <c r="G37" s="17">
        <v>2</v>
      </c>
      <c r="H37" s="24">
        <v>3</v>
      </c>
      <c r="I37" s="27" t="str">
        <f>_xlfn.CONCAT(RIGHT(BD[[#This Row],[EAN ]],3),LEFT(BD[[#This Row],[Nombre]],3),LEFT(BD[[#This Row],[Categoría]],1))</f>
        <v>669LámM</v>
      </c>
      <c r="J37" s="27" t="str">
        <f>VLOOKUP(BD[[#This Row],[Nº Proveedor]],Proveedores[],2,FALSE)</f>
        <v>Comercial  Taiwan S. A.</v>
      </c>
      <c r="K37" s="27">
        <f>BD[[#This Row],[Unidades vendidas]]*BD[[#This Row],[Precio venta]]</f>
        <v>92100.905475728156</v>
      </c>
      <c r="L37" s="27">
        <f>BD[[#This Row],[Precio venta]]-BD[[#This Row],[Costo ]]</f>
        <v>16095.301825242721</v>
      </c>
      <c r="M37" s="27">
        <f>BD[[#This Row],[Utilidad unitaria]]*BD[[#This Row],[Unidades vendidas]]</f>
        <v>48285.905475728163</v>
      </c>
      <c r="N37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38" spans="1:20" ht="14.25" customHeight="1" x14ac:dyDescent="0.25">
      <c r="A38" s="53">
        <v>37</v>
      </c>
      <c r="B38" s="6">
        <v>7806319473176</v>
      </c>
      <c r="C38" s="7" t="s">
        <v>47</v>
      </c>
      <c r="D38" s="8" t="s">
        <v>12</v>
      </c>
      <c r="E38" s="9">
        <v>28875</v>
      </c>
      <c r="F38" s="10">
        <v>62832.528155339809</v>
      </c>
      <c r="G38" s="17">
        <v>2</v>
      </c>
      <c r="H38" s="24">
        <v>41</v>
      </c>
      <c r="I38" s="27" t="str">
        <f>_xlfn.CONCAT(RIGHT(BD[[#This Row],[EAN ]],3),LEFT(BD[[#This Row],[Nombre]],3),LEFT(BD[[#This Row],[Categoría]],1))</f>
        <v>176LAMP</v>
      </c>
      <c r="J38" s="27" t="str">
        <f>VLOOKUP(BD[[#This Row],[Nº Proveedor]],Proveedores[],2,FALSE)</f>
        <v>Comercial  Taiwan S. A.</v>
      </c>
      <c r="K38" s="27">
        <f>BD[[#This Row],[Unidades vendidas]]*BD[[#This Row],[Precio venta]]</f>
        <v>2576133.6543689324</v>
      </c>
      <c r="L38" s="27">
        <f>BD[[#This Row],[Precio venta]]-BD[[#This Row],[Costo ]]</f>
        <v>33957.528155339809</v>
      </c>
      <c r="M38" s="27">
        <f>BD[[#This Row],[Utilidad unitaria]]*BD[[#This Row],[Unidades vendidas]]</f>
        <v>1392258.6543689321</v>
      </c>
      <c r="N38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39" spans="1:20" ht="14.25" customHeight="1" x14ac:dyDescent="0.25">
      <c r="A39" s="53">
        <v>38</v>
      </c>
      <c r="B39" s="6">
        <v>7806322682558</v>
      </c>
      <c r="C39" s="7" t="s">
        <v>48</v>
      </c>
      <c r="D39" s="8" t="s">
        <v>26</v>
      </c>
      <c r="E39" s="9">
        <v>13196</v>
      </c>
      <c r="F39" s="10">
        <v>25706.034951456309</v>
      </c>
      <c r="G39" s="17">
        <v>2</v>
      </c>
      <c r="H39" s="24">
        <v>15</v>
      </c>
      <c r="I39" s="27" t="str">
        <f>_xlfn.CONCAT(RIGHT(BD[[#This Row],[EAN ]],3),LEFT(BD[[#This Row],[Nombre]],3),LEFT(BD[[#This Row],[Categoría]],1))</f>
        <v>558LAMV</v>
      </c>
      <c r="J39" s="27" t="str">
        <f>VLOOKUP(BD[[#This Row],[Nº Proveedor]],Proveedores[],2,FALSE)</f>
        <v>Comercial  Taiwan S. A.</v>
      </c>
      <c r="K39" s="27">
        <f>BD[[#This Row],[Unidades vendidas]]*BD[[#This Row],[Precio venta]]</f>
        <v>385590.52427184465</v>
      </c>
      <c r="L39" s="27">
        <f>BD[[#This Row],[Precio venta]]-BD[[#This Row],[Costo ]]</f>
        <v>12510.034951456309</v>
      </c>
      <c r="M39" s="27">
        <f>BD[[#This Row],[Utilidad unitaria]]*BD[[#This Row],[Unidades vendidas]]</f>
        <v>187650.52427184465</v>
      </c>
      <c r="N39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  <c r="Q39" s="61"/>
      <c r="R39" s="61"/>
    </row>
    <row r="40" spans="1:20" ht="14.25" customHeight="1" x14ac:dyDescent="0.25">
      <c r="A40" s="53">
        <v>39</v>
      </c>
      <c r="B40" s="6">
        <v>7806396185610</v>
      </c>
      <c r="C40" s="7" t="s">
        <v>27</v>
      </c>
      <c r="D40" s="8" t="s">
        <v>28</v>
      </c>
      <c r="E40" s="9">
        <v>15671</v>
      </c>
      <c r="F40" s="10">
        <v>30653.178640776699</v>
      </c>
      <c r="G40" s="17">
        <v>1</v>
      </c>
      <c r="H40" s="24">
        <v>68</v>
      </c>
      <c r="I40" s="27" t="str">
        <f>_xlfn.CONCAT(RIGHT(BD[[#This Row],[EAN ]],3),LEFT(BD[[#This Row],[Nombre]],3),LEFT(BD[[#This Row],[Categoría]],1))</f>
        <v>610LAME</v>
      </c>
      <c r="J40" s="27" t="str">
        <f>VLOOKUP(BD[[#This Row],[Nº Proveedor]],Proveedores[],2,FALSE)</f>
        <v>Importadora Oriental Ltda.</v>
      </c>
      <c r="K40" s="27">
        <f>BD[[#This Row],[Unidades vendidas]]*BD[[#This Row],[Precio venta]]</f>
        <v>2084416.1475728157</v>
      </c>
      <c r="L40" s="27">
        <f>BD[[#This Row],[Precio venta]]-BD[[#This Row],[Costo ]]</f>
        <v>14982.178640776699</v>
      </c>
      <c r="M40" s="27">
        <f>BD[[#This Row],[Utilidad unitaria]]*BD[[#This Row],[Unidades vendidas]]</f>
        <v>1018788.1475728155</v>
      </c>
      <c r="N4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  <c r="Q40" s="61"/>
      <c r="R40" s="61"/>
    </row>
    <row r="41" spans="1:20" ht="14.25" customHeight="1" x14ac:dyDescent="0.25">
      <c r="A41" s="53">
        <v>40</v>
      </c>
      <c r="B41" s="6">
        <v>7806482442269</v>
      </c>
      <c r="C41" s="7" t="s">
        <v>49</v>
      </c>
      <c r="D41" s="8" t="s">
        <v>6</v>
      </c>
      <c r="E41" s="9">
        <v>62360</v>
      </c>
      <c r="F41" s="10">
        <v>135945.64660194173</v>
      </c>
      <c r="G41" s="17">
        <v>1</v>
      </c>
      <c r="H41" s="24">
        <v>10</v>
      </c>
      <c r="I41" s="27" t="str">
        <f>_xlfn.CONCAT(RIGHT(BD[[#This Row],[EAN ]],3),LEFT(BD[[#This Row],[Nombre]],3),LEFT(BD[[#This Row],[Categoría]],1))</f>
        <v>269LámC</v>
      </c>
      <c r="J41" s="27" t="str">
        <f>VLOOKUP(BD[[#This Row],[Nº Proveedor]],Proveedores[],2,FALSE)</f>
        <v>Importadora Oriental Ltda.</v>
      </c>
      <c r="K41" s="27">
        <f>BD[[#This Row],[Unidades vendidas]]*BD[[#This Row],[Precio venta]]</f>
        <v>1359456.4660194172</v>
      </c>
      <c r="L41" s="27">
        <f>BD[[#This Row],[Precio venta]]-BD[[#This Row],[Costo ]]</f>
        <v>73585.646601941728</v>
      </c>
      <c r="M41" s="27">
        <f>BD[[#This Row],[Utilidad unitaria]]*BD[[#This Row],[Unidades vendidas]]</f>
        <v>735856.46601941728</v>
      </c>
      <c r="N41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  <c r="Q41" s="61"/>
      <c r="R41" s="61"/>
    </row>
    <row r="42" spans="1:20" ht="14.25" customHeight="1" x14ac:dyDescent="0.25">
      <c r="A42" s="53">
        <v>41</v>
      </c>
      <c r="B42" s="6">
        <v>7806533722043</v>
      </c>
      <c r="C42" s="7" t="s">
        <v>47</v>
      </c>
      <c r="D42" s="8" t="s">
        <v>12</v>
      </c>
      <c r="E42" s="9">
        <v>75137</v>
      </c>
      <c r="F42" s="10">
        <v>158990.48776699029</v>
      </c>
      <c r="G42" s="17">
        <v>1</v>
      </c>
      <c r="H42" s="24">
        <v>62</v>
      </c>
      <c r="I42" s="27" t="str">
        <f>_xlfn.CONCAT(RIGHT(BD[[#This Row],[EAN ]],3),LEFT(BD[[#This Row],[Nombre]],3),LEFT(BD[[#This Row],[Categoría]],1))</f>
        <v>043LAMP</v>
      </c>
      <c r="J42" s="27" t="str">
        <f>VLOOKUP(BD[[#This Row],[Nº Proveedor]],Proveedores[],2,FALSE)</f>
        <v>Importadora Oriental Ltda.</v>
      </c>
      <c r="K42" s="27">
        <f>BD[[#This Row],[Unidades vendidas]]*BD[[#This Row],[Precio venta]]</f>
        <v>9857410.2415533978</v>
      </c>
      <c r="L42" s="27">
        <f>BD[[#This Row],[Precio venta]]-BD[[#This Row],[Costo ]]</f>
        <v>83853.487766990293</v>
      </c>
      <c r="M42" s="27">
        <f>BD[[#This Row],[Utilidad unitaria]]*BD[[#This Row],[Unidades vendidas]]</f>
        <v>5198916.2415533978</v>
      </c>
      <c r="N42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43" spans="1:20" ht="14.25" customHeight="1" x14ac:dyDescent="0.25">
      <c r="A43" s="53">
        <v>42</v>
      </c>
      <c r="B43" s="6">
        <v>7806757448835</v>
      </c>
      <c r="C43" s="7" t="s">
        <v>47</v>
      </c>
      <c r="D43" s="8" t="s">
        <v>12</v>
      </c>
      <c r="E43" s="9">
        <v>42517</v>
      </c>
      <c r="F43" s="10">
        <v>88350.709320388341</v>
      </c>
      <c r="G43" s="17">
        <v>2</v>
      </c>
      <c r="H43" s="24">
        <v>76</v>
      </c>
      <c r="I43" s="27" t="str">
        <f>_xlfn.CONCAT(RIGHT(BD[[#This Row],[EAN ]],3),LEFT(BD[[#This Row],[Nombre]],3),LEFT(BD[[#This Row],[Categoría]],1))</f>
        <v>835LAMP</v>
      </c>
      <c r="J43" s="27" t="str">
        <f>VLOOKUP(BD[[#This Row],[Nº Proveedor]],Proveedores[],2,FALSE)</f>
        <v>Comercial  Taiwan S. A.</v>
      </c>
      <c r="K43" s="27">
        <f>BD[[#This Row],[Unidades vendidas]]*BD[[#This Row],[Precio venta]]</f>
        <v>6714653.908349514</v>
      </c>
      <c r="L43" s="27">
        <f>BD[[#This Row],[Precio venta]]-BD[[#This Row],[Costo ]]</f>
        <v>45833.709320388341</v>
      </c>
      <c r="M43" s="27">
        <f>BD[[#This Row],[Utilidad unitaria]]*BD[[#This Row],[Unidades vendidas]]</f>
        <v>3483361.908349514</v>
      </c>
      <c r="N43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44" spans="1:20" ht="14.25" customHeight="1" x14ac:dyDescent="0.25">
      <c r="A44" s="53">
        <v>43</v>
      </c>
      <c r="B44" s="6">
        <v>7806855300257</v>
      </c>
      <c r="C44" s="7" t="s">
        <v>50</v>
      </c>
      <c r="D44" s="8" t="s">
        <v>12</v>
      </c>
      <c r="E44" s="9">
        <v>51836</v>
      </c>
      <c r="F44" s="10">
        <v>111136.42563106795</v>
      </c>
      <c r="G44" s="17">
        <v>3</v>
      </c>
      <c r="H44" s="24">
        <v>40</v>
      </c>
      <c r="I44" s="27" t="str">
        <f>_xlfn.CONCAT(RIGHT(BD[[#This Row],[EAN ]],3),LEFT(BD[[#This Row],[Nombre]],3),LEFT(BD[[#This Row],[Categoría]],1))</f>
        <v>257BasP</v>
      </c>
      <c r="J44" s="27" t="str">
        <f>VLOOKUP(BD[[#This Row],[Nº Proveedor]],Proveedores[],2,FALSE)</f>
        <v>Lejano Oriente S. A.</v>
      </c>
      <c r="K44" s="27">
        <f>BD[[#This Row],[Unidades vendidas]]*BD[[#This Row],[Precio venta]]</f>
        <v>4445457.0252427179</v>
      </c>
      <c r="L44" s="27">
        <f>BD[[#This Row],[Precio venta]]-BD[[#This Row],[Costo ]]</f>
        <v>59300.425631067948</v>
      </c>
      <c r="M44" s="27">
        <f>BD[[#This Row],[Utilidad unitaria]]*BD[[#This Row],[Unidades vendidas]]</f>
        <v>2372017.0252427179</v>
      </c>
      <c r="N44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45" spans="1:20" ht="14.25" customHeight="1" x14ac:dyDescent="0.25">
      <c r="A45" s="53">
        <v>44</v>
      </c>
      <c r="B45" s="6">
        <v>7807134307899</v>
      </c>
      <c r="C45" s="7" t="s">
        <v>51</v>
      </c>
      <c r="D45" s="8" t="s">
        <v>6</v>
      </c>
      <c r="E45" s="9">
        <v>19294</v>
      </c>
      <c r="F45" s="10">
        <v>39128.389514563103</v>
      </c>
      <c r="G45" s="17">
        <v>1</v>
      </c>
      <c r="H45" s="24">
        <v>44</v>
      </c>
      <c r="I45" s="27" t="str">
        <f>_xlfn.CONCAT(RIGHT(BD[[#This Row],[EAN ]],3),LEFT(BD[[#This Row],[Nombre]],3),LEFT(BD[[#This Row],[Categoría]],1))</f>
        <v>899LámC</v>
      </c>
      <c r="J45" s="27" t="str">
        <f>VLOOKUP(BD[[#This Row],[Nº Proveedor]],Proveedores[],2,FALSE)</f>
        <v>Importadora Oriental Ltda.</v>
      </c>
      <c r="K45" s="27">
        <f>BD[[#This Row],[Unidades vendidas]]*BD[[#This Row],[Precio venta]]</f>
        <v>1721649.1386407765</v>
      </c>
      <c r="L45" s="27">
        <f>BD[[#This Row],[Precio venta]]-BD[[#This Row],[Costo ]]</f>
        <v>19834.389514563103</v>
      </c>
      <c r="M45" s="27">
        <f>BD[[#This Row],[Utilidad unitaria]]*BD[[#This Row],[Unidades vendidas]]</f>
        <v>872713.13864077651</v>
      </c>
      <c r="N45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46" spans="1:20" ht="14.25" customHeight="1" x14ac:dyDescent="0.25">
      <c r="A46" s="53">
        <v>45</v>
      </c>
      <c r="B46" s="6">
        <v>7807153985740</v>
      </c>
      <c r="C46" s="7" t="s">
        <v>52</v>
      </c>
      <c r="D46" s="8" t="s">
        <v>6</v>
      </c>
      <c r="E46" s="9">
        <v>66168</v>
      </c>
      <c r="F46" s="10">
        <v>131012.37087378641</v>
      </c>
      <c r="G46" s="17">
        <v>1</v>
      </c>
      <c r="H46" s="24">
        <v>7</v>
      </c>
      <c r="I46" s="27" t="str">
        <f>_xlfn.CONCAT(RIGHT(BD[[#This Row],[EAN ]],3),LEFT(BD[[#This Row],[Nombre]],3),LEFT(BD[[#This Row],[Categoría]],1))</f>
        <v>740LámC</v>
      </c>
      <c r="J46" s="27" t="str">
        <f>VLOOKUP(BD[[#This Row],[Nº Proveedor]],Proveedores[],2,FALSE)</f>
        <v>Importadora Oriental Ltda.</v>
      </c>
      <c r="K46" s="27">
        <f>BD[[#This Row],[Unidades vendidas]]*BD[[#This Row],[Precio venta]]</f>
        <v>917086.59611650486</v>
      </c>
      <c r="L46" s="27">
        <f>BD[[#This Row],[Precio venta]]-BD[[#This Row],[Costo ]]</f>
        <v>64844.370873786407</v>
      </c>
      <c r="M46" s="27">
        <f>BD[[#This Row],[Utilidad unitaria]]*BD[[#This Row],[Unidades vendidas]]</f>
        <v>453910.59611650486</v>
      </c>
      <c r="N46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47" spans="1:20" ht="14.25" customHeight="1" x14ac:dyDescent="0.25">
      <c r="A47" s="53">
        <v>46</v>
      </c>
      <c r="B47" s="6">
        <v>7807275218436</v>
      </c>
      <c r="C47" s="7" t="s">
        <v>53</v>
      </c>
      <c r="D47" s="8" t="s">
        <v>6</v>
      </c>
      <c r="E47" s="9">
        <v>74263</v>
      </c>
      <c r="F47" s="10">
        <v>156992.20776699029</v>
      </c>
      <c r="G47" s="17">
        <v>3</v>
      </c>
      <c r="H47" s="24">
        <v>85</v>
      </c>
      <c r="I47" s="27" t="str">
        <f>_xlfn.CONCAT(RIGHT(BD[[#This Row],[EAN ]],3),LEFT(BD[[#This Row],[Nombre]],3),LEFT(BD[[#This Row],[Categoría]],1))</f>
        <v>436LámC</v>
      </c>
      <c r="J47" s="27" t="str">
        <f>VLOOKUP(BD[[#This Row],[Nº Proveedor]],Proveedores[],2,FALSE)</f>
        <v>Lejano Oriente S. A.</v>
      </c>
      <c r="K47" s="27">
        <f>BD[[#This Row],[Unidades vendidas]]*BD[[#This Row],[Precio venta]]</f>
        <v>13344337.660194175</v>
      </c>
      <c r="L47" s="27">
        <f>BD[[#This Row],[Precio venta]]-BD[[#This Row],[Costo ]]</f>
        <v>82729.207766990294</v>
      </c>
      <c r="M47" s="27">
        <f>BD[[#This Row],[Utilidad unitaria]]*BD[[#This Row],[Unidades vendidas]]</f>
        <v>7031982.6601941753</v>
      </c>
      <c r="N47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48" spans="1:20" ht="14.25" customHeight="1" x14ac:dyDescent="0.25">
      <c r="A48" s="53">
        <v>47</v>
      </c>
      <c r="B48" s="6">
        <v>7807291472423</v>
      </c>
      <c r="C48" s="7" t="s">
        <v>54</v>
      </c>
      <c r="D48" s="8" t="s">
        <v>12</v>
      </c>
      <c r="E48" s="9">
        <v>31060</v>
      </c>
      <c r="F48" s="10">
        <v>61934.027184466016</v>
      </c>
      <c r="G48" s="17">
        <v>2</v>
      </c>
      <c r="H48" s="24">
        <v>53</v>
      </c>
      <c r="I48" s="27" t="str">
        <f>_xlfn.CONCAT(RIGHT(BD[[#This Row],[EAN ]],3),LEFT(BD[[#This Row],[Nombre]],3),LEFT(BD[[#This Row],[Categoría]],1))</f>
        <v>423MicP</v>
      </c>
      <c r="J48" s="27" t="str">
        <f>VLOOKUP(BD[[#This Row],[Nº Proveedor]],Proveedores[],2,FALSE)</f>
        <v>Comercial  Taiwan S. A.</v>
      </c>
      <c r="K48" s="27">
        <f>BD[[#This Row],[Unidades vendidas]]*BD[[#This Row],[Precio venta]]</f>
        <v>3282503.4407766988</v>
      </c>
      <c r="L48" s="27">
        <f>BD[[#This Row],[Precio venta]]-BD[[#This Row],[Costo ]]</f>
        <v>30874.027184466016</v>
      </c>
      <c r="M48" s="27">
        <f>BD[[#This Row],[Utilidad unitaria]]*BD[[#This Row],[Unidades vendidas]]</f>
        <v>1636323.4407766988</v>
      </c>
      <c r="N48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49" spans="1:14" ht="14.25" customHeight="1" x14ac:dyDescent="0.25">
      <c r="A49" s="53">
        <v>48</v>
      </c>
      <c r="B49" s="6">
        <v>7807461895496</v>
      </c>
      <c r="C49" s="7" t="s">
        <v>55</v>
      </c>
      <c r="D49" s="8" t="s">
        <v>8</v>
      </c>
      <c r="E49" s="9">
        <v>18080</v>
      </c>
      <c r="F49" s="10">
        <v>36014.393009708743</v>
      </c>
      <c r="G49" s="17">
        <v>1</v>
      </c>
      <c r="H49" s="24">
        <v>100</v>
      </c>
      <c r="I49" s="27" t="str">
        <f>_xlfn.CONCAT(RIGHT(BD[[#This Row],[EAN ]],3),LEFT(BD[[#This Row],[Nombre]],3),LEFT(BD[[#This Row],[Categoría]],1))</f>
        <v>496LámM</v>
      </c>
      <c r="J49" s="27" t="str">
        <f>VLOOKUP(BD[[#This Row],[Nº Proveedor]],Proveedores[],2,FALSE)</f>
        <v>Importadora Oriental Ltda.</v>
      </c>
      <c r="K49" s="27">
        <f>BD[[#This Row],[Unidades vendidas]]*BD[[#This Row],[Precio venta]]</f>
        <v>3601439.3009708743</v>
      </c>
      <c r="L49" s="27">
        <f>BD[[#This Row],[Precio venta]]-BD[[#This Row],[Costo ]]</f>
        <v>17934.393009708743</v>
      </c>
      <c r="M49" s="27">
        <f>BD[[#This Row],[Utilidad unitaria]]*BD[[#This Row],[Unidades vendidas]]</f>
        <v>1793439.3009708743</v>
      </c>
      <c r="N49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0" spans="1:14" ht="14.25" customHeight="1" x14ac:dyDescent="0.25">
      <c r="A50" s="53">
        <v>49</v>
      </c>
      <c r="B50" s="6">
        <v>7807590424338</v>
      </c>
      <c r="C50" s="7" t="s">
        <v>56</v>
      </c>
      <c r="D50" s="8" t="s">
        <v>26</v>
      </c>
      <c r="E50" s="9">
        <v>13780</v>
      </c>
      <c r="F50" s="10">
        <v>28303.122912621358</v>
      </c>
      <c r="G50" s="17">
        <v>1</v>
      </c>
      <c r="H50" s="24">
        <v>62</v>
      </c>
      <c r="I50" s="27" t="str">
        <f>_xlfn.CONCAT(RIGHT(BD[[#This Row],[EAN ]],3),LEFT(BD[[#This Row],[Nombre]],3),LEFT(BD[[#This Row],[Categoría]],1))</f>
        <v>338BasV</v>
      </c>
      <c r="J50" s="27" t="str">
        <f>VLOOKUP(BD[[#This Row],[Nº Proveedor]],Proveedores[],2,FALSE)</f>
        <v>Importadora Oriental Ltda.</v>
      </c>
      <c r="K50" s="27">
        <f>BD[[#This Row],[Unidades vendidas]]*BD[[#This Row],[Precio venta]]</f>
        <v>1754793.6205825242</v>
      </c>
      <c r="L50" s="27">
        <f>BD[[#This Row],[Precio venta]]-BD[[#This Row],[Costo ]]</f>
        <v>14523.122912621358</v>
      </c>
      <c r="M50" s="27">
        <f>BD[[#This Row],[Utilidad unitaria]]*BD[[#This Row],[Unidades vendidas]]</f>
        <v>900433.62058252422</v>
      </c>
      <c r="N50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51" spans="1:14" ht="14.25" customHeight="1" x14ac:dyDescent="0.25">
      <c r="A51" s="53">
        <v>50</v>
      </c>
      <c r="B51" s="6">
        <v>7807620078746</v>
      </c>
      <c r="C51" s="7" t="s">
        <v>57</v>
      </c>
      <c r="D51" s="8" t="s">
        <v>12</v>
      </c>
      <c r="E51" s="9">
        <v>32225</v>
      </c>
      <c r="F51" s="10">
        <v>64836.602330097085</v>
      </c>
      <c r="G51" s="17">
        <v>2</v>
      </c>
      <c r="H51" s="24">
        <v>27</v>
      </c>
      <c r="I51" s="27" t="str">
        <f>_xlfn.CONCAT(RIGHT(BD[[#This Row],[EAN ]],3),LEFT(BD[[#This Row],[Nombre]],3),LEFT(BD[[#This Row],[Categoría]],1))</f>
        <v>746MicP</v>
      </c>
      <c r="J51" s="27" t="str">
        <f>VLOOKUP(BD[[#This Row],[Nº Proveedor]],Proveedores[],2,FALSE)</f>
        <v>Comercial  Taiwan S. A.</v>
      </c>
      <c r="K51" s="27">
        <f>BD[[#This Row],[Unidades vendidas]]*BD[[#This Row],[Precio venta]]</f>
        <v>1750588.2629126213</v>
      </c>
      <c r="L51" s="27">
        <f>BD[[#This Row],[Precio venta]]-BD[[#This Row],[Costo ]]</f>
        <v>32611.602330097085</v>
      </c>
      <c r="M51" s="27">
        <f>BD[[#This Row],[Utilidad unitaria]]*BD[[#This Row],[Unidades vendidas]]</f>
        <v>880513.26291262126</v>
      </c>
      <c r="N51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2" spans="1:14" ht="14.25" customHeight="1" x14ac:dyDescent="0.25">
      <c r="A52" s="53">
        <v>51</v>
      </c>
      <c r="B52" s="6">
        <v>7807682660743</v>
      </c>
      <c r="C52" s="7" t="s">
        <v>58</v>
      </c>
      <c r="D52" s="8" t="s">
        <v>8</v>
      </c>
      <c r="E52" s="9">
        <v>24986</v>
      </c>
      <c r="F52" s="10">
        <v>53369.556815533979</v>
      </c>
      <c r="G52" s="17">
        <v>2</v>
      </c>
      <c r="H52" s="24">
        <v>50</v>
      </c>
      <c r="I52" s="27" t="str">
        <f>_xlfn.CONCAT(RIGHT(BD[[#This Row],[EAN ]],3),LEFT(BD[[#This Row],[Nombre]],3),LEFT(BD[[#This Row],[Categoría]],1))</f>
        <v>743LámM</v>
      </c>
      <c r="J52" s="27" t="str">
        <f>VLOOKUP(BD[[#This Row],[Nº Proveedor]],Proveedores[],2,FALSE)</f>
        <v>Comercial  Taiwan S. A.</v>
      </c>
      <c r="K52" s="27">
        <f>BD[[#This Row],[Unidades vendidas]]*BD[[#This Row],[Precio venta]]</f>
        <v>2668477.8407766991</v>
      </c>
      <c r="L52" s="27">
        <f>BD[[#This Row],[Precio venta]]-BD[[#This Row],[Costo ]]</f>
        <v>28383.556815533979</v>
      </c>
      <c r="M52" s="27">
        <f>BD[[#This Row],[Utilidad unitaria]]*BD[[#This Row],[Unidades vendidas]]</f>
        <v>1419177.8407766989</v>
      </c>
      <c r="N52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3" spans="1:14" ht="14.25" customHeight="1" x14ac:dyDescent="0.25">
      <c r="A53" s="53">
        <v>52</v>
      </c>
      <c r="B53" s="6">
        <v>7807950399283</v>
      </c>
      <c r="C53" s="7" t="s">
        <v>59</v>
      </c>
      <c r="D53" s="8" t="s">
        <v>12</v>
      </c>
      <c r="E53" s="9">
        <v>25914</v>
      </c>
      <c r="F53" s="10">
        <v>52812.098834951459</v>
      </c>
      <c r="G53" s="17">
        <v>1</v>
      </c>
      <c r="H53" s="24">
        <v>65</v>
      </c>
      <c r="I53" s="27" t="str">
        <f>_xlfn.CONCAT(RIGHT(BD[[#This Row],[EAN ]],3),LEFT(BD[[#This Row],[Nombre]],3),LEFT(BD[[#This Row],[Categoría]],1))</f>
        <v>283MicP</v>
      </c>
      <c r="J53" s="27" t="str">
        <f>VLOOKUP(BD[[#This Row],[Nº Proveedor]],Proveedores[],2,FALSE)</f>
        <v>Importadora Oriental Ltda.</v>
      </c>
      <c r="K53" s="27">
        <f>BD[[#This Row],[Unidades vendidas]]*BD[[#This Row],[Precio venta]]</f>
        <v>3432786.4242718448</v>
      </c>
      <c r="L53" s="27">
        <f>BD[[#This Row],[Precio venta]]-BD[[#This Row],[Costo ]]</f>
        <v>26898.098834951459</v>
      </c>
      <c r="M53" s="27">
        <f>BD[[#This Row],[Utilidad unitaria]]*BD[[#This Row],[Unidades vendidas]]</f>
        <v>1748376.4242718448</v>
      </c>
      <c r="N53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4" spans="1:14" ht="14.25" customHeight="1" x14ac:dyDescent="0.25">
      <c r="A54" s="53">
        <v>53</v>
      </c>
      <c r="B54" s="6">
        <v>7808007383019</v>
      </c>
      <c r="C54" s="7" t="s">
        <v>60</v>
      </c>
      <c r="D54" s="8" t="s">
        <v>28</v>
      </c>
      <c r="E54" s="9">
        <v>12953</v>
      </c>
      <c r="F54" s="10">
        <v>27122.585825242721</v>
      </c>
      <c r="G54" s="17">
        <v>2</v>
      </c>
      <c r="H54" s="24">
        <v>2</v>
      </c>
      <c r="I54" s="27" t="str">
        <f>_xlfn.CONCAT(RIGHT(BD[[#This Row],[EAN ]],3),LEFT(BD[[#This Row],[Nombre]],3),LEFT(BD[[#This Row],[Categoría]],1))</f>
        <v>019LAME</v>
      </c>
      <c r="J54" s="27" t="str">
        <f>VLOOKUP(BD[[#This Row],[Nº Proveedor]],Proveedores[],2,FALSE)</f>
        <v>Comercial  Taiwan S. A.</v>
      </c>
      <c r="K54" s="27">
        <f>BD[[#This Row],[Unidades vendidas]]*BD[[#This Row],[Precio venta]]</f>
        <v>54245.171650485441</v>
      </c>
      <c r="L54" s="27">
        <f>BD[[#This Row],[Precio venta]]-BD[[#This Row],[Costo ]]</f>
        <v>14169.585825242721</v>
      </c>
      <c r="M54" s="27">
        <f>BD[[#This Row],[Utilidad unitaria]]*BD[[#This Row],[Unidades vendidas]]</f>
        <v>28339.171650485441</v>
      </c>
      <c r="N54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55" spans="1:14" ht="14.25" customHeight="1" x14ac:dyDescent="0.25">
      <c r="A55" s="53">
        <v>54</v>
      </c>
      <c r="B55" s="6">
        <v>7808076181585</v>
      </c>
      <c r="C55" s="7" t="s">
        <v>61</v>
      </c>
      <c r="D55" s="8" t="s">
        <v>8</v>
      </c>
      <c r="E55" s="9">
        <v>31391</v>
      </c>
      <c r="F55" s="10">
        <v>59767.669126213594</v>
      </c>
      <c r="G55" s="17">
        <v>3</v>
      </c>
      <c r="H55" s="24">
        <v>49</v>
      </c>
      <c r="I55" s="27" t="str">
        <f>_xlfn.CONCAT(RIGHT(BD[[#This Row],[EAN ]],3),LEFT(BD[[#This Row],[Nombre]],3),LEFT(BD[[#This Row],[Categoría]],1))</f>
        <v>585LámM</v>
      </c>
      <c r="J55" s="27" t="str">
        <f>VLOOKUP(BD[[#This Row],[Nº Proveedor]],Proveedores[],2,FALSE)</f>
        <v>Lejano Oriente S. A.</v>
      </c>
      <c r="K55" s="27">
        <f>BD[[#This Row],[Unidades vendidas]]*BD[[#This Row],[Precio venta]]</f>
        <v>2928615.7871844661</v>
      </c>
      <c r="L55" s="27">
        <f>BD[[#This Row],[Precio venta]]-BD[[#This Row],[Costo ]]</f>
        <v>28376.669126213594</v>
      </c>
      <c r="M55" s="27">
        <f>BD[[#This Row],[Utilidad unitaria]]*BD[[#This Row],[Unidades vendidas]]</f>
        <v>1390456.7871844661</v>
      </c>
      <c r="N55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6" spans="1:14" ht="14.25" customHeight="1" x14ac:dyDescent="0.25">
      <c r="A56" s="53">
        <v>55</v>
      </c>
      <c r="B56" s="6">
        <v>7808214271161</v>
      </c>
      <c r="C56" s="7" t="s">
        <v>62</v>
      </c>
      <c r="D56" s="8" t="s">
        <v>6</v>
      </c>
      <c r="E56" s="9">
        <v>30578</v>
      </c>
      <c r="F56" s="10">
        <v>59076.996116504852</v>
      </c>
      <c r="G56" s="17">
        <v>1</v>
      </c>
      <c r="H56" s="24">
        <v>45</v>
      </c>
      <c r="I56" s="27" t="str">
        <f>_xlfn.CONCAT(RIGHT(BD[[#This Row],[EAN ]],3),LEFT(BD[[#This Row],[Nombre]],3),LEFT(BD[[#This Row],[Categoría]],1))</f>
        <v>161LámC</v>
      </c>
      <c r="J56" s="27" t="str">
        <f>VLOOKUP(BD[[#This Row],[Nº Proveedor]],Proveedores[],2,FALSE)</f>
        <v>Importadora Oriental Ltda.</v>
      </c>
      <c r="K56" s="27">
        <f>BD[[#This Row],[Unidades vendidas]]*BD[[#This Row],[Precio venta]]</f>
        <v>2658464.8252427182</v>
      </c>
      <c r="L56" s="27">
        <f>BD[[#This Row],[Precio venta]]-BD[[#This Row],[Costo ]]</f>
        <v>28498.996116504852</v>
      </c>
      <c r="M56" s="27">
        <f>BD[[#This Row],[Utilidad unitaria]]*BD[[#This Row],[Unidades vendidas]]</f>
        <v>1282454.8252427182</v>
      </c>
      <c r="N56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7" spans="1:14" ht="14.25" customHeight="1" x14ac:dyDescent="0.25">
      <c r="A57" s="53">
        <v>56</v>
      </c>
      <c r="B57" s="6">
        <v>7808299775653</v>
      </c>
      <c r="C57" s="7" t="s">
        <v>40</v>
      </c>
      <c r="D57" s="8" t="s">
        <v>28</v>
      </c>
      <c r="E57" s="9">
        <v>6886</v>
      </c>
      <c r="F57" s="10">
        <v>15149.88349514563</v>
      </c>
      <c r="G57" s="17">
        <v>3</v>
      </c>
      <c r="H57" s="24">
        <v>94</v>
      </c>
      <c r="I57" s="27" t="str">
        <f>_xlfn.CONCAT(RIGHT(BD[[#This Row],[EAN ]],3),LEFT(BD[[#This Row],[Nombre]],3),LEFT(BD[[#This Row],[Categoría]],1))</f>
        <v>653LAME</v>
      </c>
      <c r="J57" s="27" t="str">
        <f>VLOOKUP(BD[[#This Row],[Nº Proveedor]],Proveedores[],2,FALSE)</f>
        <v>Lejano Oriente S. A.</v>
      </c>
      <c r="K57" s="27">
        <f>BD[[#This Row],[Unidades vendidas]]*BD[[#This Row],[Precio venta]]</f>
        <v>1424089.0485436893</v>
      </c>
      <c r="L57" s="27">
        <f>BD[[#This Row],[Precio venta]]-BD[[#This Row],[Costo ]]</f>
        <v>8263.8834951456301</v>
      </c>
      <c r="M57" s="27">
        <f>BD[[#This Row],[Utilidad unitaria]]*BD[[#This Row],[Unidades vendidas]]</f>
        <v>776805.04854368919</v>
      </c>
      <c r="N57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58" spans="1:14" ht="14.25" customHeight="1" x14ac:dyDescent="0.25">
      <c r="A58" s="53">
        <v>57</v>
      </c>
      <c r="B58" s="6">
        <v>7808429910145</v>
      </c>
      <c r="C58" s="7" t="s">
        <v>63</v>
      </c>
      <c r="D58" s="8" t="s">
        <v>6</v>
      </c>
      <c r="E58" s="9">
        <v>18672</v>
      </c>
      <c r="F58" s="10">
        <v>36411.233009708732</v>
      </c>
      <c r="G58" s="17">
        <v>3</v>
      </c>
      <c r="H58" s="24">
        <v>76</v>
      </c>
      <c r="I58" s="27" t="str">
        <f>_xlfn.CONCAT(RIGHT(BD[[#This Row],[EAN ]],3),LEFT(BD[[#This Row],[Nombre]],3),LEFT(BD[[#This Row],[Categoría]],1))</f>
        <v>145LámC</v>
      </c>
      <c r="J58" s="27" t="str">
        <f>VLOOKUP(BD[[#This Row],[Nº Proveedor]],Proveedores[],2,FALSE)</f>
        <v>Lejano Oriente S. A.</v>
      </c>
      <c r="K58" s="27">
        <f>BD[[#This Row],[Unidades vendidas]]*BD[[#This Row],[Precio venta]]</f>
        <v>2767253.7087378637</v>
      </c>
      <c r="L58" s="27">
        <f>BD[[#This Row],[Precio venta]]-BD[[#This Row],[Costo ]]</f>
        <v>17739.233009708732</v>
      </c>
      <c r="M58" s="27">
        <f>BD[[#This Row],[Utilidad unitaria]]*BD[[#This Row],[Unidades vendidas]]</f>
        <v>1348181.7087378637</v>
      </c>
      <c r="N58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59" spans="1:14" ht="14.25" customHeight="1" x14ac:dyDescent="0.25">
      <c r="A59" s="53">
        <v>58</v>
      </c>
      <c r="B59" s="6">
        <v>7808600171815</v>
      </c>
      <c r="C59" s="7" t="s">
        <v>64</v>
      </c>
      <c r="D59" s="8" t="s">
        <v>12</v>
      </c>
      <c r="E59" s="9">
        <v>40283</v>
      </c>
      <c r="F59" s="10">
        <v>81855.470291262129</v>
      </c>
      <c r="G59" s="17">
        <v>1</v>
      </c>
      <c r="H59" s="24">
        <v>21</v>
      </c>
      <c r="I59" s="27" t="str">
        <f>_xlfn.CONCAT(RIGHT(BD[[#This Row],[EAN ]],3),LEFT(BD[[#This Row],[Nombre]],3),LEFT(BD[[#This Row],[Categoría]],1))</f>
        <v>815BasP</v>
      </c>
      <c r="J59" s="27" t="str">
        <f>VLOOKUP(BD[[#This Row],[Nº Proveedor]],Proveedores[],2,FALSE)</f>
        <v>Importadora Oriental Ltda.</v>
      </c>
      <c r="K59" s="27">
        <f>BD[[#This Row],[Unidades vendidas]]*BD[[#This Row],[Precio venta]]</f>
        <v>1718964.8761165047</v>
      </c>
      <c r="L59" s="27">
        <f>BD[[#This Row],[Precio venta]]-BD[[#This Row],[Costo ]]</f>
        <v>41572.470291262129</v>
      </c>
      <c r="M59" s="27">
        <f>BD[[#This Row],[Utilidad unitaria]]*BD[[#This Row],[Unidades vendidas]]</f>
        <v>873021.87611650466</v>
      </c>
      <c r="N59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0" spans="1:14" ht="14.25" customHeight="1" x14ac:dyDescent="0.25">
      <c r="A60" s="53">
        <v>59</v>
      </c>
      <c r="B60" s="6">
        <v>7808638258700</v>
      </c>
      <c r="C60" s="7" t="s">
        <v>65</v>
      </c>
      <c r="D60" s="8" t="s">
        <v>8</v>
      </c>
      <c r="E60" s="9">
        <v>38875</v>
      </c>
      <c r="F60" s="10">
        <v>74250.971844660191</v>
      </c>
      <c r="G60" s="17">
        <v>3</v>
      </c>
      <c r="H60" s="24">
        <v>84</v>
      </c>
      <c r="I60" s="27" t="str">
        <f>_xlfn.CONCAT(RIGHT(BD[[#This Row],[EAN ]],3),LEFT(BD[[#This Row],[Nombre]],3),LEFT(BD[[#This Row],[Categoría]],1))</f>
        <v>700BasM</v>
      </c>
      <c r="J60" s="27" t="str">
        <f>VLOOKUP(BD[[#This Row],[Nº Proveedor]],Proveedores[],2,FALSE)</f>
        <v>Lejano Oriente S. A.</v>
      </c>
      <c r="K60" s="27">
        <f>BD[[#This Row],[Unidades vendidas]]*BD[[#This Row],[Precio venta]]</f>
        <v>6237081.6349514564</v>
      </c>
      <c r="L60" s="27">
        <f>BD[[#This Row],[Precio venta]]-BD[[#This Row],[Costo ]]</f>
        <v>35375.971844660191</v>
      </c>
      <c r="M60" s="27">
        <f>BD[[#This Row],[Utilidad unitaria]]*BD[[#This Row],[Unidades vendidas]]</f>
        <v>2971581.634951456</v>
      </c>
      <c r="N6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1" spans="1:14" ht="14.25" customHeight="1" x14ac:dyDescent="0.25">
      <c r="A61" s="53">
        <v>60</v>
      </c>
      <c r="B61" s="6">
        <v>7808693945577</v>
      </c>
      <c r="C61" s="7" t="s">
        <v>66</v>
      </c>
      <c r="D61" s="8" t="s">
        <v>12</v>
      </c>
      <c r="E61" s="9">
        <v>38672</v>
      </c>
      <c r="F61" s="10">
        <v>78193.880970873783</v>
      </c>
      <c r="G61" s="17">
        <v>2</v>
      </c>
      <c r="H61" s="24">
        <v>88</v>
      </c>
      <c r="I61" s="27" t="str">
        <f>_xlfn.CONCAT(RIGHT(BD[[#This Row],[EAN ]],3),LEFT(BD[[#This Row],[Nombre]],3),LEFT(BD[[#This Row],[Categoría]],1))</f>
        <v>577LámP</v>
      </c>
      <c r="J61" s="27" t="str">
        <f>VLOOKUP(BD[[#This Row],[Nº Proveedor]],Proveedores[],2,FALSE)</f>
        <v>Comercial  Taiwan S. A.</v>
      </c>
      <c r="K61" s="27">
        <f>BD[[#This Row],[Unidades vendidas]]*BD[[#This Row],[Precio venta]]</f>
        <v>6881061.5254368931</v>
      </c>
      <c r="L61" s="27">
        <f>BD[[#This Row],[Precio venta]]-BD[[#This Row],[Costo ]]</f>
        <v>39521.880970873783</v>
      </c>
      <c r="M61" s="27">
        <f>BD[[#This Row],[Utilidad unitaria]]*BD[[#This Row],[Unidades vendidas]]</f>
        <v>3477925.5254368931</v>
      </c>
      <c r="N61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62" spans="1:14" ht="14.25" customHeight="1" x14ac:dyDescent="0.25">
      <c r="A62" s="53">
        <v>61</v>
      </c>
      <c r="B62" s="6">
        <v>7808817111604</v>
      </c>
      <c r="C62" s="7" t="s">
        <v>67</v>
      </c>
      <c r="D62" s="8" t="s">
        <v>6</v>
      </c>
      <c r="E62" s="9">
        <v>21487</v>
      </c>
      <c r="F62" s="10">
        <v>43919.805048543691</v>
      </c>
      <c r="G62" s="17">
        <v>3</v>
      </c>
      <c r="H62" s="24">
        <v>30</v>
      </c>
      <c r="I62" s="27" t="str">
        <f>_xlfn.CONCAT(RIGHT(BD[[#This Row],[EAN ]],3),LEFT(BD[[#This Row],[Nombre]],3),LEFT(BD[[#This Row],[Categoría]],1))</f>
        <v>604LámC</v>
      </c>
      <c r="J62" s="27" t="str">
        <f>VLOOKUP(BD[[#This Row],[Nº Proveedor]],Proveedores[],2,FALSE)</f>
        <v>Lejano Oriente S. A.</v>
      </c>
      <c r="K62" s="27">
        <f>BD[[#This Row],[Unidades vendidas]]*BD[[#This Row],[Precio venta]]</f>
        <v>1317594.1514563106</v>
      </c>
      <c r="L62" s="27">
        <f>BD[[#This Row],[Precio venta]]-BD[[#This Row],[Costo ]]</f>
        <v>22432.805048543691</v>
      </c>
      <c r="M62" s="27">
        <f>BD[[#This Row],[Utilidad unitaria]]*BD[[#This Row],[Unidades vendidas]]</f>
        <v>672984.15145631076</v>
      </c>
      <c r="N62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3" spans="1:14" ht="14.25" customHeight="1" x14ac:dyDescent="0.25">
      <c r="A63" s="53">
        <v>62</v>
      </c>
      <c r="B63" s="6">
        <v>7808887314158</v>
      </c>
      <c r="C63" s="7" t="s">
        <v>27</v>
      </c>
      <c r="D63" s="8" t="s">
        <v>12</v>
      </c>
      <c r="E63" s="9">
        <v>17934</v>
      </c>
      <c r="F63" s="10">
        <v>34432.497087378637</v>
      </c>
      <c r="G63" s="17">
        <v>1</v>
      </c>
      <c r="H63" s="24">
        <v>48</v>
      </c>
      <c r="I63" s="27" t="str">
        <f>_xlfn.CONCAT(RIGHT(BD[[#This Row],[EAN ]],3),LEFT(BD[[#This Row],[Nombre]],3),LEFT(BD[[#This Row],[Categoría]],1))</f>
        <v>158LAMP</v>
      </c>
      <c r="J63" s="27" t="str">
        <f>VLOOKUP(BD[[#This Row],[Nº Proveedor]],Proveedores[],2,FALSE)</f>
        <v>Importadora Oriental Ltda.</v>
      </c>
      <c r="K63" s="27">
        <f>BD[[#This Row],[Unidades vendidas]]*BD[[#This Row],[Precio venta]]</f>
        <v>1652759.8601941746</v>
      </c>
      <c r="L63" s="27">
        <f>BD[[#This Row],[Precio venta]]-BD[[#This Row],[Costo ]]</f>
        <v>16498.497087378637</v>
      </c>
      <c r="M63" s="27">
        <f>BD[[#This Row],[Utilidad unitaria]]*BD[[#This Row],[Unidades vendidas]]</f>
        <v>791927.86019417457</v>
      </c>
      <c r="N63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64" spans="1:14" ht="14.25" customHeight="1" x14ac:dyDescent="0.25">
      <c r="A64" s="53">
        <v>63</v>
      </c>
      <c r="B64" s="6">
        <v>7808890002172</v>
      </c>
      <c r="C64" s="7" t="s">
        <v>68</v>
      </c>
      <c r="D64" s="8" t="s">
        <v>6</v>
      </c>
      <c r="E64" s="9">
        <v>35471</v>
      </c>
      <c r="F64" s="10">
        <v>68671.198135922328</v>
      </c>
      <c r="G64" s="17">
        <v>2</v>
      </c>
      <c r="H64" s="24">
        <v>39</v>
      </c>
      <c r="I64" s="27" t="str">
        <f>_xlfn.CONCAT(RIGHT(BD[[#This Row],[EAN ]],3),LEFT(BD[[#This Row],[Nombre]],3),LEFT(BD[[#This Row],[Categoría]],1))</f>
        <v>172LámC</v>
      </c>
      <c r="J64" s="27" t="str">
        <f>VLOOKUP(BD[[#This Row],[Nº Proveedor]],Proveedores[],2,FALSE)</f>
        <v>Comercial  Taiwan S. A.</v>
      </c>
      <c r="K64" s="27">
        <f>BD[[#This Row],[Unidades vendidas]]*BD[[#This Row],[Precio venta]]</f>
        <v>2678176.7273009708</v>
      </c>
      <c r="L64" s="27">
        <f>BD[[#This Row],[Precio venta]]-BD[[#This Row],[Costo ]]</f>
        <v>33200.198135922328</v>
      </c>
      <c r="M64" s="27">
        <f>BD[[#This Row],[Utilidad unitaria]]*BD[[#This Row],[Unidades vendidas]]</f>
        <v>1294807.7273009708</v>
      </c>
      <c r="N64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5" spans="1:14" ht="14.25" customHeight="1" x14ac:dyDescent="0.25">
      <c r="A65" s="53">
        <v>64</v>
      </c>
      <c r="B65" s="6">
        <v>7808901646715</v>
      </c>
      <c r="C65" s="7" t="s">
        <v>69</v>
      </c>
      <c r="D65" s="8" t="s">
        <v>8</v>
      </c>
      <c r="E65" s="9">
        <v>28189</v>
      </c>
      <c r="F65" s="10">
        <v>61903.15060194175</v>
      </c>
      <c r="G65" s="17">
        <v>1</v>
      </c>
      <c r="H65" s="24">
        <v>4</v>
      </c>
      <c r="I65" s="27" t="str">
        <f>_xlfn.CONCAT(RIGHT(BD[[#This Row],[EAN ]],3),LEFT(BD[[#This Row],[Nombre]],3),LEFT(BD[[#This Row],[Categoría]],1))</f>
        <v>715LámM</v>
      </c>
      <c r="J65" s="27" t="str">
        <f>VLOOKUP(BD[[#This Row],[Nº Proveedor]],Proveedores[],2,FALSE)</f>
        <v>Importadora Oriental Ltda.</v>
      </c>
      <c r="K65" s="27">
        <f>BD[[#This Row],[Unidades vendidas]]*BD[[#This Row],[Precio venta]]</f>
        <v>247612.602407767</v>
      </c>
      <c r="L65" s="27">
        <f>BD[[#This Row],[Precio venta]]-BD[[#This Row],[Costo ]]</f>
        <v>33714.15060194175</v>
      </c>
      <c r="M65" s="27">
        <f>BD[[#This Row],[Utilidad unitaria]]*BD[[#This Row],[Unidades vendidas]]</f>
        <v>134856.602407767</v>
      </c>
      <c r="N65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6" spans="1:14" ht="14.25" customHeight="1" x14ac:dyDescent="0.25">
      <c r="A66" s="53">
        <v>65</v>
      </c>
      <c r="B66" s="6">
        <v>7808924033936</v>
      </c>
      <c r="C66" s="7" t="s">
        <v>70</v>
      </c>
      <c r="D66" s="8" t="s">
        <v>6</v>
      </c>
      <c r="E66" s="9">
        <v>16914</v>
      </c>
      <c r="F66" s="10">
        <v>33388.772621359225</v>
      </c>
      <c r="G66" s="17">
        <v>1</v>
      </c>
      <c r="H66" s="24">
        <v>52</v>
      </c>
      <c r="I66" s="27" t="str">
        <f>_xlfn.CONCAT(RIGHT(BD[[#This Row],[EAN ]],3),LEFT(BD[[#This Row],[Nombre]],3),LEFT(BD[[#This Row],[Categoría]],1))</f>
        <v>936LámC</v>
      </c>
      <c r="J66" s="27" t="str">
        <f>VLOOKUP(BD[[#This Row],[Nº Proveedor]],Proveedores[],2,FALSE)</f>
        <v>Importadora Oriental Ltda.</v>
      </c>
      <c r="K66" s="27">
        <f>BD[[#This Row],[Unidades vendidas]]*BD[[#This Row],[Precio venta]]</f>
        <v>1736216.1763106796</v>
      </c>
      <c r="L66" s="27">
        <f>BD[[#This Row],[Precio venta]]-BD[[#This Row],[Costo ]]</f>
        <v>16474.772621359225</v>
      </c>
      <c r="M66" s="27">
        <f>BD[[#This Row],[Utilidad unitaria]]*BD[[#This Row],[Unidades vendidas]]</f>
        <v>856688.17631067964</v>
      </c>
      <c r="N66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67" spans="1:14" ht="14.25" customHeight="1" x14ac:dyDescent="0.25">
      <c r="A67" s="53">
        <v>66</v>
      </c>
      <c r="B67" s="6">
        <v>7808983698589</v>
      </c>
      <c r="C67" s="7" t="s">
        <v>71</v>
      </c>
      <c r="D67" s="8" t="s">
        <v>8</v>
      </c>
      <c r="E67" s="9">
        <v>27178</v>
      </c>
      <c r="F67" s="10">
        <v>57399.238834951459</v>
      </c>
      <c r="G67" s="17">
        <v>2</v>
      </c>
      <c r="H67" s="24">
        <v>64</v>
      </c>
      <c r="I67" s="27" t="str">
        <f>_xlfn.CONCAT(RIGHT(BD[[#This Row],[EAN ]],3),LEFT(BD[[#This Row],[Nombre]],3),LEFT(BD[[#This Row],[Categoría]],1))</f>
        <v>589BasM</v>
      </c>
      <c r="J67" s="27" t="str">
        <f>VLOOKUP(BD[[#This Row],[Nº Proveedor]],Proveedores[],2,FALSE)</f>
        <v>Comercial  Taiwan S. A.</v>
      </c>
      <c r="K67" s="27">
        <f>BD[[#This Row],[Unidades vendidas]]*BD[[#This Row],[Precio venta]]</f>
        <v>3673551.2854368933</v>
      </c>
      <c r="L67" s="27">
        <f>BD[[#This Row],[Precio venta]]-BD[[#This Row],[Costo ]]</f>
        <v>30221.238834951459</v>
      </c>
      <c r="M67" s="27">
        <f>BD[[#This Row],[Utilidad unitaria]]*BD[[#This Row],[Unidades vendidas]]</f>
        <v>1934159.2854368933</v>
      </c>
      <c r="N67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8" spans="1:14" ht="14.25" customHeight="1" x14ac:dyDescent="0.25">
      <c r="A68" s="53">
        <v>67</v>
      </c>
      <c r="B68" s="6">
        <v>7809391323476</v>
      </c>
      <c r="C68" s="7" t="s">
        <v>72</v>
      </c>
      <c r="D68" s="8" t="s">
        <v>8</v>
      </c>
      <c r="E68" s="9">
        <v>20586</v>
      </c>
      <c r="F68" s="10">
        <v>42572.691262135922</v>
      </c>
      <c r="G68" s="17">
        <v>1</v>
      </c>
      <c r="H68" s="24">
        <v>10</v>
      </c>
      <c r="I68" s="27" t="str">
        <f>_xlfn.CONCAT(RIGHT(BD[[#This Row],[EAN ]],3),LEFT(BD[[#This Row],[Nombre]],3),LEFT(BD[[#This Row],[Categoría]],1))</f>
        <v>476BasM</v>
      </c>
      <c r="J68" s="27" t="str">
        <f>VLOOKUP(BD[[#This Row],[Nº Proveedor]],Proveedores[],2,FALSE)</f>
        <v>Importadora Oriental Ltda.</v>
      </c>
      <c r="K68" s="27">
        <f>BD[[#This Row],[Unidades vendidas]]*BD[[#This Row],[Precio venta]]</f>
        <v>425726.91262135922</v>
      </c>
      <c r="L68" s="27">
        <f>BD[[#This Row],[Precio venta]]-BD[[#This Row],[Costo ]]</f>
        <v>21986.691262135922</v>
      </c>
      <c r="M68" s="27">
        <f>BD[[#This Row],[Utilidad unitaria]]*BD[[#This Row],[Unidades vendidas]]</f>
        <v>219866.91262135922</v>
      </c>
      <c r="N68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69" spans="1:14" ht="14.25" customHeight="1" x14ac:dyDescent="0.25">
      <c r="A69" s="53">
        <v>68</v>
      </c>
      <c r="B69" s="6">
        <v>7809488107040</v>
      </c>
      <c r="C69" s="7" t="s">
        <v>73</v>
      </c>
      <c r="D69" s="8" t="s">
        <v>8</v>
      </c>
      <c r="E69" s="9">
        <v>15758</v>
      </c>
      <c r="F69" s="10">
        <v>32871.876582524274</v>
      </c>
      <c r="G69" s="17">
        <v>2</v>
      </c>
      <c r="H69" s="24">
        <v>14</v>
      </c>
      <c r="I69" s="27" t="str">
        <f>_xlfn.CONCAT(RIGHT(BD[[#This Row],[EAN ]],3),LEFT(BD[[#This Row],[Nombre]],3),LEFT(BD[[#This Row],[Categoría]],1))</f>
        <v>040LámM</v>
      </c>
      <c r="J69" s="27" t="str">
        <f>VLOOKUP(BD[[#This Row],[Nº Proveedor]],Proveedores[],2,FALSE)</f>
        <v>Comercial  Taiwan S. A.</v>
      </c>
      <c r="K69" s="27">
        <f>BD[[#This Row],[Unidades vendidas]]*BD[[#This Row],[Precio venta]]</f>
        <v>460206.27215533983</v>
      </c>
      <c r="L69" s="27">
        <f>BD[[#This Row],[Precio venta]]-BD[[#This Row],[Costo ]]</f>
        <v>17113.876582524274</v>
      </c>
      <c r="M69" s="27">
        <f>BD[[#This Row],[Utilidad unitaria]]*BD[[#This Row],[Unidades vendidas]]</f>
        <v>239594.27215533983</v>
      </c>
      <c r="N69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70" spans="1:14" ht="14.25" customHeight="1" x14ac:dyDescent="0.25">
      <c r="A70" s="53">
        <v>69</v>
      </c>
      <c r="B70" s="6">
        <v>7809679563761</v>
      </c>
      <c r="C70" s="7" t="s">
        <v>74</v>
      </c>
      <c r="D70" s="8" t="s">
        <v>8</v>
      </c>
      <c r="E70" s="9">
        <v>24108</v>
      </c>
      <c r="F70" s="10">
        <v>50095.939805825248</v>
      </c>
      <c r="G70" s="17">
        <v>3</v>
      </c>
      <c r="H70" s="24">
        <v>23</v>
      </c>
      <c r="I70" s="27" t="str">
        <f>_xlfn.CONCAT(RIGHT(BD[[#This Row],[EAN ]],3),LEFT(BD[[#This Row],[Nombre]],3),LEFT(BD[[#This Row],[Categoría]],1))</f>
        <v>761BasM</v>
      </c>
      <c r="J70" s="27" t="str">
        <f>VLOOKUP(BD[[#This Row],[Nº Proveedor]],Proveedores[],2,FALSE)</f>
        <v>Lejano Oriente S. A.</v>
      </c>
      <c r="K70" s="27">
        <f>BD[[#This Row],[Unidades vendidas]]*BD[[#This Row],[Precio venta]]</f>
        <v>1152206.6155339808</v>
      </c>
      <c r="L70" s="27">
        <f>BD[[#This Row],[Precio venta]]-BD[[#This Row],[Costo ]]</f>
        <v>25987.939805825248</v>
      </c>
      <c r="M70" s="27">
        <f>BD[[#This Row],[Utilidad unitaria]]*BD[[#This Row],[Unidades vendidas]]</f>
        <v>597722.61553398066</v>
      </c>
      <c r="N70" s="28" t="str">
        <f>IF(OR(BD[[#This Row],[Utilidad unitaria]]&gt;50000,BD[[#This Row],[Utilidad total]]&gt;3000000),"ALTA",IF(AND(BD[[#This Row],[Utilidad unitaria]]&lt;20000,BD[[#This Row],[Utilidad total]]&lt;1000000),"BAJA","MEDIA"))</f>
        <v>MEDIA</v>
      </c>
    </row>
    <row r="71" spans="1:14" ht="14.25" customHeight="1" x14ac:dyDescent="0.25">
      <c r="A71" s="53">
        <v>70</v>
      </c>
      <c r="B71" s="6">
        <v>7809798479790</v>
      </c>
      <c r="C71" s="7" t="s">
        <v>75</v>
      </c>
      <c r="D71" s="8" t="s">
        <v>6</v>
      </c>
      <c r="E71" s="9">
        <v>19865</v>
      </c>
      <c r="F71" s="10">
        <v>37942.428155339803</v>
      </c>
      <c r="G71" s="17">
        <v>2</v>
      </c>
      <c r="H71" s="24">
        <v>4</v>
      </c>
      <c r="I71" s="27" t="str">
        <f>_xlfn.CONCAT(RIGHT(BD[[#This Row],[EAN ]],3),LEFT(BD[[#This Row],[Nombre]],3),LEFT(BD[[#This Row],[Categoría]],1))</f>
        <v>790LámC</v>
      </c>
      <c r="J71" s="27" t="str">
        <f>VLOOKUP(BD[[#This Row],[Nº Proveedor]],Proveedores[],2,FALSE)</f>
        <v>Comercial  Taiwan S. A.</v>
      </c>
      <c r="K71" s="27">
        <f>BD[[#This Row],[Unidades vendidas]]*BD[[#This Row],[Precio venta]]</f>
        <v>151769.71262135921</v>
      </c>
      <c r="L71" s="27">
        <f>BD[[#This Row],[Precio venta]]-BD[[#This Row],[Costo ]]</f>
        <v>18077.428155339803</v>
      </c>
      <c r="M71" s="27">
        <f>BD[[#This Row],[Utilidad unitaria]]*BD[[#This Row],[Unidades vendidas]]</f>
        <v>72309.712621359213</v>
      </c>
      <c r="N71" s="28" t="str">
        <f>IF(OR(BD[[#This Row],[Utilidad unitaria]]&gt;50000,BD[[#This Row],[Utilidad total]]&gt;3000000),"ALTA",IF(AND(BD[[#This Row],[Utilidad unitaria]]&lt;20000,BD[[#This Row],[Utilidad total]]&lt;1000000),"BAJA","MEDIA"))</f>
        <v>BAJA</v>
      </c>
    </row>
    <row r="72" spans="1:14" ht="14.25" customHeight="1" thickBot="1" x14ac:dyDescent="0.3">
      <c r="A72" s="54">
        <v>71</v>
      </c>
      <c r="B72" s="11">
        <v>7809949055835</v>
      </c>
      <c r="C72" s="12" t="s">
        <v>76</v>
      </c>
      <c r="D72" s="13" t="s">
        <v>6</v>
      </c>
      <c r="E72" s="14">
        <v>51565</v>
      </c>
      <c r="F72" s="15">
        <v>105192.10485436892</v>
      </c>
      <c r="G72" s="18">
        <v>1</v>
      </c>
      <c r="H72" s="25">
        <v>22</v>
      </c>
      <c r="I72" s="27" t="str">
        <f>_xlfn.CONCAT(RIGHT(BD[[#This Row],[EAN ]],3),LEFT(BD[[#This Row],[Nombre]],3),LEFT(BD[[#This Row],[Categoría]],1))</f>
        <v>835LámC</v>
      </c>
      <c r="J72" s="27" t="str">
        <f>VLOOKUP(BD[[#This Row],[Nº Proveedor]],Proveedores[],2,FALSE)</f>
        <v>Importadora Oriental Ltda.</v>
      </c>
      <c r="K72" s="27">
        <f>BD[[#This Row],[Unidades vendidas]]*BD[[#This Row],[Precio venta]]</f>
        <v>2314226.3067961163</v>
      </c>
      <c r="L72" s="27">
        <f>BD[[#This Row],[Precio venta]]-BD[[#This Row],[Costo ]]</f>
        <v>53627.104854368925</v>
      </c>
      <c r="M72" s="27">
        <f>BD[[#This Row],[Utilidad unitaria]]*BD[[#This Row],[Unidades vendidas]]</f>
        <v>1179796.3067961163</v>
      </c>
      <c r="N72" s="28" t="str">
        <f>IF(OR(BD[[#This Row],[Utilidad unitaria]]&gt;50000,BD[[#This Row],[Utilidad total]]&gt;3000000),"ALTA",IF(AND(BD[[#This Row],[Utilidad unitaria]]&lt;20000,BD[[#This Row],[Utilidad total]]&lt;1000000),"BAJA","MEDIA"))</f>
        <v>ALTA</v>
      </c>
    </row>
    <row r="73" spans="1:14" ht="14.25" customHeight="1" x14ac:dyDescent="0.25"/>
    <row r="74" spans="1:14" ht="14.25" customHeight="1" x14ac:dyDescent="0.25"/>
    <row r="75" spans="1:14" ht="14.25" customHeight="1" x14ac:dyDescent="0.25"/>
    <row r="76" spans="1:14" ht="14.25" customHeight="1" x14ac:dyDescent="0.25"/>
    <row r="77" spans="1:14" ht="14.25" customHeight="1" x14ac:dyDescent="0.25"/>
    <row r="78" spans="1:14" ht="14.25" customHeight="1" x14ac:dyDescent="0.25"/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Q10:T15">
    <sortCondition descending="1" ref="S10:S15"/>
  </sortState>
  <mergeCells count="28">
    <mergeCell ref="Q35:R35"/>
    <mergeCell ref="Q34:R34"/>
    <mergeCell ref="Q2:Q3"/>
    <mergeCell ref="Q5:Q6"/>
    <mergeCell ref="R2:R3"/>
    <mergeCell ref="R5:R6"/>
    <mergeCell ref="Q29:R29"/>
    <mergeCell ref="Q8:T8"/>
    <mergeCell ref="Q25:T25"/>
    <mergeCell ref="Q31:T31"/>
    <mergeCell ref="Q32:R32"/>
    <mergeCell ref="Q33:R33"/>
    <mergeCell ref="Q22:R22"/>
    <mergeCell ref="Q23:R23"/>
    <mergeCell ref="Q26:R26"/>
    <mergeCell ref="Q27:R27"/>
    <mergeCell ref="Q28:R28"/>
    <mergeCell ref="Q15:R15"/>
    <mergeCell ref="Q9:R9"/>
    <mergeCell ref="Q17:S17"/>
    <mergeCell ref="Q18:R18"/>
    <mergeCell ref="Q19:R19"/>
    <mergeCell ref="Q21:S21"/>
    <mergeCell ref="Q10:R10"/>
    <mergeCell ref="Q11:R11"/>
    <mergeCell ref="Q12:R12"/>
    <mergeCell ref="Q13:R13"/>
    <mergeCell ref="Q14:R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1FDA-8D7B-4C55-946C-BDFE0376BCAD}">
  <dimension ref="B2:C5"/>
  <sheetViews>
    <sheetView workbookViewId="0">
      <selection activeCell="C3" sqref="C3:C5"/>
    </sheetView>
  </sheetViews>
  <sheetFormatPr defaultColWidth="11.42578125" defaultRowHeight="15" x14ac:dyDescent="0.25"/>
  <cols>
    <col min="3" max="3" width="24.7109375" bestFit="1" customWidth="1"/>
  </cols>
  <sheetData>
    <row r="2" spans="2:3" x14ac:dyDescent="0.25">
      <c r="B2" s="57" t="s">
        <v>80</v>
      </c>
      <c r="C2" s="58" t="s">
        <v>2</v>
      </c>
    </row>
    <row r="3" spans="2:3" x14ac:dyDescent="0.25">
      <c r="B3" s="55">
        <v>1</v>
      </c>
      <c r="C3" s="56" t="s">
        <v>81</v>
      </c>
    </row>
    <row r="4" spans="2:3" x14ac:dyDescent="0.25">
      <c r="B4" s="55">
        <v>2</v>
      </c>
      <c r="C4" s="56" t="s">
        <v>82</v>
      </c>
    </row>
    <row r="5" spans="2:3" x14ac:dyDescent="0.25">
      <c r="B5" s="59">
        <v>3</v>
      </c>
      <c r="C5" s="60" t="s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F67F-A7B5-45DD-A592-927CAFF68AEB}">
  <dimension ref="B4:D22"/>
  <sheetViews>
    <sheetView tabSelected="1" workbookViewId="0">
      <selection activeCell="D18" sqref="D18"/>
    </sheetView>
  </sheetViews>
  <sheetFormatPr defaultColWidth="11.42578125" defaultRowHeight="15" x14ac:dyDescent="0.25"/>
  <cols>
    <col min="2" max="2" width="60.42578125" bestFit="1" customWidth="1"/>
    <col min="3" max="3" width="24.85546875" bestFit="1" customWidth="1"/>
    <col min="4" max="4" width="16.5703125" bestFit="1" customWidth="1"/>
    <col min="5" max="6" width="13.140625" bestFit="1" customWidth="1"/>
  </cols>
  <sheetData>
    <row r="4" spans="2:4" x14ac:dyDescent="0.25">
      <c r="B4" s="64" t="s">
        <v>105</v>
      </c>
      <c r="C4" t="s">
        <v>104</v>
      </c>
      <c r="D4" t="s">
        <v>107</v>
      </c>
    </row>
    <row r="5" spans="2:4" x14ac:dyDescent="0.25">
      <c r="B5" s="65" t="s">
        <v>28</v>
      </c>
      <c r="C5" s="63">
        <v>243</v>
      </c>
      <c r="D5" s="68">
        <v>11751.5</v>
      </c>
    </row>
    <row r="6" spans="2:4" x14ac:dyDescent="0.25">
      <c r="B6" s="66" t="s">
        <v>103</v>
      </c>
      <c r="C6" s="63">
        <v>101</v>
      </c>
      <c r="D6" s="68">
        <v>7371</v>
      </c>
    </row>
    <row r="7" spans="2:4" x14ac:dyDescent="0.25">
      <c r="B7" s="67" t="s">
        <v>40</v>
      </c>
      <c r="C7" s="63">
        <v>101</v>
      </c>
      <c r="D7" s="68">
        <v>7371</v>
      </c>
    </row>
    <row r="8" spans="2:4" x14ac:dyDescent="0.25">
      <c r="B8" s="66" t="s">
        <v>102</v>
      </c>
      <c r="C8" s="63">
        <v>142</v>
      </c>
      <c r="D8" s="68">
        <v>16132</v>
      </c>
    </row>
    <row r="9" spans="2:4" x14ac:dyDescent="0.25">
      <c r="B9" s="67" t="s">
        <v>27</v>
      </c>
      <c r="C9" s="63">
        <v>142</v>
      </c>
      <c r="D9" s="68">
        <v>16132</v>
      </c>
    </row>
    <row r="10" spans="2:4" x14ac:dyDescent="0.25">
      <c r="B10" s="65" t="s">
        <v>8</v>
      </c>
      <c r="C10" s="63">
        <v>526</v>
      </c>
      <c r="D10" s="68">
        <v>26653</v>
      </c>
    </row>
    <row r="11" spans="2:4" x14ac:dyDescent="0.25">
      <c r="B11" s="66" t="s">
        <v>101</v>
      </c>
      <c r="C11" s="63">
        <v>90</v>
      </c>
      <c r="D11" s="68">
        <v>32225</v>
      </c>
    </row>
    <row r="12" spans="2:4" x14ac:dyDescent="0.25">
      <c r="B12" s="67" t="s">
        <v>33</v>
      </c>
      <c r="C12" s="63">
        <v>90</v>
      </c>
      <c r="D12" s="68">
        <v>32225</v>
      </c>
    </row>
    <row r="13" spans="2:4" x14ac:dyDescent="0.25">
      <c r="B13" s="66" t="s">
        <v>102</v>
      </c>
      <c r="C13" s="63">
        <v>436</v>
      </c>
      <c r="D13" s="68">
        <v>25538.6</v>
      </c>
    </row>
    <row r="14" spans="2:4" x14ac:dyDescent="0.25">
      <c r="B14" s="67" t="s">
        <v>65</v>
      </c>
      <c r="C14" s="63">
        <v>84</v>
      </c>
      <c r="D14" s="68">
        <v>38875</v>
      </c>
    </row>
    <row r="15" spans="2:4" x14ac:dyDescent="0.25">
      <c r="B15" s="67" t="s">
        <v>30</v>
      </c>
      <c r="C15" s="63">
        <v>73</v>
      </c>
      <c r="D15" s="68">
        <v>33633</v>
      </c>
    </row>
    <row r="16" spans="2:4" x14ac:dyDescent="0.25">
      <c r="B16" s="67" t="s">
        <v>55</v>
      </c>
      <c r="C16" s="63">
        <v>100</v>
      </c>
      <c r="D16" s="68">
        <v>18080</v>
      </c>
    </row>
    <row r="17" spans="2:4" x14ac:dyDescent="0.25">
      <c r="B17" s="67" t="s">
        <v>35</v>
      </c>
      <c r="C17" s="63">
        <v>81</v>
      </c>
      <c r="D17" s="68">
        <v>14362</v>
      </c>
    </row>
    <row r="18" spans="2:4" x14ac:dyDescent="0.25">
      <c r="B18" s="67" t="s">
        <v>29</v>
      </c>
      <c r="C18" s="63">
        <v>98</v>
      </c>
      <c r="D18" s="68">
        <v>22743</v>
      </c>
    </row>
    <row r="19" spans="2:4" x14ac:dyDescent="0.25">
      <c r="B19" s="65" t="s">
        <v>19</v>
      </c>
      <c r="C19" s="63">
        <v>98</v>
      </c>
      <c r="D19" s="68">
        <v>17079</v>
      </c>
    </row>
    <row r="20" spans="2:4" x14ac:dyDescent="0.25">
      <c r="B20" s="66" t="s">
        <v>102</v>
      </c>
      <c r="C20" s="63">
        <v>98</v>
      </c>
      <c r="D20" s="68">
        <v>17079</v>
      </c>
    </row>
    <row r="21" spans="2:4" x14ac:dyDescent="0.25">
      <c r="B21" s="67" t="s">
        <v>24</v>
      </c>
      <c r="C21" s="63">
        <v>98</v>
      </c>
      <c r="D21" s="68">
        <v>17079</v>
      </c>
    </row>
    <row r="22" spans="2:4" x14ac:dyDescent="0.25">
      <c r="B22" s="65" t="s">
        <v>106</v>
      </c>
      <c r="C22" s="63">
        <v>867</v>
      </c>
      <c r="D22" s="68">
        <v>20363.909090909092</v>
      </c>
    </row>
  </sheetData>
  <conditionalFormatting sqref="B7 B9 B12 B14:B18 B21">
    <cfRule type="expression" dxfId="1" priority="2">
      <formula>AND($D7&gt;30000,$C7&lt;100)</formula>
    </cfRule>
  </conditionalFormatting>
  <conditionalFormatting pivot="1" sqref="C7 C9 C12 C14:C18 C21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BD_productos</vt:lpstr>
      <vt:lpstr>BD_proveedores</vt:lpstr>
      <vt:lpstr>TD_1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Lorca</dc:creator>
  <cp:lastModifiedBy>Matías Duhalde</cp:lastModifiedBy>
  <dcterms:created xsi:type="dcterms:W3CDTF">2020-06-29T14:11:15Z</dcterms:created>
  <dcterms:modified xsi:type="dcterms:W3CDTF">2020-06-30T18:48:10Z</dcterms:modified>
</cp:coreProperties>
</file>