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-repo\IIC1062\Ayudantías\Ayudantía 3\"/>
    </mc:Choice>
  </mc:AlternateContent>
  <xr:revisionPtr revIDLastSave="0" documentId="13_ncr:1_{E55380BD-9C36-488F-BD17-5B521C1B0584}" xr6:coauthVersionLast="45" xr6:coauthVersionMax="45" xr10:uidLastSave="{00000000-0000-0000-0000-000000000000}"/>
  <bookViews>
    <workbookView xWindow="-120" yWindow="-120" windowWidth="29040" windowHeight="15840" xr2:uid="{62573480-1B3D-7041-96CA-05DFAEE3576F}"/>
  </bookViews>
  <sheets>
    <sheet name="Ingresos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9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10" i="1"/>
  <c r="J11" i="1"/>
  <c r="J12" i="1"/>
  <c r="J13" i="1"/>
  <c r="J14" i="1"/>
  <c r="J15" i="1"/>
  <c r="J16" i="1"/>
  <c r="J17" i="1"/>
  <c r="J18" i="1"/>
  <c r="J19" i="1"/>
  <c r="J20" i="1"/>
  <c r="J21" i="1"/>
  <c r="J9" i="1"/>
  <c r="H10" i="1"/>
  <c r="H11" i="1"/>
  <c r="H12" i="1"/>
  <c r="H13" i="1"/>
  <c r="H14" i="1"/>
  <c r="H15" i="1"/>
  <c r="H16" i="1"/>
  <c r="H17" i="1"/>
  <c r="H18" i="1"/>
  <c r="H19" i="1"/>
  <c r="H20" i="1"/>
  <c r="H21" i="1"/>
  <c r="H9" i="1"/>
  <c r="I10" i="1"/>
  <c r="I11" i="1"/>
  <c r="I12" i="1"/>
  <c r="I13" i="1"/>
  <c r="I14" i="1"/>
  <c r="I15" i="1"/>
  <c r="I16" i="1"/>
  <c r="I17" i="1"/>
  <c r="I18" i="1"/>
  <c r="I19" i="1"/>
  <c r="I20" i="1"/>
  <c r="I21" i="1"/>
  <c r="I9" i="1"/>
  <c r="F5" i="1"/>
  <c r="F10" i="1" s="1"/>
  <c r="G10" i="1" s="1"/>
  <c r="M10" i="1" s="1"/>
  <c r="N10" i="1" s="1"/>
  <c r="F17" i="1" l="1"/>
  <c r="G17" i="1" s="1"/>
  <c r="M17" i="1" s="1"/>
  <c r="N17" i="1" s="1"/>
  <c r="F20" i="1"/>
  <c r="G20" i="1" s="1"/>
  <c r="M20" i="1" s="1"/>
  <c r="N20" i="1" s="1"/>
  <c r="F12" i="1"/>
  <c r="G12" i="1" s="1"/>
  <c r="M12" i="1" s="1"/>
  <c r="N12" i="1" s="1"/>
  <c r="F16" i="1"/>
  <c r="G16" i="1" s="1"/>
  <c r="M16" i="1" s="1"/>
  <c r="N16" i="1" s="1"/>
  <c r="F21" i="1"/>
  <c r="G21" i="1" s="1"/>
  <c r="M21" i="1" s="1"/>
  <c r="N21" i="1" s="1"/>
  <c r="F13" i="1"/>
  <c r="G13" i="1" s="1"/>
  <c r="M13" i="1" s="1"/>
  <c r="N13" i="1" s="1"/>
  <c r="F19" i="1"/>
  <c r="G19" i="1" s="1"/>
  <c r="M19" i="1" s="1"/>
  <c r="N19" i="1" s="1"/>
  <c r="F15" i="1"/>
  <c r="G15" i="1" s="1"/>
  <c r="M15" i="1" s="1"/>
  <c r="N15" i="1" s="1"/>
  <c r="F11" i="1"/>
  <c r="G11" i="1" s="1"/>
  <c r="M11" i="1" s="1"/>
  <c r="N11" i="1" s="1"/>
  <c r="F9" i="1"/>
  <c r="G9" i="1" s="1"/>
  <c r="M9" i="1" s="1"/>
  <c r="N9" i="1" s="1"/>
  <c r="F18" i="1"/>
  <c r="G18" i="1" s="1"/>
  <c r="M18" i="1" s="1"/>
  <c r="N18" i="1" s="1"/>
  <c r="F14" i="1"/>
  <c r="G14" i="1" s="1"/>
  <c r="M14" i="1" s="1"/>
  <c r="N14" i="1" s="1"/>
</calcChain>
</file>

<file path=xl/sharedStrings.xml><?xml version="1.0" encoding="utf-8"?>
<sst xmlns="http://schemas.openxmlformats.org/spreadsheetml/2006/main" count="44" uniqueCount="39">
  <si>
    <t>Moto</t>
  </si>
  <si>
    <t>Fecha de Ingreso</t>
  </si>
  <si>
    <t>Suzuki 2013</t>
  </si>
  <si>
    <t>Honda 2018</t>
  </si>
  <si>
    <t>Kawasaki 2000</t>
  </si>
  <si>
    <t>Honda 2015</t>
  </si>
  <si>
    <t>Yamaha 2002</t>
  </si>
  <si>
    <t>Suzuki 2010</t>
  </si>
  <si>
    <t>BMW 2017</t>
  </si>
  <si>
    <t>Vespa 2014</t>
  </si>
  <si>
    <t>Honda 2016</t>
  </si>
  <si>
    <t>Suzuki 2018</t>
  </si>
  <si>
    <t>Triumph 2011</t>
  </si>
  <si>
    <t>Yamaha 2008</t>
  </si>
  <si>
    <t>Marca</t>
  </si>
  <si>
    <t>Yamaha</t>
  </si>
  <si>
    <t>Honda</t>
  </si>
  <si>
    <t>Vespa</t>
  </si>
  <si>
    <t>BMW</t>
  </si>
  <si>
    <t>Triumph</t>
  </si>
  <si>
    <t>Lifan</t>
  </si>
  <si>
    <t>Kawasaki</t>
  </si>
  <si>
    <t>Antigüedad</t>
  </si>
  <si>
    <t>Nueva</t>
  </si>
  <si>
    <t>Usada</t>
  </si>
  <si>
    <t>Tipo</t>
  </si>
  <si>
    <t>Considerable</t>
  </si>
  <si>
    <t>Tiempo en Espera</t>
  </si>
  <si>
    <t>Tiempo en espera</t>
  </si>
  <si>
    <t>Descuento</t>
  </si>
  <si>
    <t>Fecha Actual</t>
  </si>
  <si>
    <t>Meses</t>
  </si>
  <si>
    <t>Año_Moto</t>
  </si>
  <si>
    <t>Precio_Mantención</t>
  </si>
  <si>
    <t>Año_Moto2</t>
  </si>
  <si>
    <t>Antiguedad (años)</t>
  </si>
  <si>
    <t>Lifan 2017</t>
  </si>
  <si>
    <t>Suzuki</t>
  </si>
  <si>
    <t>Precio_Final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</si>
</sst>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0.000"/>
    <numFmt numFmtId="166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3" xfId="2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0" borderId="9" xfId="2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/>
    </xf>
    <xf numFmtId="164" fontId="0" fillId="0" borderId="3" xfId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0" borderId="9" xfId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3">
    <cellStyle name="Currency [0]" xfId="1" builtinId="7"/>
    <cellStyle name="Normal" xfId="0" builtinId="0"/>
    <cellStyle name="Percent" xfId="2" builtinId="5"/>
  </cellStyles>
  <dxfs count="2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E4353-3F92-A749-B736-8712D4B9065A}" name="Precios_Mantencion" displayName="Precios_Mantencion" ref="E6:H14" totalsRowShown="0" headerRowDxfId="19" headerRowBorderDxfId="18" tableBorderDxfId="17" totalsRowBorderDxfId="16">
  <autoFilter ref="E6:H14" xr:uid="{6FFE1DB4-0CC1-9D42-9E13-01BF26FC4018}"/>
  <tableColumns count="4">
    <tableColumn id="1" xr3:uid="{165AB6E5-8E9F-054C-8E63-1B52A21E71FB}" name="Marca" dataDxfId="15"/>
    <tableColumn id="2" xr3:uid="{17721183-E4B7-AE48-95B7-349A27AB66FE}" name="Nueva" dataDxfId="14"/>
    <tableColumn id="3" xr3:uid="{363F4795-18E5-374C-AC61-D1D7C38F906A}" name="Usada" dataDxfId="13"/>
    <tableColumn id="4" xr3:uid="{1802BCE2-7713-EB43-B372-3FCBEDDA1732}" name="Considerabl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0D135-70D5-E247-BE41-CC0670EFA03C}" name="Descuento" displayName="Descuento" ref="J6:K9" totalsRowShown="0" headerRowDxfId="11" headerRowBorderDxfId="10" tableBorderDxfId="9" totalsRowBorderDxfId="8">
  <autoFilter ref="J6:K9" xr:uid="{3114F2A3-5585-904D-9C6B-C3327D73AA1E}"/>
  <tableColumns count="2">
    <tableColumn id="1" xr3:uid="{70DF79ED-005D-7046-85CE-DBB8CF127DAB}" name="Tiempo en espera" dataDxfId="7"/>
    <tableColumn id="2" xr3:uid="{9FB38DDB-F7D6-7B46-AA83-106A15F8CC34}" name="Descuento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2B487-0D5C-B74F-A8AB-5D25D5295BC6}" name="Antiguedad" displayName="Antiguedad" ref="E18:F21" totalsRowShown="0" headerRowDxfId="5" headerRowBorderDxfId="4" tableBorderDxfId="3" totalsRowBorderDxfId="2">
  <autoFilter ref="E18:F21" xr:uid="{17C9D8CB-4B9C-E349-851B-2AB4DA802BF2}"/>
  <tableColumns count="2">
    <tableColumn id="1" xr3:uid="{3690376D-39E9-E242-8776-C866A48A384B}" name="Antiguedad (años)" dataDxfId="1"/>
    <tableColumn id="2" xr3:uid="{3EE4BB2F-30C8-5445-9AAB-353B610A359C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3023-DAE5-634B-A1AD-CA255A4FFE9A}">
  <dimension ref="D5:O21"/>
  <sheetViews>
    <sheetView tabSelected="1" topLeftCell="B1" workbookViewId="0">
      <selection activeCell="R11" sqref="R11"/>
    </sheetView>
  </sheetViews>
  <sheetFormatPr defaultColWidth="10.875" defaultRowHeight="15.75" x14ac:dyDescent="0.25"/>
  <cols>
    <col min="1" max="3" width="10.875" style="1"/>
    <col min="4" max="4" width="13.375" style="1" bestFit="1" customWidth="1"/>
    <col min="5" max="5" width="15" style="1" bestFit="1" customWidth="1"/>
    <col min="6" max="6" width="18.375" style="1" customWidth="1"/>
    <col min="7" max="8" width="11.625" style="1" bestFit="1" customWidth="1"/>
    <col min="9" max="9" width="10.875" style="1"/>
    <col min="10" max="12" width="17.375" style="1" bestFit="1" customWidth="1"/>
    <col min="13" max="16384" width="10.875" style="1"/>
  </cols>
  <sheetData>
    <row r="5" spans="4:15" x14ac:dyDescent="0.25">
      <c r="E5" s="1" t="s">
        <v>30</v>
      </c>
      <c r="F5" s="3">
        <f ca="1">TODAY()</f>
        <v>43935</v>
      </c>
    </row>
    <row r="8" spans="4:15" x14ac:dyDescent="0.25">
      <c r="D8" s="18" t="s">
        <v>0</v>
      </c>
      <c r="E8" s="18" t="s">
        <v>1</v>
      </c>
      <c r="F8" s="18" t="s">
        <v>27</v>
      </c>
      <c r="G8" s="17" t="s">
        <v>31</v>
      </c>
      <c r="H8" s="18" t="s">
        <v>32</v>
      </c>
      <c r="I8" s="17" t="s">
        <v>34</v>
      </c>
      <c r="J8" s="17" t="s">
        <v>14</v>
      </c>
      <c r="K8" s="17" t="s">
        <v>22</v>
      </c>
      <c r="L8" s="17" t="s">
        <v>33</v>
      </c>
      <c r="M8" s="18" t="s">
        <v>29</v>
      </c>
      <c r="N8" s="17" t="s">
        <v>38</v>
      </c>
    </row>
    <row r="9" spans="4:15" x14ac:dyDescent="0.25">
      <c r="D9" s="2" t="s">
        <v>2</v>
      </c>
      <c r="E9" s="14">
        <v>43781</v>
      </c>
      <c r="F9" s="15">
        <f ca="1">YEARFRAC(E9,$F$5)</f>
        <v>0.42222222222222222</v>
      </c>
      <c r="G9" s="16">
        <f ca="1">12*F9</f>
        <v>5.0666666666666664</v>
      </c>
      <c r="H9" s="2">
        <f>VALUE(RIGHT(D9,4))</f>
        <v>2013</v>
      </c>
      <c r="I9" s="2">
        <f>VALUE(MID(D9,LEN(D9)-3,4))</f>
        <v>2013</v>
      </c>
      <c r="J9" s="2" t="str">
        <f>LEFT(D9,LEN(D9)-5)</f>
        <v>Suzuki</v>
      </c>
      <c r="K9" s="2" t="str">
        <f>VLOOKUP(2020-I9,Antiguedad[],2,TRUE)</f>
        <v>Usada</v>
      </c>
      <c r="L9" s="19">
        <f>INDEX(Precios_Mantencion[],MATCH(J9,Precios_Mantencion[Marca],0),MATCH(K9,Precios_Mantencion[#Headers],0))</f>
        <v>15000</v>
      </c>
      <c r="M9" s="28">
        <f ca="1">VLOOKUP(G9,Descuento[],2,TRUE)</f>
        <v>0.2</v>
      </c>
      <c r="N9" s="29">
        <f ca="1">L9*(1-M9)</f>
        <v>12000</v>
      </c>
      <c r="O9"/>
    </row>
    <row r="10" spans="4:15" x14ac:dyDescent="0.25">
      <c r="D10" s="2" t="s">
        <v>3</v>
      </c>
      <c r="E10" s="14">
        <v>43746</v>
      </c>
      <c r="F10" s="15">
        <f t="shared" ref="F10:F21" ca="1" si="0">YEARFRAC(E10,$F$5)</f>
        <v>0.51666666666666672</v>
      </c>
      <c r="G10" s="16">
        <f t="shared" ref="G10:G21" ca="1" si="1">12*F10</f>
        <v>6.2000000000000011</v>
      </c>
      <c r="H10" s="2">
        <f t="shared" ref="H10:H21" si="2">VALUE(RIGHT(D10,4))</f>
        <v>2018</v>
      </c>
      <c r="I10" s="2">
        <f t="shared" ref="I10:I21" si="3">VALUE(MID(D10,LEN(D10)-3,4))</f>
        <v>2018</v>
      </c>
      <c r="J10" s="2" t="str">
        <f t="shared" ref="J10:J21" si="4">LEFT(D10,LEN(D10)-5)</f>
        <v>Honda</v>
      </c>
      <c r="K10" s="2" t="str">
        <f>VLOOKUP(2020-I10,Antiguedad[],2,TRUE)</f>
        <v>Nueva</v>
      </c>
      <c r="L10" s="19">
        <f>INDEX(Precios_Mantencion[],MATCH(J10,Precios_Mantencion[Marca],0),MATCH(K10,Precios_Mantencion[#Headers],0))</f>
        <v>10000</v>
      </c>
      <c r="M10" s="28">
        <f ca="1">VLOOKUP(G10,Descuento[],2,TRUE)</f>
        <v>0.2</v>
      </c>
      <c r="N10" s="29">
        <f t="shared" ref="N10:N21" ca="1" si="5">L10*(1-M10)</f>
        <v>8000</v>
      </c>
      <c r="O10"/>
    </row>
    <row r="11" spans="4:15" x14ac:dyDescent="0.25">
      <c r="D11" s="2" t="s">
        <v>4</v>
      </c>
      <c r="E11" s="14">
        <v>43847</v>
      </c>
      <c r="F11" s="15">
        <f t="shared" ca="1" si="0"/>
        <v>0.24166666666666667</v>
      </c>
      <c r="G11" s="16">
        <f t="shared" ca="1" si="1"/>
        <v>2.9</v>
      </c>
      <c r="H11" s="2">
        <f t="shared" si="2"/>
        <v>2000</v>
      </c>
      <c r="I11" s="2">
        <f t="shared" si="3"/>
        <v>2000</v>
      </c>
      <c r="J11" s="2" t="str">
        <f t="shared" si="4"/>
        <v>Kawasaki</v>
      </c>
      <c r="K11" s="2" t="str">
        <f>VLOOKUP(2020-I11,Antiguedad[],2,TRUE)</f>
        <v>Considerable</v>
      </c>
      <c r="L11" s="19">
        <f>INDEX(Precios_Mantencion[],MATCH(J11,Precios_Mantencion[Marca],0),MATCH(K11,Precios_Mantencion[#Headers],0))</f>
        <v>20000</v>
      </c>
      <c r="M11" s="28">
        <f ca="1">VLOOKUP(G11,Descuento[],2,TRUE)</f>
        <v>0.15</v>
      </c>
      <c r="N11" s="29">
        <f t="shared" ca="1" si="5"/>
        <v>17000</v>
      </c>
      <c r="O11"/>
    </row>
    <row r="12" spans="4:15" x14ac:dyDescent="0.25">
      <c r="D12" s="2" t="s">
        <v>36</v>
      </c>
      <c r="E12" s="14">
        <v>43803</v>
      </c>
      <c r="F12" s="15">
        <f t="shared" ca="1" si="0"/>
        <v>0.3611111111111111</v>
      </c>
      <c r="G12" s="16">
        <f t="shared" ca="1" si="1"/>
        <v>4.333333333333333</v>
      </c>
      <c r="H12" s="2">
        <f t="shared" si="2"/>
        <v>2017</v>
      </c>
      <c r="I12" s="2">
        <f t="shared" si="3"/>
        <v>2017</v>
      </c>
      <c r="J12" s="2" t="str">
        <f t="shared" si="4"/>
        <v>Lifan</v>
      </c>
      <c r="K12" s="2" t="str">
        <f>VLOOKUP(2020-I12,Antiguedad[],2,TRUE)</f>
        <v>Usada</v>
      </c>
      <c r="L12" s="19">
        <f>INDEX(Precios_Mantencion[],MATCH(J12,Precios_Mantencion[Marca],0),MATCH(K12,Precios_Mantencion[#Headers],0))</f>
        <v>8000</v>
      </c>
      <c r="M12" s="28">
        <f ca="1">VLOOKUP(G12,Descuento[],2,TRUE)</f>
        <v>0.2</v>
      </c>
      <c r="N12" s="29">
        <f t="shared" ca="1" si="5"/>
        <v>6400</v>
      </c>
      <c r="O12"/>
    </row>
    <row r="13" spans="4:15" x14ac:dyDescent="0.25">
      <c r="D13" s="2" t="s">
        <v>5</v>
      </c>
      <c r="E13" s="14">
        <v>43904</v>
      </c>
      <c r="F13" s="15">
        <f t="shared" ca="1" si="0"/>
        <v>8.3333333333333329E-2</v>
      </c>
      <c r="G13" s="16">
        <f t="shared" ca="1" si="1"/>
        <v>1</v>
      </c>
      <c r="H13" s="2">
        <f t="shared" si="2"/>
        <v>2015</v>
      </c>
      <c r="I13" s="2">
        <f t="shared" si="3"/>
        <v>2015</v>
      </c>
      <c r="J13" s="2" t="str">
        <f t="shared" si="4"/>
        <v>Honda</v>
      </c>
      <c r="K13" s="2" t="str">
        <f>VLOOKUP(2020-I13,Antiguedad[],2,TRUE)</f>
        <v>Usada</v>
      </c>
      <c r="L13" s="19">
        <f>INDEX(Precios_Mantencion[],MATCH(J13,Precios_Mantencion[Marca],0),MATCH(K13,Precios_Mantencion[#Headers],0))</f>
        <v>14000</v>
      </c>
      <c r="M13" s="28">
        <f ca="1">VLOOKUP(G13,Descuento[],2,TRUE)</f>
        <v>0</v>
      </c>
      <c r="N13" s="29">
        <f t="shared" ca="1" si="5"/>
        <v>14000</v>
      </c>
      <c r="O13"/>
    </row>
    <row r="14" spans="4:15" x14ac:dyDescent="0.25">
      <c r="D14" s="2" t="s">
        <v>6</v>
      </c>
      <c r="E14" s="14">
        <v>43864</v>
      </c>
      <c r="F14" s="15">
        <f t="shared" ca="1" si="0"/>
        <v>0.19722222222222222</v>
      </c>
      <c r="G14" s="16">
        <f t="shared" ca="1" si="1"/>
        <v>2.3666666666666667</v>
      </c>
      <c r="H14" s="2">
        <f t="shared" si="2"/>
        <v>2002</v>
      </c>
      <c r="I14" s="2">
        <f t="shared" si="3"/>
        <v>2002</v>
      </c>
      <c r="J14" s="2" t="str">
        <f t="shared" si="4"/>
        <v>Yamaha</v>
      </c>
      <c r="K14" s="2" t="str">
        <f>VLOOKUP(2020-I14,Antiguedad[],2,TRUE)</f>
        <v>Considerable</v>
      </c>
      <c r="L14" s="19">
        <f>INDEX(Precios_Mantencion[],MATCH(J14,Precios_Mantencion[Marca],0),MATCH(K14,Precios_Mantencion[#Headers],0))</f>
        <v>15000</v>
      </c>
      <c r="M14" s="28">
        <f ca="1">VLOOKUP(G14,Descuento[],2,TRUE)</f>
        <v>0.15</v>
      </c>
      <c r="N14" s="29">
        <f t="shared" ca="1" si="5"/>
        <v>12750</v>
      </c>
      <c r="O14"/>
    </row>
    <row r="15" spans="4:15" x14ac:dyDescent="0.25">
      <c r="D15" s="2" t="s">
        <v>7</v>
      </c>
      <c r="E15" s="14">
        <v>43815</v>
      </c>
      <c r="F15" s="15">
        <f t="shared" ca="1" si="0"/>
        <v>0.32777777777777778</v>
      </c>
      <c r="G15" s="16">
        <f t="shared" ca="1" si="1"/>
        <v>3.9333333333333336</v>
      </c>
      <c r="H15" s="2">
        <f t="shared" si="2"/>
        <v>2010</v>
      </c>
      <c r="I15" s="2">
        <f t="shared" si="3"/>
        <v>2010</v>
      </c>
      <c r="J15" s="2" t="str">
        <f t="shared" si="4"/>
        <v>Suzuki</v>
      </c>
      <c r="K15" s="2" t="str">
        <f>VLOOKUP(2020-I15,Antiguedad[],2,TRUE)</f>
        <v>Usada</v>
      </c>
      <c r="L15" s="19">
        <f>INDEX(Precios_Mantencion[],MATCH(J15,Precios_Mantencion[Marca],0),MATCH(K15,Precios_Mantencion[#Headers],0))</f>
        <v>15000</v>
      </c>
      <c r="M15" s="28">
        <f ca="1">VLOOKUP(G15,Descuento[],2,TRUE)</f>
        <v>0.15</v>
      </c>
      <c r="N15" s="29">
        <f t="shared" ca="1" si="5"/>
        <v>12750</v>
      </c>
      <c r="O15"/>
    </row>
    <row r="16" spans="4:15" x14ac:dyDescent="0.25">
      <c r="D16" s="2" t="s">
        <v>8</v>
      </c>
      <c r="E16" s="14">
        <v>43780</v>
      </c>
      <c r="F16" s="15">
        <f t="shared" ca="1" si="0"/>
        <v>0.42499999999999999</v>
      </c>
      <c r="G16" s="16">
        <f t="shared" ca="1" si="1"/>
        <v>5.0999999999999996</v>
      </c>
      <c r="H16" s="2">
        <f t="shared" si="2"/>
        <v>2017</v>
      </c>
      <c r="I16" s="2">
        <f t="shared" si="3"/>
        <v>2017</v>
      </c>
      <c r="J16" s="2" t="str">
        <f t="shared" si="4"/>
        <v>BMW</v>
      </c>
      <c r="K16" s="2" t="str">
        <f>VLOOKUP(2020-I16,Antiguedad[],2,TRUE)</f>
        <v>Usada</v>
      </c>
      <c r="L16" s="19">
        <f>INDEX(Precios_Mantencion[],MATCH(J16,Precios_Mantencion[Marca],0),MATCH(K16,Precios_Mantencion[#Headers],0))</f>
        <v>16000</v>
      </c>
      <c r="M16" s="28">
        <f ca="1">VLOOKUP(G16,Descuento[],2,TRUE)</f>
        <v>0.2</v>
      </c>
      <c r="N16" s="29">
        <f t="shared" ca="1" si="5"/>
        <v>12800</v>
      </c>
      <c r="O16"/>
    </row>
    <row r="17" spans="4:15" x14ac:dyDescent="0.25">
      <c r="D17" s="2" t="s">
        <v>9</v>
      </c>
      <c r="E17" s="14">
        <v>43922</v>
      </c>
      <c r="F17" s="15">
        <f t="shared" ca="1" si="0"/>
        <v>3.6111111111111108E-2</v>
      </c>
      <c r="G17" s="16">
        <f t="shared" ca="1" si="1"/>
        <v>0.43333333333333329</v>
      </c>
      <c r="H17" s="2">
        <f t="shared" si="2"/>
        <v>2014</v>
      </c>
      <c r="I17" s="2">
        <f t="shared" si="3"/>
        <v>2014</v>
      </c>
      <c r="J17" s="2" t="str">
        <f t="shared" si="4"/>
        <v>Vespa</v>
      </c>
      <c r="K17" s="2" t="str">
        <f>VLOOKUP(2020-I17,Antiguedad[],2,TRUE)</f>
        <v>Usada</v>
      </c>
      <c r="L17" s="19">
        <f>INDEX(Precios_Mantencion[],MATCH(J17,Precios_Mantencion[Marca],0),MATCH(K17,Precios_Mantencion[#Headers],0))</f>
        <v>15000</v>
      </c>
      <c r="M17" s="28">
        <f ca="1">VLOOKUP(G17,Descuento[],2,TRUE)</f>
        <v>0</v>
      </c>
      <c r="N17" s="29">
        <f t="shared" ca="1" si="5"/>
        <v>15000</v>
      </c>
      <c r="O17"/>
    </row>
    <row r="18" spans="4:15" x14ac:dyDescent="0.25">
      <c r="D18" s="2" t="s">
        <v>10</v>
      </c>
      <c r="E18" s="14">
        <v>43792</v>
      </c>
      <c r="F18" s="15">
        <f t="shared" ca="1" si="0"/>
        <v>0.39166666666666666</v>
      </c>
      <c r="G18" s="16">
        <f t="shared" ca="1" si="1"/>
        <v>4.7</v>
      </c>
      <c r="H18" s="2">
        <f t="shared" si="2"/>
        <v>2016</v>
      </c>
      <c r="I18" s="2">
        <f t="shared" si="3"/>
        <v>2016</v>
      </c>
      <c r="J18" s="2" t="str">
        <f t="shared" si="4"/>
        <v>Honda</v>
      </c>
      <c r="K18" s="2" t="str">
        <f>VLOOKUP(2020-I18,Antiguedad[],2,TRUE)</f>
        <v>Usada</v>
      </c>
      <c r="L18" s="19">
        <f>INDEX(Precios_Mantencion[],MATCH(J18,Precios_Mantencion[Marca],0),MATCH(K18,Precios_Mantencion[#Headers],0))</f>
        <v>14000</v>
      </c>
      <c r="M18" s="28">
        <f ca="1">VLOOKUP(G18,Descuento[],2,TRUE)</f>
        <v>0.2</v>
      </c>
      <c r="N18" s="29">
        <f t="shared" ca="1" si="5"/>
        <v>11200</v>
      </c>
      <c r="O18"/>
    </row>
    <row r="19" spans="4:15" x14ac:dyDescent="0.25">
      <c r="D19" s="2" t="s">
        <v>11</v>
      </c>
      <c r="E19" s="14">
        <v>43817</v>
      </c>
      <c r="F19" s="15">
        <f t="shared" ca="1" si="0"/>
        <v>0.32222222222222224</v>
      </c>
      <c r="G19" s="16">
        <f t="shared" ca="1" si="1"/>
        <v>3.8666666666666671</v>
      </c>
      <c r="H19" s="2">
        <f t="shared" si="2"/>
        <v>2018</v>
      </c>
      <c r="I19" s="2">
        <f t="shared" si="3"/>
        <v>2018</v>
      </c>
      <c r="J19" s="2" t="str">
        <f t="shared" si="4"/>
        <v>Suzuki</v>
      </c>
      <c r="K19" s="2" t="str">
        <f>VLOOKUP(2020-I19,Antiguedad[],2,TRUE)</f>
        <v>Nueva</v>
      </c>
      <c r="L19" s="19">
        <f>INDEX(Precios_Mantencion[],MATCH(J19,Precios_Mantencion[Marca],0),MATCH(K19,Precios_Mantencion[#Headers],0))</f>
        <v>10000</v>
      </c>
      <c r="M19" s="28">
        <f ca="1">VLOOKUP(G19,Descuento[],2,TRUE)</f>
        <v>0.15</v>
      </c>
      <c r="N19" s="29">
        <f t="shared" ca="1" si="5"/>
        <v>8500</v>
      </c>
      <c r="O19"/>
    </row>
    <row r="20" spans="4:15" x14ac:dyDescent="0.25">
      <c r="D20" s="2" t="s">
        <v>12</v>
      </c>
      <c r="E20" s="14">
        <v>43835</v>
      </c>
      <c r="F20" s="15">
        <f t="shared" ca="1" si="0"/>
        <v>0.27500000000000002</v>
      </c>
      <c r="G20" s="16">
        <f t="shared" ca="1" si="1"/>
        <v>3.3000000000000003</v>
      </c>
      <c r="H20" s="2">
        <f t="shared" si="2"/>
        <v>2011</v>
      </c>
      <c r="I20" s="2">
        <f t="shared" si="3"/>
        <v>2011</v>
      </c>
      <c r="J20" s="2" t="str">
        <f t="shared" si="4"/>
        <v>Triumph</v>
      </c>
      <c r="K20" s="2" t="str">
        <f>VLOOKUP(2020-I20,Antiguedad[],2,TRUE)</f>
        <v>Usada</v>
      </c>
      <c r="L20" s="19">
        <f>INDEX(Precios_Mantencion[],MATCH(J20,Precios_Mantencion[Marca],0),MATCH(K20,Precios_Mantencion[#Headers],0))</f>
        <v>15000</v>
      </c>
      <c r="M20" s="28">
        <f ca="1">VLOOKUP(G20,Descuento[],2,TRUE)</f>
        <v>0.15</v>
      </c>
      <c r="N20" s="29">
        <f t="shared" ca="1" si="5"/>
        <v>12750</v>
      </c>
      <c r="O20"/>
    </row>
    <row r="21" spans="4:15" x14ac:dyDescent="0.25">
      <c r="D21" s="2" t="s">
        <v>13</v>
      </c>
      <c r="E21" s="14">
        <v>43887</v>
      </c>
      <c r="F21" s="15">
        <f t="shared" ca="1" si="0"/>
        <v>0.13333333333333333</v>
      </c>
      <c r="G21" s="16">
        <f t="shared" ca="1" si="1"/>
        <v>1.6</v>
      </c>
      <c r="H21" s="2">
        <f t="shared" si="2"/>
        <v>2008</v>
      </c>
      <c r="I21" s="2">
        <f t="shared" si="3"/>
        <v>2008</v>
      </c>
      <c r="J21" s="2" t="str">
        <f t="shared" si="4"/>
        <v>Yamaha</v>
      </c>
      <c r="K21" s="2" t="str">
        <f>VLOOKUP(2020-I21,Antiguedad[],2,TRUE)</f>
        <v>Usada</v>
      </c>
      <c r="L21" s="19">
        <f>INDEX(Precios_Mantencion[],MATCH(J21,Precios_Mantencion[Marca],0),MATCH(K21,Precios_Mantencion[#Headers],0))</f>
        <v>12000</v>
      </c>
      <c r="M21" s="28">
        <f ca="1">VLOOKUP(G21,Descuento[],2,TRUE)</f>
        <v>0</v>
      </c>
      <c r="N21" s="29">
        <f t="shared" ca="1" si="5"/>
        <v>12000</v>
      </c>
      <c r="O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8FD-6899-E349-97C5-509C537A5A36}">
  <dimension ref="E6:K21"/>
  <sheetViews>
    <sheetView workbookViewId="0">
      <selection activeCell="J16" sqref="J16"/>
    </sheetView>
  </sheetViews>
  <sheetFormatPr defaultColWidth="10.875" defaultRowHeight="15.75" x14ac:dyDescent="0.25"/>
  <cols>
    <col min="1" max="4" width="10.875" style="1"/>
    <col min="5" max="5" width="18.5" style="1" customWidth="1"/>
    <col min="6" max="6" width="11.625" style="1" bestFit="1" customWidth="1"/>
    <col min="7" max="7" width="10.875" style="1"/>
    <col min="8" max="8" width="14" style="1" customWidth="1"/>
    <col min="9" max="9" width="10.875" style="1"/>
    <col min="10" max="10" width="18.125" style="1" customWidth="1"/>
    <col min="11" max="11" width="12.125" style="1" customWidth="1"/>
    <col min="12" max="16384" width="10.875" style="1"/>
  </cols>
  <sheetData>
    <row r="6" spans="5:11" x14ac:dyDescent="0.25">
      <c r="E6" s="23" t="s">
        <v>14</v>
      </c>
      <c r="F6" s="24" t="s">
        <v>23</v>
      </c>
      <c r="G6" s="24" t="s">
        <v>24</v>
      </c>
      <c r="H6" s="25" t="s">
        <v>26</v>
      </c>
      <c r="J6" s="11" t="s">
        <v>28</v>
      </c>
      <c r="K6" s="12" t="s">
        <v>29</v>
      </c>
    </row>
    <row r="7" spans="5:11" x14ac:dyDescent="0.25">
      <c r="E7" s="26" t="s">
        <v>37</v>
      </c>
      <c r="F7" s="19">
        <v>10000</v>
      </c>
      <c r="G7" s="19">
        <v>15000</v>
      </c>
      <c r="H7" s="20">
        <v>20000</v>
      </c>
      <c r="J7" s="4">
        <v>0</v>
      </c>
      <c r="K7" s="10">
        <v>0</v>
      </c>
    </row>
    <row r="8" spans="5:11" x14ac:dyDescent="0.25">
      <c r="E8" s="26" t="s">
        <v>15</v>
      </c>
      <c r="F8" s="19">
        <v>8000</v>
      </c>
      <c r="G8" s="19">
        <v>12000</v>
      </c>
      <c r="H8" s="20">
        <v>15000</v>
      </c>
      <c r="J8" s="4">
        <v>2</v>
      </c>
      <c r="K8" s="10">
        <v>0.15</v>
      </c>
    </row>
    <row r="9" spans="5:11" x14ac:dyDescent="0.25">
      <c r="E9" s="26" t="s">
        <v>16</v>
      </c>
      <c r="F9" s="19">
        <v>10000</v>
      </c>
      <c r="G9" s="19">
        <v>14000</v>
      </c>
      <c r="H9" s="20">
        <v>20000</v>
      </c>
      <c r="J9" s="8">
        <v>4</v>
      </c>
      <c r="K9" s="13">
        <v>0.2</v>
      </c>
    </row>
    <row r="10" spans="5:11" x14ac:dyDescent="0.25">
      <c r="E10" s="26" t="s">
        <v>17</v>
      </c>
      <c r="F10" s="19">
        <v>11000</v>
      </c>
      <c r="G10" s="19">
        <v>15000</v>
      </c>
      <c r="H10" s="20">
        <v>20000</v>
      </c>
    </row>
    <row r="11" spans="5:11" x14ac:dyDescent="0.25">
      <c r="E11" s="26" t="s">
        <v>18</v>
      </c>
      <c r="F11" s="19">
        <v>12000</v>
      </c>
      <c r="G11" s="19">
        <v>16000</v>
      </c>
      <c r="H11" s="20">
        <v>20000</v>
      </c>
    </row>
    <row r="12" spans="5:11" x14ac:dyDescent="0.25">
      <c r="E12" s="26" t="s">
        <v>19</v>
      </c>
      <c r="F12" s="19">
        <v>12000</v>
      </c>
      <c r="G12" s="19">
        <v>15000</v>
      </c>
      <c r="H12" s="20">
        <v>20000</v>
      </c>
    </row>
    <row r="13" spans="5:11" x14ac:dyDescent="0.25">
      <c r="E13" s="26" t="s">
        <v>20</v>
      </c>
      <c r="F13" s="19">
        <v>6000</v>
      </c>
      <c r="G13" s="19">
        <v>8000</v>
      </c>
      <c r="H13" s="20">
        <v>14000</v>
      </c>
    </row>
    <row r="14" spans="5:11" x14ac:dyDescent="0.25">
      <c r="E14" s="27" t="s">
        <v>21</v>
      </c>
      <c r="F14" s="21">
        <v>10000</v>
      </c>
      <c r="G14" s="21">
        <v>15000</v>
      </c>
      <c r="H14" s="22">
        <v>20000</v>
      </c>
    </row>
    <row r="18" spans="5:6" x14ac:dyDescent="0.25">
      <c r="E18" s="6" t="s">
        <v>35</v>
      </c>
      <c r="F18" s="7" t="s">
        <v>25</v>
      </c>
    </row>
    <row r="19" spans="5:6" x14ac:dyDescent="0.25">
      <c r="E19" s="4">
        <v>0</v>
      </c>
      <c r="F19" s="5" t="s">
        <v>23</v>
      </c>
    </row>
    <row r="20" spans="5:6" x14ac:dyDescent="0.25">
      <c r="E20" s="4">
        <v>3</v>
      </c>
      <c r="F20" s="5" t="s">
        <v>24</v>
      </c>
    </row>
    <row r="21" spans="5:6" x14ac:dyDescent="0.25">
      <c r="E21" s="8">
        <v>15</v>
      </c>
      <c r="F21" s="9" t="s">
        <v>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Matías Duhalde</cp:lastModifiedBy>
  <dcterms:created xsi:type="dcterms:W3CDTF">2020-04-13T14:46:39Z</dcterms:created>
  <dcterms:modified xsi:type="dcterms:W3CDTF">2020-04-14T18:42:57Z</dcterms:modified>
</cp:coreProperties>
</file>