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-repo\IIC1062\Ayudantías\Ayudantía 5\"/>
    </mc:Choice>
  </mc:AlternateContent>
  <xr:revisionPtr revIDLastSave="0" documentId="13_ncr:1_{F2630815-2300-4CF2-8318-9F45EC4861FD}" xr6:coauthVersionLast="45" xr6:coauthVersionMax="45" xr10:uidLastSave="{00000000-0000-0000-0000-000000000000}"/>
  <bookViews>
    <workbookView xWindow="-120" yWindow="-120" windowWidth="29040" windowHeight="15840" xr2:uid="{9AE605D7-3B51-FC49-BCD4-91D03115EC83}"/>
  </bookViews>
  <sheets>
    <sheet name="BD Datos" sheetId="1" r:id="rId1"/>
    <sheet name="BD Au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5" i="1" l="1" a="1"/>
  <c r="Y5" i="1" s="1"/>
  <c r="X5" i="1" a="1"/>
  <c r="X5" i="1" s="1"/>
  <c r="W5" i="1" a="1"/>
  <c r="W5" i="1" s="1"/>
  <c r="V5" i="1" a="1"/>
  <c r="V5" i="1" s="1"/>
  <c r="T5" i="1" a="1"/>
  <c r="T5" i="1" s="1"/>
  <c r="U5" i="1" a="1"/>
  <c r="U5" i="1" s="1"/>
  <c r="U3" i="1"/>
  <c r="Y3" i="1" l="1"/>
  <c r="X3" i="1"/>
  <c r="W3" i="1"/>
  <c r="W2" i="1"/>
  <c r="V3" i="1"/>
  <c r="V2" i="1"/>
  <c r="T3" i="1"/>
  <c r="T2" i="1"/>
  <c r="Y2" i="1"/>
  <c r="X2" i="1"/>
  <c r="U2" i="1"/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5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K5" i="1"/>
  <c r="L5" i="1" s="1"/>
  <c r="N5" i="1" s="1"/>
  <c r="K6" i="1"/>
  <c r="L6" i="1" s="1"/>
  <c r="N6" i="1" s="1"/>
  <c r="K7" i="1"/>
  <c r="L7" i="1" s="1"/>
  <c r="N7" i="1" s="1"/>
  <c r="K8" i="1"/>
  <c r="L8" i="1" s="1"/>
  <c r="N8" i="1" s="1"/>
  <c r="K9" i="1"/>
  <c r="L9" i="1" s="1"/>
  <c r="K10" i="1"/>
  <c r="L10" i="1" s="1"/>
  <c r="N10" i="1" s="1"/>
  <c r="K11" i="1"/>
  <c r="L11" i="1" s="1"/>
  <c r="N11" i="1" s="1"/>
  <c r="K12" i="1"/>
  <c r="L12" i="1" s="1"/>
  <c r="K13" i="1"/>
  <c r="L13" i="1" s="1"/>
  <c r="N13" i="1" s="1"/>
  <c r="K14" i="1"/>
  <c r="L14" i="1" s="1"/>
  <c r="N14" i="1" s="1"/>
  <c r="K15" i="1"/>
  <c r="L15" i="1" s="1"/>
  <c r="N15" i="1" s="1"/>
  <c r="K16" i="1"/>
  <c r="L16" i="1" s="1"/>
  <c r="N16" i="1" s="1"/>
  <c r="K17" i="1"/>
  <c r="L17" i="1" s="1"/>
  <c r="N17" i="1" s="1"/>
  <c r="K18" i="1"/>
  <c r="L18" i="1" s="1"/>
  <c r="N18" i="1" s="1"/>
  <c r="K19" i="1"/>
  <c r="L19" i="1" s="1"/>
  <c r="K20" i="1"/>
  <c r="L20" i="1" s="1"/>
  <c r="N20" i="1" s="1"/>
  <c r="K21" i="1"/>
  <c r="L21" i="1" s="1"/>
  <c r="N21" i="1" s="1"/>
  <c r="K22" i="1"/>
  <c r="L22" i="1" s="1"/>
  <c r="N22" i="1" s="1"/>
  <c r="K23" i="1"/>
  <c r="L23" i="1" s="1"/>
  <c r="N23" i="1" s="1"/>
  <c r="K24" i="1"/>
  <c r="L24" i="1" s="1"/>
  <c r="K25" i="1"/>
  <c r="L25" i="1" s="1"/>
  <c r="K26" i="1"/>
  <c r="L26" i="1" s="1"/>
  <c r="N26" i="1" s="1"/>
  <c r="K27" i="1"/>
  <c r="L27" i="1" s="1"/>
  <c r="N27" i="1" s="1"/>
  <c r="K28" i="1"/>
  <c r="L28" i="1" s="1"/>
  <c r="N28" i="1" s="1"/>
  <c r="K29" i="1"/>
  <c r="L29" i="1" s="1"/>
  <c r="K30" i="1"/>
  <c r="L30" i="1" s="1"/>
  <c r="N30" i="1" s="1"/>
  <c r="K31" i="1"/>
  <c r="L31" i="1" s="1"/>
  <c r="N31" i="1" s="1"/>
  <c r="K32" i="1"/>
  <c r="L32" i="1" s="1"/>
  <c r="N32" i="1" s="1"/>
  <c r="K33" i="1"/>
  <c r="L33" i="1" s="1"/>
  <c r="N33" i="1" s="1"/>
  <c r="K34" i="1"/>
  <c r="L34" i="1" s="1"/>
  <c r="N34" i="1" s="1"/>
  <c r="K35" i="1"/>
  <c r="L35" i="1" s="1"/>
  <c r="N35" i="1" s="1"/>
  <c r="K36" i="1"/>
  <c r="L36" i="1" s="1"/>
  <c r="N36" i="1" s="1"/>
  <c r="K37" i="1"/>
  <c r="L37" i="1" s="1"/>
  <c r="N37" i="1" s="1"/>
  <c r="K38" i="1"/>
  <c r="L38" i="1" s="1"/>
  <c r="N38" i="1" s="1"/>
  <c r="K39" i="1"/>
  <c r="L39" i="1" s="1"/>
  <c r="N39" i="1" s="1"/>
  <c r="K40" i="1"/>
  <c r="L40" i="1" s="1"/>
  <c r="N40" i="1" s="1"/>
  <c r="K41" i="1"/>
  <c r="L41" i="1" s="1"/>
  <c r="N41" i="1" s="1"/>
  <c r="K42" i="1"/>
  <c r="L42" i="1" s="1"/>
  <c r="N42" i="1" s="1"/>
  <c r="K43" i="1"/>
  <c r="L43" i="1" s="1"/>
  <c r="N43" i="1" s="1"/>
  <c r="K44" i="1"/>
  <c r="L44" i="1" s="1"/>
  <c r="N44" i="1" s="1"/>
  <c r="K45" i="1"/>
  <c r="L45" i="1" s="1"/>
  <c r="N45" i="1" s="1"/>
  <c r="K46" i="1"/>
  <c r="L46" i="1" s="1"/>
  <c r="N46" i="1" s="1"/>
  <c r="K47" i="1"/>
  <c r="L47" i="1" s="1"/>
  <c r="N47" i="1" s="1"/>
  <c r="K48" i="1"/>
  <c r="L48" i="1" s="1"/>
  <c r="N48" i="1" s="1"/>
  <c r="K49" i="1"/>
  <c r="L49" i="1" s="1"/>
  <c r="K50" i="1"/>
  <c r="L50" i="1" s="1"/>
  <c r="N50" i="1" s="1"/>
  <c r="K51" i="1"/>
  <c r="L51" i="1" s="1"/>
  <c r="N51" i="1" s="1"/>
  <c r="K52" i="1"/>
  <c r="L52" i="1" s="1"/>
  <c r="N52" i="1" s="1"/>
  <c r="K53" i="1"/>
  <c r="L53" i="1" s="1"/>
  <c r="N53" i="1" s="1"/>
  <c r="K54" i="1"/>
  <c r="L54" i="1" s="1"/>
  <c r="N54" i="1" s="1"/>
  <c r="K55" i="1"/>
  <c r="L55" i="1" s="1"/>
  <c r="K56" i="1"/>
  <c r="L56" i="1" s="1"/>
  <c r="K57" i="1"/>
  <c r="L57" i="1" s="1"/>
  <c r="N57" i="1" s="1"/>
  <c r="K58" i="1"/>
  <c r="L58" i="1" s="1"/>
  <c r="N58" i="1" s="1"/>
  <c r="K59" i="1"/>
  <c r="L59" i="1" s="1"/>
  <c r="N59" i="1" s="1"/>
  <c r="K60" i="1"/>
  <c r="L60" i="1" s="1"/>
  <c r="K61" i="1"/>
  <c r="L61" i="1" s="1"/>
  <c r="N61" i="1" s="1"/>
  <c r="K62" i="1"/>
  <c r="L62" i="1" s="1"/>
  <c r="N62" i="1" s="1"/>
  <c r="K63" i="1"/>
  <c r="L63" i="1" s="1"/>
  <c r="N63" i="1" s="1"/>
  <c r="K64" i="1"/>
  <c r="L64" i="1" s="1"/>
  <c r="N64" i="1" s="1"/>
  <c r="K65" i="1"/>
  <c r="L65" i="1" s="1"/>
  <c r="N65" i="1" s="1"/>
  <c r="K66" i="1"/>
  <c r="L66" i="1" s="1"/>
  <c r="N66" i="1" s="1"/>
  <c r="K67" i="1"/>
  <c r="L67" i="1" s="1"/>
  <c r="N67" i="1" s="1"/>
  <c r="K68" i="1"/>
  <c r="L68" i="1" s="1"/>
  <c r="N68" i="1" s="1"/>
  <c r="K69" i="1"/>
  <c r="L69" i="1" s="1"/>
  <c r="N69" i="1" s="1"/>
  <c r="K70" i="1"/>
  <c r="L70" i="1" s="1"/>
  <c r="K71" i="1"/>
  <c r="L71" i="1" s="1"/>
  <c r="K72" i="1"/>
  <c r="L72" i="1" s="1"/>
  <c r="N72" i="1" s="1"/>
  <c r="K73" i="1"/>
  <c r="L73" i="1" s="1"/>
  <c r="N73" i="1" s="1"/>
  <c r="K74" i="1"/>
  <c r="L74" i="1" s="1"/>
  <c r="N74" i="1" s="1"/>
  <c r="K75" i="1"/>
  <c r="L75" i="1" s="1"/>
  <c r="N75" i="1" s="1"/>
  <c r="K76" i="1"/>
  <c r="L76" i="1" s="1"/>
  <c r="K77" i="1"/>
  <c r="L77" i="1" s="1"/>
  <c r="N77" i="1" s="1"/>
  <c r="K78" i="1"/>
  <c r="L78" i="1" s="1"/>
  <c r="K79" i="1"/>
  <c r="L79" i="1" s="1"/>
  <c r="K80" i="1"/>
  <c r="L80" i="1" s="1"/>
  <c r="N80" i="1" s="1"/>
  <c r="K81" i="1"/>
  <c r="L81" i="1" s="1"/>
  <c r="K82" i="1"/>
  <c r="L82" i="1" s="1"/>
  <c r="K83" i="1"/>
  <c r="L83" i="1" s="1"/>
  <c r="N83" i="1" s="1"/>
  <c r="K84" i="1"/>
  <c r="L84" i="1" s="1"/>
  <c r="N84" i="1" s="1"/>
  <c r="K85" i="1"/>
  <c r="L85" i="1" s="1"/>
  <c r="N85" i="1" s="1"/>
  <c r="K86" i="1"/>
  <c r="L86" i="1" s="1"/>
  <c r="N86" i="1" s="1"/>
  <c r="K87" i="1"/>
  <c r="L87" i="1" s="1"/>
  <c r="N87" i="1" s="1"/>
  <c r="K88" i="1"/>
  <c r="L88" i="1" s="1"/>
  <c r="N88" i="1" s="1"/>
  <c r="K89" i="1"/>
  <c r="L89" i="1" s="1"/>
  <c r="N89" i="1" s="1"/>
  <c r="K90" i="1"/>
  <c r="L90" i="1" s="1"/>
  <c r="N90" i="1" s="1"/>
  <c r="K91" i="1"/>
  <c r="L91" i="1" s="1"/>
  <c r="N91" i="1" s="1"/>
  <c r="K92" i="1"/>
  <c r="L92" i="1" s="1"/>
  <c r="K93" i="1"/>
  <c r="L93" i="1" s="1"/>
  <c r="N93" i="1" s="1"/>
  <c r="K94" i="1"/>
  <c r="L94" i="1" s="1"/>
  <c r="N94" i="1" s="1"/>
  <c r="K95" i="1"/>
  <c r="L95" i="1" s="1"/>
  <c r="N95" i="1" s="1"/>
  <c r="K96" i="1"/>
  <c r="L96" i="1" s="1"/>
  <c r="K97" i="1"/>
  <c r="L97" i="1" s="1"/>
  <c r="N97" i="1" s="1"/>
  <c r="K98" i="1"/>
  <c r="L98" i="1" s="1"/>
  <c r="K99" i="1"/>
  <c r="L99" i="1" s="1"/>
  <c r="N99" i="1" s="1"/>
  <c r="K100" i="1"/>
  <c r="L100" i="1" s="1"/>
  <c r="K101" i="1"/>
  <c r="L101" i="1" s="1"/>
  <c r="K102" i="1"/>
  <c r="L102" i="1" s="1"/>
  <c r="N102" i="1" s="1"/>
  <c r="K103" i="1"/>
  <c r="L103" i="1" s="1"/>
  <c r="N103" i="1" s="1"/>
  <c r="K104" i="1"/>
  <c r="L104" i="1" s="1"/>
  <c r="N104" i="1" s="1"/>
  <c r="K105" i="1"/>
  <c r="L105" i="1" s="1"/>
  <c r="N105" i="1" s="1"/>
  <c r="K106" i="1"/>
  <c r="L106" i="1" s="1"/>
  <c r="N106" i="1" s="1"/>
  <c r="K107" i="1"/>
  <c r="L107" i="1" s="1"/>
  <c r="N107" i="1" s="1"/>
  <c r="K108" i="1"/>
  <c r="L108" i="1" s="1"/>
  <c r="N108" i="1" s="1"/>
  <c r="K109" i="1"/>
  <c r="L109" i="1" s="1"/>
  <c r="N109" i="1" s="1"/>
  <c r="K110" i="1"/>
  <c r="L110" i="1" s="1"/>
  <c r="N110" i="1" s="1"/>
  <c r="K111" i="1"/>
  <c r="L111" i="1" s="1"/>
  <c r="N111" i="1" s="1"/>
  <c r="K112" i="1"/>
  <c r="L112" i="1" s="1"/>
  <c r="N112" i="1" s="1"/>
  <c r="K113" i="1"/>
  <c r="L113" i="1" s="1"/>
  <c r="N113" i="1" s="1"/>
  <c r="K114" i="1"/>
  <c r="L114" i="1" s="1"/>
  <c r="N114" i="1" s="1"/>
  <c r="K115" i="1"/>
  <c r="L115" i="1" s="1"/>
  <c r="N115" i="1" s="1"/>
  <c r="K116" i="1"/>
  <c r="L116" i="1" s="1"/>
  <c r="N116" i="1" s="1"/>
  <c r="K117" i="1"/>
  <c r="L117" i="1" s="1"/>
  <c r="N117" i="1" s="1"/>
  <c r="K118" i="1"/>
  <c r="L118" i="1" s="1"/>
  <c r="N118" i="1" s="1"/>
  <c r="K119" i="1"/>
  <c r="L119" i="1" s="1"/>
  <c r="K120" i="1"/>
  <c r="L120" i="1" s="1"/>
  <c r="K121" i="1"/>
  <c r="L121" i="1" s="1"/>
  <c r="N121" i="1" s="1"/>
  <c r="K122" i="1"/>
  <c r="L122" i="1" s="1"/>
  <c r="N122" i="1" s="1"/>
  <c r="K123" i="1"/>
  <c r="L123" i="1" s="1"/>
  <c r="N123" i="1" s="1"/>
  <c r="K124" i="1"/>
  <c r="L124" i="1" s="1"/>
  <c r="N124" i="1" s="1"/>
  <c r="K125" i="1"/>
  <c r="L125" i="1" s="1"/>
  <c r="N125" i="1" s="1"/>
  <c r="K126" i="1"/>
  <c r="L126" i="1" s="1"/>
  <c r="N126" i="1" s="1"/>
  <c r="K127" i="1"/>
  <c r="L127" i="1" s="1"/>
  <c r="N127" i="1" s="1"/>
  <c r="K128" i="1"/>
  <c r="L128" i="1" s="1"/>
  <c r="N128" i="1" s="1"/>
  <c r="K129" i="1"/>
  <c r="L129" i="1" s="1"/>
  <c r="N129" i="1" s="1"/>
  <c r="K130" i="1"/>
  <c r="L130" i="1" s="1"/>
  <c r="N130" i="1" s="1"/>
  <c r="K131" i="1"/>
  <c r="L131" i="1" s="1"/>
  <c r="K132" i="1"/>
  <c r="L132" i="1" s="1"/>
  <c r="K133" i="1"/>
  <c r="L133" i="1" s="1"/>
  <c r="K134" i="1"/>
  <c r="L134" i="1" s="1"/>
  <c r="N134" i="1" s="1"/>
  <c r="K135" i="1"/>
  <c r="L135" i="1" s="1"/>
  <c r="K136" i="1"/>
  <c r="L136" i="1" s="1"/>
  <c r="N136" i="1" s="1"/>
  <c r="K137" i="1"/>
  <c r="L137" i="1" s="1"/>
  <c r="N137" i="1" s="1"/>
  <c r="K138" i="1"/>
  <c r="L138" i="1" s="1"/>
  <c r="K139" i="1"/>
  <c r="L139" i="1" s="1"/>
  <c r="N139" i="1" s="1"/>
  <c r="K140" i="1"/>
  <c r="L140" i="1" s="1"/>
  <c r="N140" i="1" s="1"/>
  <c r="K141" i="1"/>
  <c r="L141" i="1" s="1"/>
  <c r="K142" i="1"/>
  <c r="L142" i="1" s="1"/>
  <c r="N142" i="1" s="1"/>
  <c r="K143" i="1"/>
  <c r="L143" i="1" s="1"/>
  <c r="N143" i="1" s="1"/>
  <c r="K144" i="1"/>
  <c r="L144" i="1" s="1"/>
  <c r="N144" i="1" s="1"/>
  <c r="K145" i="1"/>
  <c r="L145" i="1" s="1"/>
  <c r="N145" i="1" s="1"/>
  <c r="K146" i="1"/>
  <c r="L146" i="1" s="1"/>
  <c r="N146" i="1" s="1"/>
  <c r="K147" i="1"/>
  <c r="L147" i="1" s="1"/>
  <c r="N147" i="1" s="1"/>
  <c r="K148" i="1"/>
  <c r="L148" i="1" s="1"/>
  <c r="N148" i="1" s="1"/>
  <c r="K149" i="1"/>
  <c r="L149" i="1" s="1"/>
  <c r="N149" i="1" s="1"/>
  <c r="K150" i="1"/>
  <c r="L150" i="1" s="1"/>
  <c r="N150" i="1" s="1"/>
  <c r="K151" i="1"/>
  <c r="L151" i="1" s="1"/>
  <c r="N151" i="1" s="1"/>
  <c r="K152" i="1"/>
  <c r="L152" i="1" s="1"/>
  <c r="N152" i="1" s="1"/>
  <c r="K153" i="1"/>
  <c r="L153" i="1" s="1"/>
  <c r="N153" i="1" s="1"/>
  <c r="K154" i="1"/>
  <c r="L154" i="1" s="1"/>
  <c r="N154" i="1" s="1"/>
  <c r="K155" i="1"/>
  <c r="L155" i="1" s="1"/>
  <c r="K156" i="1"/>
  <c r="L156" i="1" s="1"/>
  <c r="N156" i="1" s="1"/>
  <c r="K157" i="1"/>
  <c r="L157" i="1" s="1"/>
  <c r="N157" i="1" s="1"/>
  <c r="K158" i="1"/>
  <c r="L158" i="1" s="1"/>
  <c r="N158" i="1" s="1"/>
  <c r="K159" i="1"/>
  <c r="L159" i="1" s="1"/>
  <c r="N159" i="1" s="1"/>
  <c r="K160" i="1"/>
  <c r="L160" i="1" s="1"/>
  <c r="N160" i="1" s="1"/>
  <c r="K161" i="1"/>
  <c r="L161" i="1" s="1"/>
  <c r="N161" i="1" s="1"/>
  <c r="K162" i="1"/>
  <c r="L162" i="1" s="1"/>
  <c r="N162" i="1" s="1"/>
  <c r="K163" i="1"/>
  <c r="L163" i="1" s="1"/>
  <c r="N163" i="1" s="1"/>
  <c r="K164" i="1"/>
  <c r="L164" i="1" s="1"/>
  <c r="K165" i="1"/>
  <c r="L165" i="1" s="1"/>
  <c r="N165" i="1" s="1"/>
  <c r="K166" i="1"/>
  <c r="L166" i="1" s="1"/>
  <c r="K167" i="1"/>
  <c r="L167" i="1" s="1"/>
  <c r="N167" i="1" s="1"/>
  <c r="K168" i="1"/>
  <c r="L168" i="1" s="1"/>
  <c r="N168" i="1" s="1"/>
  <c r="K169" i="1"/>
  <c r="L169" i="1" s="1"/>
  <c r="K170" i="1"/>
  <c r="L170" i="1" s="1"/>
  <c r="N170" i="1" s="1"/>
  <c r="K171" i="1"/>
  <c r="L171" i="1" s="1"/>
  <c r="N171" i="1" s="1"/>
  <c r="K172" i="1"/>
  <c r="L172" i="1" s="1"/>
  <c r="N172" i="1" s="1"/>
  <c r="K173" i="1"/>
  <c r="L173" i="1" s="1"/>
  <c r="N173" i="1" s="1"/>
  <c r="K174" i="1"/>
  <c r="L174" i="1" s="1"/>
  <c r="N174" i="1" s="1"/>
  <c r="K175" i="1"/>
  <c r="L175" i="1" s="1"/>
  <c r="N175" i="1" s="1"/>
  <c r="K176" i="1"/>
  <c r="L176" i="1" s="1"/>
  <c r="N176" i="1" s="1"/>
  <c r="K177" i="1"/>
  <c r="L177" i="1" s="1"/>
  <c r="K178" i="1"/>
  <c r="L178" i="1" s="1"/>
  <c r="N178" i="1" s="1"/>
  <c r="K179" i="1"/>
  <c r="L179" i="1" s="1"/>
  <c r="N179" i="1" s="1"/>
  <c r="K180" i="1"/>
  <c r="L180" i="1" s="1"/>
  <c r="K181" i="1"/>
  <c r="L181" i="1" s="1"/>
  <c r="N181" i="1" s="1"/>
  <c r="K182" i="1"/>
  <c r="L182" i="1" s="1"/>
  <c r="N182" i="1" s="1"/>
  <c r="K183" i="1"/>
  <c r="L183" i="1" s="1"/>
  <c r="N183" i="1" s="1"/>
  <c r="K184" i="1"/>
  <c r="L184" i="1" s="1"/>
  <c r="N184" i="1" s="1"/>
  <c r="K185" i="1"/>
  <c r="L185" i="1" s="1"/>
  <c r="N185" i="1" s="1"/>
  <c r="K186" i="1"/>
  <c r="L186" i="1" s="1"/>
  <c r="N186" i="1" s="1"/>
  <c r="K187" i="1"/>
  <c r="L187" i="1" s="1"/>
  <c r="N187" i="1" s="1"/>
  <c r="N166" i="1" l="1"/>
  <c r="N98" i="1"/>
  <c r="N82" i="1"/>
  <c r="N78" i="1"/>
  <c r="N70" i="1"/>
  <c r="N177" i="1"/>
  <c r="N169" i="1"/>
  <c r="N141" i="1"/>
  <c r="N133" i="1"/>
  <c r="N101" i="1"/>
  <c r="N81" i="1"/>
  <c r="N49" i="1"/>
  <c r="N29" i="1"/>
  <c r="N25" i="1"/>
  <c r="N9" i="1"/>
  <c r="N100" i="1"/>
  <c r="N96" i="1"/>
  <c r="N92" i="1"/>
  <c r="N76" i="1"/>
  <c r="N60" i="1"/>
  <c r="N56" i="1"/>
  <c r="N24" i="1"/>
  <c r="N12" i="1"/>
  <c r="N138" i="1"/>
  <c r="N180" i="1"/>
  <c r="N164" i="1"/>
  <c r="N132" i="1"/>
  <c r="N120" i="1"/>
  <c r="N155" i="1"/>
  <c r="N135" i="1"/>
  <c r="N131" i="1"/>
  <c r="N119" i="1"/>
  <c r="N79" i="1"/>
  <c r="N71" i="1"/>
  <c r="N55" i="1"/>
  <c r="N19" i="1"/>
  <c r="M5" i="1"/>
  <c r="M6" i="1"/>
  <c r="M186" i="1"/>
  <c r="M182" i="1"/>
  <c r="M178" i="1"/>
  <c r="M174" i="1"/>
  <c r="M170" i="1"/>
  <c r="M162" i="1"/>
  <c r="M146" i="1"/>
  <c r="M130" i="1"/>
  <c r="M58" i="1"/>
  <c r="M46" i="1"/>
  <c r="M34" i="1"/>
  <c r="M26" i="1"/>
  <c r="M10" i="1"/>
  <c r="M185" i="1"/>
  <c r="M173" i="1"/>
  <c r="M165" i="1"/>
  <c r="M157" i="1"/>
  <c r="M145" i="1"/>
  <c r="M133" i="1"/>
  <c r="M129" i="1"/>
  <c r="M121" i="1"/>
  <c r="M117" i="1"/>
  <c r="M113" i="1"/>
  <c r="M109" i="1"/>
  <c r="M105" i="1"/>
  <c r="M101" i="1"/>
  <c r="M97" i="1"/>
  <c r="M93" i="1"/>
  <c r="M89" i="1"/>
  <c r="M85" i="1"/>
  <c r="M81" i="1"/>
  <c r="M77" i="1"/>
  <c r="M73" i="1"/>
  <c r="M69" i="1"/>
  <c r="M65" i="1"/>
  <c r="M61" i="1"/>
  <c r="M57" i="1"/>
  <c r="M53" i="1"/>
  <c r="M45" i="1"/>
  <c r="M41" i="1"/>
  <c r="M37" i="1"/>
  <c r="M33" i="1"/>
  <c r="M29" i="1"/>
  <c r="M25" i="1"/>
  <c r="M21" i="1"/>
  <c r="M17" i="1"/>
  <c r="M13" i="1"/>
  <c r="M138" i="1"/>
  <c r="M94" i="1"/>
  <c r="M90" i="1"/>
  <c r="M86" i="1"/>
  <c r="M82" i="1"/>
  <c r="M74" i="1"/>
  <c r="M66" i="1"/>
  <c r="M54" i="1"/>
  <c r="M42" i="1"/>
  <c r="M30" i="1"/>
  <c r="M18" i="1"/>
  <c r="M14" i="1"/>
  <c r="M177" i="1"/>
  <c r="M169" i="1"/>
  <c r="M161" i="1"/>
  <c r="M153" i="1"/>
  <c r="M149" i="1"/>
  <c r="M137" i="1"/>
  <c r="M125" i="1"/>
  <c r="M184" i="1"/>
  <c r="M180" i="1"/>
  <c r="M176" i="1"/>
  <c r="M172" i="1"/>
  <c r="M168" i="1"/>
  <c r="M164" i="1"/>
  <c r="M160" i="1"/>
  <c r="M156" i="1"/>
  <c r="M152" i="1"/>
  <c r="M148" i="1"/>
  <c r="M144" i="1"/>
  <c r="M140" i="1"/>
  <c r="M136" i="1"/>
  <c r="M128" i="1"/>
  <c r="M124" i="1"/>
  <c r="M120" i="1"/>
  <c r="M116" i="1"/>
  <c r="M112" i="1"/>
  <c r="M108" i="1"/>
  <c r="M104" i="1"/>
  <c r="M100" i="1"/>
  <c r="M96" i="1"/>
  <c r="M92" i="1"/>
  <c r="M88" i="1"/>
  <c r="M84" i="1"/>
  <c r="M80" i="1"/>
  <c r="M76" i="1"/>
  <c r="M72" i="1"/>
  <c r="M68" i="1"/>
  <c r="M64" i="1"/>
  <c r="M52" i="1"/>
  <c r="M48" i="1"/>
  <c r="M44" i="1"/>
  <c r="M40" i="1"/>
  <c r="M36" i="1"/>
  <c r="M32" i="1"/>
  <c r="M28" i="1"/>
  <c r="M24" i="1"/>
  <c r="M20" i="1"/>
  <c r="M16" i="1"/>
  <c r="M8" i="1"/>
  <c r="M158" i="1"/>
  <c r="M150" i="1"/>
  <c r="M142" i="1"/>
  <c r="M134" i="1"/>
  <c r="M126" i="1"/>
  <c r="M122" i="1"/>
  <c r="M118" i="1"/>
  <c r="M114" i="1"/>
  <c r="M110" i="1"/>
  <c r="M106" i="1"/>
  <c r="M102" i="1"/>
  <c r="M62" i="1"/>
  <c r="M50" i="1"/>
  <c r="M38" i="1"/>
  <c r="M22" i="1"/>
  <c r="M181" i="1"/>
  <c r="M187" i="1"/>
  <c r="M183" i="1"/>
  <c r="M179" i="1"/>
  <c r="M175" i="1"/>
  <c r="M171" i="1"/>
  <c r="M167" i="1"/>
  <c r="M163" i="1"/>
  <c r="M159" i="1"/>
  <c r="M155" i="1"/>
  <c r="M151" i="1"/>
  <c r="M147" i="1"/>
  <c r="M143" i="1"/>
  <c r="M139" i="1"/>
  <c r="M131" i="1"/>
  <c r="M127" i="1"/>
  <c r="M123" i="1"/>
  <c r="M119" i="1"/>
  <c r="M115" i="1"/>
  <c r="M111" i="1"/>
  <c r="M107" i="1"/>
  <c r="M103" i="1"/>
  <c r="M99" i="1"/>
  <c r="M95" i="1"/>
  <c r="M91" i="1"/>
  <c r="M87" i="1"/>
  <c r="M83" i="1"/>
  <c r="M79" i="1"/>
  <c r="M75" i="1"/>
  <c r="M67" i="1"/>
  <c r="M63" i="1"/>
  <c r="M59" i="1"/>
  <c r="M51" i="1"/>
  <c r="M47" i="1"/>
  <c r="M43" i="1"/>
  <c r="M39" i="1"/>
  <c r="M35" i="1"/>
  <c r="M31" i="1"/>
  <c r="M27" i="1"/>
  <c r="M23" i="1"/>
  <c r="M15" i="1"/>
  <c r="M11" i="1"/>
  <c r="M7" i="1"/>
  <c r="M132" i="1"/>
  <c r="M55" i="1"/>
  <c r="M19" i="1"/>
  <c r="M166" i="1"/>
  <c r="M154" i="1"/>
  <c r="M98" i="1"/>
  <c r="M78" i="1"/>
  <c r="M70" i="1"/>
  <c r="M135" i="1"/>
  <c r="M71" i="1"/>
  <c r="M141" i="1"/>
  <c r="M49" i="1"/>
  <c r="M9" i="1"/>
  <c r="M60" i="1"/>
  <c r="M56" i="1"/>
  <c r="M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<sst xmlns="http://schemas.openxmlformats.org/spreadsheetml/2006/main" count="412" uniqueCount="180">
  <si>
    <t>Olvera Toch</t>
  </si>
  <si>
    <t>Vivek Grady</t>
  </si>
  <si>
    <t>Sean ODonnell</t>
  </si>
  <si>
    <t>Henry Goldwyn</t>
  </si>
  <si>
    <t>Jesus Ocampo</t>
  </si>
  <si>
    <t>Tom Prescott</t>
  </si>
  <si>
    <t>Fred McMath</t>
  </si>
  <si>
    <t>Sarah Jordon</t>
  </si>
  <si>
    <t>Nathan Mautz</t>
  </si>
  <si>
    <t>Alan Dominguez</t>
  </si>
  <si>
    <t>Michelle Lonsdale</t>
  </si>
  <si>
    <t>Dianna Arnett</t>
  </si>
  <si>
    <t>Mike Gockenbach</t>
  </si>
  <si>
    <t>Trudy Brown</t>
  </si>
  <si>
    <t>Patrick Jones</t>
  </si>
  <si>
    <t>Rob Haberlin</t>
  </si>
  <si>
    <t>Maribeth Yedwab</t>
  </si>
  <si>
    <t>Joni Sundaresam</t>
  </si>
  <si>
    <t>Liz Willingham</t>
  </si>
  <si>
    <t>Michael Oakman</t>
  </si>
  <si>
    <t>Giulietta Dortch</t>
  </si>
  <si>
    <t>Tony Sayre</t>
  </si>
  <si>
    <t>Suzanne McNair</t>
  </si>
  <si>
    <t>Mike Kennedy</t>
  </si>
  <si>
    <t>Ken Lonsdale</t>
  </si>
  <si>
    <t>Pete Armstrong</t>
  </si>
  <si>
    <t>Logan Haushalter</t>
  </si>
  <si>
    <t>Darren Powers</t>
  </si>
  <si>
    <t>Philip Brown</t>
  </si>
  <si>
    <t>Darrin Martin</t>
  </si>
  <si>
    <t>Alan Hwang</t>
  </si>
  <si>
    <t>Ed Ludwig</t>
  </si>
  <si>
    <t>Carol Darley</t>
  </si>
  <si>
    <t>Ashley Jarboe</t>
  </si>
  <si>
    <t>Liz MacKendrick</t>
  </si>
  <si>
    <t>Joy Smith</t>
  </si>
  <si>
    <t>Dennis Pardue</t>
  </si>
  <si>
    <t>Dave Kipp</t>
  </si>
  <si>
    <t>Charles Sheldon</t>
  </si>
  <si>
    <t>Pauline Webber</t>
  </si>
  <si>
    <t>Brad Norvell</t>
  </si>
  <si>
    <t>Chloris Kastensmidt</t>
  </si>
  <si>
    <t>Brian Stugart</t>
  </si>
  <si>
    <t>Sally Knutson</t>
  </si>
  <si>
    <t>Erica Smith</t>
  </si>
  <si>
    <t>Joni Wasserman</t>
  </si>
  <si>
    <t>Lindsay Shagiari</t>
  </si>
  <si>
    <t>Ellis Ballard</t>
  </si>
  <si>
    <t>Ben Peterman</t>
  </si>
  <si>
    <t>Magdelene Morse</t>
  </si>
  <si>
    <t>Ken Dana</t>
  </si>
  <si>
    <t>Linda Southworth</t>
  </si>
  <si>
    <t>Cyma Kinney</t>
  </si>
  <si>
    <t>Erica Hernandez</t>
  </si>
  <si>
    <t>Ken Black</t>
  </si>
  <si>
    <t>Randy Ferguson</t>
  </si>
  <si>
    <t>Thais Sissman</t>
  </si>
  <si>
    <t>Monica Federle</t>
  </si>
  <si>
    <t>Elpida Rittenbach</t>
  </si>
  <si>
    <t>Vicky Freymann</t>
  </si>
  <si>
    <t>Christina Vanderzanden</t>
  </si>
  <si>
    <t>Adrian Shami</t>
  </si>
  <si>
    <t>Tamara Chand</t>
  </si>
  <si>
    <t>Mitch Webber</t>
  </si>
  <si>
    <t>Jasper Cacioppo</t>
  </si>
  <si>
    <t>Nick Crebassa</t>
  </si>
  <si>
    <t>Michelle Moray</t>
  </si>
  <si>
    <t>Michelle Huthwaite</t>
  </si>
  <si>
    <t>Chuck Clark</t>
  </si>
  <si>
    <t>John Castell</t>
  </si>
  <si>
    <t>Max Ludwig</t>
  </si>
  <si>
    <t>Justin Ellison</t>
  </si>
  <si>
    <t>Dave Hallsten</t>
  </si>
  <si>
    <t>Robert Marley</t>
  </si>
  <si>
    <t>Hunter Glantz</t>
  </si>
  <si>
    <t>Fred Wasserman</t>
  </si>
  <si>
    <t>Dionis Lloyd</t>
  </si>
  <si>
    <t>Matthew Clasen</t>
  </si>
  <si>
    <t>Arthur Prichep</t>
  </si>
  <si>
    <t>Carol Adams</t>
  </si>
  <si>
    <t>Steve Chapman</t>
  </si>
  <si>
    <t>Damala Kotsonis</t>
  </si>
  <si>
    <t>Darrin Sayre</t>
  </si>
  <si>
    <t>Christopher Schild</t>
  </si>
  <si>
    <t>Kean Thornton</t>
  </si>
  <si>
    <t>Liz Price</t>
  </si>
  <si>
    <t>Susan MacKendrick</t>
  </si>
  <si>
    <t>Edward Becker</t>
  </si>
  <si>
    <t>Harold Dahlen</t>
  </si>
  <si>
    <t>Eva Jacobs</t>
  </si>
  <si>
    <t>Erin Ashbrook</t>
  </si>
  <si>
    <t>Joy Daniels</t>
  </si>
  <si>
    <t>Brad Thomas</t>
  </si>
  <si>
    <t>Mitch Gastineau</t>
  </si>
  <si>
    <t>Giulietta Baptist</t>
  </si>
  <si>
    <t>Jill Stevenson</t>
  </si>
  <si>
    <t>Eric Barreto</t>
  </si>
  <si>
    <t>Shahid Hopkins</t>
  </si>
  <si>
    <t>Grant Thornton</t>
  </si>
  <si>
    <t>Ritsa Hightower</t>
  </si>
  <si>
    <t>Peter Fuller</t>
  </si>
  <si>
    <t>Bill Shonely</t>
  </si>
  <si>
    <t>Bill Stewart</t>
  </si>
  <si>
    <t>Denise Monton</t>
  </si>
  <si>
    <t>Bryan Spruell</t>
  </si>
  <si>
    <t>Clytie Kelty</t>
  </si>
  <si>
    <t>John Murray</t>
  </si>
  <si>
    <t>Deirdre Greer</t>
  </si>
  <si>
    <t>Aaron Bergman</t>
  </si>
  <si>
    <t>Julia Dunbar</t>
  </si>
  <si>
    <t>Carol Triggs</t>
  </si>
  <si>
    <t>Eleni McCrary</t>
  </si>
  <si>
    <t>Yana Sorensen</t>
  </si>
  <si>
    <t>Michael Grace</t>
  </si>
  <si>
    <t>Bobby Trafton</t>
  </si>
  <si>
    <t>Gene Hale</t>
  </si>
  <si>
    <t>Bradley Drucker</t>
  </si>
  <si>
    <t>Cindy Stewart</t>
  </si>
  <si>
    <t>Victoria Wilson</t>
  </si>
  <si>
    <t>Art Miller</t>
  </si>
  <si>
    <t>Brian DeCherney</t>
  </si>
  <si>
    <t>Patrick OBrill</t>
  </si>
  <si>
    <t>Jim Epp</t>
  </si>
  <si>
    <t>Marc Crier</t>
  </si>
  <si>
    <t>Barry Gonzalez</t>
  </si>
  <si>
    <t>Gary Hansen</t>
  </si>
  <si>
    <t>Lauren Leatherbury</t>
  </si>
  <si>
    <t>Cindy Chapman</t>
  </si>
  <si>
    <t>Christy Brittain</t>
  </si>
  <si>
    <t>Kelly Lampkin</t>
  </si>
  <si>
    <t>Christopher Martinez</t>
  </si>
  <si>
    <t>Quincy Jones</t>
  </si>
  <si>
    <t>Erin Creighton</t>
  </si>
  <si>
    <t>Ryan Crowe</t>
  </si>
  <si>
    <t>Justin Knight</t>
  </si>
  <si>
    <t>Juliana Krohn</t>
  </si>
  <si>
    <t>Fred Chung</t>
  </si>
  <si>
    <t>Jim Kriz</t>
  </si>
  <si>
    <t>Shahid Shariari</t>
  </si>
  <si>
    <t>Valerie Dominguez</t>
  </si>
  <si>
    <t>Gary Hwang</t>
  </si>
  <si>
    <t>Phillip Flathmann</t>
  </si>
  <si>
    <t>Lisa DeCherney</t>
  </si>
  <si>
    <t>Tom Stivers</t>
  </si>
  <si>
    <t>Julie Prescott</t>
  </si>
  <si>
    <t>Becky Pak</t>
  </si>
  <si>
    <t>Roland Murray</t>
  </si>
  <si>
    <t>Cynthia Arntzen</t>
  </si>
  <si>
    <t>Steven Cartwright</t>
  </si>
  <si>
    <t>Ejecutivo</t>
  </si>
  <si>
    <t>Fecha ingreso</t>
  </si>
  <si>
    <t>Código Área</t>
  </si>
  <si>
    <t>Área</t>
  </si>
  <si>
    <t>Finanzas</t>
  </si>
  <si>
    <t>Marketing</t>
  </si>
  <si>
    <t>Administración</t>
  </si>
  <si>
    <t>Gerencia</t>
  </si>
  <si>
    <t>Transportes</t>
  </si>
  <si>
    <t>Proyectos</t>
  </si>
  <si>
    <t>FNZ</t>
  </si>
  <si>
    <t>MRK</t>
  </si>
  <si>
    <t>ADM</t>
  </si>
  <si>
    <t>GRC</t>
  </si>
  <si>
    <t>TSP</t>
  </si>
  <si>
    <t>PRY</t>
  </si>
  <si>
    <t>Sueldo</t>
  </si>
  <si>
    <t>Participación</t>
  </si>
  <si>
    <t>Comunicación</t>
  </si>
  <si>
    <t>Negocios</t>
  </si>
  <si>
    <t>Liderazgo</t>
  </si>
  <si>
    <t>Calificación</t>
  </si>
  <si>
    <t>BONO1</t>
  </si>
  <si>
    <t>BONO2</t>
  </si>
  <si>
    <t>Amerita</t>
  </si>
  <si>
    <t>Quejas percibidas</t>
  </si>
  <si>
    <t>Dinero Ingresado ($M)</t>
  </si>
  <si>
    <t>N. Quejas</t>
  </si>
  <si>
    <t>Factor</t>
  </si>
  <si>
    <t>Total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</si>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</sst>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&quot;$&quot;#,##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2" applyFont="1" applyBorder="1"/>
    <xf numFmtId="164" fontId="0" fillId="0" borderId="1" xfId="0" applyNumberFormat="1" applyBorder="1"/>
    <xf numFmtId="165" fontId="0" fillId="0" borderId="1" xfId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2" borderId="3" xfId="0" applyFill="1" applyBorder="1"/>
    <xf numFmtId="0" fontId="0" fillId="2" borderId="7" xfId="0" applyFill="1" applyBorder="1"/>
    <xf numFmtId="14" fontId="0" fillId="0" borderId="9" xfId="0" applyNumberFormat="1" applyBorder="1"/>
    <xf numFmtId="0" fontId="0" fillId="0" borderId="9" xfId="0" applyBorder="1"/>
    <xf numFmtId="164" fontId="0" fillId="0" borderId="9" xfId="2" applyFont="1" applyBorder="1"/>
    <xf numFmtId="165" fontId="0" fillId="0" borderId="9" xfId="1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64" fontId="0" fillId="0" borderId="9" xfId="0" applyNumberFormat="1" applyBorder="1"/>
    <xf numFmtId="166" fontId="0" fillId="0" borderId="1" xfId="0" applyNumberFormat="1" applyBorder="1"/>
    <xf numFmtId="0" fontId="2" fillId="4" borderId="4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3">
    <cellStyle name="Comma [0]" xfId="1" builtinId="6"/>
    <cellStyle name="Currency [0]" xfId="2" builtinId="7"/>
    <cellStyle name="Normal" xfId="0" builtinId="0"/>
  </cellStyles>
  <dxfs count="38">
    <dxf>
      <numFmt numFmtId="166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&quot;$&quot;* #,##0_-;\-&quot;$&quot;* #,##0_-;_-&quot;$&quot;* &quot;-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656918-20F7-1A4D-AEC7-D1074AF0B08E}" name="BD_Datos" displayName="BD_Datos" ref="B4:Q187" totalsRowShown="0" headerRowDxfId="37" headerRowBorderDxfId="36" tableBorderDxfId="35" totalsRowBorderDxfId="34">
  <autoFilter ref="B4:Q187" xr:uid="{84FA128C-3C53-5048-B1B7-A7429363DDEB}"/>
  <tableColumns count="16">
    <tableColumn id="1" xr3:uid="{B0C453DC-343A-524B-8DF9-3633EBC3EAE9}" name="Ejecutivo" dataDxfId="33"/>
    <tableColumn id="2" xr3:uid="{6EA9AD9C-4AEE-744B-817B-A676B6B2762F}" name="Fecha ingreso" dataDxfId="32"/>
    <tableColumn id="3" xr3:uid="{9B50B8E6-5540-5940-AE61-38F3686C02CA}" name="Código Área" dataDxfId="31"/>
    <tableColumn id="4" xr3:uid="{272653C5-1EF6-6F45-818A-884BFF2E44D9}" name="Área" dataDxfId="30">
      <calculatedColumnFormula>VLOOKUP(BD_Datos[[#This Row],[Código Área]],Areas[],2,FALSE)</calculatedColumnFormula>
    </tableColumn>
    <tableColumn id="5" xr3:uid="{616F1F2B-9FB2-D349-89CD-8A403084D876}" name="Sueldo" dataDxfId="29"/>
    <tableColumn id="6" xr3:uid="{67982DBF-4DF9-2F42-9891-9231D96D46C6}" name="Participación" dataDxfId="28"/>
    <tableColumn id="7" xr3:uid="{671FBFB8-8304-0041-938A-EA3F07633A2A}" name="Comunicación" dataDxfId="27"/>
    <tableColumn id="8" xr3:uid="{9EBB3189-A9FE-8D4D-96AC-C90B6B8C48F1}" name="Negocios" dataDxfId="26"/>
    <tableColumn id="9" xr3:uid="{28A63ACB-F9C5-F346-B408-5A528D571D25}" name="Liderazgo" dataDxfId="25"/>
    <tableColumn id="10" xr3:uid="{E544E1A3-24DF-FA48-B616-63ED90CABE28}" name="Calificación" dataDxfId="24">
      <calculatedColumnFormula>SUM(BD_Datos[[#This Row],[Participación]:[Liderazgo]])</calculatedColumnFormula>
    </tableColumn>
    <tableColumn id="11" xr3:uid="{0F0BD91E-C40C-E544-BEB7-4B4D3E510F2F}" name="Amerita" dataDxfId="23">
      <calculatedColumnFormula>IF(BD_Datos[[#This Row],[Calificación]]&lt;=25,FALSE,TRUE)</calculatedColumnFormula>
    </tableColumn>
    <tableColumn id="12" xr3:uid="{8B3954F8-F103-A249-8190-16D45DAC7083}" name="BONO1" dataDxfId="1">
      <calculatedColumnFormula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calculatedColumnFormula>
    </tableColumn>
    <tableColumn id="13" xr3:uid="{42A8F6D8-AC85-3F4A-9911-BE8F5FF46F39}" name="BONO2" dataDxfId="0">
      <calculatedColumnFormula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calculatedColumnFormula>
    </tableColumn>
    <tableColumn id="14" xr3:uid="{AF97C3DC-453A-0642-9289-927094965150}" name="Dinero Ingresado ($M)" dataDxfId="22"/>
    <tableColumn id="15" xr3:uid="{59DA46E4-FBF9-3A40-8600-A7560FBCE594}" name="Quejas percibidas" dataDxfId="21"/>
    <tableColumn id="16" xr3:uid="{BB491241-A8ED-794B-A956-7B3E5A4DE9FB}" name="Factor" dataDxfId="20">
      <calculatedColumnFormula>INDEX(Factores[],MATCH(BD_Datos[[#This Row],[Quejas percibidas]],Factores[N. Quejas],0),MATCH(BD_Datos[[#This Row],[Área]],Factores[#Headers],0))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781D2-9D23-374C-B48A-37AE3A514EEE}" name="Areas" displayName="Areas" ref="D7:E13" totalsRowShown="0" headerRowDxfId="19" headerRowBorderDxfId="18" tableBorderDxfId="17" totalsRowBorderDxfId="16">
  <autoFilter ref="D7:E13" xr:uid="{04280C79-DAAF-3A41-8899-0E11B4FD7E9B}"/>
  <tableColumns count="2">
    <tableColumn id="1" xr3:uid="{D1DB1BEE-B06F-A24B-AC59-5EFBC8EF82D1}" name="Código Área" dataDxfId="15"/>
    <tableColumn id="2" xr3:uid="{365FD4A2-44D9-BD42-8E6D-84D4E2F75114}" name="Área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688CE3-FB11-4345-AB30-67E72E0062C5}" name="Factores" displayName="Factores" ref="I7:O12" totalsRowShown="0" headerRowDxfId="13" dataDxfId="11" headerRowBorderDxfId="12" tableBorderDxfId="10" totalsRowBorderDxfId="9">
  <autoFilter ref="I7:O12" xr:uid="{00B85E4D-95DE-4E4A-A391-6C74DF2C293C}"/>
  <tableColumns count="7">
    <tableColumn id="1" xr3:uid="{800E66AC-3568-E649-9171-DD3BE5F3761B}" name="N. Quejas" dataDxfId="8"/>
    <tableColumn id="2" xr3:uid="{E7A85F46-7459-324C-ADF8-A1C60FEB9553}" name="Finanzas" dataDxfId="7"/>
    <tableColumn id="3" xr3:uid="{DE3FBF79-945B-8146-A646-0D42B6CAA8AE}" name="Marketing" dataDxfId="6"/>
    <tableColumn id="4" xr3:uid="{F5024702-1569-9341-9933-E03D77199D77}" name="Administración" dataDxfId="5"/>
    <tableColumn id="5" xr3:uid="{1CE94639-7522-5940-9752-8CB2FC1E0A5F}" name="Gerencia" dataDxfId="4"/>
    <tableColumn id="6" xr3:uid="{E9AD08CB-035E-EE4E-8E52-C9C3EAFA6B9D}" name="Transportes" dataDxfId="3"/>
    <tableColumn id="7" xr3:uid="{18DF4967-13BB-3C43-A38C-666894EE7F13}" name="Proyect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9B48-9EE5-C24E-BC00-3A931D4112E5}">
  <dimension ref="B2:Y187"/>
  <sheetViews>
    <sheetView tabSelected="1" topLeftCell="N1" zoomScale="108" workbookViewId="0">
      <selection activeCell="Y5" sqref="Y5"/>
    </sheetView>
  </sheetViews>
  <sheetFormatPr defaultColWidth="11" defaultRowHeight="15.75" x14ac:dyDescent="0.25"/>
  <cols>
    <col min="2" max="2" width="20.625" bestFit="1" customWidth="1"/>
    <col min="3" max="3" width="14.625" customWidth="1"/>
    <col min="4" max="4" width="13.5" customWidth="1"/>
    <col min="6" max="6" width="11.5" bestFit="1" customWidth="1"/>
    <col min="7" max="7" width="13.875" customWidth="1"/>
    <col min="8" max="8" width="14.875" customWidth="1"/>
    <col min="10" max="10" width="11.125" customWidth="1"/>
    <col min="11" max="11" width="12.375" customWidth="1"/>
    <col min="13" max="14" width="13.125" customWidth="1"/>
    <col min="15" max="15" width="22" style="1" customWidth="1"/>
    <col min="16" max="16" width="17.875" style="1" customWidth="1"/>
    <col min="20" max="20" width="11.875" bestFit="1" customWidth="1"/>
    <col min="24" max="25" width="14.625" bestFit="1" customWidth="1"/>
  </cols>
  <sheetData>
    <row r="2" spans="2:25" x14ac:dyDescent="0.25">
      <c r="S2" s="2" t="s">
        <v>178</v>
      </c>
      <c r="T2" s="2">
        <f>COUNTIFS(BD_Datos[Área],T4)</f>
        <v>35</v>
      </c>
      <c r="U2" s="2">
        <f>COUNTIFS(BD_Datos[Área],U4)</f>
        <v>34</v>
      </c>
      <c r="V2" s="2">
        <f>COUNTIFS(BD_Datos[Área],V4)</f>
        <v>26</v>
      </c>
      <c r="W2" s="2">
        <f>COUNTIFS(BD_Datos[Área],W4)</f>
        <v>31</v>
      </c>
      <c r="X2" s="2">
        <f>COUNTIFS(BD_Datos[Área],X4)</f>
        <v>31</v>
      </c>
      <c r="Y2" s="2">
        <f>COUNTIFS(BD_Datos[Área],Y4)</f>
        <v>26</v>
      </c>
    </row>
    <row r="3" spans="2:25" x14ac:dyDescent="0.25">
      <c r="S3" s="2" t="s">
        <v>179</v>
      </c>
      <c r="T3" s="2">
        <f>COUNTIFS(BD_Datos[Área],T4,BD_Datos[Fecha ingreso],"&lt;5-5-2015")</f>
        <v>25</v>
      </c>
      <c r="U3" s="2">
        <f>COUNTIFS(BD_Datos[Área],U4,BD_Datos[Fecha ingreso],"&lt;=5-5-2014",BD_Datos[Fecha ingreso],"&gt;5-5-2013",BD_Datos[Sueldo],"&lt;1500000")</f>
        <v>7</v>
      </c>
      <c r="V3" s="2">
        <f>COUNTIFS(BD_Datos[Área],V4)</f>
        <v>26</v>
      </c>
      <c r="W3" s="2">
        <f>COUNTIFS(BD_Datos[Área],W4)</f>
        <v>31</v>
      </c>
      <c r="X3" s="2">
        <f>COUNTIFS(BD_Datos[Área],X4,BD_Datos[Sueldo],"&gt;800000")</f>
        <v>19</v>
      </c>
      <c r="Y3" s="2">
        <f>COUNTIFS(BD_Datos[Área],Y4,BD_Datos[Fecha ingreso],"&gt;5-5-2015",BD_Datos[Sueldo],"&gt;900000")</f>
        <v>8</v>
      </c>
    </row>
    <row r="4" spans="2:25" x14ac:dyDescent="0.25">
      <c r="B4" s="21" t="s">
        <v>149</v>
      </c>
      <c r="C4" s="29" t="s">
        <v>150</v>
      </c>
      <c r="D4" s="29" t="s">
        <v>151</v>
      </c>
      <c r="E4" s="29" t="s">
        <v>152</v>
      </c>
      <c r="F4" s="29" t="s">
        <v>165</v>
      </c>
      <c r="G4" s="29" t="s">
        <v>166</v>
      </c>
      <c r="H4" s="29" t="s">
        <v>167</v>
      </c>
      <c r="I4" s="29" t="s">
        <v>168</v>
      </c>
      <c r="J4" s="29" t="s">
        <v>169</v>
      </c>
      <c r="K4" s="29" t="s">
        <v>170</v>
      </c>
      <c r="L4" s="29" t="s">
        <v>173</v>
      </c>
      <c r="M4" s="29" t="s">
        <v>171</v>
      </c>
      <c r="N4" s="29" t="s">
        <v>172</v>
      </c>
      <c r="O4" s="29" t="s">
        <v>175</v>
      </c>
      <c r="P4" s="29" t="s">
        <v>174</v>
      </c>
      <c r="Q4" s="22" t="s">
        <v>177</v>
      </c>
      <c r="T4" s="8" t="s">
        <v>153</v>
      </c>
      <c r="U4" s="8" t="s">
        <v>154</v>
      </c>
      <c r="V4" s="8" t="s">
        <v>156</v>
      </c>
      <c r="W4" s="8" t="s">
        <v>158</v>
      </c>
      <c r="X4" s="8" t="s">
        <v>157</v>
      </c>
      <c r="Y4" s="8" t="s">
        <v>155</v>
      </c>
    </row>
    <row r="5" spans="2:25" x14ac:dyDescent="0.25">
      <c r="B5" s="23" t="s">
        <v>0</v>
      </c>
      <c r="C5" s="3">
        <v>41322</v>
      </c>
      <c r="D5" s="4" t="s">
        <v>159</v>
      </c>
      <c r="E5" s="2" t="str">
        <f>VLOOKUP(BD_Datos[[#This Row],[Código Área]],Areas[],2,FALSE)</f>
        <v>Finanzas</v>
      </c>
      <c r="F5" s="5">
        <v>1500000</v>
      </c>
      <c r="G5" s="2">
        <v>0</v>
      </c>
      <c r="H5" s="2">
        <v>8</v>
      </c>
      <c r="I5" s="2">
        <v>6</v>
      </c>
      <c r="J5" s="2">
        <v>5</v>
      </c>
      <c r="K5" s="2">
        <f>SUM(BD_Datos[[#This Row],[Participación]:[Liderazgo]])</f>
        <v>19</v>
      </c>
      <c r="L5" s="2" t="b">
        <f>IF(BD_Datos[[#This Row],[Calificación]]&lt;=25,FALSE,TRUE)</f>
        <v>0</v>
      </c>
      <c r="M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5" s="7">
        <v>3174</v>
      </c>
      <c r="P5" s="4">
        <v>3</v>
      </c>
      <c r="Q5" s="10">
        <f>INDEX(Factores[],MATCH(BD_Datos[[#This Row],[Quejas percibidas]],Factores[N. Quejas],0),MATCH(BD_Datos[[#This Row],[Área]],Factores[#Headers],0))</f>
        <v>0.7</v>
      </c>
      <c r="T5" s="31" cm="1">
        <f t="array" ref="T5">SUMPRODUCT(--(BD_Datos[Área]=T4)*--(BD_Datos[Fecha ingreso]&lt;DATE(2015,5,5)),BD_Datos[Negocios],BD_Datos[Factor],BD_Datos[Dinero Ingresado ($M)])*(T3/T2)</f>
        <v>95679.57142857142</v>
      </c>
      <c r="U5" s="31" cm="1">
        <f t="array" ref="U5">SUMPRODUCT(--(BD_Datos[Área]=U4)*--(BD_Datos[Fecha ingreso]&lt;=DATE(2014,5,5))*--(BD_Datos[Fecha ingreso]&gt;DATE(2013,5,5))*--(BD_Datos[Sueldo]&lt;1500000),BD_Datos[Comunicación],BD_Datos[Factor],BD_Datos[Dinero Ingresado ($M)])*(U3/U2)</f>
        <v>9010.894117647058</v>
      </c>
      <c r="V5" s="31" cm="1">
        <f t="array" ref="V5">SUMPRODUCT(--(BD_Datos[Área]=V4),BD_Datos[Liderazgo],BD_Datos[Factor],BD_Datos[Dinero Ingresado ($M)])*(V3/V2)</f>
        <v>135596.4</v>
      </c>
      <c r="W5" s="31" cm="1">
        <f t="array" ref="W5">SUMPRODUCT(--(BD_Datos[Área]=W4),BD_Datos[Participación],BD_Datos[Factor],BD_Datos[Dinero Ingresado ($M)])*(W3/W2)</f>
        <v>145340.90000000002</v>
      </c>
      <c r="X5" s="31" cm="1">
        <f t="array" ref="X5">SUMPRODUCT(--(BD_Datos[Sueldo]&gt;800000),BD_Datos[Participación],BD_Datos[Factor],BD_Datos[Dinero Ingresado ($M)])*(X3/X2)</f>
        <v>470698.58387096785</v>
      </c>
      <c r="Y5" s="31" cm="1">
        <f t="array" ref="Y5">SUMPRODUCT(--(BD_Datos[Área]=Y4)*--(BD_Datos[Fecha ingreso]&gt;DATE(2015,5,5))*--(BD_Datos[Sueldo]&gt;900000),BD_Datos[Participación],BD_Datos[Factor],BD_Datos[Dinero Ingresado ($M)])*(Y3/Y2)</f>
        <v>14404.49230769231</v>
      </c>
    </row>
    <row r="6" spans="2:25" x14ac:dyDescent="0.25">
      <c r="B6" s="23" t="s">
        <v>1</v>
      </c>
      <c r="C6" s="3">
        <v>42535</v>
      </c>
      <c r="D6" s="4" t="s">
        <v>162</v>
      </c>
      <c r="E6" s="2" t="str">
        <f>VLOOKUP(BD_Datos[[#This Row],[Código Área]],Areas[],2,FALSE)</f>
        <v>Gerencia</v>
      </c>
      <c r="F6" s="5">
        <v>700000</v>
      </c>
      <c r="G6" s="2">
        <v>3</v>
      </c>
      <c r="H6" s="2">
        <v>5</v>
      </c>
      <c r="I6" s="2">
        <v>9</v>
      </c>
      <c r="J6" s="2">
        <v>7</v>
      </c>
      <c r="K6" s="2">
        <f>SUM(BD_Datos[[#This Row],[Participación]:[Liderazgo]])</f>
        <v>24</v>
      </c>
      <c r="L6" s="2" t="b">
        <f>IF(BD_Datos[[#This Row],[Calificación]]&lt;=25,FALSE,TRUE)</f>
        <v>0</v>
      </c>
      <c r="M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6" s="7">
        <v>1978</v>
      </c>
      <c r="P6" s="4">
        <v>2</v>
      </c>
      <c r="Q6" s="10">
        <f>INDEX(Factores[],MATCH(BD_Datos[[#This Row],[Quejas percibidas]],Factores[N. Quejas],0),MATCH(BD_Datos[[#This Row],[Área]],Factores[#Headers],0))</f>
        <v>0.4</v>
      </c>
    </row>
    <row r="7" spans="2:25" x14ac:dyDescent="0.25">
      <c r="B7" s="23" t="s">
        <v>2</v>
      </c>
      <c r="C7" s="3">
        <v>42666</v>
      </c>
      <c r="D7" s="4" t="s">
        <v>163</v>
      </c>
      <c r="E7" s="2" t="str">
        <f>VLOOKUP(BD_Datos[[#This Row],[Código Área]],Areas[],2,FALSE)</f>
        <v>Transportes</v>
      </c>
      <c r="F7" s="5">
        <v>870000</v>
      </c>
      <c r="G7" s="2">
        <v>7</v>
      </c>
      <c r="H7" s="2">
        <v>3</v>
      </c>
      <c r="I7" s="2">
        <v>6</v>
      </c>
      <c r="J7" s="2">
        <v>4</v>
      </c>
      <c r="K7" s="2">
        <f>SUM(BD_Datos[[#This Row],[Participación]:[Liderazgo]])</f>
        <v>20</v>
      </c>
      <c r="L7" s="2" t="b">
        <f>IF(BD_Datos[[#This Row],[Calificación]]&lt;=25,FALSE,TRUE)</f>
        <v>0</v>
      </c>
      <c r="M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7" s="7">
        <v>416</v>
      </c>
      <c r="P7" s="4">
        <v>3</v>
      </c>
      <c r="Q7" s="10">
        <f>INDEX(Factores[],MATCH(BD_Datos[[#This Row],[Quejas percibidas]],Factores[N. Quejas],0),MATCH(BD_Datos[[#This Row],[Área]],Factores[#Headers],0))</f>
        <v>0.3</v>
      </c>
    </row>
    <row r="8" spans="2:25" x14ac:dyDescent="0.25">
      <c r="B8" s="23" t="s">
        <v>3</v>
      </c>
      <c r="C8" s="3">
        <v>42332</v>
      </c>
      <c r="D8" s="4" t="s">
        <v>164</v>
      </c>
      <c r="E8" s="2" t="str">
        <f>VLOOKUP(BD_Datos[[#This Row],[Código Área]],Areas[],2,FALSE)</f>
        <v>Proyectos</v>
      </c>
      <c r="F8" s="5">
        <v>1050000</v>
      </c>
      <c r="G8" s="2">
        <v>10</v>
      </c>
      <c r="H8" s="2">
        <v>1</v>
      </c>
      <c r="I8" s="2">
        <v>9</v>
      </c>
      <c r="J8" s="2">
        <v>4</v>
      </c>
      <c r="K8" s="2">
        <f>SUM(BD_Datos[[#This Row],[Participación]:[Liderazgo]])</f>
        <v>24</v>
      </c>
      <c r="L8" s="2" t="b">
        <f>IF(BD_Datos[[#This Row],[Calificación]]&lt;=25,FALSE,TRUE)</f>
        <v>0</v>
      </c>
      <c r="M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8" s="7">
        <v>2033</v>
      </c>
      <c r="P8" s="4">
        <v>4</v>
      </c>
      <c r="Q8" s="10">
        <f>INDEX(Factores[],MATCH(BD_Datos[[#This Row],[Quejas percibidas]],Factores[N. Quejas],0),MATCH(BD_Datos[[#This Row],[Área]],Factores[#Headers],0))</f>
        <v>0.5</v>
      </c>
    </row>
    <row r="9" spans="2:25" x14ac:dyDescent="0.25">
      <c r="B9" s="23" t="s">
        <v>4</v>
      </c>
      <c r="C9" s="3">
        <v>41482</v>
      </c>
      <c r="D9" s="4" t="s">
        <v>160</v>
      </c>
      <c r="E9" s="2" t="str">
        <f>VLOOKUP(BD_Datos[[#This Row],[Código Área]],Areas[],2,FALSE)</f>
        <v>Marketing</v>
      </c>
      <c r="F9" s="5">
        <v>640000</v>
      </c>
      <c r="G9" s="2">
        <v>6</v>
      </c>
      <c r="H9" s="2">
        <v>7</v>
      </c>
      <c r="I9" s="2">
        <v>10</v>
      </c>
      <c r="J9" s="2">
        <v>6</v>
      </c>
      <c r="K9" s="2">
        <f>SUM(BD_Datos[[#This Row],[Participación]:[Liderazgo]])</f>
        <v>29</v>
      </c>
      <c r="L9" s="2" t="b">
        <f>IF(BD_Datos[[#This Row],[Calificación]]&lt;=25,FALSE,TRUE)</f>
        <v>1</v>
      </c>
      <c r="M9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31536.231884057972</v>
      </c>
      <c r="N9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32178.770949720671</v>
      </c>
      <c r="O9" s="7">
        <v>946</v>
      </c>
      <c r="P9" s="4">
        <v>1</v>
      </c>
      <c r="Q9" s="10">
        <f>INDEX(Factores[],MATCH(BD_Datos[[#This Row],[Quejas percibidas]],Factores[N. Quejas],0),MATCH(BD_Datos[[#This Row],[Área]],Factores[#Headers],0))</f>
        <v>0.1</v>
      </c>
    </row>
    <row r="10" spans="2:25" x14ac:dyDescent="0.25">
      <c r="B10" s="23" t="s">
        <v>5</v>
      </c>
      <c r="C10" s="3">
        <v>41587</v>
      </c>
      <c r="D10" s="4" t="s">
        <v>159</v>
      </c>
      <c r="E10" s="2" t="str">
        <f>VLOOKUP(BD_Datos[[#This Row],[Código Área]],Areas[],2,FALSE)</f>
        <v>Finanzas</v>
      </c>
      <c r="F10" s="5">
        <v>820000</v>
      </c>
      <c r="G10" s="2">
        <v>0</v>
      </c>
      <c r="H10" s="2">
        <v>3</v>
      </c>
      <c r="I10" s="2">
        <v>8</v>
      </c>
      <c r="J10" s="2">
        <v>0</v>
      </c>
      <c r="K10" s="2">
        <f>SUM(BD_Datos[[#This Row],[Participación]:[Liderazgo]])</f>
        <v>11</v>
      </c>
      <c r="L10" s="2" t="b">
        <f>IF(BD_Datos[[#This Row],[Calificación]]&lt;=25,FALSE,TRUE)</f>
        <v>0</v>
      </c>
      <c r="M10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0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0" s="7">
        <v>2226</v>
      </c>
      <c r="P10" s="4">
        <v>3</v>
      </c>
      <c r="Q10" s="10">
        <f>INDEX(Factores[],MATCH(BD_Datos[[#This Row],[Quejas percibidas]],Factores[N. Quejas],0),MATCH(BD_Datos[[#This Row],[Área]],Factores[#Headers],0))</f>
        <v>0.7</v>
      </c>
    </row>
    <row r="11" spans="2:25" x14ac:dyDescent="0.25">
      <c r="B11" s="23" t="s">
        <v>6</v>
      </c>
      <c r="C11" s="3">
        <v>42239</v>
      </c>
      <c r="D11" s="4" t="s">
        <v>161</v>
      </c>
      <c r="E11" s="2" t="str">
        <f>VLOOKUP(BD_Datos[[#This Row],[Código Área]],Areas[],2,FALSE)</f>
        <v>Administración</v>
      </c>
      <c r="F11" s="5">
        <v>2100000</v>
      </c>
      <c r="G11" s="2">
        <v>3</v>
      </c>
      <c r="H11" s="2">
        <v>3</v>
      </c>
      <c r="I11" s="2">
        <v>9</v>
      </c>
      <c r="J11" s="2">
        <v>7</v>
      </c>
      <c r="K11" s="2">
        <f>SUM(BD_Datos[[#This Row],[Participación]:[Liderazgo]])</f>
        <v>22</v>
      </c>
      <c r="L11" s="2" t="b">
        <f>IF(BD_Datos[[#This Row],[Calificación]]&lt;=25,FALSE,TRUE)</f>
        <v>0</v>
      </c>
      <c r="M11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1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1" s="7">
        <v>241</v>
      </c>
      <c r="P11" s="4">
        <v>4</v>
      </c>
      <c r="Q11" s="10">
        <f>INDEX(Factores[],MATCH(BD_Datos[[#This Row],[Quejas percibidas]],Factores[N. Quejas],0),MATCH(BD_Datos[[#This Row],[Área]],Factores[#Headers],0))</f>
        <v>0.9</v>
      </c>
    </row>
    <row r="12" spans="2:25" x14ac:dyDescent="0.25">
      <c r="B12" s="23" t="s">
        <v>7</v>
      </c>
      <c r="C12" s="3">
        <v>41665</v>
      </c>
      <c r="D12" s="4" t="s">
        <v>162</v>
      </c>
      <c r="E12" s="2" t="str">
        <f>VLOOKUP(BD_Datos[[#This Row],[Código Área]],Areas[],2,FALSE)</f>
        <v>Gerencia</v>
      </c>
      <c r="F12" s="5">
        <v>960000</v>
      </c>
      <c r="G12" s="2">
        <v>8</v>
      </c>
      <c r="H12" s="2">
        <v>6</v>
      </c>
      <c r="I12" s="2">
        <v>7</v>
      </c>
      <c r="J12" s="2">
        <v>8</v>
      </c>
      <c r="K12" s="2">
        <f>SUM(BD_Datos[[#This Row],[Participación]:[Liderazgo]])</f>
        <v>29</v>
      </c>
      <c r="L12" s="2" t="b">
        <f>IF(BD_Datos[[#This Row],[Calificación]]&lt;=25,FALSE,TRUE)</f>
        <v>1</v>
      </c>
      <c r="M12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47304.34782608696</v>
      </c>
      <c r="N12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48268.156424581008</v>
      </c>
      <c r="O12" s="7">
        <v>4802</v>
      </c>
      <c r="P12" s="4">
        <v>1</v>
      </c>
      <c r="Q12" s="10">
        <f>INDEX(Factores[],MATCH(BD_Datos[[#This Row],[Quejas percibidas]],Factores[N. Quejas],0),MATCH(BD_Datos[[#This Row],[Área]],Factores[#Headers],0))</f>
        <v>0.2</v>
      </c>
    </row>
    <row r="13" spans="2:25" x14ac:dyDescent="0.25">
      <c r="B13" s="23" t="s">
        <v>8</v>
      </c>
      <c r="C13" s="3">
        <v>42156</v>
      </c>
      <c r="D13" s="4" t="s">
        <v>161</v>
      </c>
      <c r="E13" s="2" t="str">
        <f>VLOOKUP(BD_Datos[[#This Row],[Código Área]],Areas[],2,FALSE)</f>
        <v>Administración</v>
      </c>
      <c r="F13" s="5">
        <v>750000</v>
      </c>
      <c r="G13" s="2">
        <v>3</v>
      </c>
      <c r="H13" s="2">
        <v>9</v>
      </c>
      <c r="I13" s="2">
        <v>0</v>
      </c>
      <c r="J13" s="2">
        <v>6</v>
      </c>
      <c r="K13" s="2">
        <f>SUM(BD_Datos[[#This Row],[Participación]:[Liderazgo]])</f>
        <v>18</v>
      </c>
      <c r="L13" s="2" t="b">
        <f>IF(BD_Datos[[#This Row],[Calificación]]&lt;=25,FALSE,TRUE)</f>
        <v>0</v>
      </c>
      <c r="M1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3" s="7">
        <v>5316</v>
      </c>
      <c r="P13" s="4">
        <v>4</v>
      </c>
      <c r="Q13" s="10">
        <f>INDEX(Factores[],MATCH(BD_Datos[[#This Row],[Quejas percibidas]],Factores[N. Quejas],0),MATCH(BD_Datos[[#This Row],[Área]],Factores[#Headers],0))</f>
        <v>0.9</v>
      </c>
    </row>
    <row r="14" spans="2:25" x14ac:dyDescent="0.25">
      <c r="B14" s="23" t="s">
        <v>9</v>
      </c>
      <c r="C14" s="3">
        <v>42458</v>
      </c>
      <c r="D14" s="4" t="s">
        <v>160</v>
      </c>
      <c r="E14" s="2" t="str">
        <f>VLOOKUP(BD_Datos[[#This Row],[Código Área]],Areas[],2,FALSE)</f>
        <v>Marketing</v>
      </c>
      <c r="F14" s="5">
        <v>580000</v>
      </c>
      <c r="G14" s="2">
        <v>3</v>
      </c>
      <c r="H14" s="2">
        <v>8</v>
      </c>
      <c r="I14" s="2">
        <v>1</v>
      </c>
      <c r="J14" s="2">
        <v>8</v>
      </c>
      <c r="K14" s="2">
        <f>SUM(BD_Datos[[#This Row],[Participación]:[Liderazgo]])</f>
        <v>20</v>
      </c>
      <c r="L14" s="2" t="b">
        <f>IF(BD_Datos[[#This Row],[Calificación]]&lt;=25,FALSE,TRUE)</f>
        <v>0</v>
      </c>
      <c r="M1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4" s="7">
        <v>684</v>
      </c>
      <c r="P14" s="4">
        <v>3</v>
      </c>
      <c r="Q14" s="10">
        <f>INDEX(Factores[],MATCH(BD_Datos[[#This Row],[Quejas percibidas]],Factores[N. Quejas],0),MATCH(BD_Datos[[#This Row],[Área]],Factores[#Headers],0))</f>
        <v>0.4</v>
      </c>
    </row>
    <row r="15" spans="2:25" x14ac:dyDescent="0.25">
      <c r="B15" s="23" t="s">
        <v>10</v>
      </c>
      <c r="C15" s="3">
        <v>42130</v>
      </c>
      <c r="D15" s="4" t="s">
        <v>163</v>
      </c>
      <c r="E15" s="2" t="str">
        <f>VLOOKUP(BD_Datos[[#This Row],[Código Área]],Areas[],2,FALSE)</f>
        <v>Transportes</v>
      </c>
      <c r="F15" s="5">
        <v>1350000</v>
      </c>
      <c r="G15" s="2">
        <v>6</v>
      </c>
      <c r="H15" s="2">
        <v>2</v>
      </c>
      <c r="I15" s="2">
        <v>0</v>
      </c>
      <c r="J15" s="2">
        <v>2</v>
      </c>
      <c r="K15" s="2">
        <f>SUM(BD_Datos[[#This Row],[Participación]:[Liderazgo]])</f>
        <v>10</v>
      </c>
      <c r="L15" s="2" t="b">
        <f>IF(BD_Datos[[#This Row],[Calificación]]&lt;=25,FALSE,TRUE)</f>
        <v>0</v>
      </c>
      <c r="M1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5" s="7">
        <v>4057</v>
      </c>
      <c r="P15" s="4">
        <v>2</v>
      </c>
      <c r="Q15" s="10">
        <f>INDEX(Factores[],MATCH(BD_Datos[[#This Row],[Quejas percibidas]],Factores[N. Quejas],0),MATCH(BD_Datos[[#This Row],[Área]],Factores[#Headers],0))</f>
        <v>0.2</v>
      </c>
    </row>
    <row r="16" spans="2:25" x14ac:dyDescent="0.25">
      <c r="B16" s="23" t="s">
        <v>11</v>
      </c>
      <c r="C16" s="3">
        <v>42122</v>
      </c>
      <c r="D16" s="4" t="s">
        <v>159</v>
      </c>
      <c r="E16" s="2" t="str">
        <f>VLOOKUP(BD_Datos[[#This Row],[Código Área]],Areas[],2,FALSE)</f>
        <v>Finanzas</v>
      </c>
      <c r="F16" s="5">
        <v>1120000</v>
      </c>
      <c r="G16" s="2">
        <v>4</v>
      </c>
      <c r="H16" s="2">
        <v>0</v>
      </c>
      <c r="I16" s="2">
        <v>1</v>
      </c>
      <c r="J16" s="2">
        <v>0</v>
      </c>
      <c r="K16" s="2">
        <f>SUM(BD_Datos[[#This Row],[Participación]:[Liderazgo]])</f>
        <v>5</v>
      </c>
      <c r="L16" s="2" t="b">
        <f>IF(BD_Datos[[#This Row],[Calificación]]&lt;=25,FALSE,TRUE)</f>
        <v>0</v>
      </c>
      <c r="M1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6" s="7">
        <v>1828</v>
      </c>
      <c r="P16" s="4">
        <v>2</v>
      </c>
      <c r="Q16" s="10">
        <f>INDEX(Factores[],MATCH(BD_Datos[[#This Row],[Quejas percibidas]],Factores[N. Quejas],0),MATCH(BD_Datos[[#This Row],[Área]],Factores[#Headers],0))</f>
        <v>0.5</v>
      </c>
    </row>
    <row r="17" spans="2:17" x14ac:dyDescent="0.25">
      <c r="B17" s="23" t="s">
        <v>12</v>
      </c>
      <c r="C17" s="3">
        <v>41939</v>
      </c>
      <c r="D17" s="4" t="s">
        <v>163</v>
      </c>
      <c r="E17" s="2" t="str">
        <f>VLOOKUP(BD_Datos[[#This Row],[Código Área]],Areas[],2,FALSE)</f>
        <v>Transportes</v>
      </c>
      <c r="F17" s="5">
        <v>970000</v>
      </c>
      <c r="G17" s="2">
        <v>1</v>
      </c>
      <c r="H17" s="2">
        <v>1</v>
      </c>
      <c r="I17" s="2">
        <v>8</v>
      </c>
      <c r="J17" s="2">
        <v>6</v>
      </c>
      <c r="K17" s="2">
        <f>SUM(BD_Datos[[#This Row],[Participación]:[Liderazgo]])</f>
        <v>16</v>
      </c>
      <c r="L17" s="2" t="b">
        <f>IF(BD_Datos[[#This Row],[Calificación]]&lt;=25,FALSE,TRUE)</f>
        <v>0</v>
      </c>
      <c r="M1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7" s="7">
        <v>3862</v>
      </c>
      <c r="P17" s="4">
        <v>2</v>
      </c>
      <c r="Q17" s="10">
        <f>INDEX(Factores[],MATCH(BD_Datos[[#This Row],[Quejas percibidas]],Factores[N. Quejas],0),MATCH(BD_Datos[[#This Row],[Área]],Factores[#Headers],0))</f>
        <v>0.2</v>
      </c>
    </row>
    <row r="18" spans="2:17" x14ac:dyDescent="0.25">
      <c r="B18" s="23" t="s">
        <v>13</v>
      </c>
      <c r="C18" s="3">
        <v>41638</v>
      </c>
      <c r="D18" s="4" t="s">
        <v>164</v>
      </c>
      <c r="E18" s="2" t="str">
        <f>VLOOKUP(BD_Datos[[#This Row],[Código Área]],Areas[],2,FALSE)</f>
        <v>Proyectos</v>
      </c>
      <c r="F18" s="5">
        <v>1040000</v>
      </c>
      <c r="G18" s="2">
        <v>0</v>
      </c>
      <c r="H18" s="2">
        <v>6</v>
      </c>
      <c r="I18" s="2">
        <v>10</v>
      </c>
      <c r="J18" s="2">
        <v>1</v>
      </c>
      <c r="K18" s="2">
        <f>SUM(BD_Datos[[#This Row],[Participación]:[Liderazgo]])</f>
        <v>17</v>
      </c>
      <c r="L18" s="2" t="b">
        <f>IF(BD_Datos[[#This Row],[Calificación]]&lt;=25,FALSE,TRUE)</f>
        <v>0</v>
      </c>
      <c r="M1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8" s="7">
        <v>3123</v>
      </c>
      <c r="P18" s="4">
        <v>4</v>
      </c>
      <c r="Q18" s="10">
        <f>INDEX(Factores[],MATCH(BD_Datos[[#This Row],[Quejas percibidas]],Factores[N. Quejas],0),MATCH(BD_Datos[[#This Row],[Área]],Factores[#Headers],0))</f>
        <v>0.5</v>
      </c>
    </row>
    <row r="19" spans="2:17" x14ac:dyDescent="0.25">
      <c r="B19" s="23" t="s">
        <v>14</v>
      </c>
      <c r="C19" s="3">
        <v>41619</v>
      </c>
      <c r="D19" s="4" t="s">
        <v>164</v>
      </c>
      <c r="E19" s="2" t="str">
        <f>VLOOKUP(BD_Datos[[#This Row],[Código Área]],Areas[],2,FALSE)</f>
        <v>Proyectos</v>
      </c>
      <c r="F19" s="5">
        <v>1750000</v>
      </c>
      <c r="G19" s="2">
        <v>10</v>
      </c>
      <c r="H19" s="2">
        <v>9</v>
      </c>
      <c r="I19" s="2">
        <v>8</v>
      </c>
      <c r="J19" s="2">
        <v>1</v>
      </c>
      <c r="K19" s="2">
        <f>SUM(BD_Datos[[#This Row],[Participación]:[Liderazgo]])</f>
        <v>28</v>
      </c>
      <c r="L19" s="2" t="b">
        <f>IF(BD_Datos[[#This Row],[Calificación]]&lt;=25,FALSE,TRUE)</f>
        <v>1</v>
      </c>
      <c r="M19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86231.884057971023</v>
      </c>
      <c r="N19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87988.82681564246</v>
      </c>
      <c r="O19" s="7">
        <v>3509</v>
      </c>
      <c r="P19" s="4">
        <v>1</v>
      </c>
      <c r="Q19" s="10">
        <f>INDEX(Factores[],MATCH(BD_Datos[[#This Row],[Quejas percibidas]],Factores[N. Quejas],0),MATCH(BD_Datos[[#This Row],[Área]],Factores[#Headers],0))</f>
        <v>0.1</v>
      </c>
    </row>
    <row r="20" spans="2:17" x14ac:dyDescent="0.25">
      <c r="B20" s="23" t="s">
        <v>15</v>
      </c>
      <c r="C20" s="3">
        <v>41520</v>
      </c>
      <c r="D20" s="4" t="s">
        <v>159</v>
      </c>
      <c r="E20" s="2" t="str">
        <f>VLOOKUP(BD_Datos[[#This Row],[Código Área]],Areas[],2,FALSE)</f>
        <v>Finanzas</v>
      </c>
      <c r="F20" s="5">
        <v>1500000</v>
      </c>
      <c r="G20" s="2">
        <v>3</v>
      </c>
      <c r="H20" s="2">
        <v>9</v>
      </c>
      <c r="I20" s="2">
        <v>2</v>
      </c>
      <c r="J20" s="2">
        <v>9</v>
      </c>
      <c r="K20" s="2">
        <f>SUM(BD_Datos[[#This Row],[Participación]:[Liderazgo]])</f>
        <v>23</v>
      </c>
      <c r="L20" s="2" t="b">
        <f>IF(BD_Datos[[#This Row],[Calificación]]&lt;=25,FALSE,TRUE)</f>
        <v>0</v>
      </c>
      <c r="M20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20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20" s="7">
        <v>628</v>
      </c>
      <c r="P20" s="4">
        <v>2</v>
      </c>
      <c r="Q20" s="10">
        <f>INDEX(Factores[],MATCH(BD_Datos[[#This Row],[Quejas percibidas]],Factores[N. Quejas],0),MATCH(BD_Datos[[#This Row],[Área]],Factores[#Headers],0))</f>
        <v>0.5</v>
      </c>
    </row>
    <row r="21" spans="2:17" x14ac:dyDescent="0.25">
      <c r="B21" s="23" t="s">
        <v>16</v>
      </c>
      <c r="C21" s="3">
        <v>42773</v>
      </c>
      <c r="D21" s="4" t="s">
        <v>162</v>
      </c>
      <c r="E21" s="2" t="str">
        <f>VLOOKUP(BD_Datos[[#This Row],[Código Área]],Areas[],2,FALSE)</f>
        <v>Gerencia</v>
      </c>
      <c r="F21" s="5">
        <v>1575000</v>
      </c>
      <c r="G21" s="2">
        <v>1</v>
      </c>
      <c r="H21" s="2">
        <v>8</v>
      </c>
      <c r="I21" s="2">
        <v>0</v>
      </c>
      <c r="J21" s="2">
        <v>6</v>
      </c>
      <c r="K21" s="2">
        <f>SUM(BD_Datos[[#This Row],[Participación]:[Liderazgo]])</f>
        <v>15</v>
      </c>
      <c r="L21" s="2" t="b">
        <f>IF(BD_Datos[[#This Row],[Calificación]]&lt;=25,FALSE,TRUE)</f>
        <v>0</v>
      </c>
      <c r="M21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21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21" s="7">
        <v>4755</v>
      </c>
      <c r="P21" s="4">
        <v>1</v>
      </c>
      <c r="Q21" s="10">
        <f>INDEX(Factores[],MATCH(BD_Datos[[#This Row],[Quejas percibidas]],Factores[N. Quejas],0),MATCH(BD_Datos[[#This Row],[Área]],Factores[#Headers],0))</f>
        <v>0.2</v>
      </c>
    </row>
    <row r="22" spans="2:17" x14ac:dyDescent="0.25">
      <c r="B22" s="23" t="s">
        <v>17</v>
      </c>
      <c r="C22" s="3">
        <v>42671</v>
      </c>
      <c r="D22" s="4" t="s">
        <v>160</v>
      </c>
      <c r="E22" s="2" t="str">
        <f>VLOOKUP(BD_Datos[[#This Row],[Código Área]],Areas[],2,FALSE)</f>
        <v>Marketing</v>
      </c>
      <c r="F22" s="5">
        <v>770000.00000000012</v>
      </c>
      <c r="G22" s="2">
        <v>2</v>
      </c>
      <c r="H22" s="2">
        <v>10</v>
      </c>
      <c r="I22" s="2">
        <v>0</v>
      </c>
      <c r="J22" s="2">
        <v>7</v>
      </c>
      <c r="K22" s="2">
        <f>SUM(BD_Datos[[#This Row],[Participación]:[Liderazgo]])</f>
        <v>19</v>
      </c>
      <c r="L22" s="2" t="b">
        <f>IF(BD_Datos[[#This Row],[Calificación]]&lt;=25,FALSE,TRUE)</f>
        <v>0</v>
      </c>
      <c r="M2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2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22" s="7">
        <v>4284</v>
      </c>
      <c r="P22" s="4">
        <v>3</v>
      </c>
      <c r="Q22" s="10">
        <f>INDEX(Factores[],MATCH(BD_Datos[[#This Row],[Quejas percibidas]],Factores[N. Quejas],0),MATCH(BD_Datos[[#This Row],[Área]],Factores[#Headers],0))</f>
        <v>0.4</v>
      </c>
    </row>
    <row r="23" spans="2:17" x14ac:dyDescent="0.25">
      <c r="B23" s="23" t="s">
        <v>18</v>
      </c>
      <c r="C23" s="3">
        <v>41497</v>
      </c>
      <c r="D23" s="4" t="s">
        <v>163</v>
      </c>
      <c r="E23" s="2" t="str">
        <f>VLOOKUP(BD_Datos[[#This Row],[Código Área]],Areas[],2,FALSE)</f>
        <v>Transportes</v>
      </c>
      <c r="F23" s="5">
        <v>1000499.9999999999</v>
      </c>
      <c r="G23" s="2">
        <v>10</v>
      </c>
      <c r="H23" s="2">
        <v>4</v>
      </c>
      <c r="I23" s="2">
        <v>0</v>
      </c>
      <c r="J23" s="2">
        <v>1</v>
      </c>
      <c r="K23" s="2">
        <f>SUM(BD_Datos[[#This Row],[Participación]:[Liderazgo]])</f>
        <v>15</v>
      </c>
      <c r="L23" s="2" t="b">
        <f>IF(BD_Datos[[#This Row],[Calificación]]&lt;=25,FALSE,TRUE)</f>
        <v>0</v>
      </c>
      <c r="M2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2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23" s="7">
        <v>932</v>
      </c>
      <c r="P23" s="4">
        <v>2</v>
      </c>
      <c r="Q23" s="10">
        <f>INDEX(Factores[],MATCH(BD_Datos[[#This Row],[Quejas percibidas]],Factores[N. Quejas],0),MATCH(BD_Datos[[#This Row],[Área]],Factores[#Headers],0))</f>
        <v>0.2</v>
      </c>
    </row>
    <row r="24" spans="2:17" x14ac:dyDescent="0.25">
      <c r="B24" s="23" t="s">
        <v>19</v>
      </c>
      <c r="C24" s="3">
        <v>42212</v>
      </c>
      <c r="D24" s="4" t="s">
        <v>164</v>
      </c>
      <c r="E24" s="2" t="str">
        <f>VLOOKUP(BD_Datos[[#This Row],[Código Área]],Areas[],2,FALSE)</f>
        <v>Proyectos</v>
      </c>
      <c r="F24" s="5">
        <v>1260000</v>
      </c>
      <c r="G24" s="2">
        <v>8</v>
      </c>
      <c r="H24" s="2">
        <v>8</v>
      </c>
      <c r="I24" s="2">
        <v>9</v>
      </c>
      <c r="J24" s="2">
        <v>6</v>
      </c>
      <c r="K24" s="2">
        <f>SUM(BD_Datos[[#This Row],[Participación]:[Liderazgo]])</f>
        <v>31</v>
      </c>
      <c r="L24" s="2" t="b">
        <f>IF(BD_Datos[[#This Row],[Calificación]]&lt;=25,FALSE,TRUE)</f>
        <v>1</v>
      </c>
      <c r="M24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42000</v>
      </c>
      <c r="N24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63351.955307262571</v>
      </c>
      <c r="O24" s="7">
        <v>3295</v>
      </c>
      <c r="P24" s="4">
        <v>4</v>
      </c>
      <c r="Q24" s="10">
        <f>INDEX(Factores[],MATCH(BD_Datos[[#This Row],[Quejas percibidas]],Factores[N. Quejas],0),MATCH(BD_Datos[[#This Row],[Área]],Factores[#Headers],0))</f>
        <v>0.5</v>
      </c>
    </row>
    <row r="25" spans="2:17" x14ac:dyDescent="0.25">
      <c r="B25" s="23" t="s">
        <v>20</v>
      </c>
      <c r="C25" s="3">
        <v>41966</v>
      </c>
      <c r="D25" s="4" t="s">
        <v>159</v>
      </c>
      <c r="E25" s="2" t="str">
        <f>VLOOKUP(BD_Datos[[#This Row],[Código Área]],Areas[],2,FALSE)</f>
        <v>Finanzas</v>
      </c>
      <c r="F25" s="5">
        <v>800000</v>
      </c>
      <c r="G25" s="2">
        <v>7</v>
      </c>
      <c r="H25" s="2">
        <v>8</v>
      </c>
      <c r="I25" s="2">
        <v>6</v>
      </c>
      <c r="J25" s="2">
        <v>9</v>
      </c>
      <c r="K25" s="2">
        <f>SUM(BD_Datos[[#This Row],[Participación]:[Liderazgo]])</f>
        <v>30</v>
      </c>
      <c r="L25" s="2" t="b">
        <f>IF(BD_Datos[[#This Row],[Calificación]]&lt;=25,FALSE,TRUE)</f>
        <v>1</v>
      </c>
      <c r="M25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26666.666666666668</v>
      </c>
      <c r="N25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41450.777202072539</v>
      </c>
      <c r="O25" s="7">
        <v>1641</v>
      </c>
      <c r="P25" s="4">
        <v>1</v>
      </c>
      <c r="Q25" s="10">
        <f>INDEX(Factores[],MATCH(BD_Datos[[#This Row],[Quejas percibidas]],Factores[N. Quejas],0),MATCH(BD_Datos[[#This Row],[Área]],Factores[#Headers],0))</f>
        <v>0.2</v>
      </c>
    </row>
    <row r="26" spans="2:17" x14ac:dyDescent="0.25">
      <c r="B26" s="23" t="s">
        <v>21</v>
      </c>
      <c r="C26" s="3">
        <v>41495</v>
      </c>
      <c r="D26" s="4" t="s">
        <v>162</v>
      </c>
      <c r="E26" s="2" t="str">
        <f>VLOOKUP(BD_Datos[[#This Row],[Código Área]],Areas[],2,FALSE)</f>
        <v>Gerencia</v>
      </c>
      <c r="F26" s="5">
        <v>1066000</v>
      </c>
      <c r="G26" s="2">
        <v>9</v>
      </c>
      <c r="H26" s="2">
        <v>3</v>
      </c>
      <c r="I26" s="2">
        <v>2</v>
      </c>
      <c r="J26" s="2">
        <v>9</v>
      </c>
      <c r="K26" s="2">
        <f>SUM(BD_Datos[[#This Row],[Participación]:[Liderazgo]])</f>
        <v>23</v>
      </c>
      <c r="L26" s="2" t="b">
        <f>IF(BD_Datos[[#This Row],[Calificación]]&lt;=25,FALSE,TRUE)</f>
        <v>0</v>
      </c>
      <c r="M2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2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26" s="7">
        <v>1981</v>
      </c>
      <c r="P26" s="4">
        <v>3</v>
      </c>
      <c r="Q26" s="10">
        <f>INDEX(Factores[],MATCH(BD_Datos[[#This Row],[Quejas percibidas]],Factores[N. Quejas],0),MATCH(BD_Datos[[#This Row],[Área]],Factores[#Headers],0))</f>
        <v>0.6</v>
      </c>
    </row>
    <row r="27" spans="2:17" x14ac:dyDescent="0.25">
      <c r="B27" s="23" t="s">
        <v>1</v>
      </c>
      <c r="C27" s="3">
        <v>42600</v>
      </c>
      <c r="D27" s="4" t="s">
        <v>159</v>
      </c>
      <c r="E27" s="2" t="str">
        <f>VLOOKUP(BD_Datos[[#This Row],[Código Área]],Areas[],2,FALSE)</f>
        <v>Finanzas</v>
      </c>
      <c r="F27" s="5">
        <v>2835000</v>
      </c>
      <c r="G27" s="2">
        <v>5</v>
      </c>
      <c r="H27" s="2">
        <v>6</v>
      </c>
      <c r="I27" s="2">
        <v>6</v>
      </c>
      <c r="J27" s="2">
        <v>4</v>
      </c>
      <c r="K27" s="2">
        <f>SUM(BD_Datos[[#This Row],[Participación]:[Liderazgo]])</f>
        <v>21</v>
      </c>
      <c r="L27" s="2" t="b">
        <f>IF(BD_Datos[[#This Row],[Calificación]]&lt;=25,FALSE,TRUE)</f>
        <v>0</v>
      </c>
      <c r="M2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2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27" s="7">
        <v>2199</v>
      </c>
      <c r="P27" s="4">
        <v>3</v>
      </c>
      <c r="Q27" s="10">
        <f>INDEX(Factores[],MATCH(BD_Datos[[#This Row],[Quejas percibidas]],Factores[N. Quejas],0),MATCH(BD_Datos[[#This Row],[Área]],Factores[#Headers],0))</f>
        <v>0.7</v>
      </c>
    </row>
    <row r="28" spans="2:17" x14ac:dyDescent="0.25">
      <c r="B28" s="23" t="s">
        <v>22</v>
      </c>
      <c r="C28" s="3">
        <v>41672</v>
      </c>
      <c r="D28" s="4" t="s">
        <v>163</v>
      </c>
      <c r="E28" s="2" t="str">
        <f>VLOOKUP(BD_Datos[[#This Row],[Código Área]],Areas[],2,FALSE)</f>
        <v>Transportes</v>
      </c>
      <c r="F28" s="5">
        <v>1344000</v>
      </c>
      <c r="G28" s="2">
        <v>8</v>
      </c>
      <c r="H28" s="2">
        <v>7</v>
      </c>
      <c r="I28" s="2">
        <v>1</v>
      </c>
      <c r="J28" s="2">
        <v>1</v>
      </c>
      <c r="K28" s="2">
        <f>SUM(BD_Datos[[#This Row],[Participación]:[Liderazgo]])</f>
        <v>17</v>
      </c>
      <c r="L28" s="2" t="b">
        <f>IF(BD_Datos[[#This Row],[Calificación]]&lt;=25,FALSE,TRUE)</f>
        <v>0</v>
      </c>
      <c r="M2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2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28" s="7">
        <v>291</v>
      </c>
      <c r="P28" s="4">
        <v>1</v>
      </c>
      <c r="Q28" s="10">
        <f>INDEX(Factores[],MATCH(BD_Datos[[#This Row],[Quejas percibidas]],Factores[N. Quejas],0),MATCH(BD_Datos[[#This Row],[Área]],Factores[#Headers],0))</f>
        <v>0.1</v>
      </c>
    </row>
    <row r="29" spans="2:17" x14ac:dyDescent="0.25">
      <c r="B29" s="23" t="s">
        <v>23</v>
      </c>
      <c r="C29" s="3">
        <v>42201</v>
      </c>
      <c r="D29" s="4" t="s">
        <v>164</v>
      </c>
      <c r="E29" s="2" t="str">
        <f>VLOOKUP(BD_Datos[[#This Row],[Código Área]],Areas[],2,FALSE)</f>
        <v>Proyectos</v>
      </c>
      <c r="F29" s="5">
        <v>1087500</v>
      </c>
      <c r="G29" s="2">
        <v>1</v>
      </c>
      <c r="H29" s="2">
        <v>9</v>
      </c>
      <c r="I29" s="2">
        <v>8</v>
      </c>
      <c r="J29" s="2">
        <v>9</v>
      </c>
      <c r="K29" s="2">
        <f>SUM(BD_Datos[[#This Row],[Participación]:[Liderazgo]])</f>
        <v>27</v>
      </c>
      <c r="L29" s="2" t="b">
        <f>IF(BD_Datos[[#This Row],[Calificación]]&lt;=25,FALSE,TRUE)</f>
        <v>1</v>
      </c>
      <c r="M29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36250</v>
      </c>
      <c r="N29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54678.770949720667</v>
      </c>
      <c r="O29" s="7">
        <v>2437</v>
      </c>
      <c r="P29" s="4">
        <v>1</v>
      </c>
      <c r="Q29" s="10">
        <f>INDEX(Factores[],MATCH(BD_Datos[[#This Row],[Quejas percibidas]],Factores[N. Quejas],0),MATCH(BD_Datos[[#This Row],[Área]],Factores[#Headers],0))</f>
        <v>0.1</v>
      </c>
    </row>
    <row r="30" spans="2:17" x14ac:dyDescent="0.25">
      <c r="B30" s="23" t="s">
        <v>24</v>
      </c>
      <c r="C30" s="3">
        <v>42714</v>
      </c>
      <c r="D30" s="4" t="s">
        <v>160</v>
      </c>
      <c r="E30" s="2" t="str">
        <f>VLOOKUP(BD_Datos[[#This Row],[Código Área]],Areas[],2,FALSE)</f>
        <v>Marketing</v>
      </c>
      <c r="F30" s="5">
        <v>870000</v>
      </c>
      <c r="G30" s="2">
        <v>2</v>
      </c>
      <c r="H30" s="2">
        <v>7</v>
      </c>
      <c r="I30" s="2">
        <v>10</v>
      </c>
      <c r="J30" s="2">
        <v>3</v>
      </c>
      <c r="K30" s="2">
        <f>SUM(BD_Datos[[#This Row],[Participación]:[Liderazgo]])</f>
        <v>22</v>
      </c>
      <c r="L30" s="2" t="b">
        <f>IF(BD_Datos[[#This Row],[Calificación]]&lt;=25,FALSE,TRUE)</f>
        <v>0</v>
      </c>
      <c r="M30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30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30" s="7">
        <v>3590</v>
      </c>
      <c r="P30" s="4">
        <v>2</v>
      </c>
      <c r="Q30" s="10">
        <f>INDEX(Factores[],MATCH(BD_Datos[[#This Row],[Quejas percibidas]],Factores[N. Quejas],0),MATCH(BD_Datos[[#This Row],[Área]],Factores[#Headers],0))</f>
        <v>0.2</v>
      </c>
    </row>
    <row r="31" spans="2:17" x14ac:dyDescent="0.25">
      <c r="B31" s="23" t="s">
        <v>25</v>
      </c>
      <c r="C31" s="3">
        <v>41946</v>
      </c>
      <c r="D31" s="4" t="s">
        <v>160</v>
      </c>
      <c r="E31" s="2" t="str">
        <f>VLOOKUP(BD_Datos[[#This Row],[Código Área]],Areas[],2,FALSE)</f>
        <v>Marketing</v>
      </c>
      <c r="F31" s="5">
        <v>2160000</v>
      </c>
      <c r="G31" s="2">
        <v>8</v>
      </c>
      <c r="H31" s="2">
        <v>6</v>
      </c>
      <c r="I31" s="2">
        <v>4</v>
      </c>
      <c r="J31" s="2">
        <v>2</v>
      </c>
      <c r="K31" s="2">
        <f>SUM(BD_Datos[[#This Row],[Participación]:[Liderazgo]])</f>
        <v>20</v>
      </c>
      <c r="L31" s="2" t="b">
        <f>IF(BD_Datos[[#This Row],[Calificación]]&lt;=25,FALSE,TRUE)</f>
        <v>0</v>
      </c>
      <c r="M31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31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31" s="7">
        <v>4370</v>
      </c>
      <c r="P31" s="4">
        <v>4</v>
      </c>
      <c r="Q31" s="10">
        <f>INDEX(Factores[],MATCH(BD_Datos[[#This Row],[Quejas percibidas]],Factores[N. Quejas],0),MATCH(BD_Datos[[#This Row],[Área]],Factores[#Headers],0))</f>
        <v>0.6</v>
      </c>
    </row>
    <row r="32" spans="2:17" x14ac:dyDescent="0.25">
      <c r="B32" s="23" t="s">
        <v>26</v>
      </c>
      <c r="C32" s="3">
        <v>41677</v>
      </c>
      <c r="D32" s="4" t="s">
        <v>161</v>
      </c>
      <c r="E32" s="2" t="str">
        <f>VLOOKUP(BD_Datos[[#This Row],[Código Área]],Areas[],2,FALSE)</f>
        <v>Administración</v>
      </c>
      <c r="F32" s="5">
        <v>1008000</v>
      </c>
      <c r="G32" s="2">
        <v>4</v>
      </c>
      <c r="H32" s="2">
        <v>2</v>
      </c>
      <c r="I32" s="2">
        <v>0</v>
      </c>
      <c r="J32" s="2">
        <v>9</v>
      </c>
      <c r="K32" s="2">
        <f>SUM(BD_Datos[[#This Row],[Participación]:[Liderazgo]])</f>
        <v>15</v>
      </c>
      <c r="L32" s="2" t="b">
        <f>IF(BD_Datos[[#This Row],[Calificación]]&lt;=25,FALSE,TRUE)</f>
        <v>0</v>
      </c>
      <c r="M3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3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32" s="7">
        <v>4604</v>
      </c>
      <c r="P32" s="4">
        <v>1</v>
      </c>
      <c r="Q32" s="10">
        <f>INDEX(Factores[],MATCH(BD_Datos[[#This Row],[Quejas percibidas]],Factores[N. Quejas],0),MATCH(BD_Datos[[#This Row],[Área]],Factores[#Headers],0))</f>
        <v>0.4</v>
      </c>
    </row>
    <row r="33" spans="2:17" x14ac:dyDescent="0.25">
      <c r="B33" s="23" t="s">
        <v>14</v>
      </c>
      <c r="C33" s="3">
        <v>41619</v>
      </c>
      <c r="D33" s="4" t="s">
        <v>162</v>
      </c>
      <c r="E33" s="2" t="str">
        <f>VLOOKUP(BD_Datos[[#This Row],[Código Área]],Areas[],2,FALSE)</f>
        <v>Gerencia</v>
      </c>
      <c r="F33" s="5">
        <v>582000</v>
      </c>
      <c r="G33" s="2">
        <v>7</v>
      </c>
      <c r="H33" s="2">
        <v>8</v>
      </c>
      <c r="I33" s="2">
        <v>4</v>
      </c>
      <c r="J33" s="2">
        <v>4</v>
      </c>
      <c r="K33" s="2">
        <f>SUM(BD_Datos[[#This Row],[Participación]:[Liderazgo]])</f>
        <v>23</v>
      </c>
      <c r="L33" s="2" t="b">
        <f>IF(BD_Datos[[#This Row],[Calificación]]&lt;=25,FALSE,TRUE)</f>
        <v>0</v>
      </c>
      <c r="M3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3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33" s="7">
        <v>4692</v>
      </c>
      <c r="P33" s="4">
        <v>4</v>
      </c>
      <c r="Q33" s="10">
        <f>INDEX(Factores[],MATCH(BD_Datos[[#This Row],[Quejas percibidas]],Factores[N. Quejas],0),MATCH(BD_Datos[[#This Row],[Área]],Factores[#Headers],0))</f>
        <v>0.8</v>
      </c>
    </row>
    <row r="34" spans="2:17" x14ac:dyDescent="0.25">
      <c r="B34" s="23" t="s">
        <v>27</v>
      </c>
      <c r="C34" s="3">
        <v>41346</v>
      </c>
      <c r="D34" s="4" t="s">
        <v>163</v>
      </c>
      <c r="E34" s="2" t="str">
        <f>VLOOKUP(BD_Datos[[#This Row],[Código Área]],Areas[],2,FALSE)</f>
        <v>Transportes</v>
      </c>
      <c r="F34" s="5">
        <v>728000</v>
      </c>
      <c r="G34" s="2">
        <v>5</v>
      </c>
      <c r="H34" s="2">
        <v>6</v>
      </c>
      <c r="I34" s="2">
        <v>0</v>
      </c>
      <c r="J34" s="2">
        <v>9</v>
      </c>
      <c r="K34" s="2">
        <f>SUM(BD_Datos[[#This Row],[Participación]:[Liderazgo]])</f>
        <v>20</v>
      </c>
      <c r="L34" s="2" t="b">
        <f>IF(BD_Datos[[#This Row],[Calificación]]&lt;=25,FALSE,TRUE)</f>
        <v>0</v>
      </c>
      <c r="M3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3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34" s="7">
        <v>572</v>
      </c>
      <c r="P34" s="4">
        <v>3</v>
      </c>
      <c r="Q34" s="10">
        <f>INDEX(Factores[],MATCH(BD_Datos[[#This Row],[Quejas percibidas]],Factores[N. Quejas],0),MATCH(BD_Datos[[#This Row],[Área]],Factores[#Headers],0))</f>
        <v>0.3</v>
      </c>
    </row>
    <row r="35" spans="2:17" x14ac:dyDescent="0.25">
      <c r="B35" s="23" t="s">
        <v>1</v>
      </c>
      <c r="C35" s="3">
        <v>42535</v>
      </c>
      <c r="D35" s="4" t="s">
        <v>161</v>
      </c>
      <c r="E35" s="2" t="str">
        <f>VLOOKUP(BD_Datos[[#This Row],[Código Área]],Areas[],2,FALSE)</f>
        <v>Administración</v>
      </c>
      <c r="F35" s="5">
        <v>700000</v>
      </c>
      <c r="G35" s="2">
        <v>3</v>
      </c>
      <c r="H35" s="2">
        <v>9</v>
      </c>
      <c r="I35" s="2">
        <v>2</v>
      </c>
      <c r="J35" s="2">
        <v>4</v>
      </c>
      <c r="K35" s="2">
        <f>SUM(BD_Datos[[#This Row],[Participación]:[Liderazgo]])</f>
        <v>18</v>
      </c>
      <c r="L35" s="2" t="b">
        <f>IF(BD_Datos[[#This Row],[Calificación]]&lt;=25,FALSE,TRUE)</f>
        <v>0</v>
      </c>
      <c r="M3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3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35" s="7">
        <v>1154</v>
      </c>
      <c r="P35" s="4">
        <v>4</v>
      </c>
      <c r="Q35" s="10">
        <f>INDEX(Factores[],MATCH(BD_Datos[[#This Row],[Quejas percibidas]],Factores[N. Quejas],0),MATCH(BD_Datos[[#This Row],[Área]],Factores[#Headers],0))</f>
        <v>0.9</v>
      </c>
    </row>
    <row r="36" spans="2:17" x14ac:dyDescent="0.25">
      <c r="B36" s="23" t="s">
        <v>19</v>
      </c>
      <c r="C36" s="3">
        <v>42212</v>
      </c>
      <c r="D36" s="4" t="s">
        <v>161</v>
      </c>
      <c r="E36" s="2" t="str">
        <f>VLOOKUP(BD_Datos[[#This Row],[Código Área]],Areas[],2,FALSE)</f>
        <v>Administración</v>
      </c>
      <c r="F36" s="5">
        <v>2250000</v>
      </c>
      <c r="G36" s="2">
        <v>4</v>
      </c>
      <c r="H36" s="2">
        <v>0</v>
      </c>
      <c r="I36" s="2">
        <v>9</v>
      </c>
      <c r="J36" s="2">
        <v>9</v>
      </c>
      <c r="K36" s="2">
        <f>SUM(BD_Datos[[#This Row],[Participación]:[Liderazgo]])</f>
        <v>22</v>
      </c>
      <c r="L36" s="2" t="b">
        <f>IF(BD_Datos[[#This Row],[Calificación]]&lt;=25,FALSE,TRUE)</f>
        <v>0</v>
      </c>
      <c r="M3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3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36" s="7">
        <v>3402</v>
      </c>
      <c r="P36" s="4">
        <v>3</v>
      </c>
      <c r="Q36" s="10">
        <f>INDEX(Factores[],MATCH(BD_Datos[[#This Row],[Quejas percibidas]],Factores[N. Quejas],0),MATCH(BD_Datos[[#This Row],[Área]],Factores[#Headers],0))</f>
        <v>0.7</v>
      </c>
    </row>
    <row r="37" spans="2:17" x14ac:dyDescent="0.25">
      <c r="B37" s="23" t="s">
        <v>28</v>
      </c>
      <c r="C37" s="3">
        <v>41845</v>
      </c>
      <c r="D37" s="4" t="s">
        <v>159</v>
      </c>
      <c r="E37" s="2" t="str">
        <f>VLOOKUP(BD_Datos[[#This Row],[Código Área]],Areas[],2,FALSE)</f>
        <v>Finanzas</v>
      </c>
      <c r="F37" s="5">
        <v>1732500.0000000002</v>
      </c>
      <c r="G37" s="2">
        <v>10</v>
      </c>
      <c r="H37" s="2">
        <v>1</v>
      </c>
      <c r="I37" s="2">
        <v>4</v>
      </c>
      <c r="J37" s="2">
        <v>6</v>
      </c>
      <c r="K37" s="2">
        <f>SUM(BD_Datos[[#This Row],[Participación]:[Liderazgo]])</f>
        <v>21</v>
      </c>
      <c r="L37" s="2" t="b">
        <f>IF(BD_Datos[[#This Row],[Calificación]]&lt;=25,FALSE,TRUE)</f>
        <v>0</v>
      </c>
      <c r="M3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3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37" s="7">
        <v>970</v>
      </c>
      <c r="P37" s="4">
        <v>2</v>
      </c>
      <c r="Q37" s="10">
        <f>INDEX(Factores[],MATCH(BD_Datos[[#This Row],[Quejas percibidas]],Factores[N. Quejas],0),MATCH(BD_Datos[[#This Row],[Área]],Factores[#Headers],0))</f>
        <v>0.5</v>
      </c>
    </row>
    <row r="38" spans="2:17" x14ac:dyDescent="0.25">
      <c r="B38" s="23" t="s">
        <v>29</v>
      </c>
      <c r="C38" s="3">
        <v>42403</v>
      </c>
      <c r="D38" s="4" t="s">
        <v>161</v>
      </c>
      <c r="E38" s="2" t="str">
        <f>VLOOKUP(BD_Datos[[#This Row],[Código Área]],Areas[],2,FALSE)</f>
        <v>Administración</v>
      </c>
      <c r="F38" s="5">
        <v>2464000.0000000005</v>
      </c>
      <c r="G38" s="2">
        <v>2</v>
      </c>
      <c r="H38" s="2">
        <v>8</v>
      </c>
      <c r="I38" s="2">
        <v>7</v>
      </c>
      <c r="J38" s="2">
        <v>6</v>
      </c>
      <c r="K38" s="2">
        <f>SUM(BD_Datos[[#This Row],[Participación]:[Liderazgo]])</f>
        <v>23</v>
      </c>
      <c r="L38" s="2" t="b">
        <f>IF(BD_Datos[[#This Row],[Calificación]]&lt;=25,FALSE,TRUE)</f>
        <v>0</v>
      </c>
      <c r="M3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3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38" s="7">
        <v>1750</v>
      </c>
      <c r="P38" s="4">
        <v>3</v>
      </c>
      <c r="Q38" s="10">
        <f>INDEX(Factores[],MATCH(BD_Datos[[#This Row],[Quejas percibidas]],Factores[N. Quejas],0),MATCH(BD_Datos[[#This Row],[Área]],Factores[#Headers],0))</f>
        <v>0.7</v>
      </c>
    </row>
    <row r="39" spans="2:17" x14ac:dyDescent="0.25">
      <c r="B39" s="23" t="s">
        <v>30</v>
      </c>
      <c r="C39" s="3">
        <v>42323</v>
      </c>
      <c r="D39" s="4" t="s">
        <v>164</v>
      </c>
      <c r="E39" s="2" t="str">
        <f>VLOOKUP(BD_Datos[[#This Row],[Código Área]],Areas[],2,FALSE)</f>
        <v>Proyectos</v>
      </c>
      <c r="F39" s="5">
        <v>1500000</v>
      </c>
      <c r="G39" s="2">
        <v>10</v>
      </c>
      <c r="H39" s="2">
        <v>2</v>
      </c>
      <c r="I39" s="2">
        <v>1</v>
      </c>
      <c r="J39" s="2">
        <v>8</v>
      </c>
      <c r="K39" s="2">
        <f>SUM(BD_Datos[[#This Row],[Participación]:[Liderazgo]])</f>
        <v>21</v>
      </c>
      <c r="L39" s="2" t="b">
        <f>IF(BD_Datos[[#This Row],[Calificación]]&lt;=25,FALSE,TRUE)</f>
        <v>0</v>
      </c>
      <c r="M39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39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39" s="7">
        <v>2850</v>
      </c>
      <c r="P39" s="4">
        <v>2</v>
      </c>
      <c r="Q39" s="10">
        <f>INDEX(Factores[],MATCH(BD_Datos[[#This Row],[Quejas percibidas]],Factores[N. Quejas],0),MATCH(BD_Datos[[#This Row],[Área]],Factores[#Headers],0))</f>
        <v>0.3</v>
      </c>
    </row>
    <row r="40" spans="2:17" x14ac:dyDescent="0.25">
      <c r="B40" s="23" t="s">
        <v>31</v>
      </c>
      <c r="C40" s="3">
        <v>42602</v>
      </c>
      <c r="D40" s="4" t="s">
        <v>163</v>
      </c>
      <c r="E40" s="2" t="str">
        <f>VLOOKUP(BD_Datos[[#This Row],[Código Área]],Areas[],2,FALSE)</f>
        <v>Transportes</v>
      </c>
      <c r="F40" s="5">
        <v>700000</v>
      </c>
      <c r="G40" s="2">
        <v>1</v>
      </c>
      <c r="H40" s="2">
        <v>10</v>
      </c>
      <c r="I40" s="2">
        <v>2</v>
      </c>
      <c r="J40" s="2">
        <v>3</v>
      </c>
      <c r="K40" s="2">
        <f>SUM(BD_Datos[[#This Row],[Participación]:[Liderazgo]])</f>
        <v>16</v>
      </c>
      <c r="L40" s="2" t="b">
        <f>IF(BD_Datos[[#This Row],[Calificación]]&lt;=25,FALSE,TRUE)</f>
        <v>0</v>
      </c>
      <c r="M40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40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40" s="7">
        <v>2170</v>
      </c>
      <c r="P40" s="4">
        <v>2</v>
      </c>
      <c r="Q40" s="10">
        <f>INDEX(Factores[],MATCH(BD_Datos[[#This Row],[Quejas percibidas]],Factores[N. Quejas],0),MATCH(BD_Datos[[#This Row],[Área]],Factores[#Headers],0))</f>
        <v>0.2</v>
      </c>
    </row>
    <row r="41" spans="2:17" x14ac:dyDescent="0.25">
      <c r="B41" s="23" t="s">
        <v>21</v>
      </c>
      <c r="C41" s="3">
        <v>42654</v>
      </c>
      <c r="D41" s="4" t="s">
        <v>160</v>
      </c>
      <c r="E41" s="2" t="str">
        <f>VLOOKUP(BD_Datos[[#This Row],[Código Área]],Areas[],2,FALSE)</f>
        <v>Marketing</v>
      </c>
      <c r="F41" s="5">
        <v>870000</v>
      </c>
      <c r="G41" s="2">
        <v>2</v>
      </c>
      <c r="H41" s="2">
        <v>5</v>
      </c>
      <c r="I41" s="2">
        <v>10</v>
      </c>
      <c r="J41" s="2">
        <v>2</v>
      </c>
      <c r="K41" s="2">
        <f>SUM(BD_Datos[[#This Row],[Participación]:[Liderazgo]])</f>
        <v>19</v>
      </c>
      <c r="L41" s="2" t="b">
        <f>IF(BD_Datos[[#This Row],[Calificación]]&lt;=25,FALSE,TRUE)</f>
        <v>0</v>
      </c>
      <c r="M41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41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41" s="7">
        <v>4026</v>
      </c>
      <c r="P41" s="4">
        <v>1</v>
      </c>
      <c r="Q41" s="10">
        <f>INDEX(Factores[],MATCH(BD_Datos[[#This Row],[Quejas percibidas]],Factores[N. Quejas],0),MATCH(BD_Datos[[#This Row],[Área]],Factores[#Headers],0))</f>
        <v>0.1</v>
      </c>
    </row>
    <row r="42" spans="2:17" x14ac:dyDescent="0.25">
      <c r="B42" s="23" t="s">
        <v>23</v>
      </c>
      <c r="C42" s="3">
        <v>42639</v>
      </c>
      <c r="D42" s="4" t="s">
        <v>162</v>
      </c>
      <c r="E42" s="2" t="str">
        <f>VLOOKUP(BD_Datos[[#This Row],[Código Área]],Areas[],2,FALSE)</f>
        <v>Gerencia</v>
      </c>
      <c r="F42" s="5">
        <v>1050000</v>
      </c>
      <c r="G42" s="2">
        <v>6</v>
      </c>
      <c r="H42" s="2">
        <v>5</v>
      </c>
      <c r="I42" s="2">
        <v>6</v>
      </c>
      <c r="J42" s="2">
        <v>1</v>
      </c>
      <c r="K42" s="2">
        <f>SUM(BD_Datos[[#This Row],[Participación]:[Liderazgo]])</f>
        <v>18</v>
      </c>
      <c r="L42" s="2" t="b">
        <f>IF(BD_Datos[[#This Row],[Calificación]]&lt;=25,FALSE,TRUE)</f>
        <v>0</v>
      </c>
      <c r="M4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4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42" s="7">
        <v>2592</v>
      </c>
      <c r="P42" s="4">
        <v>3</v>
      </c>
      <c r="Q42" s="10">
        <f>INDEX(Factores[],MATCH(BD_Datos[[#This Row],[Quejas percibidas]],Factores[N. Quejas],0),MATCH(BD_Datos[[#This Row],[Área]],Factores[#Headers],0))</f>
        <v>0.6</v>
      </c>
    </row>
    <row r="43" spans="2:17" x14ac:dyDescent="0.25">
      <c r="B43" s="23" t="s">
        <v>32</v>
      </c>
      <c r="C43" s="3">
        <v>42754</v>
      </c>
      <c r="D43" s="4" t="s">
        <v>159</v>
      </c>
      <c r="E43" s="2" t="str">
        <f>VLOOKUP(BD_Datos[[#This Row],[Código Área]],Areas[],2,FALSE)</f>
        <v>Finanzas</v>
      </c>
      <c r="F43" s="5">
        <v>640000</v>
      </c>
      <c r="G43" s="2">
        <v>4</v>
      </c>
      <c r="H43" s="2">
        <v>2</v>
      </c>
      <c r="I43" s="2">
        <v>6</v>
      </c>
      <c r="J43" s="2">
        <v>9</v>
      </c>
      <c r="K43" s="2">
        <f>SUM(BD_Datos[[#This Row],[Participación]:[Liderazgo]])</f>
        <v>21</v>
      </c>
      <c r="L43" s="2" t="b">
        <f>IF(BD_Datos[[#This Row],[Calificación]]&lt;=25,FALSE,TRUE)</f>
        <v>0</v>
      </c>
      <c r="M4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4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43" s="7">
        <v>5236</v>
      </c>
      <c r="P43" s="4">
        <v>3</v>
      </c>
      <c r="Q43" s="10">
        <f>INDEX(Factores[],MATCH(BD_Datos[[#This Row],[Quejas percibidas]],Factores[N. Quejas],0),MATCH(BD_Datos[[#This Row],[Área]],Factores[#Headers],0))</f>
        <v>0.7</v>
      </c>
    </row>
    <row r="44" spans="2:17" x14ac:dyDescent="0.25">
      <c r="B44" s="23" t="s">
        <v>33</v>
      </c>
      <c r="C44" s="3">
        <v>42633</v>
      </c>
      <c r="D44" s="4" t="s">
        <v>160</v>
      </c>
      <c r="E44" s="2" t="str">
        <f>VLOOKUP(BD_Datos[[#This Row],[Código Área]],Areas[],2,FALSE)</f>
        <v>Marketing</v>
      </c>
      <c r="F44" s="5">
        <v>820000</v>
      </c>
      <c r="G44" s="2">
        <v>2</v>
      </c>
      <c r="H44" s="2">
        <v>1</v>
      </c>
      <c r="I44" s="2">
        <v>3</v>
      </c>
      <c r="J44" s="2">
        <v>10</v>
      </c>
      <c r="K44" s="2">
        <f>SUM(BD_Datos[[#This Row],[Participación]:[Liderazgo]])</f>
        <v>16</v>
      </c>
      <c r="L44" s="2" t="b">
        <f>IF(BD_Datos[[#This Row],[Calificación]]&lt;=25,FALSE,TRUE)</f>
        <v>0</v>
      </c>
      <c r="M4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4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44" s="7">
        <v>4925</v>
      </c>
      <c r="P44" s="4">
        <v>4</v>
      </c>
      <c r="Q44" s="10">
        <f>INDEX(Factores[],MATCH(BD_Datos[[#This Row],[Quejas percibidas]],Factores[N. Quejas],0),MATCH(BD_Datos[[#This Row],[Área]],Factores[#Headers],0))</f>
        <v>0.6</v>
      </c>
    </row>
    <row r="45" spans="2:17" x14ac:dyDescent="0.25">
      <c r="B45" s="23" t="s">
        <v>34</v>
      </c>
      <c r="C45" s="3">
        <v>42165</v>
      </c>
      <c r="D45" s="4" t="s">
        <v>164</v>
      </c>
      <c r="E45" s="2" t="str">
        <f>VLOOKUP(BD_Datos[[#This Row],[Código Área]],Areas[],2,FALSE)</f>
        <v>Proyectos</v>
      </c>
      <c r="F45" s="5">
        <v>2100000</v>
      </c>
      <c r="G45" s="2">
        <v>4</v>
      </c>
      <c r="H45" s="2">
        <v>3</v>
      </c>
      <c r="I45" s="2">
        <v>9</v>
      </c>
      <c r="J45" s="2">
        <v>4</v>
      </c>
      <c r="K45" s="2">
        <f>SUM(BD_Datos[[#This Row],[Participación]:[Liderazgo]])</f>
        <v>20</v>
      </c>
      <c r="L45" s="2" t="b">
        <f>IF(BD_Datos[[#This Row],[Calificación]]&lt;=25,FALSE,TRUE)</f>
        <v>0</v>
      </c>
      <c r="M4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4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45" s="7">
        <v>3693</v>
      </c>
      <c r="P45" s="4">
        <v>4</v>
      </c>
      <c r="Q45" s="10">
        <f>INDEX(Factores[],MATCH(BD_Datos[[#This Row],[Quejas percibidas]],Factores[N. Quejas],0),MATCH(BD_Datos[[#This Row],[Área]],Factores[#Headers],0))</f>
        <v>0.5</v>
      </c>
    </row>
    <row r="46" spans="2:17" x14ac:dyDescent="0.25">
      <c r="B46" s="23" t="s">
        <v>4</v>
      </c>
      <c r="C46" s="3">
        <v>41974</v>
      </c>
      <c r="D46" s="4" t="s">
        <v>160</v>
      </c>
      <c r="E46" s="2" t="str">
        <f>VLOOKUP(BD_Datos[[#This Row],[Código Área]],Areas[],2,FALSE)</f>
        <v>Marketing</v>
      </c>
      <c r="F46" s="5">
        <v>960000</v>
      </c>
      <c r="G46" s="2">
        <v>4</v>
      </c>
      <c r="H46" s="2">
        <v>4</v>
      </c>
      <c r="I46" s="2">
        <v>9</v>
      </c>
      <c r="J46" s="2">
        <v>7</v>
      </c>
      <c r="K46" s="2">
        <f>SUM(BD_Datos[[#This Row],[Participación]:[Liderazgo]])</f>
        <v>24</v>
      </c>
      <c r="L46" s="2" t="b">
        <f>IF(BD_Datos[[#This Row],[Calificación]]&lt;=25,FALSE,TRUE)</f>
        <v>0</v>
      </c>
      <c r="M4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4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46" s="7">
        <v>2828</v>
      </c>
      <c r="P46" s="4">
        <v>3</v>
      </c>
      <c r="Q46" s="10">
        <f>INDEX(Factores[],MATCH(BD_Datos[[#This Row],[Quejas percibidas]],Factores[N. Quejas],0),MATCH(BD_Datos[[#This Row],[Área]],Factores[#Headers],0))</f>
        <v>0.4</v>
      </c>
    </row>
    <row r="47" spans="2:17" x14ac:dyDescent="0.25">
      <c r="B47" s="23" t="s">
        <v>2</v>
      </c>
      <c r="C47" s="3">
        <v>41647</v>
      </c>
      <c r="D47" s="4" t="s">
        <v>159</v>
      </c>
      <c r="E47" s="2" t="str">
        <f>VLOOKUP(BD_Datos[[#This Row],[Código Área]],Areas[],2,FALSE)</f>
        <v>Finanzas</v>
      </c>
      <c r="F47" s="5">
        <v>750000</v>
      </c>
      <c r="G47" s="2">
        <v>4</v>
      </c>
      <c r="H47" s="2">
        <v>7</v>
      </c>
      <c r="I47" s="2">
        <v>6</v>
      </c>
      <c r="J47" s="2">
        <v>6</v>
      </c>
      <c r="K47" s="2">
        <f>SUM(BD_Datos[[#This Row],[Participación]:[Liderazgo]])</f>
        <v>23</v>
      </c>
      <c r="L47" s="2" t="b">
        <f>IF(BD_Datos[[#This Row],[Calificación]]&lt;=25,FALSE,TRUE)</f>
        <v>0</v>
      </c>
      <c r="M4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4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47" s="7">
        <v>1042</v>
      </c>
      <c r="P47" s="4">
        <v>3</v>
      </c>
      <c r="Q47" s="10">
        <f>INDEX(Factores[],MATCH(BD_Datos[[#This Row],[Quejas percibidas]],Factores[N. Quejas],0),MATCH(BD_Datos[[#This Row],[Área]],Factores[#Headers],0))</f>
        <v>0.7</v>
      </c>
    </row>
    <row r="48" spans="2:17" x14ac:dyDescent="0.25">
      <c r="B48" s="23" t="s">
        <v>35</v>
      </c>
      <c r="C48" s="3">
        <v>42014</v>
      </c>
      <c r="D48" s="4" t="s">
        <v>162</v>
      </c>
      <c r="E48" s="2" t="str">
        <f>VLOOKUP(BD_Datos[[#This Row],[Código Área]],Areas[],2,FALSE)</f>
        <v>Gerencia</v>
      </c>
      <c r="F48" s="5">
        <v>580000</v>
      </c>
      <c r="G48" s="2">
        <v>3</v>
      </c>
      <c r="H48" s="2">
        <v>4</v>
      </c>
      <c r="I48" s="2">
        <v>0</v>
      </c>
      <c r="J48" s="2">
        <v>1</v>
      </c>
      <c r="K48" s="2">
        <f>SUM(BD_Datos[[#This Row],[Participación]:[Liderazgo]])</f>
        <v>8</v>
      </c>
      <c r="L48" s="2" t="b">
        <f>IF(BD_Datos[[#This Row],[Calificación]]&lt;=25,FALSE,TRUE)</f>
        <v>0</v>
      </c>
      <c r="M4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4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48" s="7">
        <v>4416</v>
      </c>
      <c r="P48" s="4">
        <v>4</v>
      </c>
      <c r="Q48" s="10">
        <f>INDEX(Factores[],MATCH(BD_Datos[[#This Row],[Quejas percibidas]],Factores[N. Quejas],0),MATCH(BD_Datos[[#This Row],[Área]],Factores[#Headers],0))</f>
        <v>0.8</v>
      </c>
    </row>
    <row r="49" spans="2:17" x14ac:dyDescent="0.25">
      <c r="B49" s="23" t="s">
        <v>18</v>
      </c>
      <c r="C49" s="3">
        <v>41762</v>
      </c>
      <c r="D49" s="4" t="s">
        <v>163</v>
      </c>
      <c r="E49" s="2" t="str">
        <f>VLOOKUP(BD_Datos[[#This Row],[Código Área]],Areas[],2,FALSE)</f>
        <v>Transportes</v>
      </c>
      <c r="F49" s="5">
        <v>1350000</v>
      </c>
      <c r="G49" s="2">
        <v>9</v>
      </c>
      <c r="H49" s="2">
        <v>9</v>
      </c>
      <c r="I49" s="2">
        <v>10</v>
      </c>
      <c r="J49" s="2">
        <v>9</v>
      </c>
      <c r="K49" s="2">
        <f>SUM(BD_Datos[[#This Row],[Participación]:[Liderazgo]])</f>
        <v>37</v>
      </c>
      <c r="L49" s="2" t="b">
        <f>IF(BD_Datos[[#This Row],[Calificación]]&lt;=25,FALSE,TRUE)</f>
        <v>1</v>
      </c>
      <c r="M49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66521.739130434784</v>
      </c>
      <c r="N49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67877.094972067032</v>
      </c>
      <c r="O49" s="7">
        <v>3465</v>
      </c>
      <c r="P49" s="4">
        <v>1</v>
      </c>
      <c r="Q49" s="10">
        <f>INDEX(Factores[],MATCH(BD_Datos[[#This Row],[Quejas percibidas]],Factores[N. Quejas],0),MATCH(BD_Datos[[#This Row],[Área]],Factores[#Headers],0))</f>
        <v>0.1</v>
      </c>
    </row>
    <row r="50" spans="2:17" x14ac:dyDescent="0.25">
      <c r="B50" s="23" t="s">
        <v>12</v>
      </c>
      <c r="C50" s="3">
        <v>42148</v>
      </c>
      <c r="D50" s="4" t="s">
        <v>164</v>
      </c>
      <c r="E50" s="2" t="str">
        <f>VLOOKUP(BD_Datos[[#This Row],[Código Área]],Areas[],2,FALSE)</f>
        <v>Proyectos</v>
      </c>
      <c r="F50" s="5">
        <v>1120000</v>
      </c>
      <c r="G50" s="2">
        <v>7</v>
      </c>
      <c r="H50" s="2">
        <v>2</v>
      </c>
      <c r="I50" s="2">
        <v>2</v>
      </c>
      <c r="J50" s="2">
        <v>4</v>
      </c>
      <c r="K50" s="2">
        <f>SUM(BD_Datos[[#This Row],[Participación]:[Liderazgo]])</f>
        <v>15</v>
      </c>
      <c r="L50" s="2" t="b">
        <f>IF(BD_Datos[[#This Row],[Calificación]]&lt;=25,FALSE,TRUE)</f>
        <v>0</v>
      </c>
      <c r="M50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50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50" s="7">
        <v>642</v>
      </c>
      <c r="P50" s="4">
        <v>1</v>
      </c>
      <c r="Q50" s="10">
        <f>INDEX(Factores[],MATCH(BD_Datos[[#This Row],[Quejas percibidas]],Factores[N. Quejas],0),MATCH(BD_Datos[[#This Row],[Área]],Factores[#Headers],0))</f>
        <v>0.1</v>
      </c>
    </row>
    <row r="51" spans="2:17" x14ac:dyDescent="0.25">
      <c r="B51" s="23" t="s">
        <v>36</v>
      </c>
      <c r="C51" s="3">
        <v>41711</v>
      </c>
      <c r="D51" s="4" t="s">
        <v>160</v>
      </c>
      <c r="E51" s="2" t="str">
        <f>VLOOKUP(BD_Datos[[#This Row],[Código Área]],Areas[],2,FALSE)</f>
        <v>Marketing</v>
      </c>
      <c r="F51" s="5">
        <v>970000</v>
      </c>
      <c r="G51" s="2">
        <v>5</v>
      </c>
      <c r="H51" s="2">
        <v>8</v>
      </c>
      <c r="I51" s="2">
        <v>2</v>
      </c>
      <c r="J51" s="2">
        <v>5</v>
      </c>
      <c r="K51" s="2">
        <f>SUM(BD_Datos[[#This Row],[Participación]:[Liderazgo]])</f>
        <v>20</v>
      </c>
      <c r="L51" s="2" t="b">
        <f>IF(BD_Datos[[#This Row],[Calificación]]&lt;=25,FALSE,TRUE)</f>
        <v>0</v>
      </c>
      <c r="M51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51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51" s="7">
        <v>3312</v>
      </c>
      <c r="P51" s="4">
        <v>4</v>
      </c>
      <c r="Q51" s="10">
        <f>INDEX(Factores[],MATCH(BD_Datos[[#This Row],[Quejas percibidas]],Factores[N. Quejas],0),MATCH(BD_Datos[[#This Row],[Área]],Factores[#Headers],0))</f>
        <v>0.6</v>
      </c>
    </row>
    <row r="52" spans="2:17" x14ac:dyDescent="0.25">
      <c r="B52" s="23" t="s">
        <v>37</v>
      </c>
      <c r="C52" s="3">
        <v>41399</v>
      </c>
      <c r="D52" s="4" t="s">
        <v>159</v>
      </c>
      <c r="E52" s="2" t="str">
        <f>VLOOKUP(BD_Datos[[#This Row],[Código Área]],Areas[],2,FALSE)</f>
        <v>Finanzas</v>
      </c>
      <c r="F52" s="5">
        <v>1040000</v>
      </c>
      <c r="G52" s="2">
        <v>8</v>
      </c>
      <c r="H52" s="2">
        <v>2</v>
      </c>
      <c r="I52" s="2">
        <v>7</v>
      </c>
      <c r="J52" s="2">
        <v>0</v>
      </c>
      <c r="K52" s="2">
        <f>SUM(BD_Datos[[#This Row],[Participación]:[Liderazgo]])</f>
        <v>17</v>
      </c>
      <c r="L52" s="2" t="b">
        <f>IF(BD_Datos[[#This Row],[Calificación]]&lt;=25,FALSE,TRUE)</f>
        <v>0</v>
      </c>
      <c r="M5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5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52" s="7">
        <v>3774</v>
      </c>
      <c r="P52" s="4">
        <v>2</v>
      </c>
      <c r="Q52" s="10">
        <f>INDEX(Factores[],MATCH(BD_Datos[[#This Row],[Quejas percibidas]],Factores[N. Quejas],0),MATCH(BD_Datos[[#This Row],[Área]],Factores[#Headers],0))</f>
        <v>0.5</v>
      </c>
    </row>
    <row r="53" spans="2:17" x14ac:dyDescent="0.25">
      <c r="B53" s="23" t="s">
        <v>38</v>
      </c>
      <c r="C53" s="3">
        <v>41481</v>
      </c>
      <c r="D53" s="4" t="s">
        <v>161</v>
      </c>
      <c r="E53" s="2" t="str">
        <f>VLOOKUP(BD_Datos[[#This Row],[Código Área]],Areas[],2,FALSE)</f>
        <v>Administración</v>
      </c>
      <c r="F53" s="5">
        <v>1750000</v>
      </c>
      <c r="G53" s="2">
        <v>0</v>
      </c>
      <c r="H53" s="2">
        <v>1</v>
      </c>
      <c r="I53" s="2">
        <v>3</v>
      </c>
      <c r="J53" s="2">
        <v>0</v>
      </c>
      <c r="K53" s="2">
        <f>SUM(BD_Datos[[#This Row],[Participación]:[Liderazgo]])</f>
        <v>4</v>
      </c>
      <c r="L53" s="2" t="b">
        <f>IF(BD_Datos[[#This Row],[Calificación]]&lt;=25,FALSE,TRUE)</f>
        <v>0</v>
      </c>
      <c r="M5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5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53" s="7">
        <v>5449</v>
      </c>
      <c r="P53" s="4">
        <v>2</v>
      </c>
      <c r="Q53" s="10">
        <f>INDEX(Factores[],MATCH(BD_Datos[[#This Row],[Quejas percibidas]],Factores[N. Quejas],0),MATCH(BD_Datos[[#This Row],[Área]],Factores[#Headers],0))</f>
        <v>0.6</v>
      </c>
    </row>
    <row r="54" spans="2:17" x14ac:dyDescent="0.25">
      <c r="B54" s="23" t="s">
        <v>33</v>
      </c>
      <c r="C54" s="3">
        <v>41652</v>
      </c>
      <c r="D54" s="4" t="s">
        <v>162</v>
      </c>
      <c r="E54" s="2" t="str">
        <f>VLOOKUP(BD_Datos[[#This Row],[Código Área]],Areas[],2,FALSE)</f>
        <v>Gerencia</v>
      </c>
      <c r="F54" s="5">
        <v>1500000</v>
      </c>
      <c r="G54" s="2">
        <v>7</v>
      </c>
      <c r="H54" s="2">
        <v>6</v>
      </c>
      <c r="I54" s="2">
        <v>0</v>
      </c>
      <c r="J54" s="2">
        <v>2</v>
      </c>
      <c r="K54" s="2">
        <f>SUM(BD_Datos[[#This Row],[Participación]:[Liderazgo]])</f>
        <v>15</v>
      </c>
      <c r="L54" s="2" t="b">
        <f>IF(BD_Datos[[#This Row],[Calificación]]&lt;=25,FALSE,TRUE)</f>
        <v>0</v>
      </c>
      <c r="M5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5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54" s="7">
        <v>5349</v>
      </c>
      <c r="P54" s="4">
        <v>2</v>
      </c>
      <c r="Q54" s="10">
        <f>INDEX(Factores[],MATCH(BD_Datos[[#This Row],[Quejas percibidas]],Factores[N. Quejas],0),MATCH(BD_Datos[[#This Row],[Área]],Factores[#Headers],0))</f>
        <v>0.4</v>
      </c>
    </row>
    <row r="55" spans="2:17" x14ac:dyDescent="0.25">
      <c r="B55" s="23" t="s">
        <v>39</v>
      </c>
      <c r="C55" s="3">
        <v>41472</v>
      </c>
      <c r="D55" s="4" t="s">
        <v>161</v>
      </c>
      <c r="E55" s="2" t="str">
        <f>VLOOKUP(BD_Datos[[#This Row],[Código Área]],Areas[],2,FALSE)</f>
        <v>Administración</v>
      </c>
      <c r="F55" s="5">
        <v>1575000</v>
      </c>
      <c r="G55" s="2">
        <v>10</v>
      </c>
      <c r="H55" s="2">
        <v>9</v>
      </c>
      <c r="I55" s="2">
        <v>5</v>
      </c>
      <c r="J55" s="2">
        <v>5</v>
      </c>
      <c r="K55" s="2">
        <f>SUM(BD_Datos[[#This Row],[Participación]:[Liderazgo]])</f>
        <v>29</v>
      </c>
      <c r="L55" s="2" t="b">
        <f>IF(BD_Datos[[#This Row],[Calificación]]&lt;=25,FALSE,TRUE)</f>
        <v>1</v>
      </c>
      <c r="M55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77608.695652173919</v>
      </c>
      <c r="N55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79189.944134078207</v>
      </c>
      <c r="O55" s="7">
        <v>3228</v>
      </c>
      <c r="P55" s="4">
        <v>1</v>
      </c>
      <c r="Q55" s="10">
        <f>INDEX(Factores[],MATCH(BD_Datos[[#This Row],[Quejas percibidas]],Factores[N. Quejas],0),MATCH(BD_Datos[[#This Row],[Área]],Factores[#Headers],0))</f>
        <v>0.4</v>
      </c>
    </row>
    <row r="56" spans="2:17" x14ac:dyDescent="0.25">
      <c r="B56" s="23" t="s">
        <v>34</v>
      </c>
      <c r="C56" s="3">
        <v>41441</v>
      </c>
      <c r="D56" s="4" t="s">
        <v>160</v>
      </c>
      <c r="E56" s="2" t="str">
        <f>VLOOKUP(BD_Datos[[#This Row],[Código Área]],Areas[],2,FALSE)</f>
        <v>Marketing</v>
      </c>
      <c r="F56" s="5">
        <v>770000.00000000012</v>
      </c>
      <c r="G56" s="2">
        <v>9</v>
      </c>
      <c r="H56" s="2">
        <v>5</v>
      </c>
      <c r="I56" s="2">
        <v>6</v>
      </c>
      <c r="J56" s="2">
        <v>10</v>
      </c>
      <c r="K56" s="2">
        <f>SUM(BD_Datos[[#This Row],[Participación]:[Liderazgo]])</f>
        <v>30</v>
      </c>
      <c r="L56" s="2" t="b">
        <f>IF(BD_Datos[[#This Row],[Calificación]]&lt;=25,FALSE,TRUE)</f>
        <v>1</v>
      </c>
      <c r="M56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37942.028985507255</v>
      </c>
      <c r="N56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38715.08379888269</v>
      </c>
      <c r="O56" s="7">
        <v>932</v>
      </c>
      <c r="P56" s="4">
        <v>3</v>
      </c>
      <c r="Q56" s="10">
        <f>INDEX(Factores[],MATCH(BD_Datos[[#This Row],[Quejas percibidas]],Factores[N. Quejas],0),MATCH(BD_Datos[[#This Row],[Área]],Factores[#Headers],0))</f>
        <v>0.4</v>
      </c>
    </row>
    <row r="57" spans="2:17" x14ac:dyDescent="0.25">
      <c r="B57" s="23" t="s">
        <v>26</v>
      </c>
      <c r="C57" s="3">
        <v>41677</v>
      </c>
      <c r="D57" s="4" t="s">
        <v>163</v>
      </c>
      <c r="E57" s="2" t="str">
        <f>VLOOKUP(BD_Datos[[#This Row],[Código Área]],Areas[],2,FALSE)</f>
        <v>Transportes</v>
      </c>
      <c r="F57" s="5">
        <v>1000499.9999999999</v>
      </c>
      <c r="G57" s="2">
        <v>4</v>
      </c>
      <c r="H57" s="2">
        <v>7</v>
      </c>
      <c r="I57" s="2">
        <v>8</v>
      </c>
      <c r="J57" s="2">
        <v>2</v>
      </c>
      <c r="K57" s="2">
        <f>SUM(BD_Datos[[#This Row],[Participación]:[Liderazgo]])</f>
        <v>21</v>
      </c>
      <c r="L57" s="2" t="b">
        <f>IF(BD_Datos[[#This Row],[Calificación]]&lt;=25,FALSE,TRUE)</f>
        <v>0</v>
      </c>
      <c r="M5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5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57" s="7">
        <v>3466</v>
      </c>
      <c r="P57" s="4">
        <v>3</v>
      </c>
      <c r="Q57" s="10">
        <f>INDEX(Factores[],MATCH(BD_Datos[[#This Row],[Quejas percibidas]],Factores[N. Quejas],0),MATCH(BD_Datos[[#This Row],[Área]],Factores[#Headers],0))</f>
        <v>0.3</v>
      </c>
    </row>
    <row r="58" spans="2:17" x14ac:dyDescent="0.25">
      <c r="B58" s="23" t="s">
        <v>35</v>
      </c>
      <c r="C58" s="3">
        <v>41425</v>
      </c>
      <c r="D58" s="4" t="s">
        <v>159</v>
      </c>
      <c r="E58" s="2" t="str">
        <f>VLOOKUP(BD_Datos[[#This Row],[Código Área]],Areas[],2,FALSE)</f>
        <v>Finanzas</v>
      </c>
      <c r="F58" s="5">
        <v>1260000</v>
      </c>
      <c r="G58" s="2">
        <v>4</v>
      </c>
      <c r="H58" s="2">
        <v>0</v>
      </c>
      <c r="I58" s="2">
        <v>9</v>
      </c>
      <c r="J58" s="2">
        <v>3</v>
      </c>
      <c r="K58" s="2">
        <f>SUM(BD_Datos[[#This Row],[Participación]:[Liderazgo]])</f>
        <v>16</v>
      </c>
      <c r="L58" s="2" t="b">
        <f>IF(BD_Datos[[#This Row],[Calificación]]&lt;=25,FALSE,TRUE)</f>
        <v>0</v>
      </c>
      <c r="M5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5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58" s="7">
        <v>722</v>
      </c>
      <c r="P58" s="4">
        <v>2</v>
      </c>
      <c r="Q58" s="10">
        <f>INDEX(Factores[],MATCH(BD_Datos[[#This Row],[Quejas percibidas]],Factores[N. Quejas],0),MATCH(BD_Datos[[#This Row],[Área]],Factores[#Headers],0))</f>
        <v>0.5</v>
      </c>
    </row>
    <row r="59" spans="2:17" x14ac:dyDescent="0.25">
      <c r="B59" s="23" t="s">
        <v>40</v>
      </c>
      <c r="C59" s="3">
        <v>42274</v>
      </c>
      <c r="D59" s="4" t="s">
        <v>163</v>
      </c>
      <c r="E59" s="2" t="str">
        <f>VLOOKUP(BD_Datos[[#This Row],[Código Área]],Areas[],2,FALSE)</f>
        <v>Transportes</v>
      </c>
      <c r="F59" s="5">
        <v>800000</v>
      </c>
      <c r="G59" s="2">
        <v>5</v>
      </c>
      <c r="H59" s="2">
        <v>6</v>
      </c>
      <c r="I59" s="2">
        <v>8</v>
      </c>
      <c r="J59" s="2">
        <v>4</v>
      </c>
      <c r="K59" s="2">
        <f>SUM(BD_Datos[[#This Row],[Participación]:[Liderazgo]])</f>
        <v>23</v>
      </c>
      <c r="L59" s="2" t="b">
        <f>IF(BD_Datos[[#This Row],[Calificación]]&lt;=25,FALSE,TRUE)</f>
        <v>0</v>
      </c>
      <c r="M59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59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59" s="7">
        <v>2340</v>
      </c>
      <c r="P59" s="4">
        <v>2</v>
      </c>
      <c r="Q59" s="10">
        <f>INDEX(Factores[],MATCH(BD_Datos[[#This Row],[Quejas percibidas]],Factores[N. Quejas],0),MATCH(BD_Datos[[#This Row],[Área]],Factores[#Headers],0))</f>
        <v>0.2</v>
      </c>
    </row>
    <row r="60" spans="2:17" x14ac:dyDescent="0.25">
      <c r="B60" s="23" t="s">
        <v>41</v>
      </c>
      <c r="C60" s="3">
        <v>41540</v>
      </c>
      <c r="D60" s="4" t="s">
        <v>164</v>
      </c>
      <c r="E60" s="2" t="str">
        <f>VLOOKUP(BD_Datos[[#This Row],[Código Área]],Areas[],2,FALSE)</f>
        <v>Proyectos</v>
      </c>
      <c r="F60" s="5">
        <v>1066000</v>
      </c>
      <c r="G60" s="2">
        <v>0</v>
      </c>
      <c r="H60" s="2">
        <v>10</v>
      </c>
      <c r="I60" s="2">
        <v>6</v>
      </c>
      <c r="J60" s="2">
        <v>10</v>
      </c>
      <c r="K60" s="2">
        <f>SUM(BD_Datos[[#This Row],[Participación]:[Liderazgo]])</f>
        <v>26</v>
      </c>
      <c r="L60" s="2" t="b">
        <f>IF(BD_Datos[[#This Row],[Calificación]]&lt;=25,FALSE,TRUE)</f>
        <v>1</v>
      </c>
      <c r="M60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52527.536231884063</v>
      </c>
      <c r="N60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53597.765363128492</v>
      </c>
      <c r="O60" s="7">
        <v>1514</v>
      </c>
      <c r="P60" s="4">
        <v>4</v>
      </c>
      <c r="Q60" s="10">
        <f>INDEX(Factores[],MATCH(BD_Datos[[#This Row],[Quejas percibidas]],Factores[N. Quejas],0),MATCH(BD_Datos[[#This Row],[Área]],Factores[#Headers],0))</f>
        <v>0.5</v>
      </c>
    </row>
    <row r="61" spans="2:17" x14ac:dyDescent="0.25">
      <c r="B61" s="23" t="s">
        <v>42</v>
      </c>
      <c r="C61" s="3">
        <v>41761</v>
      </c>
      <c r="D61" s="4" t="s">
        <v>164</v>
      </c>
      <c r="E61" s="2" t="str">
        <f>VLOOKUP(BD_Datos[[#This Row],[Código Área]],Areas[],2,FALSE)</f>
        <v>Proyectos</v>
      </c>
      <c r="F61" s="5">
        <v>2835000</v>
      </c>
      <c r="G61" s="2">
        <v>8</v>
      </c>
      <c r="H61" s="2">
        <v>1</v>
      </c>
      <c r="I61" s="2">
        <v>0</v>
      </c>
      <c r="J61" s="2">
        <v>1</v>
      </c>
      <c r="K61" s="2">
        <f>SUM(BD_Datos[[#This Row],[Participación]:[Liderazgo]])</f>
        <v>10</v>
      </c>
      <c r="L61" s="2" t="b">
        <f>IF(BD_Datos[[#This Row],[Calificación]]&lt;=25,FALSE,TRUE)</f>
        <v>0</v>
      </c>
      <c r="M61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61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61" s="7">
        <v>960</v>
      </c>
      <c r="P61" s="4">
        <v>2</v>
      </c>
      <c r="Q61" s="10">
        <f>INDEX(Factores[],MATCH(BD_Datos[[#This Row],[Quejas percibidas]],Factores[N. Quejas],0),MATCH(BD_Datos[[#This Row],[Área]],Factores[#Headers],0))</f>
        <v>0.3</v>
      </c>
    </row>
    <row r="62" spans="2:17" x14ac:dyDescent="0.25">
      <c r="B62" s="23" t="s">
        <v>43</v>
      </c>
      <c r="C62" s="3">
        <v>42247</v>
      </c>
      <c r="D62" s="4" t="s">
        <v>159</v>
      </c>
      <c r="E62" s="2" t="str">
        <f>VLOOKUP(BD_Datos[[#This Row],[Código Área]],Areas[],2,FALSE)</f>
        <v>Finanzas</v>
      </c>
      <c r="F62" s="5">
        <v>1344000</v>
      </c>
      <c r="G62" s="2">
        <v>0</v>
      </c>
      <c r="H62" s="2">
        <v>9</v>
      </c>
      <c r="I62" s="2">
        <v>6</v>
      </c>
      <c r="J62" s="2">
        <v>2</v>
      </c>
      <c r="K62" s="2">
        <f>SUM(BD_Datos[[#This Row],[Participación]:[Liderazgo]])</f>
        <v>17</v>
      </c>
      <c r="L62" s="2" t="b">
        <f>IF(BD_Datos[[#This Row],[Calificación]]&lt;=25,FALSE,TRUE)</f>
        <v>0</v>
      </c>
      <c r="M6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6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62" s="7">
        <v>2706</v>
      </c>
      <c r="P62" s="4">
        <v>2</v>
      </c>
      <c r="Q62" s="10">
        <f>INDEX(Factores[],MATCH(BD_Datos[[#This Row],[Quejas percibidas]],Factores[N. Quejas],0),MATCH(BD_Datos[[#This Row],[Área]],Factores[#Headers],0))</f>
        <v>0.5</v>
      </c>
    </row>
    <row r="63" spans="2:17" x14ac:dyDescent="0.25">
      <c r="B63" s="23" t="s">
        <v>44</v>
      </c>
      <c r="C63" s="3">
        <v>42435</v>
      </c>
      <c r="D63" s="4" t="s">
        <v>162</v>
      </c>
      <c r="E63" s="2" t="str">
        <f>VLOOKUP(BD_Datos[[#This Row],[Código Área]],Areas[],2,FALSE)</f>
        <v>Gerencia</v>
      </c>
      <c r="F63" s="5">
        <v>1087500</v>
      </c>
      <c r="G63" s="2">
        <v>2</v>
      </c>
      <c r="H63" s="2">
        <v>6</v>
      </c>
      <c r="I63" s="2">
        <v>9</v>
      </c>
      <c r="J63" s="2">
        <v>3</v>
      </c>
      <c r="K63" s="2">
        <f>SUM(BD_Datos[[#This Row],[Participación]:[Liderazgo]])</f>
        <v>20</v>
      </c>
      <c r="L63" s="2" t="b">
        <f>IF(BD_Datos[[#This Row],[Calificación]]&lt;=25,FALSE,TRUE)</f>
        <v>0</v>
      </c>
      <c r="M6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6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63" s="7">
        <v>2029</v>
      </c>
      <c r="P63" s="4">
        <v>4</v>
      </c>
      <c r="Q63" s="10">
        <f>INDEX(Factores[],MATCH(BD_Datos[[#This Row],[Quejas percibidas]],Factores[N. Quejas],0),MATCH(BD_Datos[[#This Row],[Área]],Factores[#Headers],0))</f>
        <v>0.8</v>
      </c>
    </row>
    <row r="64" spans="2:17" x14ac:dyDescent="0.25">
      <c r="B64" s="23" t="s">
        <v>45</v>
      </c>
      <c r="C64" s="3">
        <v>41552</v>
      </c>
      <c r="D64" s="4" t="s">
        <v>160</v>
      </c>
      <c r="E64" s="2" t="str">
        <f>VLOOKUP(BD_Datos[[#This Row],[Código Área]],Areas[],2,FALSE)</f>
        <v>Marketing</v>
      </c>
      <c r="F64" s="5">
        <v>870000</v>
      </c>
      <c r="G64" s="2">
        <v>5</v>
      </c>
      <c r="H64" s="2">
        <v>7</v>
      </c>
      <c r="I64" s="2">
        <v>7</v>
      </c>
      <c r="J64" s="2">
        <v>0</v>
      </c>
      <c r="K64" s="2">
        <f>SUM(BD_Datos[[#This Row],[Participación]:[Liderazgo]])</f>
        <v>19</v>
      </c>
      <c r="L64" s="2" t="b">
        <f>IF(BD_Datos[[#This Row],[Calificación]]&lt;=25,FALSE,TRUE)</f>
        <v>0</v>
      </c>
      <c r="M6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6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64" s="7">
        <v>914</v>
      </c>
      <c r="P64" s="4">
        <v>1</v>
      </c>
      <c r="Q64" s="10">
        <f>INDEX(Factores[],MATCH(BD_Datos[[#This Row],[Quejas percibidas]],Factores[N. Quejas],0),MATCH(BD_Datos[[#This Row],[Área]],Factores[#Headers],0))</f>
        <v>0.1</v>
      </c>
    </row>
    <row r="65" spans="2:17" x14ac:dyDescent="0.25">
      <c r="B65" s="23" t="s">
        <v>46</v>
      </c>
      <c r="C65" s="3">
        <v>42606</v>
      </c>
      <c r="D65" s="4" t="s">
        <v>163</v>
      </c>
      <c r="E65" s="2" t="str">
        <f>VLOOKUP(BD_Datos[[#This Row],[Código Área]],Areas[],2,FALSE)</f>
        <v>Transportes</v>
      </c>
      <c r="F65" s="5">
        <v>2160000</v>
      </c>
      <c r="G65" s="2">
        <v>1</v>
      </c>
      <c r="H65" s="2">
        <v>5</v>
      </c>
      <c r="I65" s="2">
        <v>6</v>
      </c>
      <c r="J65" s="2">
        <v>1</v>
      </c>
      <c r="K65" s="2">
        <f>SUM(BD_Datos[[#This Row],[Participación]:[Liderazgo]])</f>
        <v>13</v>
      </c>
      <c r="L65" s="2" t="b">
        <f>IF(BD_Datos[[#This Row],[Calificación]]&lt;=25,FALSE,TRUE)</f>
        <v>0</v>
      </c>
      <c r="M6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6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65" s="7">
        <v>747</v>
      </c>
      <c r="P65" s="4">
        <v>4</v>
      </c>
      <c r="Q65" s="10">
        <f>INDEX(Factores[],MATCH(BD_Datos[[#This Row],[Quejas percibidas]],Factores[N. Quejas],0),MATCH(BD_Datos[[#This Row],[Área]],Factores[#Headers],0))</f>
        <v>0.4</v>
      </c>
    </row>
    <row r="66" spans="2:17" x14ac:dyDescent="0.25">
      <c r="B66" s="23" t="s">
        <v>47</v>
      </c>
      <c r="C66" s="3">
        <v>42006</v>
      </c>
      <c r="D66" s="4" t="s">
        <v>164</v>
      </c>
      <c r="E66" s="2" t="str">
        <f>VLOOKUP(BD_Datos[[#This Row],[Código Área]],Areas[],2,FALSE)</f>
        <v>Proyectos</v>
      </c>
      <c r="F66" s="5">
        <v>1008000</v>
      </c>
      <c r="G66" s="2">
        <v>1</v>
      </c>
      <c r="H66" s="2">
        <v>7</v>
      </c>
      <c r="I66" s="2">
        <v>0</v>
      </c>
      <c r="J66" s="2">
        <v>0</v>
      </c>
      <c r="K66" s="2">
        <f>SUM(BD_Datos[[#This Row],[Participación]:[Liderazgo]])</f>
        <v>8</v>
      </c>
      <c r="L66" s="2" t="b">
        <f>IF(BD_Datos[[#This Row],[Calificación]]&lt;=25,FALSE,TRUE)</f>
        <v>0</v>
      </c>
      <c r="M6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6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66" s="7">
        <v>1690</v>
      </c>
      <c r="P66" s="4">
        <v>1</v>
      </c>
      <c r="Q66" s="10">
        <f>INDEX(Factores[],MATCH(BD_Datos[[#This Row],[Quejas percibidas]],Factores[N. Quejas],0),MATCH(BD_Datos[[#This Row],[Área]],Factores[#Headers],0))</f>
        <v>0.1</v>
      </c>
    </row>
    <row r="67" spans="2:17" x14ac:dyDescent="0.25">
      <c r="B67" s="23" t="s">
        <v>48</v>
      </c>
      <c r="C67" s="3">
        <v>42710</v>
      </c>
      <c r="D67" s="4" t="s">
        <v>159</v>
      </c>
      <c r="E67" s="2" t="str">
        <f>VLOOKUP(BD_Datos[[#This Row],[Código Área]],Areas[],2,FALSE)</f>
        <v>Finanzas</v>
      </c>
      <c r="F67" s="5">
        <v>582000</v>
      </c>
      <c r="G67" s="2">
        <v>6</v>
      </c>
      <c r="H67" s="2">
        <v>1</v>
      </c>
      <c r="I67" s="2">
        <v>4</v>
      </c>
      <c r="J67" s="2">
        <v>10</v>
      </c>
      <c r="K67" s="2">
        <f>SUM(BD_Datos[[#This Row],[Participación]:[Liderazgo]])</f>
        <v>21</v>
      </c>
      <c r="L67" s="2" t="b">
        <f>IF(BD_Datos[[#This Row],[Calificación]]&lt;=25,FALSE,TRUE)</f>
        <v>0</v>
      </c>
      <c r="M6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6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67" s="7">
        <v>2902</v>
      </c>
      <c r="P67" s="4">
        <v>4</v>
      </c>
      <c r="Q67" s="10">
        <f>INDEX(Factores[],MATCH(BD_Datos[[#This Row],[Quejas percibidas]],Factores[N. Quejas],0),MATCH(BD_Datos[[#This Row],[Área]],Factores[#Headers],0))</f>
        <v>1</v>
      </c>
    </row>
    <row r="68" spans="2:17" x14ac:dyDescent="0.25">
      <c r="B68" s="23" t="s">
        <v>49</v>
      </c>
      <c r="C68" s="3">
        <v>42208</v>
      </c>
      <c r="D68" s="4" t="s">
        <v>162</v>
      </c>
      <c r="E68" s="2" t="str">
        <f>VLOOKUP(BD_Datos[[#This Row],[Código Área]],Areas[],2,FALSE)</f>
        <v>Gerencia</v>
      </c>
      <c r="F68" s="5">
        <v>728000</v>
      </c>
      <c r="G68" s="2">
        <v>2</v>
      </c>
      <c r="H68" s="2">
        <v>0</v>
      </c>
      <c r="I68" s="2">
        <v>8</v>
      </c>
      <c r="J68" s="2">
        <v>3</v>
      </c>
      <c r="K68" s="2">
        <f>SUM(BD_Datos[[#This Row],[Participación]:[Liderazgo]])</f>
        <v>13</v>
      </c>
      <c r="L68" s="2" t="b">
        <f>IF(BD_Datos[[#This Row],[Calificación]]&lt;=25,FALSE,TRUE)</f>
        <v>0</v>
      </c>
      <c r="M6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6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68" s="7">
        <v>2022</v>
      </c>
      <c r="P68" s="4">
        <v>4</v>
      </c>
      <c r="Q68" s="10">
        <f>INDEX(Factores[],MATCH(BD_Datos[[#This Row],[Quejas percibidas]],Factores[N. Quejas],0),MATCH(BD_Datos[[#This Row],[Área]],Factores[#Headers],0))</f>
        <v>0.8</v>
      </c>
    </row>
    <row r="69" spans="2:17" x14ac:dyDescent="0.25">
      <c r="B69" s="23" t="s">
        <v>50</v>
      </c>
      <c r="C69" s="3">
        <v>41788</v>
      </c>
      <c r="D69" s="4" t="s">
        <v>159</v>
      </c>
      <c r="E69" s="2" t="str">
        <f>VLOOKUP(BD_Datos[[#This Row],[Código Área]],Areas[],2,FALSE)</f>
        <v>Finanzas</v>
      </c>
      <c r="F69" s="5">
        <v>700000</v>
      </c>
      <c r="G69" s="2">
        <v>2</v>
      </c>
      <c r="H69" s="2">
        <v>5</v>
      </c>
      <c r="I69" s="2">
        <v>3</v>
      </c>
      <c r="J69" s="2">
        <v>8</v>
      </c>
      <c r="K69" s="2">
        <f>SUM(BD_Datos[[#This Row],[Participación]:[Liderazgo]])</f>
        <v>18</v>
      </c>
      <c r="L69" s="2" t="b">
        <f>IF(BD_Datos[[#This Row],[Calificación]]&lt;=25,FALSE,TRUE)</f>
        <v>0</v>
      </c>
      <c r="M69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69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69" s="7">
        <v>3250</v>
      </c>
      <c r="P69" s="4">
        <v>3</v>
      </c>
      <c r="Q69" s="10">
        <f>INDEX(Factores[],MATCH(BD_Datos[[#This Row],[Quejas percibidas]],Factores[N. Quejas],0),MATCH(BD_Datos[[#This Row],[Área]],Factores[#Headers],0))</f>
        <v>0.7</v>
      </c>
    </row>
    <row r="70" spans="2:17" x14ac:dyDescent="0.25">
      <c r="B70" s="23" t="s">
        <v>51</v>
      </c>
      <c r="C70" s="3">
        <v>42044</v>
      </c>
      <c r="D70" s="4" t="s">
        <v>163</v>
      </c>
      <c r="E70" s="2" t="str">
        <f>VLOOKUP(BD_Datos[[#This Row],[Código Área]],Areas[],2,FALSE)</f>
        <v>Transportes</v>
      </c>
      <c r="F70" s="5">
        <v>2250000</v>
      </c>
      <c r="G70" s="2">
        <v>6</v>
      </c>
      <c r="H70" s="2">
        <v>4</v>
      </c>
      <c r="I70" s="2">
        <v>8</v>
      </c>
      <c r="J70" s="2">
        <v>8</v>
      </c>
      <c r="K70" s="2">
        <f>SUM(BD_Datos[[#This Row],[Participación]:[Liderazgo]])</f>
        <v>26</v>
      </c>
      <c r="L70" s="2" t="b">
        <f>IF(BD_Datos[[#This Row],[Calificación]]&lt;=25,FALSE,TRUE)</f>
        <v>1</v>
      </c>
      <c r="M70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110869.56521739131</v>
      </c>
      <c r="N70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113128.49162011173</v>
      </c>
      <c r="O70" s="7">
        <v>2811</v>
      </c>
      <c r="P70" s="4">
        <v>4</v>
      </c>
      <c r="Q70" s="10">
        <f>INDEX(Factores[],MATCH(BD_Datos[[#This Row],[Quejas percibidas]],Factores[N. Quejas],0),MATCH(BD_Datos[[#This Row],[Área]],Factores[#Headers],0))</f>
        <v>0.4</v>
      </c>
    </row>
    <row r="71" spans="2:17" x14ac:dyDescent="0.25">
      <c r="B71" s="23" t="s">
        <v>52</v>
      </c>
      <c r="C71" s="3">
        <v>41454</v>
      </c>
      <c r="D71" s="4" t="s">
        <v>164</v>
      </c>
      <c r="E71" s="2" t="str">
        <f>VLOOKUP(BD_Datos[[#This Row],[Código Área]],Areas[],2,FALSE)</f>
        <v>Proyectos</v>
      </c>
      <c r="F71" s="5">
        <v>1732500.0000000002</v>
      </c>
      <c r="G71" s="2">
        <v>6</v>
      </c>
      <c r="H71" s="2">
        <v>8</v>
      </c>
      <c r="I71" s="2">
        <v>6</v>
      </c>
      <c r="J71" s="2">
        <v>7</v>
      </c>
      <c r="K71" s="2">
        <f>SUM(BD_Datos[[#This Row],[Participación]:[Liderazgo]])</f>
        <v>27</v>
      </c>
      <c r="L71" s="2" t="b">
        <f>IF(BD_Datos[[#This Row],[Calificación]]&lt;=25,FALSE,TRUE)</f>
        <v>1</v>
      </c>
      <c r="M71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85369.565217391326</v>
      </c>
      <c r="N71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87108.938547486046</v>
      </c>
      <c r="O71" s="7">
        <v>4234</v>
      </c>
      <c r="P71" s="4">
        <v>4</v>
      </c>
      <c r="Q71" s="10">
        <f>INDEX(Factores[],MATCH(BD_Datos[[#This Row],[Quejas percibidas]],Factores[N. Quejas],0),MATCH(BD_Datos[[#This Row],[Área]],Factores[#Headers],0))</f>
        <v>0.5</v>
      </c>
    </row>
    <row r="72" spans="2:17" x14ac:dyDescent="0.25">
      <c r="B72" s="23" t="s">
        <v>53</v>
      </c>
      <c r="C72" s="3">
        <v>42712</v>
      </c>
      <c r="D72" s="4" t="s">
        <v>160</v>
      </c>
      <c r="E72" s="2" t="str">
        <f>VLOOKUP(BD_Datos[[#This Row],[Código Área]],Areas[],2,FALSE)</f>
        <v>Marketing</v>
      </c>
      <c r="F72" s="5">
        <v>2464000.0000000005</v>
      </c>
      <c r="G72" s="2">
        <v>10</v>
      </c>
      <c r="H72" s="2">
        <v>1</v>
      </c>
      <c r="I72" s="2">
        <v>9</v>
      </c>
      <c r="J72" s="2">
        <v>1</v>
      </c>
      <c r="K72" s="2">
        <f>SUM(BD_Datos[[#This Row],[Participación]:[Liderazgo]])</f>
        <v>21</v>
      </c>
      <c r="L72" s="2" t="b">
        <f>IF(BD_Datos[[#This Row],[Calificación]]&lt;=25,FALSE,TRUE)</f>
        <v>0</v>
      </c>
      <c r="M7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7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72" s="7">
        <v>4804</v>
      </c>
      <c r="P72" s="4">
        <v>1</v>
      </c>
      <c r="Q72" s="10">
        <f>INDEX(Factores[],MATCH(BD_Datos[[#This Row],[Quejas percibidas]],Factores[N. Quejas],0),MATCH(BD_Datos[[#This Row],[Área]],Factores[#Headers],0))</f>
        <v>0.1</v>
      </c>
    </row>
    <row r="73" spans="2:17" x14ac:dyDescent="0.25">
      <c r="B73" s="23" t="s">
        <v>54</v>
      </c>
      <c r="C73" s="3">
        <v>42682</v>
      </c>
      <c r="D73" s="4" t="s">
        <v>160</v>
      </c>
      <c r="E73" s="2" t="str">
        <f>VLOOKUP(BD_Datos[[#This Row],[Código Área]],Areas[],2,FALSE)</f>
        <v>Marketing</v>
      </c>
      <c r="F73" s="5">
        <v>1500000</v>
      </c>
      <c r="G73" s="2">
        <v>2</v>
      </c>
      <c r="H73" s="2">
        <v>6</v>
      </c>
      <c r="I73" s="2">
        <v>3</v>
      </c>
      <c r="J73" s="2">
        <v>9</v>
      </c>
      <c r="K73" s="2">
        <f>SUM(BD_Datos[[#This Row],[Participación]:[Liderazgo]])</f>
        <v>20</v>
      </c>
      <c r="L73" s="2" t="b">
        <f>IF(BD_Datos[[#This Row],[Calificación]]&lt;=25,FALSE,TRUE)</f>
        <v>0</v>
      </c>
      <c r="M7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7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73" s="7">
        <v>3070</v>
      </c>
      <c r="P73" s="4">
        <v>1</v>
      </c>
      <c r="Q73" s="10">
        <f>INDEX(Factores[],MATCH(BD_Datos[[#This Row],[Quejas percibidas]],Factores[N. Quejas],0),MATCH(BD_Datos[[#This Row],[Área]],Factores[#Headers],0))</f>
        <v>0.1</v>
      </c>
    </row>
    <row r="74" spans="2:17" x14ac:dyDescent="0.25">
      <c r="B74" s="23" t="s">
        <v>55</v>
      </c>
      <c r="C74" s="3">
        <v>42187</v>
      </c>
      <c r="D74" s="4" t="s">
        <v>161</v>
      </c>
      <c r="E74" s="2" t="str">
        <f>VLOOKUP(BD_Datos[[#This Row],[Código Área]],Areas[],2,FALSE)</f>
        <v>Administración</v>
      </c>
      <c r="F74" s="5">
        <v>700000</v>
      </c>
      <c r="G74" s="2">
        <v>9</v>
      </c>
      <c r="H74" s="2">
        <v>1</v>
      </c>
      <c r="I74" s="2">
        <v>10</v>
      </c>
      <c r="J74" s="2">
        <v>3</v>
      </c>
      <c r="K74" s="2">
        <f>SUM(BD_Datos[[#This Row],[Participación]:[Liderazgo]])</f>
        <v>23</v>
      </c>
      <c r="L74" s="2" t="b">
        <f>IF(BD_Datos[[#This Row],[Calificación]]&lt;=25,FALSE,TRUE)</f>
        <v>0</v>
      </c>
      <c r="M7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7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74" s="7">
        <v>5442</v>
      </c>
      <c r="P74" s="4">
        <v>1</v>
      </c>
      <c r="Q74" s="10">
        <f>INDEX(Factores[],MATCH(BD_Datos[[#This Row],[Quejas percibidas]],Factores[N. Quejas],0),MATCH(BD_Datos[[#This Row],[Área]],Factores[#Headers],0))</f>
        <v>0.4</v>
      </c>
    </row>
    <row r="75" spans="2:17" x14ac:dyDescent="0.25">
      <c r="B75" s="23" t="s">
        <v>56</v>
      </c>
      <c r="C75" s="3">
        <v>41354</v>
      </c>
      <c r="D75" s="4" t="s">
        <v>162</v>
      </c>
      <c r="E75" s="2" t="str">
        <f>VLOOKUP(BD_Datos[[#This Row],[Código Área]],Areas[],2,FALSE)</f>
        <v>Gerencia</v>
      </c>
      <c r="F75" s="5">
        <v>870000</v>
      </c>
      <c r="G75" s="2">
        <v>10</v>
      </c>
      <c r="H75" s="2">
        <v>3</v>
      </c>
      <c r="I75" s="2">
        <v>6</v>
      </c>
      <c r="J75" s="2">
        <v>4</v>
      </c>
      <c r="K75" s="2">
        <f>SUM(BD_Datos[[#This Row],[Participación]:[Liderazgo]])</f>
        <v>23</v>
      </c>
      <c r="L75" s="2" t="b">
        <f>IF(BD_Datos[[#This Row],[Calificación]]&lt;=25,FALSE,TRUE)</f>
        <v>0</v>
      </c>
      <c r="M7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7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75" s="7">
        <v>248</v>
      </c>
      <c r="P75" s="4">
        <v>2</v>
      </c>
      <c r="Q75" s="10">
        <f>INDEX(Factores[],MATCH(BD_Datos[[#This Row],[Quejas percibidas]],Factores[N. Quejas],0),MATCH(BD_Datos[[#This Row],[Área]],Factores[#Headers],0))</f>
        <v>0.4</v>
      </c>
    </row>
    <row r="76" spans="2:17" x14ac:dyDescent="0.25">
      <c r="B76" s="23" t="s">
        <v>57</v>
      </c>
      <c r="C76" s="3">
        <v>42719</v>
      </c>
      <c r="D76" s="4" t="s">
        <v>163</v>
      </c>
      <c r="E76" s="2" t="str">
        <f>VLOOKUP(BD_Datos[[#This Row],[Código Área]],Areas[],2,FALSE)</f>
        <v>Transportes</v>
      </c>
      <c r="F76" s="5">
        <v>1050000</v>
      </c>
      <c r="G76" s="2">
        <v>10</v>
      </c>
      <c r="H76" s="2">
        <v>8</v>
      </c>
      <c r="I76" s="2">
        <v>8</v>
      </c>
      <c r="J76" s="2">
        <v>1</v>
      </c>
      <c r="K76" s="2">
        <f>SUM(BD_Datos[[#This Row],[Participación]:[Liderazgo]])</f>
        <v>27</v>
      </c>
      <c r="L76" s="2" t="b">
        <f>IF(BD_Datos[[#This Row],[Calificación]]&lt;=25,FALSE,TRUE)</f>
        <v>1</v>
      </c>
      <c r="M76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35000</v>
      </c>
      <c r="N76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52793.296089385476</v>
      </c>
      <c r="O76" s="7">
        <v>1540</v>
      </c>
      <c r="P76" s="4">
        <v>1</v>
      </c>
      <c r="Q76" s="10">
        <f>INDEX(Factores[],MATCH(BD_Datos[[#This Row],[Quejas percibidas]],Factores[N. Quejas],0),MATCH(BD_Datos[[#This Row],[Área]],Factores[#Headers],0))</f>
        <v>0.1</v>
      </c>
    </row>
    <row r="77" spans="2:17" x14ac:dyDescent="0.25">
      <c r="B77" s="23" t="s">
        <v>58</v>
      </c>
      <c r="C77" s="3">
        <v>41680</v>
      </c>
      <c r="D77" s="4" t="s">
        <v>161</v>
      </c>
      <c r="E77" s="2" t="str">
        <f>VLOOKUP(BD_Datos[[#This Row],[Código Área]],Areas[],2,FALSE)</f>
        <v>Administración</v>
      </c>
      <c r="F77" s="5">
        <v>640000</v>
      </c>
      <c r="G77" s="2">
        <v>9</v>
      </c>
      <c r="H77" s="2">
        <v>5</v>
      </c>
      <c r="I77" s="2">
        <v>3</v>
      </c>
      <c r="J77" s="2">
        <v>1</v>
      </c>
      <c r="K77" s="2">
        <f>SUM(BD_Datos[[#This Row],[Participación]:[Liderazgo]])</f>
        <v>18</v>
      </c>
      <c r="L77" s="2" t="b">
        <f>IF(BD_Datos[[#This Row],[Calificación]]&lt;=25,FALSE,TRUE)</f>
        <v>0</v>
      </c>
      <c r="M7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7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77" s="7">
        <v>4545</v>
      </c>
      <c r="P77" s="4">
        <v>1</v>
      </c>
      <c r="Q77" s="10">
        <f>INDEX(Factores[],MATCH(BD_Datos[[#This Row],[Quejas percibidas]],Factores[N. Quejas],0),MATCH(BD_Datos[[#This Row],[Área]],Factores[#Headers],0))</f>
        <v>0.4</v>
      </c>
    </row>
    <row r="78" spans="2:17" x14ac:dyDescent="0.25">
      <c r="B78" s="23" t="s">
        <v>59</v>
      </c>
      <c r="C78" s="3">
        <v>41927</v>
      </c>
      <c r="D78" s="4" t="s">
        <v>161</v>
      </c>
      <c r="E78" s="2" t="str">
        <f>VLOOKUP(BD_Datos[[#This Row],[Código Área]],Areas[],2,FALSE)</f>
        <v>Administración</v>
      </c>
      <c r="F78" s="5">
        <v>820000</v>
      </c>
      <c r="G78" s="2">
        <v>10</v>
      </c>
      <c r="H78" s="2">
        <v>0</v>
      </c>
      <c r="I78" s="2">
        <v>7</v>
      </c>
      <c r="J78" s="2">
        <v>9</v>
      </c>
      <c r="K78" s="2">
        <f>SUM(BD_Datos[[#This Row],[Participación]:[Liderazgo]])</f>
        <v>26</v>
      </c>
      <c r="L78" s="2" t="b">
        <f>IF(BD_Datos[[#This Row],[Calificación]]&lt;=25,FALSE,TRUE)</f>
        <v>1</v>
      </c>
      <c r="M78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40405.79710144928</v>
      </c>
      <c r="N78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41229.050279329611</v>
      </c>
      <c r="O78" s="7">
        <v>5393</v>
      </c>
      <c r="P78" s="4">
        <v>4</v>
      </c>
      <c r="Q78" s="10">
        <f>INDEX(Factores[],MATCH(BD_Datos[[#This Row],[Quejas percibidas]],Factores[N. Quejas],0),MATCH(BD_Datos[[#This Row],[Área]],Factores[#Headers],0))</f>
        <v>0.9</v>
      </c>
    </row>
    <row r="79" spans="2:17" x14ac:dyDescent="0.25">
      <c r="B79" s="23" t="s">
        <v>60</v>
      </c>
      <c r="C79" s="3">
        <v>41895</v>
      </c>
      <c r="D79" s="4" t="s">
        <v>159</v>
      </c>
      <c r="E79" s="2" t="str">
        <f>VLOOKUP(BD_Datos[[#This Row],[Código Área]],Areas[],2,FALSE)</f>
        <v>Finanzas</v>
      </c>
      <c r="F79" s="5">
        <v>2100000</v>
      </c>
      <c r="G79" s="2">
        <v>3</v>
      </c>
      <c r="H79" s="2">
        <v>9</v>
      </c>
      <c r="I79" s="2">
        <v>10</v>
      </c>
      <c r="J79" s="2">
        <v>10</v>
      </c>
      <c r="K79" s="2">
        <f>SUM(BD_Datos[[#This Row],[Participación]:[Liderazgo]])</f>
        <v>32</v>
      </c>
      <c r="L79" s="2" t="b">
        <f>IF(BD_Datos[[#This Row],[Calificación]]&lt;=25,FALSE,TRUE)</f>
        <v>1</v>
      </c>
      <c r="M79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70000</v>
      </c>
      <c r="N79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108808.29015544041</v>
      </c>
      <c r="O79" s="7">
        <v>263</v>
      </c>
      <c r="P79" s="4">
        <v>1</v>
      </c>
      <c r="Q79" s="10">
        <f>INDEX(Factores[],MATCH(BD_Datos[[#This Row],[Quejas percibidas]],Factores[N. Quejas],0),MATCH(BD_Datos[[#This Row],[Área]],Factores[#Headers],0))</f>
        <v>0.2</v>
      </c>
    </row>
    <row r="80" spans="2:17" x14ac:dyDescent="0.25">
      <c r="B80" s="23" t="s">
        <v>61</v>
      </c>
      <c r="C80" s="3">
        <v>42465</v>
      </c>
      <c r="D80" s="4" t="s">
        <v>161</v>
      </c>
      <c r="E80" s="2" t="str">
        <f>VLOOKUP(BD_Datos[[#This Row],[Código Área]],Areas[],2,FALSE)</f>
        <v>Administración</v>
      </c>
      <c r="F80" s="5">
        <v>960000</v>
      </c>
      <c r="G80" s="2">
        <v>4</v>
      </c>
      <c r="H80" s="2">
        <v>8</v>
      </c>
      <c r="I80" s="2">
        <v>3</v>
      </c>
      <c r="J80" s="2">
        <v>5</v>
      </c>
      <c r="K80" s="2">
        <f>SUM(BD_Datos[[#This Row],[Participación]:[Liderazgo]])</f>
        <v>20</v>
      </c>
      <c r="L80" s="2" t="b">
        <f>IF(BD_Datos[[#This Row],[Calificación]]&lt;=25,FALSE,TRUE)</f>
        <v>0</v>
      </c>
      <c r="M80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80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80" s="7">
        <v>3706</v>
      </c>
      <c r="P80" s="4">
        <v>2</v>
      </c>
      <c r="Q80" s="10">
        <f>INDEX(Factores[],MATCH(BD_Datos[[#This Row],[Quejas percibidas]],Factores[N. Quejas],0),MATCH(BD_Datos[[#This Row],[Área]],Factores[#Headers],0))</f>
        <v>0.6</v>
      </c>
    </row>
    <row r="81" spans="2:17" x14ac:dyDescent="0.25">
      <c r="B81" s="23" t="s">
        <v>62</v>
      </c>
      <c r="C81" s="3">
        <v>42166</v>
      </c>
      <c r="D81" s="4" t="s">
        <v>164</v>
      </c>
      <c r="E81" s="2" t="str">
        <f>VLOOKUP(BD_Datos[[#This Row],[Código Área]],Areas[],2,FALSE)</f>
        <v>Proyectos</v>
      </c>
      <c r="F81" s="5">
        <v>750000</v>
      </c>
      <c r="G81" s="2">
        <v>10</v>
      </c>
      <c r="H81" s="2">
        <v>10</v>
      </c>
      <c r="I81" s="2">
        <v>1</v>
      </c>
      <c r="J81" s="2">
        <v>6</v>
      </c>
      <c r="K81" s="2">
        <f>SUM(BD_Datos[[#This Row],[Participación]:[Liderazgo]])</f>
        <v>27</v>
      </c>
      <c r="L81" s="2" t="b">
        <f>IF(BD_Datos[[#This Row],[Calificación]]&lt;=25,FALSE,TRUE)</f>
        <v>1</v>
      </c>
      <c r="M81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25000</v>
      </c>
      <c r="N81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37709.497206703913</v>
      </c>
      <c r="O81" s="7">
        <v>4443</v>
      </c>
      <c r="P81" s="4">
        <v>2</v>
      </c>
      <c r="Q81" s="10">
        <f>INDEX(Factores[],MATCH(BD_Datos[[#This Row],[Quejas percibidas]],Factores[N. Quejas],0),MATCH(BD_Datos[[#This Row],[Área]],Factores[#Headers],0))</f>
        <v>0.3</v>
      </c>
    </row>
    <row r="82" spans="2:17" x14ac:dyDescent="0.25">
      <c r="B82" s="23" t="s">
        <v>63</v>
      </c>
      <c r="C82" s="3">
        <v>42263</v>
      </c>
      <c r="D82" s="4" t="s">
        <v>163</v>
      </c>
      <c r="E82" s="2" t="str">
        <f>VLOOKUP(BD_Datos[[#This Row],[Código Área]],Areas[],2,FALSE)</f>
        <v>Transportes</v>
      </c>
      <c r="F82" s="5">
        <v>580000</v>
      </c>
      <c r="G82" s="2">
        <v>5</v>
      </c>
      <c r="H82" s="2">
        <v>8</v>
      </c>
      <c r="I82" s="2">
        <v>4</v>
      </c>
      <c r="J82" s="2">
        <v>10</v>
      </c>
      <c r="K82" s="2">
        <f>SUM(BD_Datos[[#This Row],[Participación]:[Liderazgo]])</f>
        <v>27</v>
      </c>
      <c r="L82" s="2" t="b">
        <f>IF(BD_Datos[[#This Row],[Calificación]]&lt;=25,FALSE,TRUE)</f>
        <v>1</v>
      </c>
      <c r="M82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19333.333333333332</v>
      </c>
      <c r="N82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29162.011173184357</v>
      </c>
      <c r="O82" s="7">
        <v>5223</v>
      </c>
      <c r="P82" s="4">
        <v>1</v>
      </c>
      <c r="Q82" s="10">
        <f>INDEX(Factores[],MATCH(BD_Datos[[#This Row],[Quejas percibidas]],Factores[N. Quejas],0),MATCH(BD_Datos[[#This Row],[Área]],Factores[#Headers],0))</f>
        <v>0.1</v>
      </c>
    </row>
    <row r="83" spans="2:17" x14ac:dyDescent="0.25">
      <c r="B83" s="23" t="s">
        <v>64</v>
      </c>
      <c r="C83" s="3">
        <v>41531</v>
      </c>
      <c r="D83" s="4" t="s">
        <v>160</v>
      </c>
      <c r="E83" s="2" t="str">
        <f>VLOOKUP(BD_Datos[[#This Row],[Código Área]],Areas[],2,FALSE)</f>
        <v>Marketing</v>
      </c>
      <c r="F83" s="5">
        <v>1350000</v>
      </c>
      <c r="G83" s="2">
        <v>4</v>
      </c>
      <c r="H83" s="2">
        <v>2</v>
      </c>
      <c r="I83" s="2">
        <v>7</v>
      </c>
      <c r="J83" s="2">
        <v>3</v>
      </c>
      <c r="K83" s="2">
        <f>SUM(BD_Datos[[#This Row],[Participación]:[Liderazgo]])</f>
        <v>16</v>
      </c>
      <c r="L83" s="2" t="b">
        <f>IF(BD_Datos[[#This Row],[Calificación]]&lt;=25,FALSE,TRUE)</f>
        <v>0</v>
      </c>
      <c r="M8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8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83" s="7">
        <v>3469</v>
      </c>
      <c r="P83" s="4">
        <v>2</v>
      </c>
      <c r="Q83" s="10">
        <f>INDEX(Factores[],MATCH(BD_Datos[[#This Row],[Quejas percibidas]],Factores[N. Quejas],0),MATCH(BD_Datos[[#This Row],[Área]],Factores[#Headers],0))</f>
        <v>0.2</v>
      </c>
    </row>
    <row r="84" spans="2:17" x14ac:dyDescent="0.25">
      <c r="B84" s="23" t="s">
        <v>65</v>
      </c>
      <c r="C84" s="3">
        <v>42455</v>
      </c>
      <c r="D84" s="4" t="s">
        <v>162</v>
      </c>
      <c r="E84" s="2" t="str">
        <f>VLOOKUP(BD_Datos[[#This Row],[Código Área]],Areas[],2,FALSE)</f>
        <v>Gerencia</v>
      </c>
      <c r="F84" s="5">
        <v>1120000</v>
      </c>
      <c r="G84" s="2">
        <v>2</v>
      </c>
      <c r="H84" s="2">
        <v>1</v>
      </c>
      <c r="I84" s="2">
        <v>0</v>
      </c>
      <c r="J84" s="2">
        <v>4</v>
      </c>
      <c r="K84" s="2">
        <f>SUM(BD_Datos[[#This Row],[Participación]:[Liderazgo]])</f>
        <v>7</v>
      </c>
      <c r="L84" s="2" t="b">
        <f>IF(BD_Datos[[#This Row],[Calificación]]&lt;=25,FALSE,TRUE)</f>
        <v>0</v>
      </c>
      <c r="M8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8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84" s="7">
        <v>1535</v>
      </c>
      <c r="P84" s="4">
        <v>3</v>
      </c>
      <c r="Q84" s="10">
        <f>INDEX(Factores[],MATCH(BD_Datos[[#This Row],[Quejas percibidas]],Factores[N. Quejas],0),MATCH(BD_Datos[[#This Row],[Área]],Factores[#Headers],0))</f>
        <v>0.6</v>
      </c>
    </row>
    <row r="85" spans="2:17" x14ac:dyDescent="0.25">
      <c r="B85" s="23" t="s">
        <v>66</v>
      </c>
      <c r="C85" s="3">
        <v>42047</v>
      </c>
      <c r="D85" s="4" t="s">
        <v>159</v>
      </c>
      <c r="E85" s="2" t="str">
        <f>VLOOKUP(BD_Datos[[#This Row],[Código Área]],Areas[],2,FALSE)</f>
        <v>Finanzas</v>
      </c>
      <c r="F85" s="5">
        <v>970000</v>
      </c>
      <c r="G85" s="2">
        <v>2</v>
      </c>
      <c r="H85" s="2">
        <v>3</v>
      </c>
      <c r="I85" s="2">
        <v>6</v>
      </c>
      <c r="J85" s="2">
        <v>2</v>
      </c>
      <c r="K85" s="2">
        <f>SUM(BD_Datos[[#This Row],[Participación]:[Liderazgo]])</f>
        <v>13</v>
      </c>
      <c r="L85" s="2" t="b">
        <f>IF(BD_Datos[[#This Row],[Calificación]]&lt;=25,FALSE,TRUE)</f>
        <v>0</v>
      </c>
      <c r="M8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8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85" s="7">
        <v>1731</v>
      </c>
      <c r="P85" s="4">
        <v>2</v>
      </c>
      <c r="Q85" s="10">
        <f>INDEX(Factores[],MATCH(BD_Datos[[#This Row],[Quejas percibidas]],Factores[N. Quejas],0),MATCH(BD_Datos[[#This Row],[Área]],Factores[#Headers],0))</f>
        <v>0.5</v>
      </c>
    </row>
    <row r="86" spans="2:17" x14ac:dyDescent="0.25">
      <c r="B86" s="23" t="s">
        <v>67</v>
      </c>
      <c r="C86" s="3">
        <v>42184</v>
      </c>
      <c r="D86" s="4" t="s">
        <v>160</v>
      </c>
      <c r="E86" s="2" t="str">
        <f>VLOOKUP(BD_Datos[[#This Row],[Código Área]],Areas[],2,FALSE)</f>
        <v>Marketing</v>
      </c>
      <c r="F86" s="5">
        <v>1040000</v>
      </c>
      <c r="G86" s="2">
        <v>10</v>
      </c>
      <c r="H86" s="2">
        <v>4</v>
      </c>
      <c r="I86" s="2">
        <v>7</v>
      </c>
      <c r="J86" s="2">
        <v>4</v>
      </c>
      <c r="K86" s="2">
        <f>SUM(BD_Datos[[#This Row],[Participación]:[Liderazgo]])</f>
        <v>25</v>
      </c>
      <c r="L86" s="2" t="b">
        <f>IF(BD_Datos[[#This Row],[Calificación]]&lt;=25,FALSE,TRUE)</f>
        <v>0</v>
      </c>
      <c r="M8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8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86" s="7">
        <v>2964</v>
      </c>
      <c r="P86" s="4">
        <v>2</v>
      </c>
      <c r="Q86" s="10">
        <f>INDEX(Factores[],MATCH(BD_Datos[[#This Row],[Quejas percibidas]],Factores[N. Quejas],0),MATCH(BD_Datos[[#This Row],[Área]],Factores[#Headers],0))</f>
        <v>0.2</v>
      </c>
    </row>
    <row r="87" spans="2:17" x14ac:dyDescent="0.25">
      <c r="B87" s="23" t="s">
        <v>68</v>
      </c>
      <c r="C87" s="3">
        <v>42123</v>
      </c>
      <c r="D87" s="4" t="s">
        <v>164</v>
      </c>
      <c r="E87" s="2" t="str">
        <f>VLOOKUP(BD_Datos[[#This Row],[Código Área]],Areas[],2,FALSE)</f>
        <v>Proyectos</v>
      </c>
      <c r="F87" s="5">
        <v>1750000</v>
      </c>
      <c r="G87" s="2">
        <v>9</v>
      </c>
      <c r="H87" s="2">
        <v>0</v>
      </c>
      <c r="I87" s="2">
        <v>2</v>
      </c>
      <c r="J87" s="2">
        <v>6</v>
      </c>
      <c r="K87" s="2">
        <f>SUM(BD_Datos[[#This Row],[Participación]:[Liderazgo]])</f>
        <v>17</v>
      </c>
      <c r="L87" s="2" t="b">
        <f>IF(BD_Datos[[#This Row],[Calificación]]&lt;=25,FALSE,TRUE)</f>
        <v>0</v>
      </c>
      <c r="M8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8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87" s="7">
        <v>2904</v>
      </c>
      <c r="P87" s="4">
        <v>4</v>
      </c>
      <c r="Q87" s="10">
        <f>INDEX(Factores[],MATCH(BD_Datos[[#This Row],[Quejas percibidas]],Factores[N. Quejas],0),MATCH(BD_Datos[[#This Row],[Área]],Factores[#Headers],0))</f>
        <v>0.5</v>
      </c>
    </row>
    <row r="88" spans="2:17" x14ac:dyDescent="0.25">
      <c r="B88" s="23" t="s">
        <v>69</v>
      </c>
      <c r="C88" s="3">
        <v>42631</v>
      </c>
      <c r="D88" s="4" t="s">
        <v>160</v>
      </c>
      <c r="E88" s="2" t="str">
        <f>VLOOKUP(BD_Datos[[#This Row],[Código Área]],Areas[],2,FALSE)</f>
        <v>Marketing</v>
      </c>
      <c r="F88" s="5">
        <v>1500000</v>
      </c>
      <c r="G88" s="2">
        <v>7</v>
      </c>
      <c r="H88" s="2">
        <v>5</v>
      </c>
      <c r="I88" s="2">
        <v>8</v>
      </c>
      <c r="J88" s="2">
        <v>3</v>
      </c>
      <c r="K88" s="2">
        <f>SUM(BD_Datos[[#This Row],[Participación]:[Liderazgo]])</f>
        <v>23</v>
      </c>
      <c r="L88" s="2" t="b">
        <f>IF(BD_Datos[[#This Row],[Calificación]]&lt;=25,FALSE,TRUE)</f>
        <v>0</v>
      </c>
      <c r="M8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8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88" s="7">
        <v>1765</v>
      </c>
      <c r="P88" s="4">
        <v>2</v>
      </c>
      <c r="Q88" s="10">
        <f>INDEX(Factores[],MATCH(BD_Datos[[#This Row],[Quejas percibidas]],Factores[N. Quejas],0),MATCH(BD_Datos[[#This Row],[Área]],Factores[#Headers],0))</f>
        <v>0.2</v>
      </c>
    </row>
    <row r="89" spans="2:17" x14ac:dyDescent="0.25">
      <c r="B89" s="23" t="s">
        <v>70</v>
      </c>
      <c r="C89" s="3">
        <v>41521</v>
      </c>
      <c r="D89" s="4" t="s">
        <v>159</v>
      </c>
      <c r="E89" s="2" t="str">
        <f>VLOOKUP(BD_Datos[[#This Row],[Código Área]],Areas[],2,FALSE)</f>
        <v>Finanzas</v>
      </c>
      <c r="F89" s="5">
        <v>1575000</v>
      </c>
      <c r="G89" s="2">
        <v>7</v>
      </c>
      <c r="H89" s="2">
        <v>3</v>
      </c>
      <c r="I89" s="2">
        <v>8</v>
      </c>
      <c r="J89" s="2">
        <v>6</v>
      </c>
      <c r="K89" s="2">
        <f>SUM(BD_Datos[[#This Row],[Participación]:[Liderazgo]])</f>
        <v>24</v>
      </c>
      <c r="L89" s="2" t="b">
        <f>IF(BD_Datos[[#This Row],[Calificación]]&lt;=25,FALSE,TRUE)</f>
        <v>0</v>
      </c>
      <c r="M89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89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89" s="7">
        <v>4166</v>
      </c>
      <c r="P89" s="4">
        <v>2</v>
      </c>
      <c r="Q89" s="10">
        <f>INDEX(Factores[],MATCH(BD_Datos[[#This Row],[Quejas percibidas]],Factores[N. Quejas],0),MATCH(BD_Datos[[#This Row],[Área]],Factores[#Headers],0))</f>
        <v>0.5</v>
      </c>
    </row>
    <row r="90" spans="2:17" x14ac:dyDescent="0.25">
      <c r="B90" s="23" t="s">
        <v>71</v>
      </c>
      <c r="C90" s="3">
        <v>41719</v>
      </c>
      <c r="D90" s="4" t="s">
        <v>162</v>
      </c>
      <c r="E90" s="2" t="str">
        <f>VLOOKUP(BD_Datos[[#This Row],[Código Área]],Areas[],2,FALSE)</f>
        <v>Gerencia</v>
      </c>
      <c r="F90" s="5">
        <v>770000.00000000012</v>
      </c>
      <c r="G90" s="2">
        <v>6</v>
      </c>
      <c r="H90" s="2">
        <v>1</v>
      </c>
      <c r="I90" s="2">
        <v>3</v>
      </c>
      <c r="J90" s="2">
        <v>3</v>
      </c>
      <c r="K90" s="2">
        <f>SUM(BD_Datos[[#This Row],[Participación]:[Liderazgo]])</f>
        <v>13</v>
      </c>
      <c r="L90" s="2" t="b">
        <f>IF(BD_Datos[[#This Row],[Calificación]]&lt;=25,FALSE,TRUE)</f>
        <v>0</v>
      </c>
      <c r="M90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90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90" s="7">
        <v>2489</v>
      </c>
      <c r="P90" s="4">
        <v>4</v>
      </c>
      <c r="Q90" s="10">
        <f>INDEX(Factores[],MATCH(BD_Datos[[#This Row],[Quejas percibidas]],Factores[N. Quejas],0),MATCH(BD_Datos[[#This Row],[Área]],Factores[#Headers],0))</f>
        <v>0.8</v>
      </c>
    </row>
    <row r="91" spans="2:17" x14ac:dyDescent="0.25">
      <c r="B91" s="23" t="s">
        <v>72</v>
      </c>
      <c r="C91" s="3">
        <v>42597</v>
      </c>
      <c r="D91" s="4" t="s">
        <v>163</v>
      </c>
      <c r="E91" s="2" t="str">
        <f>VLOOKUP(BD_Datos[[#This Row],[Código Área]],Areas[],2,FALSE)</f>
        <v>Transportes</v>
      </c>
      <c r="F91" s="5">
        <v>1000499.9999999999</v>
      </c>
      <c r="G91" s="2">
        <v>0</v>
      </c>
      <c r="H91" s="2">
        <v>7</v>
      </c>
      <c r="I91" s="2">
        <v>4</v>
      </c>
      <c r="J91" s="2">
        <v>1</v>
      </c>
      <c r="K91" s="2">
        <f>SUM(BD_Datos[[#This Row],[Participación]:[Liderazgo]])</f>
        <v>12</v>
      </c>
      <c r="L91" s="2" t="b">
        <f>IF(BD_Datos[[#This Row],[Calificación]]&lt;=25,FALSE,TRUE)</f>
        <v>0</v>
      </c>
      <c r="M91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91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91" s="7">
        <v>4465</v>
      </c>
      <c r="P91" s="4">
        <v>3</v>
      </c>
      <c r="Q91" s="10">
        <f>INDEX(Factores[],MATCH(BD_Datos[[#This Row],[Quejas percibidas]],Factores[N. Quejas],0),MATCH(BD_Datos[[#This Row],[Área]],Factores[#Headers],0))</f>
        <v>0.3</v>
      </c>
    </row>
    <row r="92" spans="2:17" x14ac:dyDescent="0.25">
      <c r="B92" s="23" t="s">
        <v>73</v>
      </c>
      <c r="C92" s="3">
        <v>42447</v>
      </c>
      <c r="D92" s="4" t="s">
        <v>164</v>
      </c>
      <c r="E92" s="2" t="str">
        <f>VLOOKUP(BD_Datos[[#This Row],[Código Área]],Areas[],2,FALSE)</f>
        <v>Proyectos</v>
      </c>
      <c r="F92" s="5">
        <v>1260000</v>
      </c>
      <c r="G92" s="2">
        <v>10</v>
      </c>
      <c r="H92" s="2">
        <v>10</v>
      </c>
      <c r="I92" s="2">
        <v>1</v>
      </c>
      <c r="J92" s="2">
        <v>7</v>
      </c>
      <c r="K92" s="2">
        <f>SUM(BD_Datos[[#This Row],[Participación]:[Liderazgo]])</f>
        <v>28</v>
      </c>
      <c r="L92" s="2" t="b">
        <f>IF(BD_Datos[[#This Row],[Calificación]]&lt;=25,FALSE,TRUE)</f>
        <v>1</v>
      </c>
      <c r="M92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42000</v>
      </c>
      <c r="N92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63351.955307262571</v>
      </c>
      <c r="O92" s="7">
        <v>5314</v>
      </c>
      <c r="P92" s="4">
        <v>1</v>
      </c>
      <c r="Q92" s="10">
        <f>INDEX(Factores[],MATCH(BD_Datos[[#This Row],[Quejas percibidas]],Factores[N. Quejas],0),MATCH(BD_Datos[[#This Row],[Área]],Factores[#Headers],0))</f>
        <v>0.1</v>
      </c>
    </row>
    <row r="93" spans="2:17" x14ac:dyDescent="0.25">
      <c r="B93" s="23" t="s">
        <v>74</v>
      </c>
      <c r="C93" s="3">
        <v>42462</v>
      </c>
      <c r="D93" s="4" t="s">
        <v>160</v>
      </c>
      <c r="E93" s="2" t="str">
        <f>VLOOKUP(BD_Datos[[#This Row],[Código Área]],Areas[],2,FALSE)</f>
        <v>Marketing</v>
      </c>
      <c r="F93" s="5">
        <v>800000</v>
      </c>
      <c r="G93" s="2">
        <v>5</v>
      </c>
      <c r="H93" s="2">
        <v>3</v>
      </c>
      <c r="I93" s="2">
        <v>7</v>
      </c>
      <c r="J93" s="2">
        <v>10</v>
      </c>
      <c r="K93" s="2">
        <f>SUM(BD_Datos[[#This Row],[Participación]:[Liderazgo]])</f>
        <v>25</v>
      </c>
      <c r="L93" s="2" t="b">
        <f>IF(BD_Datos[[#This Row],[Calificación]]&lt;=25,FALSE,TRUE)</f>
        <v>0</v>
      </c>
      <c r="M9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9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93" s="7">
        <v>321</v>
      </c>
      <c r="P93" s="4">
        <v>1</v>
      </c>
      <c r="Q93" s="10">
        <f>INDEX(Factores[],MATCH(BD_Datos[[#This Row],[Quejas percibidas]],Factores[N. Quejas],0),MATCH(BD_Datos[[#This Row],[Área]],Factores[#Headers],0))</f>
        <v>0.1</v>
      </c>
    </row>
    <row r="94" spans="2:17" x14ac:dyDescent="0.25">
      <c r="B94" s="23" t="s">
        <v>75</v>
      </c>
      <c r="C94" s="3">
        <v>41535</v>
      </c>
      <c r="D94" s="4" t="s">
        <v>159</v>
      </c>
      <c r="E94" s="2" t="str">
        <f>VLOOKUP(BD_Datos[[#This Row],[Código Área]],Areas[],2,FALSE)</f>
        <v>Finanzas</v>
      </c>
      <c r="F94" s="5">
        <v>1066000</v>
      </c>
      <c r="G94" s="2">
        <v>8</v>
      </c>
      <c r="H94" s="2">
        <v>2</v>
      </c>
      <c r="I94" s="2">
        <v>1</v>
      </c>
      <c r="J94" s="2">
        <v>2</v>
      </c>
      <c r="K94" s="2">
        <f>SUM(BD_Datos[[#This Row],[Participación]:[Liderazgo]])</f>
        <v>13</v>
      </c>
      <c r="L94" s="2" t="b">
        <f>IF(BD_Datos[[#This Row],[Calificación]]&lt;=25,FALSE,TRUE)</f>
        <v>0</v>
      </c>
      <c r="M9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9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94" s="7">
        <v>1039</v>
      </c>
      <c r="P94" s="4">
        <v>2</v>
      </c>
      <c r="Q94" s="10">
        <f>INDEX(Factores[],MATCH(BD_Datos[[#This Row],[Quejas percibidas]],Factores[N. Quejas],0),MATCH(BD_Datos[[#This Row],[Área]],Factores[#Headers],0))</f>
        <v>0.5</v>
      </c>
    </row>
    <row r="95" spans="2:17" x14ac:dyDescent="0.25">
      <c r="B95" s="23" t="s">
        <v>76</v>
      </c>
      <c r="C95" s="3">
        <v>41647</v>
      </c>
      <c r="D95" s="4" t="s">
        <v>161</v>
      </c>
      <c r="E95" s="2" t="str">
        <f>VLOOKUP(BD_Datos[[#This Row],[Código Área]],Areas[],2,FALSE)</f>
        <v>Administración</v>
      </c>
      <c r="F95" s="5">
        <v>2835000</v>
      </c>
      <c r="G95" s="2">
        <v>0</v>
      </c>
      <c r="H95" s="2">
        <v>8</v>
      </c>
      <c r="I95" s="2">
        <v>4</v>
      </c>
      <c r="J95" s="2">
        <v>9</v>
      </c>
      <c r="K95" s="2">
        <f>SUM(BD_Datos[[#This Row],[Participación]:[Liderazgo]])</f>
        <v>21</v>
      </c>
      <c r="L95" s="2" t="b">
        <f>IF(BD_Datos[[#This Row],[Calificación]]&lt;=25,FALSE,TRUE)</f>
        <v>0</v>
      </c>
      <c r="M9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9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95" s="7">
        <v>4935</v>
      </c>
      <c r="P95" s="4">
        <v>3</v>
      </c>
      <c r="Q95" s="10">
        <f>INDEX(Factores[],MATCH(BD_Datos[[#This Row],[Quejas percibidas]],Factores[N. Quejas],0),MATCH(BD_Datos[[#This Row],[Área]],Factores[#Headers],0))</f>
        <v>0.7</v>
      </c>
    </row>
    <row r="96" spans="2:17" x14ac:dyDescent="0.25">
      <c r="B96" s="23" t="s">
        <v>77</v>
      </c>
      <c r="C96" s="3">
        <v>42551</v>
      </c>
      <c r="D96" s="4" t="s">
        <v>162</v>
      </c>
      <c r="E96" s="2" t="str">
        <f>VLOOKUP(BD_Datos[[#This Row],[Código Área]],Areas[],2,FALSE)</f>
        <v>Gerencia</v>
      </c>
      <c r="F96" s="5">
        <v>1344000</v>
      </c>
      <c r="G96" s="2">
        <v>5</v>
      </c>
      <c r="H96" s="2">
        <v>8</v>
      </c>
      <c r="I96" s="2">
        <v>10</v>
      </c>
      <c r="J96" s="2">
        <v>4</v>
      </c>
      <c r="K96" s="2">
        <f>SUM(BD_Datos[[#This Row],[Participación]:[Liderazgo]])</f>
        <v>27</v>
      </c>
      <c r="L96" s="2" t="b">
        <f>IF(BD_Datos[[#This Row],[Calificación]]&lt;=25,FALSE,TRUE)</f>
        <v>1</v>
      </c>
      <c r="M96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44800</v>
      </c>
      <c r="N96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67575.418994413412</v>
      </c>
      <c r="O96" s="7">
        <v>2783</v>
      </c>
      <c r="P96" s="4">
        <v>4</v>
      </c>
      <c r="Q96" s="10">
        <f>INDEX(Factores[],MATCH(BD_Datos[[#This Row],[Quejas percibidas]],Factores[N. Quejas],0),MATCH(BD_Datos[[#This Row],[Área]],Factores[#Headers],0))</f>
        <v>0.8</v>
      </c>
    </row>
    <row r="97" spans="2:17" x14ac:dyDescent="0.25">
      <c r="B97" s="23" t="s">
        <v>78</v>
      </c>
      <c r="C97" s="3">
        <v>42536</v>
      </c>
      <c r="D97" s="4" t="s">
        <v>161</v>
      </c>
      <c r="E97" s="2" t="str">
        <f>VLOOKUP(BD_Datos[[#This Row],[Código Área]],Areas[],2,FALSE)</f>
        <v>Administración</v>
      </c>
      <c r="F97" s="5">
        <v>1087500</v>
      </c>
      <c r="G97" s="2">
        <v>4</v>
      </c>
      <c r="H97" s="2">
        <v>0</v>
      </c>
      <c r="I97" s="2">
        <v>3</v>
      </c>
      <c r="J97" s="2">
        <v>4</v>
      </c>
      <c r="K97" s="2">
        <f>SUM(BD_Datos[[#This Row],[Participación]:[Liderazgo]])</f>
        <v>11</v>
      </c>
      <c r="L97" s="2" t="b">
        <f>IF(BD_Datos[[#This Row],[Calificación]]&lt;=25,FALSE,TRUE)</f>
        <v>0</v>
      </c>
      <c r="M9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9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97" s="7">
        <v>974</v>
      </c>
      <c r="P97" s="4">
        <v>1</v>
      </c>
      <c r="Q97" s="10">
        <f>INDEX(Factores[],MATCH(BD_Datos[[#This Row],[Quejas percibidas]],Factores[N. Quejas],0),MATCH(BD_Datos[[#This Row],[Área]],Factores[#Headers],0))</f>
        <v>0.4</v>
      </c>
    </row>
    <row r="98" spans="2:17" x14ac:dyDescent="0.25">
      <c r="B98" s="23" t="s">
        <v>79</v>
      </c>
      <c r="C98" s="3">
        <v>41857</v>
      </c>
      <c r="D98" s="4" t="s">
        <v>160</v>
      </c>
      <c r="E98" s="2" t="str">
        <f>VLOOKUP(BD_Datos[[#This Row],[Código Área]],Areas[],2,FALSE)</f>
        <v>Marketing</v>
      </c>
      <c r="F98" s="5">
        <v>870000</v>
      </c>
      <c r="G98" s="2">
        <v>9</v>
      </c>
      <c r="H98" s="2">
        <v>10</v>
      </c>
      <c r="I98" s="2">
        <v>5</v>
      </c>
      <c r="J98" s="2">
        <v>2</v>
      </c>
      <c r="K98" s="2">
        <f>SUM(BD_Datos[[#This Row],[Participación]:[Liderazgo]])</f>
        <v>26</v>
      </c>
      <c r="L98" s="2" t="b">
        <f>IF(BD_Datos[[#This Row],[Calificación]]&lt;=25,FALSE,TRUE)</f>
        <v>1</v>
      </c>
      <c r="M98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42869.565217391304</v>
      </c>
      <c r="N98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43743.016759776532</v>
      </c>
      <c r="O98" s="7">
        <v>4916</v>
      </c>
      <c r="P98" s="4">
        <v>3</v>
      </c>
      <c r="Q98" s="10">
        <f>INDEX(Factores[],MATCH(BD_Datos[[#This Row],[Quejas percibidas]],Factores[N. Quejas],0),MATCH(BD_Datos[[#This Row],[Área]],Factores[#Headers],0))</f>
        <v>0.4</v>
      </c>
    </row>
    <row r="99" spans="2:17" x14ac:dyDescent="0.25">
      <c r="B99" s="23" t="s">
        <v>80</v>
      </c>
      <c r="C99" s="3">
        <v>41735</v>
      </c>
      <c r="D99" s="4" t="s">
        <v>163</v>
      </c>
      <c r="E99" s="2" t="str">
        <f>VLOOKUP(BD_Datos[[#This Row],[Código Área]],Areas[],2,FALSE)</f>
        <v>Transportes</v>
      </c>
      <c r="F99" s="5">
        <v>2160000</v>
      </c>
      <c r="G99" s="2">
        <v>0</v>
      </c>
      <c r="H99" s="2">
        <v>1</v>
      </c>
      <c r="I99" s="2">
        <v>10</v>
      </c>
      <c r="J99" s="2">
        <v>9</v>
      </c>
      <c r="K99" s="2">
        <f>SUM(BD_Datos[[#This Row],[Participación]:[Liderazgo]])</f>
        <v>20</v>
      </c>
      <c r="L99" s="2" t="b">
        <f>IF(BD_Datos[[#This Row],[Calificación]]&lt;=25,FALSE,TRUE)</f>
        <v>0</v>
      </c>
      <c r="M99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99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99" s="7">
        <v>315</v>
      </c>
      <c r="P99" s="4">
        <v>3</v>
      </c>
      <c r="Q99" s="10">
        <f>INDEX(Factores[],MATCH(BD_Datos[[#This Row],[Quejas percibidas]],Factores[N. Quejas],0),MATCH(BD_Datos[[#This Row],[Área]],Factores[#Headers],0))</f>
        <v>0.3</v>
      </c>
    </row>
    <row r="100" spans="2:17" x14ac:dyDescent="0.25">
      <c r="B100" s="23" t="s">
        <v>81</v>
      </c>
      <c r="C100" s="3">
        <v>42278</v>
      </c>
      <c r="D100" s="4" t="s">
        <v>159</v>
      </c>
      <c r="E100" s="2" t="str">
        <f>VLOOKUP(BD_Datos[[#This Row],[Código Área]],Areas[],2,FALSE)</f>
        <v>Finanzas</v>
      </c>
      <c r="F100" s="5">
        <v>1008000</v>
      </c>
      <c r="G100" s="2">
        <v>10</v>
      </c>
      <c r="H100" s="2">
        <v>5</v>
      </c>
      <c r="I100" s="2">
        <v>1</v>
      </c>
      <c r="J100" s="2">
        <v>10</v>
      </c>
      <c r="K100" s="2">
        <f>SUM(BD_Datos[[#This Row],[Participación]:[Liderazgo]])</f>
        <v>26</v>
      </c>
      <c r="L100" s="2" t="b">
        <f>IF(BD_Datos[[#This Row],[Calificación]]&lt;=25,FALSE,TRUE)</f>
        <v>1</v>
      </c>
      <c r="M100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33600</v>
      </c>
      <c r="N100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52227.979274611396</v>
      </c>
      <c r="O100" s="7">
        <v>3024</v>
      </c>
      <c r="P100" s="4">
        <v>1</v>
      </c>
      <c r="Q100" s="10">
        <f>INDEX(Factores[],MATCH(BD_Datos[[#This Row],[Quejas percibidas]],Factores[N. Quejas],0),MATCH(BD_Datos[[#This Row],[Área]],Factores[#Headers],0))</f>
        <v>0.2</v>
      </c>
    </row>
    <row r="101" spans="2:17" x14ac:dyDescent="0.25">
      <c r="B101" s="23" t="s">
        <v>82</v>
      </c>
      <c r="C101" s="3">
        <v>42477</v>
      </c>
      <c r="D101" s="4" t="s">
        <v>163</v>
      </c>
      <c r="E101" s="2" t="str">
        <f>VLOOKUP(BD_Datos[[#This Row],[Código Área]],Areas[],2,FALSE)</f>
        <v>Transportes</v>
      </c>
      <c r="F101" s="5">
        <v>582000</v>
      </c>
      <c r="G101" s="2">
        <v>10</v>
      </c>
      <c r="H101" s="2">
        <v>6</v>
      </c>
      <c r="I101" s="2">
        <v>9</v>
      </c>
      <c r="J101" s="2">
        <v>5</v>
      </c>
      <c r="K101" s="2">
        <f>SUM(BD_Datos[[#This Row],[Participación]:[Liderazgo]])</f>
        <v>30</v>
      </c>
      <c r="L101" s="2" t="b">
        <f>IF(BD_Datos[[#This Row],[Calificación]]&lt;=25,FALSE,TRUE)</f>
        <v>1</v>
      </c>
      <c r="M101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19400</v>
      </c>
      <c r="N101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29262.569832402234</v>
      </c>
      <c r="O101" s="7">
        <v>4337</v>
      </c>
      <c r="P101" s="4">
        <v>2</v>
      </c>
      <c r="Q101" s="10">
        <f>INDEX(Factores[],MATCH(BD_Datos[[#This Row],[Quejas percibidas]],Factores[N. Quejas],0),MATCH(BD_Datos[[#This Row],[Área]],Factores[#Headers],0))</f>
        <v>0.2</v>
      </c>
    </row>
    <row r="102" spans="2:17" x14ac:dyDescent="0.25">
      <c r="B102" s="23" t="s">
        <v>83</v>
      </c>
      <c r="C102" s="3">
        <v>42118</v>
      </c>
      <c r="D102" s="4" t="s">
        <v>164</v>
      </c>
      <c r="E102" s="2" t="str">
        <f>VLOOKUP(BD_Datos[[#This Row],[Código Área]],Areas[],2,FALSE)</f>
        <v>Proyectos</v>
      </c>
      <c r="F102" s="5">
        <v>728000</v>
      </c>
      <c r="G102" s="2">
        <v>9</v>
      </c>
      <c r="H102" s="2">
        <v>7</v>
      </c>
      <c r="I102" s="2">
        <v>2</v>
      </c>
      <c r="J102" s="2">
        <v>4</v>
      </c>
      <c r="K102" s="2">
        <f>SUM(BD_Datos[[#This Row],[Participación]:[Liderazgo]])</f>
        <v>22</v>
      </c>
      <c r="L102" s="2" t="b">
        <f>IF(BD_Datos[[#This Row],[Calificación]]&lt;=25,FALSE,TRUE)</f>
        <v>0</v>
      </c>
      <c r="M10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0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02" s="7">
        <v>5063</v>
      </c>
      <c r="P102" s="4">
        <v>1</v>
      </c>
      <c r="Q102" s="10">
        <f>INDEX(Factores[],MATCH(BD_Datos[[#This Row],[Quejas percibidas]],Factores[N. Quejas],0),MATCH(BD_Datos[[#This Row],[Área]],Factores[#Headers],0))</f>
        <v>0.1</v>
      </c>
    </row>
    <row r="103" spans="2:17" x14ac:dyDescent="0.25">
      <c r="B103" s="23" t="s">
        <v>51</v>
      </c>
      <c r="C103" s="3">
        <v>42426</v>
      </c>
      <c r="D103" s="4" t="s">
        <v>164</v>
      </c>
      <c r="E103" s="2" t="str">
        <f>VLOOKUP(BD_Datos[[#This Row],[Código Área]],Areas[],2,FALSE)</f>
        <v>Proyectos</v>
      </c>
      <c r="F103" s="5">
        <v>700000</v>
      </c>
      <c r="G103" s="2">
        <v>3</v>
      </c>
      <c r="H103" s="2">
        <v>0</v>
      </c>
      <c r="I103" s="2">
        <v>4</v>
      </c>
      <c r="J103" s="2">
        <v>0</v>
      </c>
      <c r="K103" s="2">
        <f>SUM(BD_Datos[[#This Row],[Participación]:[Liderazgo]])</f>
        <v>7</v>
      </c>
      <c r="L103" s="2" t="b">
        <f>IF(BD_Datos[[#This Row],[Calificación]]&lt;=25,FALSE,TRUE)</f>
        <v>0</v>
      </c>
      <c r="M10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0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03" s="7">
        <v>918</v>
      </c>
      <c r="P103" s="4">
        <v>3</v>
      </c>
      <c r="Q103" s="10">
        <f>INDEX(Factores[],MATCH(BD_Datos[[#This Row],[Quejas percibidas]],Factores[N. Quejas],0),MATCH(BD_Datos[[#This Row],[Área]],Factores[#Headers],0))</f>
        <v>0.4</v>
      </c>
    </row>
    <row r="104" spans="2:17" x14ac:dyDescent="0.25">
      <c r="B104" s="23" t="s">
        <v>52</v>
      </c>
      <c r="C104" s="3">
        <v>41454</v>
      </c>
      <c r="D104" s="4" t="s">
        <v>159</v>
      </c>
      <c r="E104" s="2" t="str">
        <f>VLOOKUP(BD_Datos[[#This Row],[Código Área]],Areas[],2,FALSE)</f>
        <v>Finanzas</v>
      </c>
      <c r="F104" s="5">
        <v>2250000</v>
      </c>
      <c r="G104" s="2">
        <v>5</v>
      </c>
      <c r="H104" s="2">
        <v>1</v>
      </c>
      <c r="I104" s="2">
        <v>5</v>
      </c>
      <c r="J104" s="2">
        <v>5</v>
      </c>
      <c r="K104" s="2">
        <f>SUM(BD_Datos[[#This Row],[Participación]:[Liderazgo]])</f>
        <v>16</v>
      </c>
      <c r="L104" s="2" t="b">
        <f>IF(BD_Datos[[#This Row],[Calificación]]&lt;=25,FALSE,TRUE)</f>
        <v>0</v>
      </c>
      <c r="M10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0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04" s="7">
        <v>1214</v>
      </c>
      <c r="P104" s="4">
        <v>2</v>
      </c>
      <c r="Q104" s="10">
        <f>INDEX(Factores[],MATCH(BD_Datos[[#This Row],[Quejas percibidas]],Factores[N. Quejas],0),MATCH(BD_Datos[[#This Row],[Área]],Factores[#Headers],0))</f>
        <v>0.5</v>
      </c>
    </row>
    <row r="105" spans="2:17" x14ac:dyDescent="0.25">
      <c r="B105" s="23" t="s">
        <v>84</v>
      </c>
      <c r="C105" s="3">
        <v>41885</v>
      </c>
      <c r="D105" s="4" t="s">
        <v>162</v>
      </c>
      <c r="E105" s="2" t="str">
        <f>VLOOKUP(BD_Datos[[#This Row],[Código Área]],Areas[],2,FALSE)</f>
        <v>Gerencia</v>
      </c>
      <c r="F105" s="5">
        <v>1732500.0000000002</v>
      </c>
      <c r="G105" s="2">
        <v>9</v>
      </c>
      <c r="H105" s="2">
        <v>9</v>
      </c>
      <c r="I105" s="2">
        <v>0</v>
      </c>
      <c r="J105" s="2">
        <v>1</v>
      </c>
      <c r="K105" s="2">
        <f>SUM(BD_Datos[[#This Row],[Participación]:[Liderazgo]])</f>
        <v>19</v>
      </c>
      <c r="L105" s="2" t="b">
        <f>IF(BD_Datos[[#This Row],[Calificación]]&lt;=25,FALSE,TRUE)</f>
        <v>0</v>
      </c>
      <c r="M10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0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05" s="7">
        <v>3299</v>
      </c>
      <c r="P105" s="4">
        <v>3</v>
      </c>
      <c r="Q105" s="10">
        <f>INDEX(Factores[],MATCH(BD_Datos[[#This Row],[Quejas percibidas]],Factores[N. Quejas],0),MATCH(BD_Datos[[#This Row],[Área]],Factores[#Headers],0))</f>
        <v>0.6</v>
      </c>
    </row>
    <row r="106" spans="2:17" x14ac:dyDescent="0.25">
      <c r="B106" s="23" t="s">
        <v>85</v>
      </c>
      <c r="C106" s="3">
        <v>41916</v>
      </c>
      <c r="D106" s="4" t="s">
        <v>160</v>
      </c>
      <c r="E106" s="2" t="str">
        <f>VLOOKUP(BD_Datos[[#This Row],[Código Área]],Areas[],2,FALSE)</f>
        <v>Marketing</v>
      </c>
      <c r="F106" s="5">
        <v>2464000.0000000005</v>
      </c>
      <c r="G106" s="2">
        <v>6</v>
      </c>
      <c r="H106" s="2">
        <v>5</v>
      </c>
      <c r="I106" s="2">
        <v>9</v>
      </c>
      <c r="J106" s="2">
        <v>2</v>
      </c>
      <c r="K106" s="2">
        <f>SUM(BD_Datos[[#This Row],[Participación]:[Liderazgo]])</f>
        <v>22</v>
      </c>
      <c r="L106" s="2" t="b">
        <f>IF(BD_Datos[[#This Row],[Calificación]]&lt;=25,FALSE,TRUE)</f>
        <v>0</v>
      </c>
      <c r="M10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0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06" s="7">
        <v>5067</v>
      </c>
      <c r="P106" s="4">
        <v>4</v>
      </c>
      <c r="Q106" s="10">
        <f>INDEX(Factores[],MATCH(BD_Datos[[#This Row],[Quejas percibidas]],Factores[N. Quejas],0),MATCH(BD_Datos[[#This Row],[Área]],Factores[#Headers],0))</f>
        <v>0.6</v>
      </c>
    </row>
    <row r="107" spans="2:17" x14ac:dyDescent="0.25">
      <c r="B107" s="23" t="s">
        <v>86</v>
      </c>
      <c r="C107" s="3">
        <v>41679</v>
      </c>
      <c r="D107" s="4" t="s">
        <v>163</v>
      </c>
      <c r="E107" s="2" t="str">
        <f>VLOOKUP(BD_Datos[[#This Row],[Código Área]],Areas[],2,FALSE)</f>
        <v>Transportes</v>
      </c>
      <c r="F107" s="5">
        <v>970000</v>
      </c>
      <c r="G107" s="2">
        <v>9</v>
      </c>
      <c r="H107" s="2">
        <v>9</v>
      </c>
      <c r="I107" s="2">
        <v>3</v>
      </c>
      <c r="J107" s="2">
        <v>2</v>
      </c>
      <c r="K107" s="2">
        <f>SUM(BD_Datos[[#This Row],[Participación]:[Liderazgo]])</f>
        <v>23</v>
      </c>
      <c r="L107" s="2" t="b">
        <f>IF(BD_Datos[[#This Row],[Calificación]]&lt;=25,FALSE,TRUE)</f>
        <v>0</v>
      </c>
      <c r="M10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0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07" s="7">
        <v>3895</v>
      </c>
      <c r="P107" s="4">
        <v>1</v>
      </c>
      <c r="Q107" s="10">
        <f>INDEX(Factores[],MATCH(BD_Datos[[#This Row],[Quejas percibidas]],Factores[N. Quejas],0),MATCH(BD_Datos[[#This Row],[Área]],Factores[#Headers],0))</f>
        <v>0.1</v>
      </c>
    </row>
    <row r="108" spans="2:17" x14ac:dyDescent="0.25">
      <c r="B108" s="23" t="s">
        <v>87</v>
      </c>
      <c r="C108" s="3">
        <v>41360</v>
      </c>
      <c r="D108" s="4" t="s">
        <v>164</v>
      </c>
      <c r="E108" s="2" t="str">
        <f>VLOOKUP(BD_Datos[[#This Row],[Código Área]],Areas[],2,FALSE)</f>
        <v>Proyectos</v>
      </c>
      <c r="F108" s="5">
        <v>1040000</v>
      </c>
      <c r="G108" s="2">
        <v>0</v>
      </c>
      <c r="H108" s="2">
        <v>7</v>
      </c>
      <c r="I108" s="2">
        <v>3</v>
      </c>
      <c r="J108" s="2">
        <v>0</v>
      </c>
      <c r="K108" s="2">
        <f>SUM(BD_Datos[[#This Row],[Participación]:[Liderazgo]])</f>
        <v>10</v>
      </c>
      <c r="L108" s="2" t="b">
        <f>IF(BD_Datos[[#This Row],[Calificación]]&lt;=25,FALSE,TRUE)</f>
        <v>0</v>
      </c>
      <c r="M10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0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08" s="7">
        <v>5352</v>
      </c>
      <c r="P108" s="4">
        <v>2</v>
      </c>
      <c r="Q108" s="10">
        <f>INDEX(Factores[],MATCH(BD_Datos[[#This Row],[Quejas percibidas]],Factores[N. Quejas],0),MATCH(BD_Datos[[#This Row],[Área]],Factores[#Headers],0))</f>
        <v>0.3</v>
      </c>
    </row>
    <row r="109" spans="2:17" x14ac:dyDescent="0.25">
      <c r="B109" s="23" t="s">
        <v>88</v>
      </c>
      <c r="C109" s="3">
        <v>41922</v>
      </c>
      <c r="D109" s="4" t="s">
        <v>159</v>
      </c>
      <c r="E109" s="2" t="str">
        <f>VLOOKUP(BD_Datos[[#This Row],[Código Área]],Areas[],2,FALSE)</f>
        <v>Finanzas</v>
      </c>
      <c r="F109" s="5">
        <v>1750000</v>
      </c>
      <c r="G109" s="2">
        <v>0</v>
      </c>
      <c r="H109" s="2">
        <v>0</v>
      </c>
      <c r="I109" s="2">
        <v>1</v>
      </c>
      <c r="J109" s="2">
        <v>6</v>
      </c>
      <c r="K109" s="2">
        <f>SUM(BD_Datos[[#This Row],[Participación]:[Liderazgo]])</f>
        <v>7</v>
      </c>
      <c r="L109" s="2" t="b">
        <f>IF(BD_Datos[[#This Row],[Calificación]]&lt;=25,FALSE,TRUE)</f>
        <v>0</v>
      </c>
      <c r="M109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09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09" s="7">
        <v>4483</v>
      </c>
      <c r="P109" s="4">
        <v>2</v>
      </c>
      <c r="Q109" s="10">
        <f>INDEX(Factores[],MATCH(BD_Datos[[#This Row],[Quejas percibidas]],Factores[N. Quejas],0),MATCH(BD_Datos[[#This Row],[Área]],Factores[#Headers],0))</f>
        <v>0.5</v>
      </c>
    </row>
    <row r="110" spans="2:17" x14ac:dyDescent="0.25">
      <c r="B110" s="23" t="s">
        <v>89</v>
      </c>
      <c r="C110" s="3">
        <v>42297</v>
      </c>
      <c r="D110" s="4" t="s">
        <v>162</v>
      </c>
      <c r="E110" s="2" t="str">
        <f>VLOOKUP(BD_Datos[[#This Row],[Código Área]],Areas[],2,FALSE)</f>
        <v>Gerencia</v>
      </c>
      <c r="F110" s="5">
        <v>1500000</v>
      </c>
      <c r="G110" s="2">
        <v>6</v>
      </c>
      <c r="H110" s="2">
        <v>0</v>
      </c>
      <c r="I110" s="2">
        <v>7</v>
      </c>
      <c r="J110" s="2">
        <v>9</v>
      </c>
      <c r="K110" s="2">
        <f>SUM(BD_Datos[[#This Row],[Participación]:[Liderazgo]])</f>
        <v>22</v>
      </c>
      <c r="L110" s="2" t="b">
        <f>IF(BD_Datos[[#This Row],[Calificación]]&lt;=25,FALSE,TRUE)</f>
        <v>0</v>
      </c>
      <c r="M110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10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10" s="7">
        <v>4365</v>
      </c>
      <c r="P110" s="4">
        <v>4</v>
      </c>
      <c r="Q110" s="10">
        <f>INDEX(Factores[],MATCH(BD_Datos[[#This Row],[Quejas percibidas]],Factores[N. Quejas],0),MATCH(BD_Datos[[#This Row],[Área]],Factores[#Headers],0))</f>
        <v>0.8</v>
      </c>
    </row>
    <row r="111" spans="2:17" x14ac:dyDescent="0.25">
      <c r="B111" s="23" t="s">
        <v>90</v>
      </c>
      <c r="C111" s="3">
        <v>42700</v>
      </c>
      <c r="D111" s="4" t="s">
        <v>159</v>
      </c>
      <c r="E111" s="2" t="str">
        <f>VLOOKUP(BD_Datos[[#This Row],[Código Área]],Areas[],2,FALSE)</f>
        <v>Finanzas</v>
      </c>
      <c r="F111" s="5">
        <v>1575000</v>
      </c>
      <c r="G111" s="2">
        <v>5</v>
      </c>
      <c r="H111" s="2">
        <v>1</v>
      </c>
      <c r="I111" s="2">
        <v>2</v>
      </c>
      <c r="J111" s="2">
        <v>1</v>
      </c>
      <c r="K111" s="2">
        <f>SUM(BD_Datos[[#This Row],[Participación]:[Liderazgo]])</f>
        <v>9</v>
      </c>
      <c r="L111" s="2" t="b">
        <f>IF(BD_Datos[[#This Row],[Calificación]]&lt;=25,FALSE,TRUE)</f>
        <v>0</v>
      </c>
      <c r="M111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11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11" s="7">
        <v>2265</v>
      </c>
      <c r="P111" s="4">
        <v>3</v>
      </c>
      <c r="Q111" s="10">
        <f>INDEX(Factores[],MATCH(BD_Datos[[#This Row],[Quejas percibidas]],Factores[N. Quejas],0),MATCH(BD_Datos[[#This Row],[Área]],Factores[#Headers],0))</f>
        <v>0.7</v>
      </c>
    </row>
    <row r="112" spans="2:17" x14ac:dyDescent="0.25">
      <c r="B112" s="23" t="s">
        <v>60</v>
      </c>
      <c r="C112" s="3">
        <v>42463</v>
      </c>
      <c r="D112" s="4" t="s">
        <v>163</v>
      </c>
      <c r="E112" s="2" t="str">
        <f>VLOOKUP(BD_Datos[[#This Row],[Código Área]],Areas[],2,FALSE)</f>
        <v>Transportes</v>
      </c>
      <c r="F112" s="5">
        <v>770000.00000000012</v>
      </c>
      <c r="G112" s="2">
        <v>10</v>
      </c>
      <c r="H112" s="2">
        <v>1</v>
      </c>
      <c r="I112" s="2">
        <v>9</v>
      </c>
      <c r="J112" s="2">
        <v>5</v>
      </c>
      <c r="K112" s="2">
        <f>SUM(BD_Datos[[#This Row],[Participación]:[Liderazgo]])</f>
        <v>25</v>
      </c>
      <c r="L112" s="2" t="b">
        <f>IF(BD_Datos[[#This Row],[Calificación]]&lt;=25,FALSE,TRUE)</f>
        <v>0</v>
      </c>
      <c r="M11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1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12" s="7">
        <v>1609</v>
      </c>
      <c r="P112" s="4">
        <v>2</v>
      </c>
      <c r="Q112" s="10">
        <f>INDEX(Factores[],MATCH(BD_Datos[[#This Row],[Quejas percibidas]],Factores[N. Quejas],0),MATCH(BD_Datos[[#This Row],[Área]],Factores[#Headers],0))</f>
        <v>0.2</v>
      </c>
    </row>
    <row r="113" spans="2:17" x14ac:dyDescent="0.25">
      <c r="B113" s="23" t="s">
        <v>91</v>
      </c>
      <c r="C113" s="3">
        <v>42767</v>
      </c>
      <c r="D113" s="4" t="s">
        <v>164</v>
      </c>
      <c r="E113" s="2" t="str">
        <f>VLOOKUP(BD_Datos[[#This Row],[Código Área]],Areas[],2,FALSE)</f>
        <v>Proyectos</v>
      </c>
      <c r="F113" s="5">
        <v>1000499.9999999999</v>
      </c>
      <c r="G113" s="2">
        <v>6</v>
      </c>
      <c r="H113" s="2">
        <v>10</v>
      </c>
      <c r="I113" s="2">
        <v>1</v>
      </c>
      <c r="J113" s="2">
        <v>3</v>
      </c>
      <c r="K113" s="2">
        <f>SUM(BD_Datos[[#This Row],[Participación]:[Liderazgo]])</f>
        <v>20</v>
      </c>
      <c r="L113" s="2" t="b">
        <f>IF(BD_Datos[[#This Row],[Calificación]]&lt;=25,FALSE,TRUE)</f>
        <v>0</v>
      </c>
      <c r="M11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1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13" s="7">
        <v>218</v>
      </c>
      <c r="P113" s="4">
        <v>1</v>
      </c>
      <c r="Q113" s="10">
        <f>INDEX(Factores[],MATCH(BD_Datos[[#This Row],[Quejas percibidas]],Factores[N. Quejas],0),MATCH(BD_Datos[[#This Row],[Área]],Factores[#Headers],0))</f>
        <v>0.1</v>
      </c>
    </row>
    <row r="114" spans="2:17" x14ac:dyDescent="0.25">
      <c r="B114" s="23" t="s">
        <v>92</v>
      </c>
      <c r="C114" s="3">
        <v>41863</v>
      </c>
      <c r="D114" s="4" t="s">
        <v>160</v>
      </c>
      <c r="E114" s="2" t="str">
        <f>VLOOKUP(BD_Datos[[#This Row],[Código Área]],Areas[],2,FALSE)</f>
        <v>Marketing</v>
      </c>
      <c r="F114" s="5">
        <v>1260000</v>
      </c>
      <c r="G114" s="2">
        <v>6</v>
      </c>
      <c r="H114" s="2">
        <v>5</v>
      </c>
      <c r="I114" s="2">
        <v>9</v>
      </c>
      <c r="J114" s="2">
        <v>4</v>
      </c>
      <c r="K114" s="2">
        <f>SUM(BD_Datos[[#This Row],[Participación]:[Liderazgo]])</f>
        <v>24</v>
      </c>
      <c r="L114" s="2" t="b">
        <f>IF(BD_Datos[[#This Row],[Calificación]]&lt;=25,FALSE,TRUE)</f>
        <v>0</v>
      </c>
      <c r="M11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1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14" s="7">
        <v>3412</v>
      </c>
      <c r="P114" s="4">
        <v>3</v>
      </c>
      <c r="Q114" s="10">
        <f>INDEX(Factores[],MATCH(BD_Datos[[#This Row],[Quejas percibidas]],Factores[N. Quejas],0),MATCH(BD_Datos[[#This Row],[Área]],Factores[#Headers],0))</f>
        <v>0.4</v>
      </c>
    </row>
    <row r="115" spans="2:17" x14ac:dyDescent="0.25">
      <c r="B115" s="23" t="s">
        <v>93</v>
      </c>
      <c r="C115" s="3">
        <v>41455</v>
      </c>
      <c r="D115" s="4" t="s">
        <v>160</v>
      </c>
      <c r="E115" s="2" t="str">
        <f>VLOOKUP(BD_Datos[[#This Row],[Código Área]],Areas[],2,FALSE)</f>
        <v>Marketing</v>
      </c>
      <c r="F115" s="5">
        <v>800000</v>
      </c>
      <c r="G115" s="2">
        <v>6</v>
      </c>
      <c r="H115" s="2">
        <v>10</v>
      </c>
      <c r="I115" s="2">
        <v>0</v>
      </c>
      <c r="J115" s="2">
        <v>4</v>
      </c>
      <c r="K115" s="2">
        <f>SUM(BD_Datos[[#This Row],[Participación]:[Liderazgo]])</f>
        <v>20</v>
      </c>
      <c r="L115" s="2" t="b">
        <f>IF(BD_Datos[[#This Row],[Calificación]]&lt;=25,FALSE,TRUE)</f>
        <v>0</v>
      </c>
      <c r="M11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1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15" s="7">
        <v>3886</v>
      </c>
      <c r="P115" s="4">
        <v>4</v>
      </c>
      <c r="Q115" s="10">
        <f>INDEX(Factores[],MATCH(BD_Datos[[#This Row],[Quejas percibidas]],Factores[N. Quejas],0),MATCH(BD_Datos[[#This Row],[Área]],Factores[#Headers],0))</f>
        <v>0.6</v>
      </c>
    </row>
    <row r="116" spans="2:17" x14ac:dyDescent="0.25">
      <c r="B116" s="23" t="s">
        <v>94</v>
      </c>
      <c r="C116" s="3">
        <v>42630</v>
      </c>
      <c r="D116" s="4" t="s">
        <v>161</v>
      </c>
      <c r="E116" s="2" t="str">
        <f>VLOOKUP(BD_Datos[[#This Row],[Código Área]],Areas[],2,FALSE)</f>
        <v>Administración</v>
      </c>
      <c r="F116" s="5">
        <v>1066000</v>
      </c>
      <c r="G116" s="2">
        <v>3</v>
      </c>
      <c r="H116" s="2">
        <v>4</v>
      </c>
      <c r="I116" s="2">
        <v>3</v>
      </c>
      <c r="J116" s="2">
        <v>4</v>
      </c>
      <c r="K116" s="2">
        <f>SUM(BD_Datos[[#This Row],[Participación]:[Liderazgo]])</f>
        <v>14</v>
      </c>
      <c r="L116" s="2" t="b">
        <f>IF(BD_Datos[[#This Row],[Calificación]]&lt;=25,FALSE,TRUE)</f>
        <v>0</v>
      </c>
      <c r="M11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1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16" s="7">
        <v>764</v>
      </c>
      <c r="P116" s="4">
        <v>3</v>
      </c>
      <c r="Q116" s="10">
        <f>INDEX(Factores[],MATCH(BD_Datos[[#This Row],[Quejas percibidas]],Factores[N. Quejas],0),MATCH(BD_Datos[[#This Row],[Área]],Factores[#Headers],0))</f>
        <v>0.7</v>
      </c>
    </row>
    <row r="117" spans="2:17" x14ac:dyDescent="0.25">
      <c r="B117" s="23" t="s">
        <v>95</v>
      </c>
      <c r="C117" s="3">
        <v>41959</v>
      </c>
      <c r="D117" s="4" t="s">
        <v>162</v>
      </c>
      <c r="E117" s="2" t="str">
        <f>VLOOKUP(BD_Datos[[#This Row],[Código Área]],Areas[],2,FALSE)</f>
        <v>Gerencia</v>
      </c>
      <c r="F117" s="5">
        <v>2835000</v>
      </c>
      <c r="G117" s="2">
        <v>0</v>
      </c>
      <c r="H117" s="2">
        <v>8</v>
      </c>
      <c r="I117" s="2">
        <v>10</v>
      </c>
      <c r="J117" s="2">
        <v>3</v>
      </c>
      <c r="K117" s="2">
        <f>SUM(BD_Datos[[#This Row],[Participación]:[Liderazgo]])</f>
        <v>21</v>
      </c>
      <c r="L117" s="2" t="b">
        <f>IF(BD_Datos[[#This Row],[Calificación]]&lt;=25,FALSE,TRUE)</f>
        <v>0</v>
      </c>
      <c r="M11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1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17" s="7">
        <v>1785</v>
      </c>
      <c r="P117" s="4">
        <v>1</v>
      </c>
      <c r="Q117" s="10">
        <f>INDEX(Factores[],MATCH(BD_Datos[[#This Row],[Quejas percibidas]],Factores[N. Quejas],0),MATCH(BD_Datos[[#This Row],[Área]],Factores[#Headers],0))</f>
        <v>0.2</v>
      </c>
    </row>
    <row r="118" spans="2:17" x14ac:dyDescent="0.25">
      <c r="B118" s="23" t="s">
        <v>96</v>
      </c>
      <c r="C118" s="3">
        <v>41481</v>
      </c>
      <c r="D118" s="4" t="s">
        <v>163</v>
      </c>
      <c r="E118" s="2" t="str">
        <f>VLOOKUP(BD_Datos[[#This Row],[Código Área]],Areas[],2,FALSE)</f>
        <v>Transportes</v>
      </c>
      <c r="F118" s="5">
        <v>1344000</v>
      </c>
      <c r="G118" s="2">
        <v>6</v>
      </c>
      <c r="H118" s="2">
        <v>9</v>
      </c>
      <c r="I118" s="2">
        <v>2</v>
      </c>
      <c r="J118" s="2">
        <v>2</v>
      </c>
      <c r="K118" s="2">
        <f>SUM(BD_Datos[[#This Row],[Participación]:[Liderazgo]])</f>
        <v>19</v>
      </c>
      <c r="L118" s="2" t="b">
        <f>IF(BD_Datos[[#This Row],[Calificación]]&lt;=25,FALSE,TRUE)</f>
        <v>0</v>
      </c>
      <c r="M11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1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18" s="7">
        <v>4941</v>
      </c>
      <c r="P118" s="4">
        <v>1</v>
      </c>
      <c r="Q118" s="10">
        <f>INDEX(Factores[],MATCH(BD_Datos[[#This Row],[Quejas percibidas]],Factores[N. Quejas],0),MATCH(BD_Datos[[#This Row],[Área]],Factores[#Headers],0))</f>
        <v>0.1</v>
      </c>
    </row>
    <row r="119" spans="2:17" x14ac:dyDescent="0.25">
      <c r="B119" s="23" t="s">
        <v>97</v>
      </c>
      <c r="C119" s="3">
        <v>42325</v>
      </c>
      <c r="D119" s="4" t="s">
        <v>161</v>
      </c>
      <c r="E119" s="2" t="str">
        <f>VLOOKUP(BD_Datos[[#This Row],[Código Área]],Areas[],2,FALSE)</f>
        <v>Administración</v>
      </c>
      <c r="F119" s="5">
        <v>1087500</v>
      </c>
      <c r="G119" s="2">
        <v>7</v>
      </c>
      <c r="H119" s="2">
        <v>8</v>
      </c>
      <c r="I119" s="2">
        <v>10</v>
      </c>
      <c r="J119" s="2">
        <v>2</v>
      </c>
      <c r="K119" s="2">
        <f>SUM(BD_Datos[[#This Row],[Participación]:[Liderazgo]])</f>
        <v>27</v>
      </c>
      <c r="L119" s="2" t="b">
        <f>IF(BD_Datos[[#This Row],[Calificación]]&lt;=25,FALSE,TRUE)</f>
        <v>1</v>
      </c>
      <c r="M119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36250</v>
      </c>
      <c r="N119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54678.770949720667</v>
      </c>
      <c r="O119" s="7">
        <v>3667</v>
      </c>
      <c r="P119" s="4">
        <v>3</v>
      </c>
      <c r="Q119" s="10">
        <f>INDEX(Factores[],MATCH(BD_Datos[[#This Row],[Quejas percibidas]],Factores[N. Quejas],0),MATCH(BD_Datos[[#This Row],[Área]],Factores[#Headers],0))</f>
        <v>0.7</v>
      </c>
    </row>
    <row r="120" spans="2:17" x14ac:dyDescent="0.25">
      <c r="B120" s="23" t="s">
        <v>98</v>
      </c>
      <c r="C120" s="3">
        <v>42250</v>
      </c>
      <c r="D120" s="4" t="s">
        <v>161</v>
      </c>
      <c r="E120" s="2" t="str">
        <f>VLOOKUP(BD_Datos[[#This Row],[Código Área]],Areas[],2,FALSE)</f>
        <v>Administración</v>
      </c>
      <c r="F120" s="5">
        <v>870000</v>
      </c>
      <c r="G120" s="2">
        <v>10</v>
      </c>
      <c r="H120" s="2">
        <v>3</v>
      </c>
      <c r="I120" s="2">
        <v>9</v>
      </c>
      <c r="J120" s="2">
        <v>5</v>
      </c>
      <c r="K120" s="2">
        <f>SUM(BD_Datos[[#This Row],[Participación]:[Liderazgo]])</f>
        <v>27</v>
      </c>
      <c r="L120" s="2" t="b">
        <f>IF(BD_Datos[[#This Row],[Calificación]]&lt;=25,FALSE,TRUE)</f>
        <v>1</v>
      </c>
      <c r="M120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29000</v>
      </c>
      <c r="N120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43743.016759776532</v>
      </c>
      <c r="O120" s="7">
        <v>3378</v>
      </c>
      <c r="P120" s="4">
        <v>4</v>
      </c>
      <c r="Q120" s="10">
        <f>INDEX(Factores[],MATCH(BD_Datos[[#This Row],[Quejas percibidas]],Factores[N. Quejas],0),MATCH(BD_Datos[[#This Row],[Área]],Factores[#Headers],0))</f>
        <v>0.9</v>
      </c>
    </row>
    <row r="121" spans="2:17" x14ac:dyDescent="0.25">
      <c r="B121" s="23" t="s">
        <v>99</v>
      </c>
      <c r="C121" s="3">
        <v>41767</v>
      </c>
      <c r="D121" s="4" t="s">
        <v>159</v>
      </c>
      <c r="E121" s="2" t="str">
        <f>VLOOKUP(BD_Datos[[#This Row],[Código Área]],Areas[],2,FALSE)</f>
        <v>Finanzas</v>
      </c>
      <c r="F121" s="5">
        <v>2160000</v>
      </c>
      <c r="G121" s="2">
        <v>9</v>
      </c>
      <c r="H121" s="2">
        <v>6</v>
      </c>
      <c r="I121" s="2">
        <v>0</v>
      </c>
      <c r="J121" s="2">
        <v>9</v>
      </c>
      <c r="K121" s="2">
        <f>SUM(BD_Datos[[#This Row],[Participación]:[Liderazgo]])</f>
        <v>24</v>
      </c>
      <c r="L121" s="2" t="b">
        <f>IF(BD_Datos[[#This Row],[Calificación]]&lt;=25,FALSE,TRUE)</f>
        <v>0</v>
      </c>
      <c r="M121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21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21" s="7">
        <v>3481</v>
      </c>
      <c r="P121" s="4">
        <v>1</v>
      </c>
      <c r="Q121" s="10">
        <f>INDEX(Factores[],MATCH(BD_Datos[[#This Row],[Quejas percibidas]],Factores[N. Quejas],0),MATCH(BD_Datos[[#This Row],[Área]],Factores[#Headers],0))</f>
        <v>0.2</v>
      </c>
    </row>
    <row r="122" spans="2:17" x14ac:dyDescent="0.25">
      <c r="B122" s="23" t="s">
        <v>100</v>
      </c>
      <c r="C122" s="3">
        <v>42318</v>
      </c>
      <c r="D122" s="4" t="s">
        <v>161</v>
      </c>
      <c r="E122" s="2" t="str">
        <f>VLOOKUP(BD_Datos[[#This Row],[Código Área]],Areas[],2,FALSE)</f>
        <v>Administración</v>
      </c>
      <c r="F122" s="5">
        <v>1008000</v>
      </c>
      <c r="G122" s="2">
        <v>2</v>
      </c>
      <c r="H122" s="2">
        <v>6</v>
      </c>
      <c r="I122" s="2">
        <v>4</v>
      </c>
      <c r="J122" s="2">
        <v>8</v>
      </c>
      <c r="K122" s="2">
        <f>SUM(BD_Datos[[#This Row],[Participación]:[Liderazgo]])</f>
        <v>20</v>
      </c>
      <c r="L122" s="2" t="b">
        <f>IF(BD_Datos[[#This Row],[Calificación]]&lt;=25,FALSE,TRUE)</f>
        <v>0</v>
      </c>
      <c r="M12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2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22" s="7">
        <v>3469</v>
      </c>
      <c r="P122" s="4">
        <v>2</v>
      </c>
      <c r="Q122" s="10">
        <f>INDEX(Factores[],MATCH(BD_Datos[[#This Row],[Quejas percibidas]],Factores[N. Quejas],0),MATCH(BD_Datos[[#This Row],[Área]],Factores[#Headers],0))</f>
        <v>0.6</v>
      </c>
    </row>
    <row r="123" spans="2:17" x14ac:dyDescent="0.25">
      <c r="B123" s="23" t="s">
        <v>101</v>
      </c>
      <c r="C123" s="3">
        <v>42679</v>
      </c>
      <c r="D123" s="4" t="s">
        <v>164</v>
      </c>
      <c r="E123" s="2" t="str">
        <f>VLOOKUP(BD_Datos[[#This Row],[Código Área]],Areas[],2,FALSE)</f>
        <v>Proyectos</v>
      </c>
      <c r="F123" s="5">
        <v>582000</v>
      </c>
      <c r="G123" s="2">
        <v>2</v>
      </c>
      <c r="H123" s="2">
        <v>2</v>
      </c>
      <c r="I123" s="2">
        <v>9</v>
      </c>
      <c r="J123" s="2">
        <v>8</v>
      </c>
      <c r="K123" s="2">
        <f>SUM(BD_Datos[[#This Row],[Participación]:[Liderazgo]])</f>
        <v>21</v>
      </c>
      <c r="L123" s="2" t="b">
        <f>IF(BD_Datos[[#This Row],[Calificación]]&lt;=25,FALSE,TRUE)</f>
        <v>0</v>
      </c>
      <c r="M12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2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23" s="7">
        <v>4126</v>
      </c>
      <c r="P123" s="4">
        <v>3</v>
      </c>
      <c r="Q123" s="10">
        <f>INDEX(Factores[],MATCH(BD_Datos[[#This Row],[Quejas percibidas]],Factores[N. Quejas],0),MATCH(BD_Datos[[#This Row],[Área]],Factores[#Headers],0))</f>
        <v>0.4</v>
      </c>
    </row>
    <row r="124" spans="2:17" x14ac:dyDescent="0.25">
      <c r="B124" s="23" t="s">
        <v>102</v>
      </c>
      <c r="C124" s="3">
        <v>41619</v>
      </c>
      <c r="D124" s="4" t="s">
        <v>163</v>
      </c>
      <c r="E124" s="2" t="str">
        <f>VLOOKUP(BD_Datos[[#This Row],[Código Área]],Areas[],2,FALSE)</f>
        <v>Transportes</v>
      </c>
      <c r="F124" s="5">
        <v>728000</v>
      </c>
      <c r="G124" s="2">
        <v>8</v>
      </c>
      <c r="H124" s="2">
        <v>7</v>
      </c>
      <c r="I124" s="2">
        <v>0</v>
      </c>
      <c r="J124" s="2">
        <v>10</v>
      </c>
      <c r="K124" s="2">
        <f>SUM(BD_Datos[[#This Row],[Participación]:[Liderazgo]])</f>
        <v>25</v>
      </c>
      <c r="L124" s="2" t="b">
        <f>IF(BD_Datos[[#This Row],[Calificación]]&lt;=25,FALSE,TRUE)</f>
        <v>0</v>
      </c>
      <c r="M12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2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24" s="7">
        <v>5362</v>
      </c>
      <c r="P124" s="4">
        <v>4</v>
      </c>
      <c r="Q124" s="10">
        <f>INDEX(Factores[],MATCH(BD_Datos[[#This Row],[Quejas percibidas]],Factores[N. Quejas],0),MATCH(BD_Datos[[#This Row],[Área]],Factores[#Headers],0))</f>
        <v>0.4</v>
      </c>
    </row>
    <row r="125" spans="2:17" x14ac:dyDescent="0.25">
      <c r="B125" s="23" t="s">
        <v>103</v>
      </c>
      <c r="C125" s="3">
        <v>41635</v>
      </c>
      <c r="D125" s="4" t="s">
        <v>160</v>
      </c>
      <c r="E125" s="2" t="str">
        <f>VLOOKUP(BD_Datos[[#This Row],[Código Área]],Areas[],2,FALSE)</f>
        <v>Marketing</v>
      </c>
      <c r="F125" s="5">
        <v>700000</v>
      </c>
      <c r="G125" s="2">
        <v>1</v>
      </c>
      <c r="H125" s="2">
        <v>0</v>
      </c>
      <c r="I125" s="2">
        <v>3</v>
      </c>
      <c r="J125" s="2">
        <v>0</v>
      </c>
      <c r="K125" s="2">
        <f>SUM(BD_Datos[[#This Row],[Participación]:[Liderazgo]])</f>
        <v>4</v>
      </c>
      <c r="L125" s="2" t="b">
        <f>IF(BD_Datos[[#This Row],[Calificación]]&lt;=25,FALSE,TRUE)</f>
        <v>0</v>
      </c>
      <c r="M12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2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25" s="7">
        <v>334</v>
      </c>
      <c r="P125" s="4">
        <v>3</v>
      </c>
      <c r="Q125" s="10">
        <f>INDEX(Factores[],MATCH(BD_Datos[[#This Row],[Quejas percibidas]],Factores[N. Quejas],0),MATCH(BD_Datos[[#This Row],[Área]],Factores[#Headers],0))</f>
        <v>0.4</v>
      </c>
    </row>
    <row r="126" spans="2:17" x14ac:dyDescent="0.25">
      <c r="B126" s="23" t="s">
        <v>104</v>
      </c>
      <c r="C126" s="3">
        <v>42197</v>
      </c>
      <c r="D126" s="4" t="s">
        <v>162</v>
      </c>
      <c r="E126" s="2" t="str">
        <f>VLOOKUP(BD_Datos[[#This Row],[Código Área]],Areas[],2,FALSE)</f>
        <v>Gerencia</v>
      </c>
      <c r="F126" s="5">
        <v>2250000</v>
      </c>
      <c r="G126" s="2">
        <v>10</v>
      </c>
      <c r="H126" s="2">
        <v>1</v>
      </c>
      <c r="I126" s="2">
        <v>4</v>
      </c>
      <c r="J126" s="2">
        <v>0</v>
      </c>
      <c r="K126" s="2">
        <f>SUM(BD_Datos[[#This Row],[Participación]:[Liderazgo]])</f>
        <v>15</v>
      </c>
      <c r="L126" s="2" t="b">
        <f>IF(BD_Datos[[#This Row],[Calificación]]&lt;=25,FALSE,TRUE)</f>
        <v>0</v>
      </c>
      <c r="M12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2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26" s="7">
        <v>5448</v>
      </c>
      <c r="P126" s="4">
        <v>1</v>
      </c>
      <c r="Q126" s="10">
        <f>INDEX(Factores[],MATCH(BD_Datos[[#This Row],[Quejas percibidas]],Factores[N. Quejas],0),MATCH(BD_Datos[[#This Row],[Área]],Factores[#Headers],0))</f>
        <v>0.2</v>
      </c>
    </row>
    <row r="127" spans="2:17" x14ac:dyDescent="0.25">
      <c r="B127" s="23" t="s">
        <v>105</v>
      </c>
      <c r="C127" s="3">
        <v>41784</v>
      </c>
      <c r="D127" s="4" t="s">
        <v>159</v>
      </c>
      <c r="E127" s="2" t="str">
        <f>VLOOKUP(BD_Datos[[#This Row],[Código Área]],Areas[],2,FALSE)</f>
        <v>Finanzas</v>
      </c>
      <c r="F127" s="5">
        <v>1732500.0000000002</v>
      </c>
      <c r="G127" s="2">
        <v>4</v>
      </c>
      <c r="H127" s="2">
        <v>7</v>
      </c>
      <c r="I127" s="2">
        <v>3</v>
      </c>
      <c r="J127" s="2">
        <v>6</v>
      </c>
      <c r="K127" s="2">
        <f>SUM(BD_Datos[[#This Row],[Participación]:[Liderazgo]])</f>
        <v>20</v>
      </c>
      <c r="L127" s="2" t="b">
        <f>IF(BD_Datos[[#This Row],[Calificación]]&lt;=25,FALSE,TRUE)</f>
        <v>0</v>
      </c>
      <c r="M12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2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27" s="7">
        <v>1338</v>
      </c>
      <c r="P127" s="4">
        <v>4</v>
      </c>
      <c r="Q127" s="10">
        <f>INDEX(Factores[],MATCH(BD_Datos[[#This Row],[Quejas percibidas]],Factores[N. Quejas],0),MATCH(BD_Datos[[#This Row],[Área]],Factores[#Headers],0))</f>
        <v>1</v>
      </c>
    </row>
    <row r="128" spans="2:17" x14ac:dyDescent="0.25">
      <c r="B128" s="23" t="s">
        <v>105</v>
      </c>
      <c r="C128" s="3">
        <v>42290</v>
      </c>
      <c r="D128" s="4" t="s">
        <v>160</v>
      </c>
      <c r="E128" s="2" t="str">
        <f>VLOOKUP(BD_Datos[[#This Row],[Código Área]],Areas[],2,FALSE)</f>
        <v>Marketing</v>
      </c>
      <c r="F128" s="5">
        <v>2464000.0000000005</v>
      </c>
      <c r="G128" s="2">
        <v>2</v>
      </c>
      <c r="H128" s="2">
        <v>7</v>
      </c>
      <c r="I128" s="2">
        <v>3</v>
      </c>
      <c r="J128" s="2">
        <v>7</v>
      </c>
      <c r="K128" s="2">
        <f>SUM(BD_Datos[[#This Row],[Participación]:[Liderazgo]])</f>
        <v>19</v>
      </c>
      <c r="L128" s="2" t="b">
        <f>IF(BD_Datos[[#This Row],[Calificación]]&lt;=25,FALSE,TRUE)</f>
        <v>0</v>
      </c>
      <c r="M12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2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28" s="7">
        <v>1101</v>
      </c>
      <c r="P128" s="4">
        <v>4</v>
      </c>
      <c r="Q128" s="10">
        <f>INDEX(Factores[],MATCH(BD_Datos[[#This Row],[Quejas percibidas]],Factores[N. Quejas],0),MATCH(BD_Datos[[#This Row],[Área]],Factores[#Headers],0))</f>
        <v>0.6</v>
      </c>
    </row>
    <row r="129" spans="2:17" x14ac:dyDescent="0.25">
      <c r="B129" s="23" t="s">
        <v>106</v>
      </c>
      <c r="C129" s="3">
        <v>42701</v>
      </c>
      <c r="D129" s="4" t="s">
        <v>164</v>
      </c>
      <c r="E129" s="2" t="str">
        <f>VLOOKUP(BD_Datos[[#This Row],[Código Área]],Areas[],2,FALSE)</f>
        <v>Proyectos</v>
      </c>
      <c r="F129" s="5">
        <v>1500000</v>
      </c>
      <c r="G129" s="2">
        <v>7</v>
      </c>
      <c r="H129" s="2">
        <v>2</v>
      </c>
      <c r="I129" s="2">
        <v>4</v>
      </c>
      <c r="J129" s="2">
        <v>3</v>
      </c>
      <c r="K129" s="2">
        <f>SUM(BD_Datos[[#This Row],[Participación]:[Liderazgo]])</f>
        <v>16</v>
      </c>
      <c r="L129" s="2" t="b">
        <f>IF(BD_Datos[[#This Row],[Calificación]]&lt;=25,FALSE,TRUE)</f>
        <v>0</v>
      </c>
      <c r="M129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29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29" s="7">
        <v>3371</v>
      </c>
      <c r="P129" s="4">
        <v>3</v>
      </c>
      <c r="Q129" s="10">
        <f>INDEX(Factores[],MATCH(BD_Datos[[#This Row],[Quejas percibidas]],Factores[N. Quejas],0),MATCH(BD_Datos[[#This Row],[Área]],Factores[#Headers],0))</f>
        <v>0.4</v>
      </c>
    </row>
    <row r="130" spans="2:17" x14ac:dyDescent="0.25">
      <c r="B130" s="23" t="s">
        <v>107</v>
      </c>
      <c r="C130" s="3">
        <v>42456</v>
      </c>
      <c r="D130" s="4" t="s">
        <v>160</v>
      </c>
      <c r="E130" s="2" t="str">
        <f>VLOOKUP(BD_Datos[[#This Row],[Código Área]],Areas[],2,FALSE)</f>
        <v>Marketing</v>
      </c>
      <c r="F130" s="5">
        <v>700000</v>
      </c>
      <c r="G130" s="2">
        <v>5</v>
      </c>
      <c r="H130" s="2">
        <v>9</v>
      </c>
      <c r="I130" s="2">
        <v>3</v>
      </c>
      <c r="J130" s="2">
        <v>2</v>
      </c>
      <c r="K130" s="2">
        <f>SUM(BD_Datos[[#This Row],[Participación]:[Liderazgo]])</f>
        <v>19</v>
      </c>
      <c r="L130" s="2" t="b">
        <f>IF(BD_Datos[[#This Row],[Calificación]]&lt;=25,FALSE,TRUE)</f>
        <v>0</v>
      </c>
      <c r="M130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30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30" s="7">
        <v>2417</v>
      </c>
      <c r="P130" s="4">
        <v>2</v>
      </c>
      <c r="Q130" s="10">
        <f>INDEX(Factores[],MATCH(BD_Datos[[#This Row],[Quejas percibidas]],Factores[N. Quejas],0),MATCH(BD_Datos[[#This Row],[Área]],Factores[#Headers],0))</f>
        <v>0.2</v>
      </c>
    </row>
    <row r="131" spans="2:17" x14ac:dyDescent="0.25">
      <c r="B131" s="23" t="s">
        <v>108</v>
      </c>
      <c r="C131" s="3">
        <v>41495</v>
      </c>
      <c r="D131" s="4" t="s">
        <v>159</v>
      </c>
      <c r="E131" s="2" t="str">
        <f>VLOOKUP(BD_Datos[[#This Row],[Código Área]],Areas[],2,FALSE)</f>
        <v>Finanzas</v>
      </c>
      <c r="F131" s="5">
        <v>870000</v>
      </c>
      <c r="G131" s="2">
        <v>5</v>
      </c>
      <c r="H131" s="2">
        <v>9</v>
      </c>
      <c r="I131" s="2">
        <v>9</v>
      </c>
      <c r="J131" s="2">
        <v>4</v>
      </c>
      <c r="K131" s="2">
        <f>SUM(BD_Datos[[#This Row],[Participación]:[Liderazgo]])</f>
        <v>27</v>
      </c>
      <c r="L131" s="2" t="b">
        <f>IF(BD_Datos[[#This Row],[Calificación]]&lt;=25,FALSE,TRUE)</f>
        <v>1</v>
      </c>
      <c r="M131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29000</v>
      </c>
      <c r="N131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45077.720207253886</v>
      </c>
      <c r="O131" s="7">
        <v>3600</v>
      </c>
      <c r="P131" s="4">
        <v>4</v>
      </c>
      <c r="Q131" s="10">
        <f>INDEX(Factores[],MATCH(BD_Datos[[#This Row],[Quejas percibidas]],Factores[N. Quejas],0),MATCH(BD_Datos[[#This Row],[Área]],Factores[#Headers],0))</f>
        <v>1</v>
      </c>
    </row>
    <row r="132" spans="2:17" x14ac:dyDescent="0.25">
      <c r="B132" s="23" t="s">
        <v>109</v>
      </c>
      <c r="C132" s="3">
        <v>41838</v>
      </c>
      <c r="D132" s="4" t="s">
        <v>162</v>
      </c>
      <c r="E132" s="2" t="str">
        <f>VLOOKUP(BD_Datos[[#This Row],[Código Área]],Areas[],2,FALSE)</f>
        <v>Gerencia</v>
      </c>
      <c r="F132" s="5">
        <v>1050000</v>
      </c>
      <c r="G132" s="2">
        <v>6</v>
      </c>
      <c r="H132" s="2">
        <v>3</v>
      </c>
      <c r="I132" s="2">
        <v>10</v>
      </c>
      <c r="J132" s="2">
        <v>7</v>
      </c>
      <c r="K132" s="2">
        <f>SUM(BD_Datos[[#This Row],[Participación]:[Liderazgo]])</f>
        <v>26</v>
      </c>
      <c r="L132" s="2" t="b">
        <f>IF(BD_Datos[[#This Row],[Calificación]]&lt;=25,FALSE,TRUE)</f>
        <v>1</v>
      </c>
      <c r="M132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51739.130434782608</v>
      </c>
      <c r="N132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52793.296089385476</v>
      </c>
      <c r="O132" s="7">
        <v>377</v>
      </c>
      <c r="P132" s="4">
        <v>1</v>
      </c>
      <c r="Q132" s="10">
        <f>INDEX(Factores[],MATCH(BD_Datos[[#This Row],[Quejas percibidas]],Factores[N. Quejas],0),MATCH(BD_Datos[[#This Row],[Área]],Factores[#Headers],0))</f>
        <v>0.2</v>
      </c>
    </row>
    <row r="133" spans="2:17" x14ac:dyDescent="0.25">
      <c r="B133" s="23" t="s">
        <v>110</v>
      </c>
      <c r="C133" s="3">
        <v>42682</v>
      </c>
      <c r="D133" s="4" t="s">
        <v>163</v>
      </c>
      <c r="E133" s="2" t="str">
        <f>VLOOKUP(BD_Datos[[#This Row],[Código Área]],Areas[],2,FALSE)</f>
        <v>Transportes</v>
      </c>
      <c r="F133" s="5">
        <v>640000</v>
      </c>
      <c r="G133" s="2">
        <v>9</v>
      </c>
      <c r="H133" s="2">
        <v>1</v>
      </c>
      <c r="I133" s="2">
        <v>10</v>
      </c>
      <c r="J133" s="2">
        <v>10</v>
      </c>
      <c r="K133" s="2">
        <f>SUM(BD_Datos[[#This Row],[Participación]:[Liderazgo]])</f>
        <v>30</v>
      </c>
      <c r="L133" s="2" t="b">
        <f>IF(BD_Datos[[#This Row],[Calificación]]&lt;=25,FALSE,TRUE)</f>
        <v>1</v>
      </c>
      <c r="M133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21333.333333333332</v>
      </c>
      <c r="N133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32178.770949720671</v>
      </c>
      <c r="O133" s="7">
        <v>3080</v>
      </c>
      <c r="P133" s="4">
        <v>1</v>
      </c>
      <c r="Q133" s="10">
        <f>INDEX(Factores[],MATCH(BD_Datos[[#This Row],[Quejas percibidas]],Factores[N. Quejas],0),MATCH(BD_Datos[[#This Row],[Área]],Factores[#Headers],0))</f>
        <v>0.1</v>
      </c>
    </row>
    <row r="134" spans="2:17" x14ac:dyDescent="0.25">
      <c r="B134" s="23" t="s">
        <v>111</v>
      </c>
      <c r="C134" s="3">
        <v>42240</v>
      </c>
      <c r="D134" s="4" t="s">
        <v>164</v>
      </c>
      <c r="E134" s="2" t="str">
        <f>VLOOKUP(BD_Datos[[#This Row],[Código Área]],Areas[],2,FALSE)</f>
        <v>Proyectos</v>
      </c>
      <c r="F134" s="5">
        <v>820000</v>
      </c>
      <c r="G134" s="2">
        <v>1</v>
      </c>
      <c r="H134" s="2">
        <v>9</v>
      </c>
      <c r="I134" s="2">
        <v>6</v>
      </c>
      <c r="J134" s="2">
        <v>2</v>
      </c>
      <c r="K134" s="2">
        <f>SUM(BD_Datos[[#This Row],[Participación]:[Liderazgo]])</f>
        <v>18</v>
      </c>
      <c r="L134" s="2" t="b">
        <f>IF(BD_Datos[[#This Row],[Calificación]]&lt;=25,FALSE,TRUE)</f>
        <v>0</v>
      </c>
      <c r="M13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3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34" s="7">
        <v>1100</v>
      </c>
      <c r="P134" s="4">
        <v>1</v>
      </c>
      <c r="Q134" s="10">
        <f>INDEX(Factores[],MATCH(BD_Datos[[#This Row],[Quejas percibidas]],Factores[N. Quejas],0),MATCH(BD_Datos[[#This Row],[Área]],Factores[#Headers],0))</f>
        <v>0.1</v>
      </c>
    </row>
    <row r="135" spans="2:17" x14ac:dyDescent="0.25">
      <c r="B135" s="23" t="s">
        <v>112</v>
      </c>
      <c r="C135" s="3">
        <v>41685</v>
      </c>
      <c r="D135" s="4" t="s">
        <v>160</v>
      </c>
      <c r="E135" s="2" t="str">
        <f>VLOOKUP(BD_Datos[[#This Row],[Código Área]],Areas[],2,FALSE)</f>
        <v>Marketing</v>
      </c>
      <c r="F135" s="5">
        <v>2100000</v>
      </c>
      <c r="G135" s="2">
        <v>6</v>
      </c>
      <c r="H135" s="2">
        <v>7</v>
      </c>
      <c r="I135" s="2">
        <v>8</v>
      </c>
      <c r="J135" s="2">
        <v>6</v>
      </c>
      <c r="K135" s="2">
        <f>SUM(BD_Datos[[#This Row],[Participación]:[Liderazgo]])</f>
        <v>27</v>
      </c>
      <c r="L135" s="2" t="b">
        <f>IF(BD_Datos[[#This Row],[Calificación]]&lt;=25,FALSE,TRUE)</f>
        <v>1</v>
      </c>
      <c r="M135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103478.26086956522</v>
      </c>
      <c r="N135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105586.59217877095</v>
      </c>
      <c r="O135" s="7">
        <v>2969</v>
      </c>
      <c r="P135" s="4">
        <v>3</v>
      </c>
      <c r="Q135" s="10">
        <f>INDEX(Factores[],MATCH(BD_Datos[[#This Row],[Quejas percibidas]],Factores[N. Quejas],0),MATCH(BD_Datos[[#This Row],[Área]],Factores[#Headers],0))</f>
        <v>0.4</v>
      </c>
    </row>
    <row r="136" spans="2:17" x14ac:dyDescent="0.25">
      <c r="B136" s="23" t="s">
        <v>113</v>
      </c>
      <c r="C136" s="3">
        <v>41544</v>
      </c>
      <c r="D136" s="4" t="s">
        <v>159</v>
      </c>
      <c r="E136" s="2" t="str">
        <f>VLOOKUP(BD_Datos[[#This Row],[Código Área]],Areas[],2,FALSE)</f>
        <v>Finanzas</v>
      </c>
      <c r="F136" s="5">
        <v>960000</v>
      </c>
      <c r="G136" s="2">
        <v>8</v>
      </c>
      <c r="H136" s="2">
        <v>8</v>
      </c>
      <c r="I136" s="2">
        <v>2</v>
      </c>
      <c r="J136" s="2">
        <v>1</v>
      </c>
      <c r="K136" s="2">
        <f>SUM(BD_Datos[[#This Row],[Participación]:[Liderazgo]])</f>
        <v>19</v>
      </c>
      <c r="L136" s="2" t="b">
        <f>IF(BD_Datos[[#This Row],[Calificación]]&lt;=25,FALSE,TRUE)</f>
        <v>0</v>
      </c>
      <c r="M13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3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36" s="7">
        <v>3552</v>
      </c>
      <c r="P136" s="4">
        <v>4</v>
      </c>
      <c r="Q136" s="10">
        <f>INDEX(Factores[],MATCH(BD_Datos[[#This Row],[Quejas percibidas]],Factores[N. Quejas],0),MATCH(BD_Datos[[#This Row],[Área]],Factores[#Headers],0))</f>
        <v>1</v>
      </c>
    </row>
    <row r="137" spans="2:17" x14ac:dyDescent="0.25">
      <c r="B137" s="23" t="s">
        <v>114</v>
      </c>
      <c r="C137" s="3">
        <v>42309</v>
      </c>
      <c r="D137" s="4" t="s">
        <v>161</v>
      </c>
      <c r="E137" s="2" t="str">
        <f>VLOOKUP(BD_Datos[[#This Row],[Código Área]],Areas[],2,FALSE)</f>
        <v>Administración</v>
      </c>
      <c r="F137" s="5">
        <v>750000</v>
      </c>
      <c r="G137" s="2">
        <v>2</v>
      </c>
      <c r="H137" s="2">
        <v>9</v>
      </c>
      <c r="I137" s="2">
        <v>6</v>
      </c>
      <c r="J137" s="2">
        <v>6</v>
      </c>
      <c r="K137" s="2">
        <f>SUM(BD_Datos[[#This Row],[Participación]:[Liderazgo]])</f>
        <v>23</v>
      </c>
      <c r="L137" s="2" t="b">
        <f>IF(BD_Datos[[#This Row],[Calificación]]&lt;=25,FALSE,TRUE)</f>
        <v>0</v>
      </c>
      <c r="M13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3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37" s="7">
        <v>4938</v>
      </c>
      <c r="P137" s="4">
        <v>4</v>
      </c>
      <c r="Q137" s="10">
        <f>INDEX(Factores[],MATCH(BD_Datos[[#This Row],[Quejas percibidas]],Factores[N. Quejas],0),MATCH(BD_Datos[[#This Row],[Área]],Factores[#Headers],0))</f>
        <v>0.9</v>
      </c>
    </row>
    <row r="138" spans="2:17" x14ac:dyDescent="0.25">
      <c r="B138" s="23" t="s">
        <v>72</v>
      </c>
      <c r="C138" s="3">
        <v>42219</v>
      </c>
      <c r="D138" s="4" t="s">
        <v>162</v>
      </c>
      <c r="E138" s="2" t="str">
        <f>VLOOKUP(BD_Datos[[#This Row],[Código Área]],Areas[],2,FALSE)</f>
        <v>Gerencia</v>
      </c>
      <c r="F138" s="5">
        <v>970000</v>
      </c>
      <c r="G138" s="2">
        <v>5</v>
      </c>
      <c r="H138" s="2">
        <v>10</v>
      </c>
      <c r="I138" s="2">
        <v>10</v>
      </c>
      <c r="J138" s="2">
        <v>8</v>
      </c>
      <c r="K138" s="2">
        <f>SUM(BD_Datos[[#This Row],[Participación]:[Liderazgo]])</f>
        <v>33</v>
      </c>
      <c r="L138" s="2" t="b">
        <f>IF(BD_Datos[[#This Row],[Calificación]]&lt;=25,FALSE,TRUE)</f>
        <v>1</v>
      </c>
      <c r="M138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32333.333333333332</v>
      </c>
      <c r="N138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48770.949720670389</v>
      </c>
      <c r="O138" s="7">
        <v>4024</v>
      </c>
      <c r="P138" s="4">
        <v>2</v>
      </c>
      <c r="Q138" s="10">
        <f>INDEX(Factores[],MATCH(BD_Datos[[#This Row],[Quejas percibidas]],Factores[N. Quejas],0),MATCH(BD_Datos[[#This Row],[Área]],Factores[#Headers],0))</f>
        <v>0.4</v>
      </c>
    </row>
    <row r="139" spans="2:17" x14ac:dyDescent="0.25">
      <c r="B139" s="23" t="s">
        <v>115</v>
      </c>
      <c r="C139" s="3">
        <v>41842</v>
      </c>
      <c r="D139" s="4" t="s">
        <v>161</v>
      </c>
      <c r="E139" s="2" t="str">
        <f>VLOOKUP(BD_Datos[[#This Row],[Código Área]],Areas[],2,FALSE)</f>
        <v>Administración</v>
      </c>
      <c r="F139" s="5">
        <v>1040000</v>
      </c>
      <c r="G139" s="2">
        <v>6</v>
      </c>
      <c r="H139" s="2">
        <v>2</v>
      </c>
      <c r="I139" s="2">
        <v>6</v>
      </c>
      <c r="J139" s="2">
        <v>7</v>
      </c>
      <c r="K139" s="2">
        <f>SUM(BD_Datos[[#This Row],[Participación]:[Liderazgo]])</f>
        <v>21</v>
      </c>
      <c r="L139" s="2" t="b">
        <f>IF(BD_Datos[[#This Row],[Calificación]]&lt;=25,FALSE,TRUE)</f>
        <v>0</v>
      </c>
      <c r="M139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39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39" s="7">
        <v>2583</v>
      </c>
      <c r="P139" s="4">
        <v>1</v>
      </c>
      <c r="Q139" s="10">
        <f>INDEX(Factores[],MATCH(BD_Datos[[#This Row],[Quejas percibidas]],Factores[N. Quejas],0),MATCH(BD_Datos[[#This Row],[Área]],Factores[#Headers],0))</f>
        <v>0.4</v>
      </c>
    </row>
    <row r="140" spans="2:17" x14ac:dyDescent="0.25">
      <c r="B140" s="23" t="s">
        <v>66</v>
      </c>
      <c r="C140" s="3">
        <v>41767</v>
      </c>
      <c r="D140" s="4" t="s">
        <v>160</v>
      </c>
      <c r="E140" s="2" t="str">
        <f>VLOOKUP(BD_Datos[[#This Row],[Código Área]],Areas[],2,FALSE)</f>
        <v>Marketing</v>
      </c>
      <c r="F140" s="5">
        <v>1750000</v>
      </c>
      <c r="G140" s="2">
        <v>1</v>
      </c>
      <c r="H140" s="2">
        <v>1</v>
      </c>
      <c r="I140" s="2">
        <v>3</v>
      </c>
      <c r="J140" s="2">
        <v>2</v>
      </c>
      <c r="K140" s="2">
        <f>SUM(BD_Datos[[#This Row],[Participación]:[Liderazgo]])</f>
        <v>7</v>
      </c>
      <c r="L140" s="2" t="b">
        <f>IF(BD_Datos[[#This Row],[Calificación]]&lt;=25,FALSE,TRUE)</f>
        <v>0</v>
      </c>
      <c r="M140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40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40" s="7">
        <v>2766</v>
      </c>
      <c r="P140" s="4">
        <v>1</v>
      </c>
      <c r="Q140" s="10">
        <f>INDEX(Factores[],MATCH(BD_Datos[[#This Row],[Quejas percibidas]],Factores[N. Quejas],0),MATCH(BD_Datos[[#This Row],[Área]],Factores[#Headers],0))</f>
        <v>0.1</v>
      </c>
    </row>
    <row r="141" spans="2:17" x14ac:dyDescent="0.25">
      <c r="B141" s="23" t="s">
        <v>116</v>
      </c>
      <c r="C141" s="3">
        <v>41508</v>
      </c>
      <c r="D141" s="4" t="s">
        <v>163</v>
      </c>
      <c r="E141" s="2" t="str">
        <f>VLOOKUP(BD_Datos[[#This Row],[Código Área]],Areas[],2,FALSE)</f>
        <v>Transportes</v>
      </c>
      <c r="F141" s="5">
        <v>1500000</v>
      </c>
      <c r="G141" s="2">
        <v>8</v>
      </c>
      <c r="H141" s="2">
        <v>7</v>
      </c>
      <c r="I141" s="2">
        <v>7</v>
      </c>
      <c r="J141" s="2">
        <v>4</v>
      </c>
      <c r="K141" s="2">
        <f>SUM(BD_Datos[[#This Row],[Participación]:[Liderazgo]])</f>
        <v>26</v>
      </c>
      <c r="L141" s="2" t="b">
        <f>IF(BD_Datos[[#This Row],[Calificación]]&lt;=25,FALSE,TRUE)</f>
        <v>1</v>
      </c>
      <c r="M141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73913.043478260879</v>
      </c>
      <c r="N141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75418.994413407825</v>
      </c>
      <c r="O141" s="7">
        <v>4084</v>
      </c>
      <c r="P141" s="4">
        <v>4</v>
      </c>
      <c r="Q141" s="10">
        <f>INDEX(Factores[],MATCH(BD_Datos[[#This Row],[Quejas percibidas]],Factores[N. Quejas],0),MATCH(BD_Datos[[#This Row],[Área]],Factores[#Headers],0))</f>
        <v>0.4</v>
      </c>
    </row>
    <row r="142" spans="2:17" x14ac:dyDescent="0.25">
      <c r="B142" s="23" t="s">
        <v>117</v>
      </c>
      <c r="C142" s="3">
        <v>41598</v>
      </c>
      <c r="D142" s="4" t="s">
        <v>159</v>
      </c>
      <c r="E142" s="2" t="str">
        <f>VLOOKUP(BD_Datos[[#This Row],[Código Área]],Areas[],2,FALSE)</f>
        <v>Finanzas</v>
      </c>
      <c r="F142" s="5">
        <v>1575000</v>
      </c>
      <c r="G142" s="2">
        <v>1</v>
      </c>
      <c r="H142" s="2">
        <v>10</v>
      </c>
      <c r="I142" s="2">
        <v>0</v>
      </c>
      <c r="J142" s="2">
        <v>7</v>
      </c>
      <c r="K142" s="2">
        <f>SUM(BD_Datos[[#This Row],[Participación]:[Liderazgo]])</f>
        <v>18</v>
      </c>
      <c r="L142" s="2" t="b">
        <f>IF(BD_Datos[[#This Row],[Calificación]]&lt;=25,FALSE,TRUE)</f>
        <v>0</v>
      </c>
      <c r="M14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4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42" s="7">
        <v>4225</v>
      </c>
      <c r="P142" s="4">
        <v>3</v>
      </c>
      <c r="Q142" s="10">
        <f>INDEX(Factores[],MATCH(BD_Datos[[#This Row],[Quejas percibidas]],Factores[N. Quejas],0),MATCH(BD_Datos[[#This Row],[Área]],Factores[#Headers],0))</f>
        <v>0.7</v>
      </c>
    </row>
    <row r="143" spans="2:17" x14ac:dyDescent="0.25">
      <c r="B143" s="23" t="s">
        <v>99</v>
      </c>
      <c r="C143" s="3">
        <v>41974</v>
      </c>
      <c r="D143" s="4" t="s">
        <v>163</v>
      </c>
      <c r="E143" s="2" t="str">
        <f>VLOOKUP(BD_Datos[[#This Row],[Código Área]],Areas[],2,FALSE)</f>
        <v>Transportes</v>
      </c>
      <c r="F143" s="5">
        <v>770000.00000000012</v>
      </c>
      <c r="G143" s="2">
        <v>2</v>
      </c>
      <c r="H143" s="2">
        <v>8</v>
      </c>
      <c r="I143" s="2">
        <v>2</v>
      </c>
      <c r="J143" s="2">
        <v>4</v>
      </c>
      <c r="K143" s="2">
        <f>SUM(BD_Datos[[#This Row],[Participación]:[Liderazgo]])</f>
        <v>16</v>
      </c>
      <c r="L143" s="2" t="b">
        <f>IF(BD_Datos[[#This Row],[Calificación]]&lt;=25,FALSE,TRUE)</f>
        <v>0</v>
      </c>
      <c r="M14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4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43" s="7">
        <v>3429</v>
      </c>
      <c r="P143" s="4">
        <v>3</v>
      </c>
      <c r="Q143" s="10">
        <f>INDEX(Factores[],MATCH(BD_Datos[[#This Row],[Quejas percibidas]],Factores[N. Quejas],0),MATCH(BD_Datos[[#This Row],[Área]],Factores[#Headers],0))</f>
        <v>0.3</v>
      </c>
    </row>
    <row r="144" spans="2:17" x14ac:dyDescent="0.25">
      <c r="B144" s="23" t="s">
        <v>66</v>
      </c>
      <c r="C144" s="3">
        <v>42498</v>
      </c>
      <c r="D144" s="4" t="s">
        <v>164</v>
      </c>
      <c r="E144" s="2" t="str">
        <f>VLOOKUP(BD_Datos[[#This Row],[Código Área]],Areas[],2,FALSE)</f>
        <v>Proyectos</v>
      </c>
      <c r="F144" s="5">
        <v>1000499.9999999999</v>
      </c>
      <c r="G144" s="2">
        <v>6</v>
      </c>
      <c r="H144" s="2">
        <v>2</v>
      </c>
      <c r="I144" s="2">
        <v>5</v>
      </c>
      <c r="J144" s="2">
        <v>8</v>
      </c>
      <c r="K144" s="2">
        <f>SUM(BD_Datos[[#This Row],[Participación]:[Liderazgo]])</f>
        <v>21</v>
      </c>
      <c r="L144" s="2" t="b">
        <f>IF(BD_Datos[[#This Row],[Calificación]]&lt;=25,FALSE,TRUE)</f>
        <v>0</v>
      </c>
      <c r="M14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4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44" s="7">
        <v>3140</v>
      </c>
      <c r="P144" s="4">
        <v>2</v>
      </c>
      <c r="Q144" s="10">
        <f>INDEX(Factores[],MATCH(BD_Datos[[#This Row],[Quejas percibidas]],Factores[N. Quejas],0),MATCH(BD_Datos[[#This Row],[Área]],Factores[#Headers],0))</f>
        <v>0.3</v>
      </c>
    </row>
    <row r="145" spans="2:17" x14ac:dyDescent="0.25">
      <c r="B145" s="23" t="s">
        <v>118</v>
      </c>
      <c r="C145" s="3">
        <v>41846</v>
      </c>
      <c r="D145" s="4" t="s">
        <v>164</v>
      </c>
      <c r="E145" s="2" t="str">
        <f>VLOOKUP(BD_Datos[[#This Row],[Código Área]],Areas[],2,FALSE)</f>
        <v>Proyectos</v>
      </c>
      <c r="F145" s="5">
        <v>1260000</v>
      </c>
      <c r="G145" s="2">
        <v>6</v>
      </c>
      <c r="H145" s="2">
        <v>2</v>
      </c>
      <c r="I145" s="2">
        <v>6</v>
      </c>
      <c r="J145" s="2">
        <v>3</v>
      </c>
      <c r="K145" s="2">
        <f>SUM(BD_Datos[[#This Row],[Participación]:[Liderazgo]])</f>
        <v>17</v>
      </c>
      <c r="L145" s="2" t="b">
        <f>IF(BD_Datos[[#This Row],[Calificación]]&lt;=25,FALSE,TRUE)</f>
        <v>0</v>
      </c>
      <c r="M14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4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45" s="7">
        <v>3530</v>
      </c>
      <c r="P145" s="4">
        <v>1</v>
      </c>
      <c r="Q145" s="10">
        <f>INDEX(Factores[],MATCH(BD_Datos[[#This Row],[Quejas percibidas]],Factores[N. Quejas],0),MATCH(BD_Datos[[#This Row],[Área]],Factores[#Headers],0))</f>
        <v>0.1</v>
      </c>
    </row>
    <row r="146" spans="2:17" x14ac:dyDescent="0.25">
      <c r="B146" s="23" t="s">
        <v>64</v>
      </c>
      <c r="C146" s="3">
        <v>42606</v>
      </c>
      <c r="D146" s="4" t="s">
        <v>159</v>
      </c>
      <c r="E146" s="2" t="str">
        <f>VLOOKUP(BD_Datos[[#This Row],[Código Área]],Areas[],2,FALSE)</f>
        <v>Finanzas</v>
      </c>
      <c r="F146" s="5">
        <v>800000</v>
      </c>
      <c r="G146" s="2">
        <v>9</v>
      </c>
      <c r="H146" s="2">
        <v>0</v>
      </c>
      <c r="I146" s="2">
        <v>6</v>
      </c>
      <c r="J146" s="2">
        <v>2</v>
      </c>
      <c r="K146" s="2">
        <f>SUM(BD_Datos[[#This Row],[Participación]:[Liderazgo]])</f>
        <v>17</v>
      </c>
      <c r="L146" s="2" t="b">
        <f>IF(BD_Datos[[#This Row],[Calificación]]&lt;=25,FALSE,TRUE)</f>
        <v>0</v>
      </c>
      <c r="M14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4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46" s="7">
        <v>875</v>
      </c>
      <c r="P146" s="4">
        <v>2</v>
      </c>
      <c r="Q146" s="10">
        <f>INDEX(Factores[],MATCH(BD_Datos[[#This Row],[Quejas percibidas]],Factores[N. Quejas],0),MATCH(BD_Datos[[#This Row],[Área]],Factores[#Headers],0))</f>
        <v>0.5</v>
      </c>
    </row>
    <row r="147" spans="2:17" x14ac:dyDescent="0.25">
      <c r="B147" s="23" t="s">
        <v>119</v>
      </c>
      <c r="C147" s="3">
        <v>42363</v>
      </c>
      <c r="D147" s="4" t="s">
        <v>162</v>
      </c>
      <c r="E147" s="2" t="str">
        <f>VLOOKUP(BD_Datos[[#This Row],[Código Área]],Areas[],2,FALSE)</f>
        <v>Gerencia</v>
      </c>
      <c r="F147" s="5">
        <v>1066000</v>
      </c>
      <c r="G147" s="2">
        <v>4</v>
      </c>
      <c r="H147" s="2">
        <v>0</v>
      </c>
      <c r="I147" s="2">
        <v>8</v>
      </c>
      <c r="J147" s="2">
        <v>0</v>
      </c>
      <c r="K147" s="2">
        <f>SUM(BD_Datos[[#This Row],[Participación]:[Liderazgo]])</f>
        <v>12</v>
      </c>
      <c r="L147" s="2" t="b">
        <f>IF(BD_Datos[[#This Row],[Calificación]]&lt;=25,FALSE,TRUE)</f>
        <v>0</v>
      </c>
      <c r="M14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4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47" s="7">
        <v>1395</v>
      </c>
      <c r="P147" s="4">
        <v>4</v>
      </c>
      <c r="Q147" s="10">
        <f>INDEX(Factores[],MATCH(BD_Datos[[#This Row],[Quejas percibidas]],Factores[N. Quejas],0),MATCH(BD_Datos[[#This Row],[Área]],Factores[#Headers],0))</f>
        <v>0.8</v>
      </c>
    </row>
    <row r="148" spans="2:17" x14ac:dyDescent="0.25">
      <c r="B148" s="23" t="s">
        <v>120</v>
      </c>
      <c r="C148" s="3">
        <v>42142</v>
      </c>
      <c r="D148" s="4" t="s">
        <v>160</v>
      </c>
      <c r="E148" s="2" t="str">
        <f>VLOOKUP(BD_Datos[[#This Row],[Código Área]],Areas[],2,FALSE)</f>
        <v>Marketing</v>
      </c>
      <c r="F148" s="5">
        <v>2835000</v>
      </c>
      <c r="G148" s="2">
        <v>9</v>
      </c>
      <c r="H148" s="2">
        <v>5</v>
      </c>
      <c r="I148" s="2">
        <v>1</v>
      </c>
      <c r="J148" s="2">
        <v>6</v>
      </c>
      <c r="K148" s="2">
        <f>SUM(BD_Datos[[#This Row],[Participación]:[Liderazgo]])</f>
        <v>21</v>
      </c>
      <c r="L148" s="2" t="b">
        <f>IF(BD_Datos[[#This Row],[Calificación]]&lt;=25,FALSE,TRUE)</f>
        <v>0</v>
      </c>
      <c r="M14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4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48" s="7">
        <v>5176</v>
      </c>
      <c r="P148" s="4">
        <v>1</v>
      </c>
      <c r="Q148" s="10">
        <f>INDEX(Factores[],MATCH(BD_Datos[[#This Row],[Quejas percibidas]],Factores[N. Quejas],0),MATCH(BD_Datos[[#This Row],[Área]],Factores[#Headers],0))</f>
        <v>0.1</v>
      </c>
    </row>
    <row r="149" spans="2:17" x14ac:dyDescent="0.25">
      <c r="B149" s="23" t="s">
        <v>121</v>
      </c>
      <c r="C149" s="3">
        <v>41916</v>
      </c>
      <c r="D149" s="4" t="s">
        <v>163</v>
      </c>
      <c r="E149" s="2" t="str">
        <f>VLOOKUP(BD_Datos[[#This Row],[Código Área]],Areas[],2,FALSE)</f>
        <v>Transportes</v>
      </c>
      <c r="F149" s="5">
        <v>1344000</v>
      </c>
      <c r="G149" s="2">
        <v>4</v>
      </c>
      <c r="H149" s="2">
        <v>9</v>
      </c>
      <c r="I149" s="2">
        <v>6</v>
      </c>
      <c r="J149" s="2">
        <v>1</v>
      </c>
      <c r="K149" s="2">
        <f>SUM(BD_Datos[[#This Row],[Participación]:[Liderazgo]])</f>
        <v>20</v>
      </c>
      <c r="L149" s="2" t="b">
        <f>IF(BD_Datos[[#This Row],[Calificación]]&lt;=25,FALSE,TRUE)</f>
        <v>0</v>
      </c>
      <c r="M149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49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49" s="7">
        <v>2465</v>
      </c>
      <c r="P149" s="4">
        <v>1</v>
      </c>
      <c r="Q149" s="10">
        <f>INDEX(Factores[],MATCH(BD_Datos[[#This Row],[Quejas percibidas]],Factores[N. Quejas],0),MATCH(BD_Datos[[#This Row],[Área]],Factores[#Headers],0))</f>
        <v>0.1</v>
      </c>
    </row>
    <row r="150" spans="2:17" x14ac:dyDescent="0.25">
      <c r="B150" s="23" t="s">
        <v>122</v>
      </c>
      <c r="C150" s="3">
        <v>41427</v>
      </c>
      <c r="D150" s="4" t="s">
        <v>164</v>
      </c>
      <c r="E150" s="2" t="str">
        <f>VLOOKUP(BD_Datos[[#This Row],[Código Área]],Areas[],2,FALSE)</f>
        <v>Proyectos</v>
      </c>
      <c r="F150" s="5">
        <v>1087500</v>
      </c>
      <c r="G150" s="2">
        <v>5</v>
      </c>
      <c r="H150" s="2">
        <v>3</v>
      </c>
      <c r="I150" s="2">
        <v>5</v>
      </c>
      <c r="J150" s="2">
        <v>6</v>
      </c>
      <c r="K150" s="2">
        <f>SUM(BD_Datos[[#This Row],[Participación]:[Liderazgo]])</f>
        <v>19</v>
      </c>
      <c r="L150" s="2" t="b">
        <f>IF(BD_Datos[[#This Row],[Calificación]]&lt;=25,FALSE,TRUE)</f>
        <v>0</v>
      </c>
      <c r="M150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50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50" s="7">
        <v>2149</v>
      </c>
      <c r="P150" s="4">
        <v>2</v>
      </c>
      <c r="Q150" s="10">
        <f>INDEX(Factores[],MATCH(BD_Datos[[#This Row],[Quejas percibidas]],Factores[N. Quejas],0),MATCH(BD_Datos[[#This Row],[Área]],Factores[#Headers],0))</f>
        <v>0.3</v>
      </c>
    </row>
    <row r="151" spans="2:17" x14ac:dyDescent="0.25">
      <c r="B151" s="23" t="s">
        <v>123</v>
      </c>
      <c r="C151" s="3">
        <v>41983</v>
      </c>
      <c r="D151" s="4" t="s">
        <v>159</v>
      </c>
      <c r="E151" s="2" t="str">
        <f>VLOOKUP(BD_Datos[[#This Row],[Código Área]],Areas[],2,FALSE)</f>
        <v>Finanzas</v>
      </c>
      <c r="F151" s="5">
        <v>870000</v>
      </c>
      <c r="G151" s="2">
        <v>10</v>
      </c>
      <c r="H151" s="2">
        <v>4</v>
      </c>
      <c r="I151" s="2">
        <v>0</v>
      </c>
      <c r="J151" s="2">
        <v>2</v>
      </c>
      <c r="K151" s="2">
        <f>SUM(BD_Datos[[#This Row],[Participación]:[Liderazgo]])</f>
        <v>16</v>
      </c>
      <c r="L151" s="2" t="b">
        <f>IF(BD_Datos[[#This Row],[Calificación]]&lt;=25,FALSE,TRUE)</f>
        <v>0</v>
      </c>
      <c r="M151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51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51" s="7">
        <v>1087</v>
      </c>
      <c r="P151" s="4">
        <v>3</v>
      </c>
      <c r="Q151" s="10">
        <f>INDEX(Factores[],MATCH(BD_Datos[[#This Row],[Quejas percibidas]],Factores[N. Quejas],0),MATCH(BD_Datos[[#This Row],[Área]],Factores[#Headers],0))</f>
        <v>0.7</v>
      </c>
    </row>
    <row r="152" spans="2:17" x14ac:dyDescent="0.25">
      <c r="B152" s="23" t="s">
        <v>124</v>
      </c>
      <c r="C152" s="3">
        <v>42200</v>
      </c>
      <c r="D152" s="4" t="s">
        <v>162</v>
      </c>
      <c r="E152" s="2" t="str">
        <f>VLOOKUP(BD_Datos[[#This Row],[Código Área]],Areas[],2,FALSE)</f>
        <v>Gerencia</v>
      </c>
      <c r="F152" s="5">
        <v>2160000</v>
      </c>
      <c r="G152" s="2">
        <v>0</v>
      </c>
      <c r="H152" s="2">
        <v>10</v>
      </c>
      <c r="I152" s="2">
        <v>9</v>
      </c>
      <c r="J152" s="2">
        <v>2</v>
      </c>
      <c r="K152" s="2">
        <f>SUM(BD_Datos[[#This Row],[Participación]:[Liderazgo]])</f>
        <v>21</v>
      </c>
      <c r="L152" s="2" t="b">
        <f>IF(BD_Datos[[#This Row],[Calificación]]&lt;=25,FALSE,TRUE)</f>
        <v>0</v>
      </c>
      <c r="M15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5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52" s="7">
        <v>2999</v>
      </c>
      <c r="P152" s="4">
        <v>1</v>
      </c>
      <c r="Q152" s="10">
        <f>INDEX(Factores[],MATCH(BD_Datos[[#This Row],[Quejas percibidas]],Factores[N. Quejas],0),MATCH(BD_Datos[[#This Row],[Área]],Factores[#Headers],0))</f>
        <v>0.2</v>
      </c>
    </row>
    <row r="153" spans="2:17" x14ac:dyDescent="0.25">
      <c r="B153" s="23" t="s">
        <v>89</v>
      </c>
      <c r="C153" s="3">
        <v>42411</v>
      </c>
      <c r="D153" s="4" t="s">
        <v>159</v>
      </c>
      <c r="E153" s="2" t="str">
        <f>VLOOKUP(BD_Datos[[#This Row],[Código Área]],Areas[],2,FALSE)</f>
        <v>Finanzas</v>
      </c>
      <c r="F153" s="5">
        <v>1008000</v>
      </c>
      <c r="G153" s="2">
        <v>0</v>
      </c>
      <c r="H153" s="2">
        <v>5</v>
      </c>
      <c r="I153" s="2">
        <v>10</v>
      </c>
      <c r="J153" s="2">
        <v>7</v>
      </c>
      <c r="K153" s="2">
        <f>SUM(BD_Datos[[#This Row],[Participación]:[Liderazgo]])</f>
        <v>22</v>
      </c>
      <c r="L153" s="2" t="b">
        <f>IF(BD_Datos[[#This Row],[Calificación]]&lt;=25,FALSE,TRUE)</f>
        <v>0</v>
      </c>
      <c r="M15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5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53" s="7">
        <v>4901</v>
      </c>
      <c r="P153" s="4">
        <v>4</v>
      </c>
      <c r="Q153" s="10">
        <f>INDEX(Factores[],MATCH(BD_Datos[[#This Row],[Quejas percibidas]],Factores[N. Quejas],0),MATCH(BD_Datos[[#This Row],[Área]],Factores[#Headers],0))</f>
        <v>1</v>
      </c>
    </row>
    <row r="154" spans="2:17" x14ac:dyDescent="0.25">
      <c r="B154" s="23" t="s">
        <v>125</v>
      </c>
      <c r="C154" s="3">
        <v>41894</v>
      </c>
      <c r="D154" s="4" t="s">
        <v>163</v>
      </c>
      <c r="E154" s="2" t="str">
        <f>VLOOKUP(BD_Datos[[#This Row],[Código Área]],Areas[],2,FALSE)</f>
        <v>Transportes</v>
      </c>
      <c r="F154" s="5">
        <v>582000</v>
      </c>
      <c r="G154" s="2">
        <v>10</v>
      </c>
      <c r="H154" s="2">
        <v>2</v>
      </c>
      <c r="I154" s="2">
        <v>9</v>
      </c>
      <c r="J154" s="2">
        <v>9</v>
      </c>
      <c r="K154" s="2">
        <f>SUM(BD_Datos[[#This Row],[Participación]:[Liderazgo]])</f>
        <v>30</v>
      </c>
      <c r="L154" s="2" t="b">
        <f>IF(BD_Datos[[#This Row],[Calificación]]&lt;=25,FALSE,TRUE)</f>
        <v>1</v>
      </c>
      <c r="M154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28678.26086956522</v>
      </c>
      <c r="N154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29262.569832402234</v>
      </c>
      <c r="O154" s="7">
        <v>378</v>
      </c>
      <c r="P154" s="4">
        <v>1</v>
      </c>
      <c r="Q154" s="10">
        <f>INDEX(Factores[],MATCH(BD_Datos[[#This Row],[Quejas percibidas]],Factores[N. Quejas],0),MATCH(BD_Datos[[#This Row],[Área]],Factores[#Headers],0))</f>
        <v>0.1</v>
      </c>
    </row>
    <row r="155" spans="2:17" x14ac:dyDescent="0.25">
      <c r="B155" s="23" t="s">
        <v>126</v>
      </c>
      <c r="C155" s="3">
        <v>42155</v>
      </c>
      <c r="D155" s="4" t="s">
        <v>164</v>
      </c>
      <c r="E155" s="2" t="str">
        <f>VLOOKUP(BD_Datos[[#This Row],[Código Área]],Areas[],2,FALSE)</f>
        <v>Proyectos</v>
      </c>
      <c r="F155" s="5">
        <v>728000</v>
      </c>
      <c r="G155" s="2">
        <v>7</v>
      </c>
      <c r="H155" s="2">
        <v>6</v>
      </c>
      <c r="I155" s="2">
        <v>7</v>
      </c>
      <c r="J155" s="2">
        <v>9</v>
      </c>
      <c r="K155" s="2">
        <f>SUM(BD_Datos[[#This Row],[Participación]:[Liderazgo]])</f>
        <v>29</v>
      </c>
      <c r="L155" s="2" t="b">
        <f>IF(BD_Datos[[#This Row],[Calificación]]&lt;=25,FALSE,TRUE)</f>
        <v>1</v>
      </c>
      <c r="M155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24266.666666666668</v>
      </c>
      <c r="N155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36603.351955307262</v>
      </c>
      <c r="O155" s="7">
        <v>2026</v>
      </c>
      <c r="P155" s="4">
        <v>2</v>
      </c>
      <c r="Q155" s="10">
        <f>INDEX(Factores[],MATCH(BD_Datos[[#This Row],[Quejas percibidas]],Factores[N. Quejas],0),MATCH(BD_Datos[[#This Row],[Área]],Factores[#Headers],0))</f>
        <v>0.3</v>
      </c>
    </row>
    <row r="156" spans="2:17" x14ac:dyDescent="0.25">
      <c r="B156" s="23" t="s">
        <v>127</v>
      </c>
      <c r="C156" s="3">
        <v>41909</v>
      </c>
      <c r="D156" s="4" t="s">
        <v>160</v>
      </c>
      <c r="E156" s="2" t="str">
        <f>VLOOKUP(BD_Datos[[#This Row],[Código Área]],Areas[],2,FALSE)</f>
        <v>Marketing</v>
      </c>
      <c r="F156" s="5">
        <v>700000</v>
      </c>
      <c r="G156" s="2">
        <v>3</v>
      </c>
      <c r="H156" s="2">
        <v>0</v>
      </c>
      <c r="I156" s="2">
        <v>5</v>
      </c>
      <c r="J156" s="2">
        <v>3</v>
      </c>
      <c r="K156" s="2">
        <f>SUM(BD_Datos[[#This Row],[Participación]:[Liderazgo]])</f>
        <v>11</v>
      </c>
      <c r="L156" s="2" t="b">
        <f>IF(BD_Datos[[#This Row],[Calificación]]&lt;=25,FALSE,TRUE)</f>
        <v>0</v>
      </c>
      <c r="M15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5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56" s="7">
        <v>3765</v>
      </c>
      <c r="P156" s="4">
        <v>1</v>
      </c>
      <c r="Q156" s="10">
        <f>INDEX(Factores[],MATCH(BD_Datos[[#This Row],[Quejas percibidas]],Factores[N. Quejas],0),MATCH(BD_Datos[[#This Row],[Área]],Factores[#Headers],0))</f>
        <v>0.1</v>
      </c>
    </row>
    <row r="157" spans="2:17" x14ac:dyDescent="0.25">
      <c r="B157" s="23" t="s">
        <v>128</v>
      </c>
      <c r="C157" s="3">
        <v>42521</v>
      </c>
      <c r="D157" s="4" t="s">
        <v>160</v>
      </c>
      <c r="E157" s="2" t="str">
        <f>VLOOKUP(BD_Datos[[#This Row],[Código Área]],Areas[],2,FALSE)</f>
        <v>Marketing</v>
      </c>
      <c r="F157" s="5">
        <v>2250000</v>
      </c>
      <c r="G157" s="2">
        <v>1</v>
      </c>
      <c r="H157" s="2">
        <v>9</v>
      </c>
      <c r="I157" s="2">
        <v>1</v>
      </c>
      <c r="J157" s="2">
        <v>4</v>
      </c>
      <c r="K157" s="2">
        <f>SUM(BD_Datos[[#This Row],[Participación]:[Liderazgo]])</f>
        <v>15</v>
      </c>
      <c r="L157" s="2" t="b">
        <f>IF(BD_Datos[[#This Row],[Calificación]]&lt;=25,FALSE,TRUE)</f>
        <v>0</v>
      </c>
      <c r="M15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5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57" s="7">
        <v>4920</v>
      </c>
      <c r="P157" s="4">
        <v>4</v>
      </c>
      <c r="Q157" s="10">
        <f>INDEX(Factores[],MATCH(BD_Datos[[#This Row],[Quejas percibidas]],Factores[N. Quejas],0),MATCH(BD_Datos[[#This Row],[Área]],Factores[#Headers],0))</f>
        <v>0.6</v>
      </c>
    </row>
    <row r="158" spans="2:17" x14ac:dyDescent="0.25">
      <c r="B158" s="23" t="s">
        <v>129</v>
      </c>
      <c r="C158" s="3">
        <v>41422</v>
      </c>
      <c r="D158" s="4" t="s">
        <v>161</v>
      </c>
      <c r="E158" s="2" t="str">
        <f>VLOOKUP(BD_Datos[[#This Row],[Código Área]],Areas[],2,FALSE)</f>
        <v>Administración</v>
      </c>
      <c r="F158" s="5">
        <v>1732500.0000000002</v>
      </c>
      <c r="G158" s="2">
        <v>4</v>
      </c>
      <c r="H158" s="2">
        <v>1</v>
      </c>
      <c r="I158" s="2">
        <v>3</v>
      </c>
      <c r="J158" s="2">
        <v>9</v>
      </c>
      <c r="K158" s="2">
        <f>SUM(BD_Datos[[#This Row],[Participación]:[Liderazgo]])</f>
        <v>17</v>
      </c>
      <c r="L158" s="2" t="b">
        <f>IF(BD_Datos[[#This Row],[Calificación]]&lt;=25,FALSE,TRUE)</f>
        <v>0</v>
      </c>
      <c r="M15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5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58" s="7">
        <v>3528</v>
      </c>
      <c r="P158" s="4">
        <v>1</v>
      </c>
      <c r="Q158" s="10">
        <f>INDEX(Factores[],MATCH(BD_Datos[[#This Row],[Quejas percibidas]],Factores[N. Quejas],0),MATCH(BD_Datos[[#This Row],[Área]],Factores[#Headers],0))</f>
        <v>0.4</v>
      </c>
    </row>
    <row r="159" spans="2:17" x14ac:dyDescent="0.25">
      <c r="B159" s="23" t="s">
        <v>53</v>
      </c>
      <c r="C159" s="3">
        <v>42712</v>
      </c>
      <c r="D159" s="4" t="s">
        <v>162</v>
      </c>
      <c r="E159" s="2" t="str">
        <f>VLOOKUP(BD_Datos[[#This Row],[Código Área]],Areas[],2,FALSE)</f>
        <v>Gerencia</v>
      </c>
      <c r="F159" s="5">
        <v>2464000.0000000005</v>
      </c>
      <c r="G159" s="2">
        <v>0</v>
      </c>
      <c r="H159" s="2">
        <v>4</v>
      </c>
      <c r="I159" s="2">
        <v>9</v>
      </c>
      <c r="J159" s="2">
        <v>5</v>
      </c>
      <c r="K159" s="2">
        <f>SUM(BD_Datos[[#This Row],[Participación]:[Liderazgo]])</f>
        <v>18</v>
      </c>
      <c r="L159" s="2" t="b">
        <f>IF(BD_Datos[[#This Row],[Calificación]]&lt;=25,FALSE,TRUE)</f>
        <v>0</v>
      </c>
      <c r="M159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59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59" s="7">
        <v>560</v>
      </c>
      <c r="P159" s="4">
        <v>1</v>
      </c>
      <c r="Q159" s="10">
        <f>INDEX(Factores[],MATCH(BD_Datos[[#This Row],[Quejas percibidas]],Factores[N. Quejas],0),MATCH(BD_Datos[[#This Row],[Área]],Factores[#Headers],0))</f>
        <v>0.2</v>
      </c>
    </row>
    <row r="160" spans="2:17" x14ac:dyDescent="0.25">
      <c r="B160" s="23" t="s">
        <v>53</v>
      </c>
      <c r="C160" s="3">
        <v>42712</v>
      </c>
      <c r="D160" s="4" t="s">
        <v>163</v>
      </c>
      <c r="E160" s="2" t="str">
        <f>VLOOKUP(BD_Datos[[#This Row],[Código Área]],Areas[],2,FALSE)</f>
        <v>Transportes</v>
      </c>
      <c r="F160" s="5">
        <v>1500000</v>
      </c>
      <c r="G160" s="2">
        <v>6</v>
      </c>
      <c r="H160" s="2">
        <v>5</v>
      </c>
      <c r="I160" s="2">
        <v>9</v>
      </c>
      <c r="J160" s="2">
        <v>4</v>
      </c>
      <c r="K160" s="2">
        <f>SUM(BD_Datos[[#This Row],[Participación]:[Liderazgo]])</f>
        <v>24</v>
      </c>
      <c r="L160" s="2" t="b">
        <f>IF(BD_Datos[[#This Row],[Calificación]]&lt;=25,FALSE,TRUE)</f>
        <v>0</v>
      </c>
      <c r="M160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60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60" s="7">
        <v>2765</v>
      </c>
      <c r="P160" s="4">
        <v>3</v>
      </c>
      <c r="Q160" s="10">
        <f>INDEX(Factores[],MATCH(BD_Datos[[#This Row],[Quejas percibidas]],Factores[N. Quejas],0),MATCH(BD_Datos[[#This Row],[Área]],Factores[#Headers],0))</f>
        <v>0.3</v>
      </c>
    </row>
    <row r="161" spans="2:17" x14ac:dyDescent="0.25">
      <c r="B161" s="23" t="s">
        <v>130</v>
      </c>
      <c r="C161" s="3">
        <v>41911</v>
      </c>
      <c r="D161" s="4" t="s">
        <v>161</v>
      </c>
      <c r="E161" s="2" t="str">
        <f>VLOOKUP(BD_Datos[[#This Row],[Código Área]],Areas[],2,FALSE)</f>
        <v>Administración</v>
      </c>
      <c r="F161" s="5">
        <v>700000</v>
      </c>
      <c r="G161" s="2">
        <v>3</v>
      </c>
      <c r="H161" s="2">
        <v>1</v>
      </c>
      <c r="I161" s="2">
        <v>6</v>
      </c>
      <c r="J161" s="2">
        <v>10</v>
      </c>
      <c r="K161" s="2">
        <f>SUM(BD_Datos[[#This Row],[Participación]:[Liderazgo]])</f>
        <v>20</v>
      </c>
      <c r="L161" s="2" t="b">
        <f>IF(BD_Datos[[#This Row],[Calificación]]&lt;=25,FALSE,TRUE)</f>
        <v>0</v>
      </c>
      <c r="M161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61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61" s="7">
        <v>5195</v>
      </c>
      <c r="P161" s="4">
        <v>3</v>
      </c>
      <c r="Q161" s="10">
        <f>INDEX(Factores[],MATCH(BD_Datos[[#This Row],[Quejas percibidas]],Factores[N. Quejas],0),MATCH(BD_Datos[[#This Row],[Área]],Factores[#Headers],0))</f>
        <v>0.7</v>
      </c>
    </row>
    <row r="162" spans="2:17" x14ac:dyDescent="0.25">
      <c r="B162" s="23" t="s">
        <v>131</v>
      </c>
      <c r="C162" s="3">
        <v>42498</v>
      </c>
      <c r="D162" s="4" t="s">
        <v>161</v>
      </c>
      <c r="E162" s="2" t="str">
        <f>VLOOKUP(BD_Datos[[#This Row],[Código Área]],Areas[],2,FALSE)</f>
        <v>Administración</v>
      </c>
      <c r="F162" s="5">
        <v>870000</v>
      </c>
      <c r="G162" s="2">
        <v>2</v>
      </c>
      <c r="H162" s="2">
        <v>1</v>
      </c>
      <c r="I162" s="2">
        <v>8</v>
      </c>
      <c r="J162" s="2">
        <v>10</v>
      </c>
      <c r="K162" s="2">
        <f>SUM(BD_Datos[[#This Row],[Participación]:[Liderazgo]])</f>
        <v>21</v>
      </c>
      <c r="L162" s="2" t="b">
        <f>IF(BD_Datos[[#This Row],[Calificación]]&lt;=25,FALSE,TRUE)</f>
        <v>0</v>
      </c>
      <c r="M16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6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62" s="7">
        <v>1795</v>
      </c>
      <c r="P162" s="4">
        <v>3</v>
      </c>
      <c r="Q162" s="10">
        <f>INDEX(Factores[],MATCH(BD_Datos[[#This Row],[Quejas percibidas]],Factores[N. Quejas],0),MATCH(BD_Datos[[#This Row],[Área]],Factores[#Headers],0))</f>
        <v>0.7</v>
      </c>
    </row>
    <row r="163" spans="2:17" x14ac:dyDescent="0.25">
      <c r="B163" s="23" t="s">
        <v>64</v>
      </c>
      <c r="C163" s="3">
        <v>42606</v>
      </c>
      <c r="D163" s="4" t="s">
        <v>159</v>
      </c>
      <c r="E163" s="2" t="str">
        <f>VLOOKUP(BD_Datos[[#This Row],[Código Área]],Areas[],2,FALSE)</f>
        <v>Finanzas</v>
      </c>
      <c r="F163" s="5">
        <v>1050000</v>
      </c>
      <c r="G163" s="2">
        <v>4</v>
      </c>
      <c r="H163" s="2">
        <v>5</v>
      </c>
      <c r="I163" s="2">
        <v>6</v>
      </c>
      <c r="J163" s="2">
        <v>10</v>
      </c>
      <c r="K163" s="2">
        <f>SUM(BD_Datos[[#This Row],[Participación]:[Liderazgo]])</f>
        <v>25</v>
      </c>
      <c r="L163" s="2" t="b">
        <f>IF(BD_Datos[[#This Row],[Calificación]]&lt;=25,FALSE,TRUE)</f>
        <v>0</v>
      </c>
      <c r="M16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6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63" s="7">
        <v>3369</v>
      </c>
      <c r="P163" s="4">
        <v>3</v>
      </c>
      <c r="Q163" s="10">
        <f>INDEX(Factores[],MATCH(BD_Datos[[#This Row],[Quejas percibidas]],Factores[N. Quejas],0),MATCH(BD_Datos[[#This Row],[Área]],Factores[#Headers],0))</f>
        <v>0.7</v>
      </c>
    </row>
    <row r="164" spans="2:17" x14ac:dyDescent="0.25">
      <c r="B164" s="23" t="s">
        <v>132</v>
      </c>
      <c r="C164" s="3">
        <v>42344</v>
      </c>
      <c r="D164" s="4" t="s">
        <v>161</v>
      </c>
      <c r="E164" s="2" t="str">
        <f>VLOOKUP(BD_Datos[[#This Row],[Código Área]],Areas[],2,FALSE)</f>
        <v>Administración</v>
      </c>
      <c r="F164" s="5">
        <v>640000</v>
      </c>
      <c r="G164" s="2">
        <v>2</v>
      </c>
      <c r="H164" s="2">
        <v>10</v>
      </c>
      <c r="I164" s="2">
        <v>6</v>
      </c>
      <c r="J164" s="2">
        <v>10</v>
      </c>
      <c r="K164" s="2">
        <f>SUM(BD_Datos[[#This Row],[Participación]:[Liderazgo]])</f>
        <v>28</v>
      </c>
      <c r="L164" s="2" t="b">
        <f>IF(BD_Datos[[#This Row],[Calificación]]&lt;=25,FALSE,TRUE)</f>
        <v>1</v>
      </c>
      <c r="M164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21333.333333333332</v>
      </c>
      <c r="N164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32178.770949720671</v>
      </c>
      <c r="O164" s="7">
        <v>4436</v>
      </c>
      <c r="P164" s="4">
        <v>4</v>
      </c>
      <c r="Q164" s="10">
        <f>INDEX(Factores[],MATCH(BD_Datos[[#This Row],[Quejas percibidas]],Factores[N. Quejas],0),MATCH(BD_Datos[[#This Row],[Área]],Factores[#Headers],0))</f>
        <v>0.9</v>
      </c>
    </row>
    <row r="165" spans="2:17" x14ac:dyDescent="0.25">
      <c r="B165" s="23" t="s">
        <v>133</v>
      </c>
      <c r="C165" s="3">
        <v>42687</v>
      </c>
      <c r="D165" s="4" t="s">
        <v>164</v>
      </c>
      <c r="E165" s="2" t="str">
        <f>VLOOKUP(BD_Datos[[#This Row],[Código Área]],Areas[],2,FALSE)</f>
        <v>Proyectos</v>
      </c>
      <c r="F165" s="5">
        <v>820000</v>
      </c>
      <c r="G165" s="2">
        <v>0</v>
      </c>
      <c r="H165" s="2">
        <v>9</v>
      </c>
      <c r="I165" s="2">
        <v>2</v>
      </c>
      <c r="J165" s="2">
        <v>8</v>
      </c>
      <c r="K165" s="2">
        <f>SUM(BD_Datos[[#This Row],[Participación]:[Liderazgo]])</f>
        <v>19</v>
      </c>
      <c r="L165" s="2" t="b">
        <f>IF(BD_Datos[[#This Row],[Calificación]]&lt;=25,FALSE,TRUE)</f>
        <v>0</v>
      </c>
      <c r="M16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6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65" s="7">
        <v>4150</v>
      </c>
      <c r="P165" s="4">
        <v>3</v>
      </c>
      <c r="Q165" s="10">
        <f>INDEX(Factores[],MATCH(BD_Datos[[#This Row],[Quejas percibidas]],Factores[N. Quejas],0),MATCH(BD_Datos[[#This Row],[Área]],Factores[#Headers],0))</f>
        <v>0.4</v>
      </c>
    </row>
    <row r="166" spans="2:17" x14ac:dyDescent="0.25">
      <c r="B166" s="23" t="s">
        <v>134</v>
      </c>
      <c r="C166" s="3">
        <v>41500</v>
      </c>
      <c r="D166" s="4" t="s">
        <v>163</v>
      </c>
      <c r="E166" s="2" t="str">
        <f>VLOOKUP(BD_Datos[[#This Row],[Código Área]],Areas[],2,FALSE)</f>
        <v>Transportes</v>
      </c>
      <c r="F166" s="5">
        <v>2100000</v>
      </c>
      <c r="G166" s="2">
        <v>8</v>
      </c>
      <c r="H166" s="2">
        <v>10</v>
      </c>
      <c r="I166" s="2">
        <v>4</v>
      </c>
      <c r="J166" s="2">
        <v>5</v>
      </c>
      <c r="K166" s="2">
        <f>SUM(BD_Datos[[#This Row],[Participación]:[Liderazgo]])</f>
        <v>27</v>
      </c>
      <c r="L166" s="2" t="b">
        <f>IF(BD_Datos[[#This Row],[Calificación]]&lt;=25,FALSE,TRUE)</f>
        <v>1</v>
      </c>
      <c r="M166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103478.26086956522</v>
      </c>
      <c r="N166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105586.59217877095</v>
      </c>
      <c r="O166" s="7">
        <v>608</v>
      </c>
      <c r="P166" s="4">
        <v>2</v>
      </c>
      <c r="Q166" s="10">
        <f>INDEX(Factores[],MATCH(BD_Datos[[#This Row],[Quejas percibidas]],Factores[N. Quejas],0),MATCH(BD_Datos[[#This Row],[Área]],Factores[#Headers],0))</f>
        <v>0.2</v>
      </c>
    </row>
    <row r="167" spans="2:17" x14ac:dyDescent="0.25">
      <c r="B167" s="23" t="s">
        <v>135</v>
      </c>
      <c r="C167" s="3">
        <v>41778</v>
      </c>
      <c r="D167" s="4" t="s">
        <v>160</v>
      </c>
      <c r="E167" s="2" t="str">
        <f>VLOOKUP(BD_Datos[[#This Row],[Código Área]],Areas[],2,FALSE)</f>
        <v>Marketing</v>
      </c>
      <c r="F167" s="5">
        <v>960000</v>
      </c>
      <c r="G167" s="2">
        <v>8</v>
      </c>
      <c r="H167" s="2">
        <v>2</v>
      </c>
      <c r="I167" s="2">
        <v>5</v>
      </c>
      <c r="J167" s="2">
        <v>6</v>
      </c>
      <c r="K167" s="2">
        <f>SUM(BD_Datos[[#This Row],[Participación]:[Liderazgo]])</f>
        <v>21</v>
      </c>
      <c r="L167" s="2" t="b">
        <f>IF(BD_Datos[[#This Row],[Calificación]]&lt;=25,FALSE,TRUE)</f>
        <v>0</v>
      </c>
      <c r="M167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6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67" s="7">
        <v>3201</v>
      </c>
      <c r="P167" s="4">
        <v>1</v>
      </c>
      <c r="Q167" s="10">
        <f>INDEX(Factores[],MATCH(BD_Datos[[#This Row],[Quejas percibidas]],Factores[N. Quejas],0),MATCH(BD_Datos[[#This Row],[Área]],Factores[#Headers],0))</f>
        <v>0.1</v>
      </c>
    </row>
    <row r="168" spans="2:17" x14ac:dyDescent="0.25">
      <c r="B168" s="23" t="s">
        <v>136</v>
      </c>
      <c r="C168" s="3">
        <v>41803</v>
      </c>
      <c r="D168" s="4" t="s">
        <v>162</v>
      </c>
      <c r="E168" s="2" t="str">
        <f>VLOOKUP(BD_Datos[[#This Row],[Código Área]],Areas[],2,FALSE)</f>
        <v>Gerencia</v>
      </c>
      <c r="F168" s="5">
        <v>750000</v>
      </c>
      <c r="G168" s="2">
        <v>1</v>
      </c>
      <c r="H168" s="2">
        <v>6</v>
      </c>
      <c r="I168" s="2">
        <v>10</v>
      </c>
      <c r="J168" s="2">
        <v>1</v>
      </c>
      <c r="K168" s="2">
        <f>SUM(BD_Datos[[#This Row],[Participación]:[Liderazgo]])</f>
        <v>18</v>
      </c>
      <c r="L168" s="2" t="b">
        <f>IF(BD_Datos[[#This Row],[Calificación]]&lt;=25,FALSE,TRUE)</f>
        <v>0</v>
      </c>
      <c r="M16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6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68" s="7">
        <v>1500</v>
      </c>
      <c r="P168" s="4">
        <v>3</v>
      </c>
      <c r="Q168" s="10">
        <f>INDEX(Factores[],MATCH(BD_Datos[[#This Row],[Quejas percibidas]],Factores[N. Quejas],0),MATCH(BD_Datos[[#This Row],[Área]],Factores[#Headers],0))</f>
        <v>0.6</v>
      </c>
    </row>
    <row r="169" spans="2:17" x14ac:dyDescent="0.25">
      <c r="B169" s="23" t="s">
        <v>137</v>
      </c>
      <c r="C169" s="3">
        <v>41436</v>
      </c>
      <c r="D169" s="4" t="s">
        <v>159</v>
      </c>
      <c r="E169" s="2" t="str">
        <f>VLOOKUP(BD_Datos[[#This Row],[Código Área]],Areas[],2,FALSE)</f>
        <v>Finanzas</v>
      </c>
      <c r="F169" s="5">
        <v>1087500</v>
      </c>
      <c r="G169" s="2">
        <v>10</v>
      </c>
      <c r="H169" s="2">
        <v>7</v>
      </c>
      <c r="I169" s="2">
        <v>0</v>
      </c>
      <c r="J169" s="2">
        <v>10</v>
      </c>
      <c r="K169" s="2">
        <f>SUM(BD_Datos[[#This Row],[Participación]:[Liderazgo]])</f>
        <v>27</v>
      </c>
      <c r="L169" s="2" t="b">
        <f>IF(BD_Datos[[#This Row],[Calificación]]&lt;=25,FALSE,TRUE)</f>
        <v>1</v>
      </c>
      <c r="M169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36250</v>
      </c>
      <c r="N169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56347.150259067355</v>
      </c>
      <c r="O169" s="7">
        <v>4150</v>
      </c>
      <c r="P169" s="4">
        <v>1</v>
      </c>
      <c r="Q169" s="10">
        <f>INDEX(Factores[],MATCH(BD_Datos[[#This Row],[Quejas percibidas]],Factores[N. Quejas],0),MATCH(BD_Datos[[#This Row],[Área]],Factores[#Headers],0))</f>
        <v>0.2</v>
      </c>
    </row>
    <row r="170" spans="2:17" x14ac:dyDescent="0.25">
      <c r="B170" s="23" t="s">
        <v>60</v>
      </c>
      <c r="C170" s="3">
        <v>42626</v>
      </c>
      <c r="D170" s="4" t="s">
        <v>160</v>
      </c>
      <c r="E170" s="2" t="str">
        <f>VLOOKUP(BD_Datos[[#This Row],[Código Área]],Areas[],2,FALSE)</f>
        <v>Marketing</v>
      </c>
      <c r="F170" s="5">
        <v>870000</v>
      </c>
      <c r="G170" s="2">
        <v>2</v>
      </c>
      <c r="H170" s="2">
        <v>9</v>
      </c>
      <c r="I170" s="2">
        <v>10</v>
      </c>
      <c r="J170" s="2">
        <v>6</v>
      </c>
      <c r="K170" s="2">
        <f>SUM(BD_Datos[[#This Row],[Participación]:[Liderazgo]])</f>
        <v>27</v>
      </c>
      <c r="L170" s="2" t="b">
        <f>IF(BD_Datos[[#This Row],[Calificación]]&lt;=25,FALSE,TRUE)</f>
        <v>1</v>
      </c>
      <c r="M170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29000</v>
      </c>
      <c r="N170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43743.016759776532</v>
      </c>
      <c r="O170" s="7">
        <v>3962</v>
      </c>
      <c r="P170" s="4">
        <v>1</v>
      </c>
      <c r="Q170" s="10">
        <f>INDEX(Factores[],MATCH(BD_Datos[[#This Row],[Quejas percibidas]],Factores[N. Quejas],0),MATCH(BD_Datos[[#This Row],[Área]],Factores[#Headers],0))</f>
        <v>0.1</v>
      </c>
    </row>
    <row r="171" spans="2:17" x14ac:dyDescent="0.25">
      <c r="B171" s="23" t="s">
        <v>138</v>
      </c>
      <c r="C171" s="3">
        <v>42735</v>
      </c>
      <c r="D171" s="4" t="s">
        <v>164</v>
      </c>
      <c r="E171" s="2" t="str">
        <f>VLOOKUP(BD_Datos[[#This Row],[Código Área]],Areas[],2,FALSE)</f>
        <v>Proyectos</v>
      </c>
      <c r="F171" s="5">
        <v>2160000</v>
      </c>
      <c r="G171" s="2">
        <v>6</v>
      </c>
      <c r="H171" s="2">
        <v>10</v>
      </c>
      <c r="I171" s="2">
        <v>1</v>
      </c>
      <c r="J171" s="2">
        <v>2</v>
      </c>
      <c r="K171" s="2">
        <f>SUM(BD_Datos[[#This Row],[Participación]:[Liderazgo]])</f>
        <v>19</v>
      </c>
      <c r="L171" s="2" t="b">
        <f>IF(BD_Datos[[#This Row],[Calificación]]&lt;=25,FALSE,TRUE)</f>
        <v>0</v>
      </c>
      <c r="M171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71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71" s="7">
        <v>3377</v>
      </c>
      <c r="P171" s="4">
        <v>1</v>
      </c>
      <c r="Q171" s="10">
        <f>INDEX(Factores[],MATCH(BD_Datos[[#This Row],[Quejas percibidas]],Factores[N. Quejas],0),MATCH(BD_Datos[[#This Row],[Área]],Factores[#Headers],0))</f>
        <v>0.1</v>
      </c>
    </row>
    <row r="172" spans="2:17" x14ac:dyDescent="0.25">
      <c r="B172" s="23" t="s">
        <v>92</v>
      </c>
      <c r="C172" s="3">
        <v>42714</v>
      </c>
      <c r="D172" s="4" t="s">
        <v>160</v>
      </c>
      <c r="E172" s="2" t="str">
        <f>VLOOKUP(BD_Datos[[#This Row],[Código Área]],Areas[],2,FALSE)</f>
        <v>Marketing</v>
      </c>
      <c r="F172" s="5">
        <v>1008000</v>
      </c>
      <c r="G172" s="2">
        <v>1</v>
      </c>
      <c r="H172" s="2">
        <v>6</v>
      </c>
      <c r="I172" s="2">
        <v>3</v>
      </c>
      <c r="J172" s="2">
        <v>8</v>
      </c>
      <c r="K172" s="2">
        <f>SUM(BD_Datos[[#This Row],[Participación]:[Liderazgo]])</f>
        <v>18</v>
      </c>
      <c r="L172" s="2" t="b">
        <f>IF(BD_Datos[[#This Row],[Calificación]]&lt;=25,FALSE,TRUE)</f>
        <v>0</v>
      </c>
      <c r="M17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7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72" s="7">
        <v>2744</v>
      </c>
      <c r="P172" s="4">
        <v>1</v>
      </c>
      <c r="Q172" s="10">
        <f>INDEX(Factores[],MATCH(BD_Datos[[#This Row],[Quejas percibidas]],Factores[N. Quejas],0),MATCH(BD_Datos[[#This Row],[Área]],Factores[#Headers],0))</f>
        <v>0.1</v>
      </c>
    </row>
    <row r="173" spans="2:17" x14ac:dyDescent="0.25">
      <c r="B173" s="23" t="s">
        <v>118</v>
      </c>
      <c r="C173" s="3">
        <v>41846</v>
      </c>
      <c r="D173" s="4" t="s">
        <v>159</v>
      </c>
      <c r="E173" s="2" t="str">
        <f>VLOOKUP(BD_Datos[[#This Row],[Código Área]],Areas[],2,FALSE)</f>
        <v>Finanzas</v>
      </c>
      <c r="F173" s="5">
        <v>582000</v>
      </c>
      <c r="G173" s="2">
        <v>2</v>
      </c>
      <c r="H173" s="2">
        <v>0</v>
      </c>
      <c r="I173" s="2">
        <v>0</v>
      </c>
      <c r="J173" s="2">
        <v>9</v>
      </c>
      <c r="K173" s="2">
        <f>SUM(BD_Datos[[#This Row],[Participación]:[Liderazgo]])</f>
        <v>11</v>
      </c>
      <c r="L173" s="2" t="b">
        <f>IF(BD_Datos[[#This Row],[Calificación]]&lt;=25,FALSE,TRUE)</f>
        <v>0</v>
      </c>
      <c r="M17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7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73" s="7">
        <v>5261</v>
      </c>
      <c r="P173" s="4">
        <v>2</v>
      </c>
      <c r="Q173" s="10">
        <f>INDEX(Factores[],MATCH(BD_Datos[[#This Row],[Quejas percibidas]],Factores[N. Quejas],0),MATCH(BD_Datos[[#This Row],[Área]],Factores[#Headers],0))</f>
        <v>0.5</v>
      </c>
    </row>
    <row r="174" spans="2:17" x14ac:dyDescent="0.25">
      <c r="B174" s="23" t="s">
        <v>139</v>
      </c>
      <c r="C174" s="3">
        <v>42346</v>
      </c>
      <c r="D174" s="4" t="s">
        <v>162</v>
      </c>
      <c r="E174" s="2" t="str">
        <f>VLOOKUP(BD_Datos[[#This Row],[Código Área]],Areas[],2,FALSE)</f>
        <v>Gerencia</v>
      </c>
      <c r="F174" s="5">
        <v>728000</v>
      </c>
      <c r="G174" s="2">
        <v>8</v>
      </c>
      <c r="H174" s="2">
        <v>9</v>
      </c>
      <c r="I174" s="2">
        <v>4</v>
      </c>
      <c r="J174" s="2">
        <v>4</v>
      </c>
      <c r="K174" s="2">
        <f>SUM(BD_Datos[[#This Row],[Participación]:[Liderazgo]])</f>
        <v>25</v>
      </c>
      <c r="L174" s="2" t="b">
        <f>IF(BD_Datos[[#This Row],[Calificación]]&lt;=25,FALSE,TRUE)</f>
        <v>0</v>
      </c>
      <c r="M17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7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74" s="7">
        <v>1440</v>
      </c>
      <c r="P174" s="4">
        <v>1</v>
      </c>
      <c r="Q174" s="10">
        <f>INDEX(Factores[],MATCH(BD_Datos[[#This Row],[Quejas percibidas]],Factores[N. Quejas],0),MATCH(BD_Datos[[#This Row],[Área]],Factores[#Headers],0))</f>
        <v>0.2</v>
      </c>
    </row>
    <row r="175" spans="2:17" x14ac:dyDescent="0.25">
      <c r="B175" s="23" t="s">
        <v>140</v>
      </c>
      <c r="C175" s="3">
        <v>41616</v>
      </c>
      <c r="D175" s="4" t="s">
        <v>163</v>
      </c>
      <c r="E175" s="2" t="str">
        <f>VLOOKUP(BD_Datos[[#This Row],[Código Área]],Areas[],2,FALSE)</f>
        <v>Transportes</v>
      </c>
      <c r="F175" s="5">
        <v>700000</v>
      </c>
      <c r="G175" s="2">
        <v>5</v>
      </c>
      <c r="H175" s="2">
        <v>1</v>
      </c>
      <c r="I175" s="2">
        <v>9</v>
      </c>
      <c r="J175" s="2">
        <v>10</v>
      </c>
      <c r="K175" s="2">
        <f>SUM(BD_Datos[[#This Row],[Participación]:[Liderazgo]])</f>
        <v>25</v>
      </c>
      <c r="L175" s="2" t="b">
        <f>IF(BD_Datos[[#This Row],[Calificación]]&lt;=25,FALSE,TRUE)</f>
        <v>0</v>
      </c>
      <c r="M17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7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75" s="7">
        <v>1692</v>
      </c>
      <c r="P175" s="4">
        <v>2</v>
      </c>
      <c r="Q175" s="10">
        <f>INDEX(Factores[],MATCH(BD_Datos[[#This Row],[Quejas percibidas]],Factores[N. Quejas],0),MATCH(BD_Datos[[#This Row],[Área]],Factores[#Headers],0))</f>
        <v>0.2</v>
      </c>
    </row>
    <row r="176" spans="2:17" x14ac:dyDescent="0.25">
      <c r="B176" s="23" t="s">
        <v>141</v>
      </c>
      <c r="C176" s="3">
        <v>41596</v>
      </c>
      <c r="D176" s="4" t="s">
        <v>164</v>
      </c>
      <c r="E176" s="2" t="str">
        <f>VLOOKUP(BD_Datos[[#This Row],[Código Área]],Areas[],2,FALSE)</f>
        <v>Proyectos</v>
      </c>
      <c r="F176" s="5">
        <v>2250000</v>
      </c>
      <c r="G176" s="2">
        <v>8</v>
      </c>
      <c r="H176" s="2">
        <v>4</v>
      </c>
      <c r="I176" s="2">
        <v>3</v>
      </c>
      <c r="J176" s="2">
        <v>2</v>
      </c>
      <c r="K176" s="2">
        <f>SUM(BD_Datos[[#This Row],[Participación]:[Liderazgo]])</f>
        <v>17</v>
      </c>
      <c r="L176" s="2" t="b">
        <f>IF(BD_Datos[[#This Row],[Calificación]]&lt;=25,FALSE,TRUE)</f>
        <v>0</v>
      </c>
      <c r="M17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7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76" s="7">
        <v>2487</v>
      </c>
      <c r="P176" s="4">
        <v>2</v>
      </c>
      <c r="Q176" s="10">
        <f>INDEX(Factores[],MATCH(BD_Datos[[#This Row],[Quejas percibidas]],Factores[N. Quejas],0),MATCH(BD_Datos[[#This Row],[Área]],Factores[#Headers],0))</f>
        <v>0.3</v>
      </c>
    </row>
    <row r="177" spans="2:17" x14ac:dyDescent="0.25">
      <c r="B177" s="23" t="s">
        <v>142</v>
      </c>
      <c r="C177" s="3">
        <v>42292</v>
      </c>
      <c r="D177" s="4" t="s">
        <v>160</v>
      </c>
      <c r="E177" s="2" t="str">
        <f>VLOOKUP(BD_Datos[[#This Row],[Código Área]],Areas[],2,FALSE)</f>
        <v>Marketing</v>
      </c>
      <c r="F177" s="5">
        <v>1732500.0000000002</v>
      </c>
      <c r="G177" s="2">
        <v>5</v>
      </c>
      <c r="H177" s="2">
        <v>9</v>
      </c>
      <c r="I177" s="2">
        <v>6</v>
      </c>
      <c r="J177" s="2">
        <v>7</v>
      </c>
      <c r="K177" s="2">
        <f>SUM(BD_Datos[[#This Row],[Participación]:[Liderazgo]])</f>
        <v>27</v>
      </c>
      <c r="L177" s="2" t="b">
        <f>IF(BD_Datos[[#This Row],[Calificación]]&lt;=25,FALSE,TRUE)</f>
        <v>1</v>
      </c>
      <c r="M177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57750.000000000007</v>
      </c>
      <c r="N177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87108.938547486046</v>
      </c>
      <c r="O177" s="7">
        <v>2769</v>
      </c>
      <c r="P177" s="4">
        <v>4</v>
      </c>
      <c r="Q177" s="10">
        <f>INDEX(Factores[],MATCH(BD_Datos[[#This Row],[Quejas percibidas]],Factores[N. Quejas],0),MATCH(BD_Datos[[#This Row],[Área]],Factores[#Headers],0))</f>
        <v>0.6</v>
      </c>
    </row>
    <row r="178" spans="2:17" x14ac:dyDescent="0.25">
      <c r="B178" s="23" t="s">
        <v>143</v>
      </c>
      <c r="C178" s="3">
        <v>42038</v>
      </c>
      <c r="D178" s="4" t="s">
        <v>159</v>
      </c>
      <c r="E178" s="2" t="str">
        <f>VLOOKUP(BD_Datos[[#This Row],[Código Área]],Areas[],2,FALSE)</f>
        <v>Finanzas</v>
      </c>
      <c r="F178" s="5">
        <v>2464000.0000000005</v>
      </c>
      <c r="G178" s="2">
        <v>1</v>
      </c>
      <c r="H178" s="2">
        <v>10</v>
      </c>
      <c r="I178" s="2">
        <v>7</v>
      </c>
      <c r="J178" s="2">
        <v>4</v>
      </c>
      <c r="K178" s="2">
        <f>SUM(BD_Datos[[#This Row],[Participación]:[Liderazgo]])</f>
        <v>22</v>
      </c>
      <c r="L178" s="2" t="b">
        <f>IF(BD_Datos[[#This Row],[Calificación]]&lt;=25,FALSE,TRUE)</f>
        <v>0</v>
      </c>
      <c r="M178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78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78" s="7">
        <v>2391</v>
      </c>
      <c r="P178" s="4">
        <v>1</v>
      </c>
      <c r="Q178" s="10">
        <f>INDEX(Factores[],MATCH(BD_Datos[[#This Row],[Quejas percibidas]],Factores[N. Quejas],0),MATCH(BD_Datos[[#This Row],[Área]],Factores[#Headers],0))</f>
        <v>0.2</v>
      </c>
    </row>
    <row r="179" spans="2:17" x14ac:dyDescent="0.25">
      <c r="B179" s="23" t="s">
        <v>144</v>
      </c>
      <c r="C179" s="3">
        <v>41806</v>
      </c>
      <c r="D179" s="4" t="s">
        <v>161</v>
      </c>
      <c r="E179" s="2" t="str">
        <f>VLOOKUP(BD_Datos[[#This Row],[Código Área]],Areas[],2,FALSE)</f>
        <v>Administración</v>
      </c>
      <c r="F179" s="5">
        <v>1500000</v>
      </c>
      <c r="G179" s="2">
        <v>10</v>
      </c>
      <c r="H179" s="2">
        <v>2</v>
      </c>
      <c r="I179" s="2">
        <v>10</v>
      </c>
      <c r="J179" s="2">
        <v>2</v>
      </c>
      <c r="K179" s="2">
        <f>SUM(BD_Datos[[#This Row],[Participación]:[Liderazgo]])</f>
        <v>24</v>
      </c>
      <c r="L179" s="2" t="b">
        <f>IF(BD_Datos[[#This Row],[Calificación]]&lt;=25,FALSE,TRUE)</f>
        <v>0</v>
      </c>
      <c r="M179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79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79" s="7">
        <v>2067</v>
      </c>
      <c r="P179" s="4">
        <v>1</v>
      </c>
      <c r="Q179" s="10">
        <f>INDEX(Factores[],MATCH(BD_Datos[[#This Row],[Quejas percibidas]],Factores[N. Quejas],0),MATCH(BD_Datos[[#This Row],[Área]],Factores[#Headers],0))</f>
        <v>0.4</v>
      </c>
    </row>
    <row r="180" spans="2:17" x14ac:dyDescent="0.25">
      <c r="B180" s="23" t="s">
        <v>145</v>
      </c>
      <c r="C180" s="3">
        <v>42696</v>
      </c>
      <c r="D180" s="4" t="s">
        <v>162</v>
      </c>
      <c r="E180" s="2" t="str">
        <f>VLOOKUP(BD_Datos[[#This Row],[Código Área]],Areas[],2,FALSE)</f>
        <v>Gerencia</v>
      </c>
      <c r="F180" s="5">
        <v>700000</v>
      </c>
      <c r="G180" s="2">
        <v>10</v>
      </c>
      <c r="H180" s="2">
        <v>9</v>
      </c>
      <c r="I180" s="2">
        <v>9</v>
      </c>
      <c r="J180" s="2">
        <v>4</v>
      </c>
      <c r="K180" s="2">
        <f>SUM(BD_Datos[[#This Row],[Participación]:[Liderazgo]])</f>
        <v>32</v>
      </c>
      <c r="L180" s="2" t="b">
        <f>IF(BD_Datos[[#This Row],[Calificación]]&lt;=25,FALSE,TRUE)</f>
        <v>1</v>
      </c>
      <c r="M180" s="6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23333.333333333332</v>
      </c>
      <c r="N180" s="31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35195.530726256984</v>
      </c>
      <c r="O180" s="7">
        <v>379</v>
      </c>
      <c r="P180" s="4">
        <v>4</v>
      </c>
      <c r="Q180" s="10">
        <f>INDEX(Factores[],MATCH(BD_Datos[[#This Row],[Quejas percibidas]],Factores[N. Quejas],0),MATCH(BD_Datos[[#This Row],[Área]],Factores[#Headers],0))</f>
        <v>0.8</v>
      </c>
    </row>
    <row r="181" spans="2:17" x14ac:dyDescent="0.25">
      <c r="B181" s="23" t="s">
        <v>43</v>
      </c>
      <c r="C181" s="3">
        <v>42366</v>
      </c>
      <c r="D181" s="4" t="s">
        <v>161</v>
      </c>
      <c r="E181" s="2" t="str">
        <f>VLOOKUP(BD_Datos[[#This Row],[Código Área]],Areas[],2,FALSE)</f>
        <v>Administración</v>
      </c>
      <c r="F181" s="5">
        <v>870000</v>
      </c>
      <c r="G181" s="2">
        <v>5</v>
      </c>
      <c r="H181" s="2">
        <v>0</v>
      </c>
      <c r="I181" s="2">
        <v>2</v>
      </c>
      <c r="J181" s="2">
        <v>0</v>
      </c>
      <c r="K181" s="2">
        <f>SUM(BD_Datos[[#This Row],[Participación]:[Liderazgo]])</f>
        <v>7</v>
      </c>
      <c r="L181" s="2" t="b">
        <f>IF(BD_Datos[[#This Row],[Calificación]]&lt;=25,FALSE,TRUE)</f>
        <v>0</v>
      </c>
      <c r="M181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81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81" s="7">
        <v>4796</v>
      </c>
      <c r="P181" s="4">
        <v>1</v>
      </c>
      <c r="Q181" s="10">
        <f>INDEX(Factores[],MATCH(BD_Datos[[#This Row],[Quejas percibidas]],Factores[N. Quejas],0),MATCH(BD_Datos[[#This Row],[Área]],Factores[#Headers],0))</f>
        <v>0.4</v>
      </c>
    </row>
    <row r="182" spans="2:17" x14ac:dyDescent="0.25">
      <c r="B182" s="23" t="s">
        <v>60</v>
      </c>
      <c r="C182" s="3">
        <v>41349</v>
      </c>
      <c r="D182" s="4" t="s">
        <v>160</v>
      </c>
      <c r="E182" s="2" t="str">
        <f>VLOOKUP(BD_Datos[[#This Row],[Código Área]],Areas[],2,FALSE)</f>
        <v>Marketing</v>
      </c>
      <c r="F182" s="5">
        <v>1050000</v>
      </c>
      <c r="G182" s="2">
        <v>0</v>
      </c>
      <c r="H182" s="2">
        <v>2</v>
      </c>
      <c r="I182" s="2">
        <v>8</v>
      </c>
      <c r="J182" s="2">
        <v>4</v>
      </c>
      <c r="K182" s="2">
        <f>SUM(BD_Datos[[#This Row],[Participación]:[Liderazgo]])</f>
        <v>14</v>
      </c>
      <c r="L182" s="2" t="b">
        <f>IF(BD_Datos[[#This Row],[Calificación]]&lt;=25,FALSE,TRUE)</f>
        <v>0</v>
      </c>
      <c r="M182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82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82" s="7">
        <v>1665</v>
      </c>
      <c r="P182" s="4">
        <v>1</v>
      </c>
      <c r="Q182" s="10">
        <f>INDEX(Factores[],MATCH(BD_Datos[[#This Row],[Quejas percibidas]],Factores[N. Quejas],0),MATCH(BD_Datos[[#This Row],[Área]],Factores[#Headers],0))</f>
        <v>0.1</v>
      </c>
    </row>
    <row r="183" spans="2:17" x14ac:dyDescent="0.25">
      <c r="B183" s="23" t="s">
        <v>114</v>
      </c>
      <c r="C183" s="3">
        <v>42309</v>
      </c>
      <c r="D183" s="4" t="s">
        <v>163</v>
      </c>
      <c r="E183" s="2" t="str">
        <f>VLOOKUP(BD_Datos[[#This Row],[Código Área]],Areas[],2,FALSE)</f>
        <v>Transportes</v>
      </c>
      <c r="F183" s="5">
        <v>640000</v>
      </c>
      <c r="G183" s="2">
        <v>1</v>
      </c>
      <c r="H183" s="2">
        <v>1</v>
      </c>
      <c r="I183" s="2">
        <v>2</v>
      </c>
      <c r="J183" s="2">
        <v>2</v>
      </c>
      <c r="K183" s="2">
        <f>SUM(BD_Datos[[#This Row],[Participación]:[Liderazgo]])</f>
        <v>6</v>
      </c>
      <c r="L183" s="2" t="b">
        <f>IF(BD_Datos[[#This Row],[Calificación]]&lt;=25,FALSE,TRUE)</f>
        <v>0</v>
      </c>
      <c r="M183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83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83" s="7">
        <v>3246</v>
      </c>
      <c r="P183" s="4">
        <v>1</v>
      </c>
      <c r="Q183" s="10">
        <f>INDEX(Factores[],MATCH(BD_Datos[[#This Row],[Quejas percibidas]],Factores[N. Quejas],0),MATCH(BD_Datos[[#This Row],[Área]],Factores[#Headers],0))</f>
        <v>0.1</v>
      </c>
    </row>
    <row r="184" spans="2:17" x14ac:dyDescent="0.25">
      <c r="B184" s="23" t="s">
        <v>146</v>
      </c>
      <c r="C184" s="3">
        <v>42676</v>
      </c>
      <c r="D184" s="4" t="s">
        <v>159</v>
      </c>
      <c r="E184" s="2" t="str">
        <f>VLOOKUP(BD_Datos[[#This Row],[Código Área]],Areas[],2,FALSE)</f>
        <v>Finanzas</v>
      </c>
      <c r="F184" s="5">
        <v>820000</v>
      </c>
      <c r="G184" s="2">
        <v>8</v>
      </c>
      <c r="H184" s="2">
        <v>3</v>
      </c>
      <c r="I184" s="2">
        <v>3</v>
      </c>
      <c r="J184" s="2">
        <v>7</v>
      </c>
      <c r="K184" s="2">
        <f>SUM(BD_Datos[[#This Row],[Participación]:[Liderazgo]])</f>
        <v>21</v>
      </c>
      <c r="L184" s="2" t="b">
        <f>IF(BD_Datos[[#This Row],[Calificación]]&lt;=25,FALSE,TRUE)</f>
        <v>0</v>
      </c>
      <c r="M184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84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84" s="7">
        <v>3338</v>
      </c>
      <c r="P184" s="4">
        <v>1</v>
      </c>
      <c r="Q184" s="10">
        <f>INDEX(Factores[],MATCH(BD_Datos[[#This Row],[Quejas percibidas]],Factores[N. Quejas],0),MATCH(BD_Datos[[#This Row],[Área]],Factores[#Headers],0))</f>
        <v>0.2</v>
      </c>
    </row>
    <row r="185" spans="2:17" x14ac:dyDescent="0.25">
      <c r="B185" s="23" t="s">
        <v>109</v>
      </c>
      <c r="C185" s="3">
        <v>41838</v>
      </c>
      <c r="D185" s="4" t="s">
        <v>163</v>
      </c>
      <c r="E185" s="2" t="str">
        <f>VLOOKUP(BD_Datos[[#This Row],[Código Área]],Areas[],2,FALSE)</f>
        <v>Transportes</v>
      </c>
      <c r="F185" s="5">
        <v>2100000</v>
      </c>
      <c r="G185" s="2">
        <v>0</v>
      </c>
      <c r="H185" s="2">
        <v>7</v>
      </c>
      <c r="I185" s="2">
        <v>2</v>
      </c>
      <c r="J185" s="2">
        <v>8</v>
      </c>
      <c r="K185" s="2">
        <f>SUM(BD_Datos[[#This Row],[Participación]:[Liderazgo]])</f>
        <v>17</v>
      </c>
      <c r="L185" s="2" t="b">
        <f>IF(BD_Datos[[#This Row],[Calificación]]&lt;=25,FALSE,TRUE)</f>
        <v>0</v>
      </c>
      <c r="M185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85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85" s="7">
        <v>4120</v>
      </c>
      <c r="P185" s="4">
        <v>3</v>
      </c>
      <c r="Q185" s="10">
        <f>INDEX(Factores[],MATCH(BD_Datos[[#This Row],[Quejas percibidas]],Factores[N. Quejas],0),MATCH(BD_Datos[[#This Row],[Área]],Factores[#Headers],0))</f>
        <v>0.3</v>
      </c>
    </row>
    <row r="186" spans="2:17" x14ac:dyDescent="0.25">
      <c r="B186" s="23" t="s">
        <v>147</v>
      </c>
      <c r="C186" s="3">
        <v>41506</v>
      </c>
      <c r="D186" s="4" t="s">
        <v>164</v>
      </c>
      <c r="E186" s="2" t="str">
        <f>VLOOKUP(BD_Datos[[#This Row],[Código Área]],Areas[],2,FALSE)</f>
        <v>Proyectos</v>
      </c>
      <c r="F186" s="5">
        <v>960000</v>
      </c>
      <c r="G186" s="2">
        <v>7</v>
      </c>
      <c r="H186" s="2">
        <v>5</v>
      </c>
      <c r="I186" s="2">
        <v>0</v>
      </c>
      <c r="J186" s="2">
        <v>5</v>
      </c>
      <c r="K186" s="2">
        <f>SUM(BD_Datos[[#This Row],[Participación]:[Liderazgo]])</f>
        <v>17</v>
      </c>
      <c r="L186" s="2" t="b">
        <f>IF(BD_Datos[[#This Row],[Calificación]]&lt;=25,FALSE,TRUE)</f>
        <v>0</v>
      </c>
      <c r="M186" s="6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86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86" s="7">
        <v>3740</v>
      </c>
      <c r="P186" s="4">
        <v>4</v>
      </c>
      <c r="Q186" s="10">
        <f>INDEX(Factores[],MATCH(BD_Datos[[#This Row],[Quejas percibidas]],Factores[N. Quejas],0),MATCH(BD_Datos[[#This Row],[Área]],Factores[#Headers],0))</f>
        <v>0.5</v>
      </c>
    </row>
    <row r="187" spans="2:17" x14ac:dyDescent="0.25">
      <c r="B187" s="24" t="s">
        <v>148</v>
      </c>
      <c r="C187" s="25">
        <v>42434</v>
      </c>
      <c r="D187" s="14" t="s">
        <v>164</v>
      </c>
      <c r="E187" s="26" t="str">
        <f>VLOOKUP(BD_Datos[[#This Row],[Código Área]],Areas[],2,FALSE)</f>
        <v>Proyectos</v>
      </c>
      <c r="F187" s="27">
        <v>750000</v>
      </c>
      <c r="G187" s="26">
        <v>0</v>
      </c>
      <c r="H187" s="26">
        <v>6</v>
      </c>
      <c r="I187" s="26">
        <v>9</v>
      </c>
      <c r="J187" s="26">
        <v>4</v>
      </c>
      <c r="K187" s="26">
        <f>SUM(BD_Datos[[#This Row],[Participación]:[Liderazgo]])</f>
        <v>19</v>
      </c>
      <c r="L187" s="26" t="b">
        <f>IF(BD_Datos[[#This Row],[Calificación]]&lt;=25,FALSE,TRUE)</f>
        <v>0</v>
      </c>
      <c r="M187" s="30" t="str">
        <f ca="1">IF(BD_Datos[[#This Row],[Amerita]],IF(AND(YEARFRAC(BD_Datos[[#This Row],[Fecha ingreso]],TODAY())&gt;5,BD_Datos[[#This Row],[Área]]&lt;&gt;"Finanzas"),BD_Datos[[#This Row],[Sueldo]]/AVERAGEIFS(BD_Datos[Calificación],BD_Datos[Área],"Marketing"),BD_Datos[[#This Row],[Sueldo]]/30),"No amerita B1")</f>
        <v>No amerita B1</v>
      </c>
      <c r="N187" s="31" t="str">
        <f>IF(BD_Datos[[#This Row],[Amerita]],IF(AND(BD_Datos[[#This Row],[Área]]="Finanzas",BD_Datos[[#This Row],[Sueldo]]&gt;700000),BD_Datos[[#This Row],[Sueldo]]/AVERAGEIFS(BD_Datos[Calificación],BD_Datos[Área],"Gerencia",BD_Datos[Fecha ingreso],"&lt;5-5-2016"),BD_Datos[[#This Row],[Sueldo]]/AVERAGEIFS(BD_Datos[Calificación],BD_Datos[Sueldo],"&lt;1000000",BD_Datos[Área],"Proyectos")),"No amerita B2")</f>
        <v>No amerita B2</v>
      </c>
      <c r="O187" s="28">
        <v>3448</v>
      </c>
      <c r="P187" s="14">
        <v>2</v>
      </c>
      <c r="Q187" s="10">
        <f>INDEX(Factores[],MATCH(BD_Datos[[#This Row],[Quejas percibidas]],Factores[N. Quejas],0),MATCH(BD_Datos[[#This Row],[Área]],Factores[#Headers],0))</f>
        <v>0.3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E5B6-A5A7-EA4A-8A4B-141065A2219A}">
  <dimension ref="D6:O13"/>
  <sheetViews>
    <sheetView zoomScaleNormal="100" workbookViewId="0">
      <selection activeCell="M10" sqref="M10"/>
    </sheetView>
  </sheetViews>
  <sheetFormatPr defaultColWidth="11" defaultRowHeight="15.75" x14ac:dyDescent="0.25"/>
  <cols>
    <col min="4" max="4" width="13.375" customWidth="1"/>
    <col min="5" max="5" width="13.5" bestFit="1" customWidth="1"/>
    <col min="9" max="9" width="11.5" customWidth="1"/>
    <col min="11" max="11" width="12" customWidth="1"/>
    <col min="12" max="12" width="15.875" customWidth="1"/>
    <col min="14" max="14" width="13.125" customWidth="1"/>
    <col min="15" max="15" width="11.5" customWidth="1"/>
  </cols>
  <sheetData>
    <row r="6" spans="4:15" x14ac:dyDescent="0.25">
      <c r="I6" s="32" t="s">
        <v>177</v>
      </c>
      <c r="J6" s="33"/>
      <c r="K6" s="33"/>
      <c r="L6" s="33"/>
      <c r="M6" s="33"/>
      <c r="N6" s="33"/>
      <c r="O6" s="34"/>
    </row>
    <row r="7" spans="4:15" x14ac:dyDescent="0.25">
      <c r="D7" s="21" t="s">
        <v>151</v>
      </c>
      <c r="E7" s="22" t="s">
        <v>152</v>
      </c>
      <c r="I7" s="16" t="s">
        <v>176</v>
      </c>
      <c r="J7" s="17" t="s">
        <v>153</v>
      </c>
      <c r="K7" s="17" t="s">
        <v>154</v>
      </c>
      <c r="L7" s="17" t="s">
        <v>155</v>
      </c>
      <c r="M7" s="17" t="s">
        <v>156</v>
      </c>
      <c r="N7" s="17" t="s">
        <v>157</v>
      </c>
      <c r="O7" s="18" t="s">
        <v>158</v>
      </c>
    </row>
    <row r="8" spans="4:15" x14ac:dyDescent="0.25">
      <c r="D8" s="9" t="s">
        <v>159</v>
      </c>
      <c r="E8" s="10" t="s">
        <v>153</v>
      </c>
      <c r="I8" s="19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13">
        <v>0</v>
      </c>
    </row>
    <row r="9" spans="4:15" x14ac:dyDescent="0.25">
      <c r="D9" s="9" t="s">
        <v>160</v>
      </c>
      <c r="E9" s="10" t="s">
        <v>154</v>
      </c>
      <c r="I9" s="19">
        <v>1</v>
      </c>
      <c r="J9" s="4">
        <v>0.2</v>
      </c>
      <c r="K9" s="4">
        <v>0.1</v>
      </c>
      <c r="L9" s="4">
        <v>0.4</v>
      </c>
      <c r="M9" s="4">
        <v>0.2</v>
      </c>
      <c r="N9" s="4">
        <v>0.1</v>
      </c>
      <c r="O9" s="13">
        <v>0.1</v>
      </c>
    </row>
    <row r="10" spans="4:15" x14ac:dyDescent="0.25">
      <c r="D10" s="9" t="s">
        <v>161</v>
      </c>
      <c r="E10" s="10" t="s">
        <v>155</v>
      </c>
      <c r="I10" s="19">
        <v>2</v>
      </c>
      <c r="J10" s="4">
        <v>0.5</v>
      </c>
      <c r="K10" s="4">
        <v>0.2</v>
      </c>
      <c r="L10" s="4">
        <v>0.6</v>
      </c>
      <c r="M10" s="4">
        <v>0.4</v>
      </c>
      <c r="N10" s="4">
        <v>0.2</v>
      </c>
      <c r="O10" s="13">
        <v>0.3</v>
      </c>
    </row>
    <row r="11" spans="4:15" x14ac:dyDescent="0.25">
      <c r="D11" s="9" t="s">
        <v>162</v>
      </c>
      <c r="E11" s="10" t="s">
        <v>156</v>
      </c>
      <c r="I11" s="19">
        <v>3</v>
      </c>
      <c r="J11" s="4">
        <v>0.7</v>
      </c>
      <c r="K11" s="4">
        <v>0.4</v>
      </c>
      <c r="L11" s="4">
        <v>0.7</v>
      </c>
      <c r="M11" s="4">
        <v>0.6</v>
      </c>
      <c r="N11" s="4">
        <v>0.3</v>
      </c>
      <c r="O11" s="13">
        <v>0.4</v>
      </c>
    </row>
    <row r="12" spans="4:15" x14ac:dyDescent="0.25">
      <c r="D12" s="9" t="s">
        <v>163</v>
      </c>
      <c r="E12" s="10" t="s">
        <v>157</v>
      </c>
      <c r="I12" s="20">
        <v>4</v>
      </c>
      <c r="J12" s="14">
        <v>1</v>
      </c>
      <c r="K12" s="14">
        <v>0.6</v>
      </c>
      <c r="L12" s="14">
        <v>0.9</v>
      </c>
      <c r="M12" s="14">
        <v>0.8</v>
      </c>
      <c r="N12" s="14">
        <v>0.4</v>
      </c>
      <c r="O12" s="15">
        <v>0.5</v>
      </c>
    </row>
    <row r="13" spans="4:15" x14ac:dyDescent="0.25">
      <c r="D13" s="11" t="s">
        <v>164</v>
      </c>
      <c r="E13" s="12" t="s">
        <v>158</v>
      </c>
    </row>
  </sheetData>
  <mergeCells count="1">
    <mergeCell ref="I6:O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 Datos</vt:lpstr>
      <vt:lpstr>BD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Matías Duhalde</cp:lastModifiedBy>
  <dcterms:created xsi:type="dcterms:W3CDTF">2020-05-03T23:24:50Z</dcterms:created>
  <dcterms:modified xsi:type="dcterms:W3CDTF">2020-05-08T20:53:10Z</dcterms:modified>
</cp:coreProperties>
</file>