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PDV\Downloads\"/>
    </mc:Choice>
  </mc:AlternateContent>
  <xr:revisionPtr revIDLastSave="0" documentId="13_ncr:1_{EDF408C1-A5ED-4B52-8805-2C068BCC57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 Datos Profesores I" sheetId="2" r:id="rId1"/>
    <sheet name="Bases de Datos" sheetId="4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2" l="1"/>
  <c r="P31" i="2"/>
  <c r="P28" i="2"/>
  <c r="P25" i="2"/>
  <c r="P20" i="2"/>
  <c r="P17" i="2"/>
  <c r="P18" i="2"/>
  <c r="P19" i="2"/>
  <c r="P21" i="2"/>
  <c r="P22" i="2"/>
  <c r="P23" i="2"/>
  <c r="P24" i="2"/>
  <c r="P27" i="2"/>
  <c r="P29" i="2"/>
  <c r="P30" i="2"/>
  <c r="P32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17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19" i="2"/>
  <c r="L18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17" i="2"/>
  <c r="H23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7" i="2"/>
  <c r="H25" i="2"/>
  <c r="H18" i="2"/>
  <c r="H19" i="2"/>
  <c r="H20" i="2"/>
  <c r="H21" i="2"/>
  <c r="H22" i="2"/>
  <c r="H24" i="2"/>
  <c r="H26" i="2"/>
  <c r="H27" i="2"/>
  <c r="H28" i="2"/>
  <c r="H29" i="2"/>
  <c r="H30" i="2"/>
  <c r="H31" i="2"/>
  <c r="H32" i="2"/>
  <c r="H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17" i="2"/>
  <c r="B3" i="2" l="1"/>
</calcChain>
</file>

<file path=xl/sharedStrings.xml><?xml version="1.0" encoding="utf-8"?>
<sst xmlns="http://schemas.openxmlformats.org/spreadsheetml/2006/main" count="87" uniqueCount="74">
  <si>
    <t>Tipo de Contrato</t>
  </si>
  <si>
    <t>Aumento 1</t>
  </si>
  <si>
    <t>Aumento 2</t>
  </si>
  <si>
    <t>Renta Base</t>
  </si>
  <si>
    <t>Asociado</t>
  </si>
  <si>
    <t>Auxiliar</t>
  </si>
  <si>
    <t>Ayudante</t>
  </si>
  <si>
    <t>Codigo</t>
  </si>
  <si>
    <t>C. Civil</t>
  </si>
  <si>
    <t>Bachillerato</t>
  </si>
  <si>
    <t>Química</t>
  </si>
  <si>
    <t>Prof. Hugo Spencer</t>
  </si>
  <si>
    <t>Aumento 4</t>
  </si>
  <si>
    <t>Aumento 5</t>
  </si>
  <si>
    <t>Aumento 6</t>
  </si>
  <si>
    <t>Fecha de Ingreso</t>
  </si>
  <si>
    <t>Matemáticas</t>
  </si>
  <si>
    <t>Soledad</t>
  </si>
  <si>
    <t>Aumento 7</t>
  </si>
  <si>
    <t>Andrea</t>
  </si>
  <si>
    <t>AS</t>
  </si>
  <si>
    <t>AX</t>
  </si>
  <si>
    <t>AY</t>
  </si>
  <si>
    <t>Macarena</t>
  </si>
  <si>
    <t>María Paz</t>
  </si>
  <si>
    <t>Carolina</t>
  </si>
  <si>
    <t>Gustavo</t>
  </si>
  <si>
    <t>Cristian</t>
  </si>
  <si>
    <t>Categoria</t>
  </si>
  <si>
    <t>Nombre Escuela</t>
  </si>
  <si>
    <t>Director</t>
  </si>
  <si>
    <t>Nicole</t>
  </si>
  <si>
    <t>Carlos</t>
  </si>
  <si>
    <t>Benjamin</t>
  </si>
  <si>
    <t>Contratos</t>
  </si>
  <si>
    <t>Escuelas</t>
  </si>
  <si>
    <t>Renta Actual</t>
  </si>
  <si>
    <t>Camila</t>
  </si>
  <si>
    <t>Código Escuela</t>
  </si>
  <si>
    <t>Gerardo</t>
  </si>
  <si>
    <t>Vicente</t>
  </si>
  <si>
    <t>Paula</t>
  </si>
  <si>
    <t>Antonia</t>
  </si>
  <si>
    <t>Constanza</t>
  </si>
  <si>
    <t>AX /1</t>
  </si>
  <si>
    <t>AY /2</t>
  </si>
  <si>
    <t>AY /3</t>
  </si>
  <si>
    <t>AY /4</t>
  </si>
  <si>
    <t>AS /5</t>
  </si>
  <si>
    <t>AX /6</t>
  </si>
  <si>
    <t>AS /7</t>
  </si>
  <si>
    <t>AY /8</t>
  </si>
  <si>
    <t>AX /9</t>
  </si>
  <si>
    <t>AY /10</t>
  </si>
  <si>
    <t>AY /11</t>
  </si>
  <si>
    <t>AY /12</t>
  </si>
  <si>
    <t>AS /13</t>
  </si>
  <si>
    <t>AS /15</t>
  </si>
  <si>
    <t>AY /16</t>
  </si>
  <si>
    <t>Clases 09</t>
  </si>
  <si>
    <t>Codigo Genérico</t>
  </si>
  <si>
    <t>Nombre Categoría</t>
  </si>
  <si>
    <t>Maria</t>
  </si>
  <si>
    <t>Marta</t>
  </si>
  <si>
    <t>Nombre</t>
  </si>
  <si>
    <t>UC 1</t>
  </si>
  <si>
    <t>UC 4</t>
  </si>
  <si>
    <t>UC 2</t>
  </si>
  <si>
    <t>UC 3</t>
  </si>
  <si>
    <t>Mery</t>
  </si>
  <si>
    <t>Antigüedad a  fin de año</t>
  </si>
  <si>
    <t>Aumento 3</t>
  </si>
  <si>
    <t>MARI0</t>
  </si>
  <si>
    <t>AY 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</si>
</sst>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$-80A]#,##0"/>
    <numFmt numFmtId="167" formatCode="&quot;$&quot;\ #,##0"/>
    <numFmt numFmtId="170" formatCode="&quot;$&quot;#,##0.00"/>
  </numFmts>
  <fonts count="21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22"/>
      <color indexed="12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14"/>
      <color theme="1"/>
      <name val="Arial"/>
      <family val="2"/>
    </font>
    <font>
      <sz val="26"/>
      <name val="Arial"/>
      <family val="2"/>
    </font>
    <font>
      <sz val="20"/>
      <name val="Arial"/>
      <family val="2"/>
    </font>
    <font>
      <sz val="10"/>
      <name val="Arial"/>
      <family val="2"/>
    </font>
    <font>
      <sz val="26"/>
      <color rgb="FFFF0000"/>
      <name val="Arial"/>
      <family val="2"/>
    </font>
    <font>
      <sz val="24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theme="4" tint="0.39997558519241921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theme="4" tint="0.39997558519241921"/>
      </right>
      <top style="thin">
        <color indexed="9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2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6" fillId="0" borderId="1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2" fontId="15" fillId="0" borderId="0" xfId="0" applyNumberFormat="1" applyFont="1" applyBorder="1"/>
    <xf numFmtId="0" fontId="12" fillId="0" borderId="0" xfId="0" applyFont="1" applyBorder="1"/>
    <xf numFmtId="167" fontId="12" fillId="0" borderId="0" xfId="0" applyNumberFormat="1" applyFont="1" applyBorder="1"/>
    <xf numFmtId="0" fontId="13" fillId="0" borderId="0" xfId="0" applyFont="1" applyBorder="1"/>
    <xf numFmtId="0" fontId="6" fillId="0" borderId="0" xfId="0" applyFont="1" applyBorder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2" borderId="0" xfId="0" applyFont="1" applyFill="1" applyBorder="1"/>
    <xf numFmtId="0" fontId="7" fillId="0" borderId="0" xfId="0" applyFont="1" applyBorder="1"/>
    <xf numFmtId="0" fontId="6" fillId="0" borderId="2" xfId="0" applyFont="1" applyBorder="1"/>
    <xf numFmtId="0" fontId="6" fillId="2" borderId="1" xfId="0" applyFont="1" applyFill="1" applyBorder="1"/>
    <xf numFmtId="0" fontId="7" fillId="0" borderId="1" xfId="0" applyFont="1" applyBorder="1"/>
    <xf numFmtId="0" fontId="1" fillId="0" borderId="1" xfId="0" applyFont="1" applyBorder="1"/>
    <xf numFmtId="0" fontId="1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wrapText="1"/>
    </xf>
    <xf numFmtId="166" fontId="8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0" fontId="9" fillId="0" borderId="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0" xfId="0" applyFont="1"/>
    <xf numFmtId="0" fontId="19" fillId="0" borderId="1" xfId="0" applyFont="1" applyBorder="1"/>
    <xf numFmtId="0" fontId="20" fillId="0" borderId="1" xfId="0" applyFont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4" fontId="18" fillId="4" borderId="15" xfId="0" applyNumberFormat="1" applyFont="1" applyFill="1" applyBorder="1" applyAlignment="1">
      <alignment horizontal="center"/>
    </xf>
    <xf numFmtId="165" fontId="18" fillId="4" borderId="6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/>
    <xf numFmtId="165" fontId="17" fillId="2" borderId="6" xfId="0" applyNumberFormat="1" applyFont="1" applyFill="1" applyBorder="1" applyAlignment="1"/>
    <xf numFmtId="0" fontId="18" fillId="2" borderId="0" xfId="0" applyFont="1" applyFill="1" applyBorder="1" applyAlignment="1">
      <alignment horizontal="center" wrapText="1"/>
    </xf>
    <xf numFmtId="170" fontId="13" fillId="0" borderId="1" xfId="0" applyNumberFormat="1" applyFont="1" applyBorder="1"/>
    <xf numFmtId="170" fontId="10" fillId="0" borderId="1" xfId="0" applyNumberFormat="1" applyFont="1" applyBorder="1"/>
    <xf numFmtId="170" fontId="10" fillId="0" borderId="1" xfId="0" applyNumberFormat="1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ck">
          <color indexed="20"/>
        </top>
        <bottom style="thick">
          <color indexed="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2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2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indexed="8"/>
        <name val="Arial"/>
        <family val="2"/>
        <scheme val="none"/>
      </font>
      <fill>
        <patternFill patternType="solid">
          <fgColor indexed="2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indexed="9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93A2A-8338-42F2-B38A-1F63501BE929}" name="T_Escuelas" displayName="T_Escuelas" ref="E19:G23" totalsRowShown="0" headerRowDxfId="2" tableBorderDxfId="5">
  <autoFilter ref="E19:G23" xr:uid="{9D7A6B76-869F-409E-BCC8-D36BECE75F92}"/>
  <tableColumns count="3">
    <tableColumn id="1" xr3:uid="{691D7C43-DDCA-4B1C-ABFD-797454F9A042}" name="Codigo" dataDxfId="4"/>
    <tableColumn id="2" xr3:uid="{61494DA8-6233-4E98-AF2C-0B2A45FFB270}" name="Nombre Escuela" dataDxfId="3"/>
    <tableColumn id="3" xr3:uid="{06C65141-4495-473D-92EA-D2BCF83B6203}" name="Direc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C7D93-0A30-4564-A6C3-E08C86D014C9}" name="T_Contratos" displayName="T_Contratos" ref="E11:F14" totalsRowShown="0" headerRowDxfId="0" tableBorderDxfId="1">
  <autoFilter ref="E11:F14" xr:uid="{7C68EA04-21DD-4D6E-988D-BE4A31E701B1}"/>
  <tableColumns count="2">
    <tableColumn id="1" xr3:uid="{4F7CEBE4-FE10-4F66-887F-25C65F2116E7}" name="Tipo de Contrato"/>
    <tableColumn id="2" xr3:uid="{C228922B-3939-4FC9-88EA-73BE74F4851C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2"/>
  <sheetViews>
    <sheetView tabSelected="1" zoomScale="75" zoomScaleNormal="75" workbookViewId="0">
      <selection activeCell="H18" sqref="H18"/>
    </sheetView>
  </sheetViews>
  <sheetFormatPr defaultColWidth="11.5703125" defaultRowHeight="12.75" x14ac:dyDescent="0.2"/>
  <cols>
    <col min="1" max="1" width="11.5703125" style="3"/>
    <col min="2" max="2" width="18.5703125" style="3" customWidth="1"/>
    <col min="3" max="3" width="11" style="3" customWidth="1"/>
    <col min="4" max="4" width="15.28515625" style="3" customWidth="1"/>
    <col min="5" max="5" width="11.85546875" style="3" customWidth="1"/>
    <col min="6" max="6" width="18" style="3" customWidth="1"/>
    <col min="7" max="7" width="25.7109375" style="3" customWidth="1"/>
    <col min="8" max="8" width="32.5703125" style="3" bestFit="1" customWidth="1"/>
    <col min="9" max="9" width="22.28515625" style="3" customWidth="1"/>
    <col min="10" max="10" width="21" style="3" customWidth="1"/>
    <col min="11" max="11" width="27.7109375" style="3" customWidth="1"/>
    <col min="12" max="12" width="24.5703125" style="3" customWidth="1"/>
    <col min="13" max="13" width="22.7109375" style="3" customWidth="1"/>
    <col min="14" max="14" width="31.7109375" style="3" customWidth="1"/>
    <col min="15" max="15" width="22" style="3" customWidth="1"/>
    <col min="16" max="16" width="21" style="3" customWidth="1"/>
    <col min="17" max="16384" width="11.5703125" style="3"/>
  </cols>
  <sheetData>
    <row r="1" spans="2:22" s="4" customFormat="1" ht="21" customHeight="1" x14ac:dyDescent="0.2">
      <c r="B1" s="33" t="s">
        <v>59</v>
      </c>
      <c r="C1" s="34"/>
      <c r="D1" s="34"/>
      <c r="E1" s="35"/>
      <c r="F1" s="35"/>
      <c r="G1" s="3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27"/>
      <c r="T1" s="27"/>
      <c r="U1" s="24"/>
      <c r="V1" s="24"/>
    </row>
    <row r="2" spans="2:22" s="4" customFormat="1" ht="51" customHeight="1" x14ac:dyDescent="0.4">
      <c r="B2" s="36" t="s">
        <v>11</v>
      </c>
      <c r="C2" s="34"/>
      <c r="D2" s="34"/>
      <c r="E2" s="34"/>
      <c r="F2" s="37" t="s">
        <v>3</v>
      </c>
      <c r="G2" s="38">
        <v>500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27"/>
      <c r="T2" s="27"/>
      <c r="U2" s="24"/>
      <c r="V2" s="24"/>
    </row>
    <row r="3" spans="2:22" s="4" customFormat="1" x14ac:dyDescent="0.2">
      <c r="B3" s="39">
        <f ca="1">TODAY()</f>
        <v>43942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27"/>
      <c r="T3" s="27"/>
      <c r="U3" s="24"/>
      <c r="V3" s="24"/>
    </row>
    <row r="4" spans="2:22" s="4" customForma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27"/>
      <c r="T4" s="27"/>
      <c r="U4" s="24"/>
      <c r="V4" s="24"/>
    </row>
    <row r="5" spans="2:22" ht="25.5" customHeight="1" x14ac:dyDescent="0.2">
      <c r="B5" s="34"/>
      <c r="C5" s="50"/>
      <c r="D5" s="51"/>
      <c r="E5" s="51"/>
      <c r="F5" s="5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12"/>
      <c r="T5" s="12"/>
      <c r="U5" s="21"/>
      <c r="V5" s="21"/>
    </row>
    <row r="6" spans="2:22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12"/>
      <c r="T6" s="12"/>
      <c r="U6" s="21"/>
      <c r="V6" s="21"/>
    </row>
    <row r="7" spans="2:22" s="5" customFormat="1" x14ac:dyDescent="0.2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8"/>
      <c r="T7" s="28"/>
      <c r="U7" s="25"/>
      <c r="V7" s="25"/>
    </row>
    <row r="8" spans="2:22" s="5" customFormat="1" x14ac:dyDescent="0.2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28"/>
      <c r="T8" s="28"/>
      <c r="U8" s="25"/>
      <c r="V8" s="25"/>
    </row>
    <row r="9" spans="2:22" s="5" customFormat="1" x14ac:dyDescent="0.2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28"/>
      <c r="T9" s="28"/>
      <c r="U9" s="25"/>
      <c r="V9" s="25"/>
    </row>
    <row r="10" spans="2:22" s="5" customFormat="1" x14ac:dyDescent="0.2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28"/>
      <c r="T10" s="28"/>
      <c r="U10" s="25"/>
      <c r="V10" s="25"/>
    </row>
    <row r="11" spans="2:22" x14ac:dyDescent="0.2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12"/>
      <c r="T11" s="12"/>
      <c r="U11" s="21"/>
      <c r="V11" s="21"/>
    </row>
    <row r="12" spans="2:22" x14ac:dyDescent="0.2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12"/>
      <c r="T12" s="12"/>
      <c r="U12" s="21"/>
      <c r="V12" s="21"/>
    </row>
    <row r="13" spans="2:22" x14ac:dyDescent="0.2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2"/>
      <c r="T13" s="12"/>
      <c r="U13" s="21"/>
      <c r="V13" s="21"/>
    </row>
    <row r="14" spans="2:22" x14ac:dyDescent="0.2">
      <c r="B14" s="34"/>
      <c r="C14" s="34"/>
      <c r="D14" s="40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2"/>
      <c r="T14" s="12"/>
      <c r="U14" s="26"/>
      <c r="V14" s="26"/>
    </row>
    <row r="15" spans="2:22" ht="18" x14ac:dyDescent="0.25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2"/>
      <c r="R15" s="12"/>
      <c r="S15" s="12"/>
      <c r="T15" s="12"/>
    </row>
    <row r="16" spans="2:22" s="6" customFormat="1" ht="61.9" customHeight="1" x14ac:dyDescent="0.2">
      <c r="B16" s="49" t="s">
        <v>64</v>
      </c>
      <c r="C16" s="49" t="s">
        <v>60</v>
      </c>
      <c r="D16" s="49" t="s">
        <v>15</v>
      </c>
      <c r="E16" s="49" t="s">
        <v>38</v>
      </c>
      <c r="F16" s="49" t="s">
        <v>36</v>
      </c>
      <c r="G16" s="49" t="s">
        <v>70</v>
      </c>
      <c r="H16" s="49" t="s">
        <v>29</v>
      </c>
      <c r="I16" s="49" t="s">
        <v>61</v>
      </c>
      <c r="J16" s="49" t="s">
        <v>1</v>
      </c>
      <c r="K16" s="49" t="s">
        <v>2</v>
      </c>
      <c r="L16" s="49" t="s">
        <v>71</v>
      </c>
      <c r="M16" s="49" t="s">
        <v>12</v>
      </c>
      <c r="N16" s="49" t="s">
        <v>13</v>
      </c>
      <c r="O16" s="49" t="s">
        <v>14</v>
      </c>
      <c r="P16" s="49" t="s">
        <v>18</v>
      </c>
    </row>
    <row r="17" spans="2:16" ht="39.75" customHeight="1" x14ac:dyDescent="0.45">
      <c r="B17" s="7" t="s">
        <v>24</v>
      </c>
      <c r="C17" s="30" t="s">
        <v>45</v>
      </c>
      <c r="D17" s="9">
        <v>38474</v>
      </c>
      <c r="E17" s="8" t="s">
        <v>66</v>
      </c>
      <c r="F17" s="62">
        <v>700</v>
      </c>
      <c r="G17" s="10">
        <f>YEARFRAC(D17,DATE(2020,12,31))</f>
        <v>15.66388888888889</v>
      </c>
      <c r="H17" s="11" t="str">
        <f>VLOOKUP(VALUE(RIGHT(E17,1)),T_Escuelas[],2,FALSE)</f>
        <v>Matemáticas</v>
      </c>
      <c r="I17" s="11" t="str">
        <f>VLOOKUP(LEFT(C17,2),T_Contratos[],2,FALSE)</f>
        <v>Ayudante</v>
      </c>
      <c r="J17" s="61">
        <f>IF(AND(F17&lt;=700,F17&gt;=300),$G$2*0.3,IF(F17&lt;200,$G$2*0.8,180))</f>
        <v>150</v>
      </c>
      <c r="K17" s="61">
        <f>IF(AND(I17="Ayudante",LEFT(B17,1)="M"),AVERAGE(F17,$G$2*0.4),$G$2*(1-0.2))</f>
        <v>450</v>
      </c>
      <c r="L17" s="61">
        <f>IF(AND(J17&gt;=AVERAGE($J$17:$J$32),D17&lt;DATE(2008,1,1)),J17*0.3*(1-0.05),AVERAGEIFS($F$17:$F$32,$I$17:$I$32,"Ayudante")*(1-0.0525))</f>
        <v>397.95</v>
      </c>
      <c r="M17" s="61">
        <f>IF(AND(H17="C. Civil",I17&lt;&gt;"Auxiliar",I17&lt;&gt;"Asociado"),MIN(J17:K17),AVERAGEIFS($K$17:$K$32,$I$17:$I$32,"Asociado",$D$17:$D$32,"&gt;=1/1/2006"))</f>
        <v>400</v>
      </c>
      <c r="N17" s="61">
        <f>IF(AND(I17="Ayudante",G17&gt;=3.5),MIN($L$17:$L$32),AVERAGEIFS($J$17:$J$32,$I$17:$I$32,"Ayudante",$G$17:$G$32,"&gt;=5.25"))</f>
        <v>51.3</v>
      </c>
      <c r="O17" s="61">
        <f>IF(AND(G17&gt;3.5,OR(H17="Matemáticas",H17="C. Civil")),MIN($N$17:$N$32)*(1+0.1),AVERAGE(J17,L17,N17))</f>
        <v>56.43</v>
      </c>
      <c r="P17" s="61">
        <f>IF(AND(G17&lt;5.75,OR(I17="Asociado",I17="Auxiliar")),O17,AVERAGE($M$17:$M$32)*(1-0.125))</f>
        <v>350</v>
      </c>
    </row>
    <row r="18" spans="2:16" ht="33" x14ac:dyDescent="0.45">
      <c r="B18" s="7" t="s">
        <v>40</v>
      </c>
      <c r="C18" s="30" t="s">
        <v>53</v>
      </c>
      <c r="D18" s="32">
        <v>38474</v>
      </c>
      <c r="E18" s="31" t="s">
        <v>66</v>
      </c>
      <c r="F18" s="63">
        <v>700</v>
      </c>
      <c r="G18" s="10">
        <f t="shared" ref="G18:G32" si="0">YEARFRAC(D18,DATE(2020,12,31))</f>
        <v>15.66388888888889</v>
      </c>
      <c r="H18" s="11" t="str">
        <f>VLOOKUP(VALUE(RIGHT(E18,1)),T_Escuelas[],2,FALSE)</f>
        <v>Matemáticas</v>
      </c>
      <c r="I18" s="11" t="str">
        <f>VLOOKUP(LEFT(C18,2),T_Contratos[],2,FALSE)</f>
        <v>Ayudante</v>
      </c>
      <c r="J18" s="61">
        <f t="shared" ref="J18:J32" si="1">IF(AND(F18&lt;=700,F18&gt;=300),$G$2*0.3,IF(F18&lt;200,$G$2*0.8,180))</f>
        <v>150</v>
      </c>
      <c r="K18" s="61">
        <f t="shared" ref="K18:K32" si="2">IF(AND(I18="Ayudante",LEFT(B18,1)="M"),AVERAGE(F18,$G$2*0.4),$G$2*(1-0.2))</f>
        <v>400</v>
      </c>
      <c r="L18" s="61">
        <f t="shared" ref="L18:L32" si="3">IF(AND(J18&gt;=AVERAGE($J$17:$J$32),D18&lt;DATE(2008,1,1)),J18*0.3*(1-0.05),AVERAGEIFS($F$17:$F$32,$I$17:$I$32,"Ayudante")*(1-0.0525))</f>
        <v>397.95</v>
      </c>
      <c r="M18" s="61">
        <f t="shared" ref="M18:M32" si="4">IF(AND(H18="C. Civil",I18&lt;&gt;"Auxiliar",I18&lt;&gt;"Asociado"),MIN(J18:K18),AVERAGEIFS($K$17:$K$32,$I$17:$I$32,"Asociado",$D$17:$D$32,"&gt;=1/1/2006"))</f>
        <v>400</v>
      </c>
      <c r="N18" s="61">
        <f t="shared" ref="N18:N32" si="5">IF(AND(I18="Ayudante",G18&gt;=3.5),MIN($L$17:$L$32),AVERAGEIFS($J$17:$J$32,$I$17:$I$32,"Ayudante",$G$17:$G$32,"&gt;=5.25"))</f>
        <v>51.3</v>
      </c>
      <c r="O18" s="61">
        <f t="shared" ref="O18:O32" si="6">IF(AND(G18&gt;3.5,OR(H18="Matemáticas",H18="C. Civil")),MIN($N$17:$N$32)*(1+0.1),AVERAGE(J18,L18,N18))</f>
        <v>56.43</v>
      </c>
      <c r="P18" s="61">
        <f t="shared" ref="P18:P32" si="7">IF(AND(G18&lt;5.75,OR(I18="Asociado",I18="Auxiliar")),O18,AVERAGE($M$17:$M$32)*(1-0.125))</f>
        <v>350</v>
      </c>
    </row>
    <row r="19" spans="2:16" ht="33" x14ac:dyDescent="0.45">
      <c r="B19" s="7" t="s">
        <v>17</v>
      </c>
      <c r="C19" s="8" t="s">
        <v>49</v>
      </c>
      <c r="D19" s="9">
        <v>39008</v>
      </c>
      <c r="E19" s="8" t="s">
        <v>68</v>
      </c>
      <c r="F19" s="62">
        <v>280</v>
      </c>
      <c r="G19" s="10">
        <f t="shared" si="0"/>
        <v>14.202777777777778</v>
      </c>
      <c r="H19" s="11" t="str">
        <f>VLOOKUP(VALUE(RIGHT(E19,1)),T_Escuelas[],2,FALSE)</f>
        <v>Bachillerato</v>
      </c>
      <c r="I19" s="11" t="str">
        <f>VLOOKUP(LEFT(C19,2),T_Contratos[],2,FALSE)</f>
        <v>Auxiliar</v>
      </c>
      <c r="J19" s="61">
        <f t="shared" si="1"/>
        <v>180</v>
      </c>
      <c r="K19" s="61">
        <f t="shared" si="2"/>
        <v>400</v>
      </c>
      <c r="L19" s="61">
        <f>IF(AND(J19&gt;=AVERAGE($J$17:$J$32),D19&lt;DATE(2008,1,1)),J19*0.3*(1-0.05),AVERAGEIFS($F$17:$F$32,$I$17:$I$32,"Ayudante")*(1-0.0525))</f>
        <v>51.3</v>
      </c>
      <c r="M19" s="61">
        <f t="shared" si="4"/>
        <v>400</v>
      </c>
      <c r="N19" s="61">
        <f t="shared" si="5"/>
        <v>160</v>
      </c>
      <c r="O19" s="61">
        <f t="shared" si="6"/>
        <v>130.43333333333334</v>
      </c>
      <c r="P19" s="61">
        <f t="shared" si="7"/>
        <v>350</v>
      </c>
    </row>
    <row r="20" spans="2:16" ht="33" x14ac:dyDescent="0.45">
      <c r="B20" s="29" t="s">
        <v>72</v>
      </c>
      <c r="C20" s="8" t="s">
        <v>73</v>
      </c>
      <c r="D20" s="9">
        <v>39008</v>
      </c>
      <c r="E20" s="8" t="s">
        <v>68</v>
      </c>
      <c r="F20" s="62">
        <v>280</v>
      </c>
      <c r="G20" s="10">
        <f t="shared" si="0"/>
        <v>14.202777777777778</v>
      </c>
      <c r="H20" s="11" t="str">
        <f>VLOOKUP(VALUE(RIGHT(E20,1)),T_Escuelas[],2,FALSE)</f>
        <v>Bachillerato</v>
      </c>
      <c r="I20" s="11" t="str">
        <f>VLOOKUP(LEFT(C20,2),T_Contratos[],2,FALSE)</f>
        <v>Ayudante</v>
      </c>
      <c r="J20" s="61">
        <f t="shared" si="1"/>
        <v>180</v>
      </c>
      <c r="K20" s="61">
        <f t="shared" si="2"/>
        <v>240</v>
      </c>
      <c r="L20" s="61">
        <f t="shared" si="3"/>
        <v>51.3</v>
      </c>
      <c r="M20" s="61">
        <f t="shared" si="4"/>
        <v>400</v>
      </c>
      <c r="N20" s="61">
        <f t="shared" si="5"/>
        <v>51.3</v>
      </c>
      <c r="O20" s="61">
        <f t="shared" si="6"/>
        <v>94.2</v>
      </c>
      <c r="P20" s="61">
        <f>IF(AND(G20&lt;5.75,OR(I20="Asociado",I20="Auxiliar")),O20,AVERAGE($M$17:$M$32)*(1-0.125))</f>
        <v>350</v>
      </c>
    </row>
    <row r="21" spans="2:16" ht="33" x14ac:dyDescent="0.45">
      <c r="B21" s="7" t="s">
        <v>19</v>
      </c>
      <c r="C21" s="8" t="s">
        <v>48</v>
      </c>
      <c r="D21" s="9">
        <v>39035</v>
      </c>
      <c r="E21" s="8" t="s">
        <v>67</v>
      </c>
      <c r="F21" s="62">
        <v>600</v>
      </c>
      <c r="G21" s="10">
        <f t="shared" si="0"/>
        <v>14.130555555555556</v>
      </c>
      <c r="H21" s="11" t="str">
        <f>VLOOKUP(VALUE(RIGHT(E21,1)),T_Escuelas[],2,FALSE)</f>
        <v>Química</v>
      </c>
      <c r="I21" s="11" t="str">
        <f>VLOOKUP(LEFT(C21,2),T_Contratos[],2,FALSE)</f>
        <v>Asociado</v>
      </c>
      <c r="J21" s="61">
        <f t="shared" si="1"/>
        <v>150</v>
      </c>
      <c r="K21" s="61">
        <f t="shared" si="2"/>
        <v>400</v>
      </c>
      <c r="L21" s="61">
        <f t="shared" si="3"/>
        <v>397.95</v>
      </c>
      <c r="M21" s="61">
        <f t="shared" si="4"/>
        <v>400</v>
      </c>
      <c r="N21" s="61">
        <f t="shared" si="5"/>
        <v>160</v>
      </c>
      <c r="O21" s="61">
        <f t="shared" si="6"/>
        <v>235.98333333333335</v>
      </c>
      <c r="P21" s="61">
        <f t="shared" si="7"/>
        <v>350</v>
      </c>
    </row>
    <row r="22" spans="2:16" ht="33" x14ac:dyDescent="0.45">
      <c r="B22" s="7" t="s">
        <v>42</v>
      </c>
      <c r="C22" s="8" t="s">
        <v>56</v>
      </c>
      <c r="D22" s="9">
        <v>39035</v>
      </c>
      <c r="E22" s="8" t="s">
        <v>67</v>
      </c>
      <c r="F22" s="62">
        <v>600</v>
      </c>
      <c r="G22" s="10">
        <f t="shared" si="0"/>
        <v>14.130555555555556</v>
      </c>
      <c r="H22" s="11" t="str">
        <f>VLOOKUP(VALUE(RIGHT(E22,1)),T_Escuelas[],2,FALSE)</f>
        <v>Química</v>
      </c>
      <c r="I22" s="11" t="str">
        <f>VLOOKUP(LEFT(C22,2),T_Contratos[],2,FALSE)</f>
        <v>Asociado</v>
      </c>
      <c r="J22" s="61">
        <f t="shared" si="1"/>
        <v>150</v>
      </c>
      <c r="K22" s="61">
        <f t="shared" si="2"/>
        <v>400</v>
      </c>
      <c r="L22" s="61">
        <f t="shared" si="3"/>
        <v>397.95</v>
      </c>
      <c r="M22" s="61">
        <f t="shared" si="4"/>
        <v>400</v>
      </c>
      <c r="N22" s="61">
        <f t="shared" si="5"/>
        <v>160</v>
      </c>
      <c r="O22" s="61">
        <f t="shared" si="6"/>
        <v>235.98333333333335</v>
      </c>
      <c r="P22" s="61">
        <f t="shared" si="7"/>
        <v>350</v>
      </c>
    </row>
    <row r="23" spans="2:16" ht="33" x14ac:dyDescent="0.45">
      <c r="B23" s="7" t="s">
        <v>37</v>
      </c>
      <c r="C23" s="8" t="s">
        <v>44</v>
      </c>
      <c r="D23" s="9">
        <v>41488</v>
      </c>
      <c r="E23" s="8" t="s">
        <v>65</v>
      </c>
      <c r="F23" s="63">
        <v>250</v>
      </c>
      <c r="G23" s="10">
        <f t="shared" si="0"/>
        <v>7.4138888888888888</v>
      </c>
      <c r="H23" s="11" t="str">
        <f>VLOOKUP(VALUE(RIGHT(E23,1)),T_Escuelas[],2,FALSE)</f>
        <v>C. Civil</v>
      </c>
      <c r="I23" s="11" t="str">
        <f>VLOOKUP(LEFT(C23,2),T_Contratos[],2,FALSE)</f>
        <v>Auxiliar</v>
      </c>
      <c r="J23" s="61">
        <f t="shared" si="1"/>
        <v>180</v>
      </c>
      <c r="K23" s="61">
        <f t="shared" si="2"/>
        <v>400</v>
      </c>
      <c r="L23" s="61">
        <f t="shared" si="3"/>
        <v>397.95</v>
      </c>
      <c r="M23" s="61">
        <f t="shared" si="4"/>
        <v>400</v>
      </c>
      <c r="N23" s="61">
        <f t="shared" si="5"/>
        <v>160</v>
      </c>
      <c r="O23" s="61">
        <f t="shared" si="6"/>
        <v>56.43</v>
      </c>
      <c r="P23" s="61">
        <f t="shared" si="7"/>
        <v>350</v>
      </c>
    </row>
    <row r="24" spans="2:16" ht="33" x14ac:dyDescent="0.45">
      <c r="B24" s="7" t="s">
        <v>39</v>
      </c>
      <c r="C24" s="31" t="s">
        <v>52</v>
      </c>
      <c r="D24" s="32">
        <v>41488</v>
      </c>
      <c r="E24" s="31" t="s">
        <v>65</v>
      </c>
      <c r="F24" s="63">
        <v>250</v>
      </c>
      <c r="G24" s="10">
        <f t="shared" si="0"/>
        <v>7.4138888888888888</v>
      </c>
      <c r="H24" s="11" t="str">
        <f>VLOOKUP(VALUE(RIGHT(E24,1)),T_Escuelas[],2,FALSE)</f>
        <v>C. Civil</v>
      </c>
      <c r="I24" s="11" t="str">
        <f>VLOOKUP(LEFT(C24,2),T_Contratos[],2,FALSE)</f>
        <v>Auxiliar</v>
      </c>
      <c r="J24" s="61">
        <f t="shared" si="1"/>
        <v>180</v>
      </c>
      <c r="K24" s="61">
        <f t="shared" si="2"/>
        <v>400</v>
      </c>
      <c r="L24" s="61">
        <f t="shared" si="3"/>
        <v>397.95</v>
      </c>
      <c r="M24" s="61">
        <f t="shared" si="4"/>
        <v>400</v>
      </c>
      <c r="N24" s="61">
        <f t="shared" si="5"/>
        <v>160</v>
      </c>
      <c r="O24" s="61">
        <f t="shared" si="6"/>
        <v>56.43</v>
      </c>
      <c r="P24" s="61">
        <f t="shared" si="7"/>
        <v>350</v>
      </c>
    </row>
    <row r="25" spans="2:16" ht="33" x14ac:dyDescent="0.45">
      <c r="B25" s="7" t="s">
        <v>27</v>
      </c>
      <c r="C25" s="8" t="s">
        <v>50</v>
      </c>
      <c r="D25" s="9">
        <v>41508</v>
      </c>
      <c r="E25" s="8" t="s">
        <v>65</v>
      </c>
      <c r="F25" s="62">
        <v>500</v>
      </c>
      <c r="G25" s="10">
        <f t="shared" si="0"/>
        <v>7.3583333333333334</v>
      </c>
      <c r="H25" s="11" t="str">
        <f>VLOOKUP(VALUE(RIGHT(E25,1)),T_Escuelas[],2,FALSE)</f>
        <v>C. Civil</v>
      </c>
      <c r="I25" s="11" t="str">
        <f>VLOOKUP(LEFT(C25,2),T_Contratos[],2,FALSE)</f>
        <v>Asociado</v>
      </c>
      <c r="J25" s="61">
        <f t="shared" si="1"/>
        <v>150</v>
      </c>
      <c r="K25" s="61">
        <f t="shared" si="2"/>
        <v>400</v>
      </c>
      <c r="L25" s="61">
        <f t="shared" si="3"/>
        <v>397.95</v>
      </c>
      <c r="M25" s="61">
        <f t="shared" si="4"/>
        <v>400</v>
      </c>
      <c r="N25" s="61">
        <f t="shared" si="5"/>
        <v>160</v>
      </c>
      <c r="O25" s="61">
        <f t="shared" si="6"/>
        <v>56.43</v>
      </c>
      <c r="P25" s="61">
        <f>IF(AND(G25&lt;5.75,OR(I25="Asociado",I25="Auxiliar")),O25,AVERAGE($M$17:$M$32)*(1-0.125))</f>
        <v>350</v>
      </c>
    </row>
    <row r="26" spans="2:16" ht="33" x14ac:dyDescent="0.45">
      <c r="B26" s="7" t="s">
        <v>43</v>
      </c>
      <c r="C26" s="8" t="s">
        <v>57</v>
      </c>
      <c r="D26" s="9">
        <v>41508</v>
      </c>
      <c r="E26" s="8" t="s">
        <v>65</v>
      </c>
      <c r="F26" s="62">
        <v>500</v>
      </c>
      <c r="G26" s="10">
        <f t="shared" si="0"/>
        <v>7.3583333333333334</v>
      </c>
      <c r="H26" s="11" t="str">
        <f>VLOOKUP(VALUE(RIGHT(E26,1)),T_Escuelas[],2,FALSE)</f>
        <v>C. Civil</v>
      </c>
      <c r="I26" s="11" t="str">
        <f>VLOOKUP(LEFT(C26,2),T_Contratos[],2,FALSE)</f>
        <v>Asociado</v>
      </c>
      <c r="J26" s="61">
        <f t="shared" si="1"/>
        <v>150</v>
      </c>
      <c r="K26" s="61">
        <f t="shared" si="2"/>
        <v>400</v>
      </c>
      <c r="L26" s="61">
        <f t="shared" si="3"/>
        <v>397.95</v>
      </c>
      <c r="M26" s="61">
        <f t="shared" si="4"/>
        <v>400</v>
      </c>
      <c r="N26" s="61">
        <f t="shared" si="5"/>
        <v>160</v>
      </c>
      <c r="O26" s="61">
        <f t="shared" si="6"/>
        <v>56.43</v>
      </c>
      <c r="P26" s="61">
        <f>IF(AND(G26&lt;5.75,OR(I26="Asociado",I26="Auxiliar")),O26,AVERAGE($M$17:$M$32)*(1-0.125))</f>
        <v>350</v>
      </c>
    </row>
    <row r="27" spans="2:16" ht="33" x14ac:dyDescent="0.45">
      <c r="B27" s="29" t="s">
        <v>62</v>
      </c>
      <c r="C27" s="8" t="s">
        <v>47</v>
      </c>
      <c r="D27" s="9">
        <v>41640</v>
      </c>
      <c r="E27" s="8" t="s">
        <v>66</v>
      </c>
      <c r="F27" s="62">
        <v>400</v>
      </c>
      <c r="G27" s="10">
        <f t="shared" si="0"/>
        <v>7</v>
      </c>
      <c r="H27" s="11" t="str">
        <f>VLOOKUP(VALUE(RIGHT(E27,1)),T_Escuelas[],2,FALSE)</f>
        <v>Matemáticas</v>
      </c>
      <c r="I27" s="11" t="str">
        <f>VLOOKUP(LEFT(C27,2),T_Contratos[],2,FALSE)</f>
        <v>Ayudante</v>
      </c>
      <c r="J27" s="61">
        <f t="shared" si="1"/>
        <v>150</v>
      </c>
      <c r="K27" s="61">
        <f t="shared" si="2"/>
        <v>300</v>
      </c>
      <c r="L27" s="61">
        <f t="shared" si="3"/>
        <v>397.95</v>
      </c>
      <c r="M27" s="61">
        <f t="shared" si="4"/>
        <v>400</v>
      </c>
      <c r="N27" s="61">
        <f t="shared" si="5"/>
        <v>51.3</v>
      </c>
      <c r="O27" s="61">
        <f t="shared" si="6"/>
        <v>56.43</v>
      </c>
      <c r="P27" s="61">
        <f t="shared" si="7"/>
        <v>350</v>
      </c>
    </row>
    <row r="28" spans="2:16" ht="33" x14ac:dyDescent="0.45">
      <c r="B28" s="29" t="s">
        <v>63</v>
      </c>
      <c r="C28" s="8" t="s">
        <v>55</v>
      </c>
      <c r="D28" s="9">
        <v>41640</v>
      </c>
      <c r="E28" s="8" t="s">
        <v>66</v>
      </c>
      <c r="F28" s="62">
        <v>400</v>
      </c>
      <c r="G28" s="10">
        <f t="shared" si="0"/>
        <v>7</v>
      </c>
      <c r="H28" s="11" t="str">
        <f>VLOOKUP(VALUE(RIGHT(E28,1)),T_Escuelas[],2,FALSE)</f>
        <v>Matemáticas</v>
      </c>
      <c r="I28" s="11" t="str">
        <f>VLOOKUP(LEFT(C28,2),T_Contratos[],2,FALSE)</f>
        <v>Ayudante</v>
      </c>
      <c r="J28" s="61">
        <f t="shared" si="1"/>
        <v>150</v>
      </c>
      <c r="K28" s="61">
        <f t="shared" si="2"/>
        <v>300</v>
      </c>
      <c r="L28" s="61">
        <f t="shared" si="3"/>
        <v>397.95</v>
      </c>
      <c r="M28" s="61">
        <f t="shared" si="4"/>
        <v>400</v>
      </c>
      <c r="N28" s="61">
        <f t="shared" si="5"/>
        <v>51.3</v>
      </c>
      <c r="O28" s="61">
        <f t="shared" si="6"/>
        <v>56.43</v>
      </c>
      <c r="P28" s="61">
        <f>IF(AND(G28&lt;5.75,OR(I28="Asociado",I28="Auxiliar")),O28,AVERAGE($M$17:$M$32)*(1-0.125))</f>
        <v>350</v>
      </c>
    </row>
    <row r="29" spans="2:16" ht="33" x14ac:dyDescent="0.45">
      <c r="B29" s="7" t="s">
        <v>26</v>
      </c>
      <c r="C29" s="8" t="s">
        <v>51</v>
      </c>
      <c r="D29" s="9">
        <v>42005</v>
      </c>
      <c r="E29" s="8" t="s">
        <v>66</v>
      </c>
      <c r="F29" s="62">
        <v>380</v>
      </c>
      <c r="G29" s="10">
        <f t="shared" si="0"/>
        <v>6</v>
      </c>
      <c r="H29" s="11" t="str">
        <f>VLOOKUP(VALUE(RIGHT(E29,1)),T_Escuelas[],2,FALSE)</f>
        <v>Matemáticas</v>
      </c>
      <c r="I29" s="11" t="str">
        <f>VLOOKUP(LEFT(C29,2),T_Contratos[],2,FALSE)</f>
        <v>Ayudante</v>
      </c>
      <c r="J29" s="61">
        <f t="shared" si="1"/>
        <v>150</v>
      </c>
      <c r="K29" s="61">
        <f t="shared" si="2"/>
        <v>400</v>
      </c>
      <c r="L29" s="61">
        <f t="shared" si="3"/>
        <v>397.95</v>
      </c>
      <c r="M29" s="61">
        <f t="shared" si="4"/>
        <v>400</v>
      </c>
      <c r="N29" s="61">
        <f t="shared" si="5"/>
        <v>51.3</v>
      </c>
      <c r="O29" s="61">
        <f t="shared" si="6"/>
        <v>56.43</v>
      </c>
      <c r="P29" s="61">
        <f t="shared" si="7"/>
        <v>350</v>
      </c>
    </row>
    <row r="30" spans="2:16" ht="33" x14ac:dyDescent="0.45">
      <c r="B30" s="29" t="s">
        <v>69</v>
      </c>
      <c r="C30" s="8" t="s">
        <v>58</v>
      </c>
      <c r="D30" s="9">
        <v>42005</v>
      </c>
      <c r="E30" s="8" t="s">
        <v>66</v>
      </c>
      <c r="F30" s="62">
        <v>380</v>
      </c>
      <c r="G30" s="10">
        <f t="shared" si="0"/>
        <v>6</v>
      </c>
      <c r="H30" s="11" t="str">
        <f>VLOOKUP(VALUE(RIGHT(E30,1)),T_Escuelas[],2,FALSE)</f>
        <v>Matemáticas</v>
      </c>
      <c r="I30" s="11" t="str">
        <f>VLOOKUP(LEFT(C30,2),T_Contratos[],2,FALSE)</f>
        <v>Ayudante</v>
      </c>
      <c r="J30" s="61">
        <f t="shared" si="1"/>
        <v>150</v>
      </c>
      <c r="K30" s="61">
        <f t="shared" si="2"/>
        <v>290</v>
      </c>
      <c r="L30" s="61">
        <f t="shared" si="3"/>
        <v>397.95</v>
      </c>
      <c r="M30" s="61">
        <f t="shared" si="4"/>
        <v>400</v>
      </c>
      <c r="N30" s="61">
        <f t="shared" si="5"/>
        <v>51.3</v>
      </c>
      <c r="O30" s="61">
        <f t="shared" si="6"/>
        <v>56.43</v>
      </c>
      <c r="P30" s="61">
        <f t="shared" si="7"/>
        <v>350</v>
      </c>
    </row>
    <row r="31" spans="2:16" ht="33" x14ac:dyDescent="0.45">
      <c r="B31" s="7" t="s">
        <v>25</v>
      </c>
      <c r="C31" s="8" t="s">
        <v>46</v>
      </c>
      <c r="D31" s="9">
        <v>42224</v>
      </c>
      <c r="E31" s="8" t="s">
        <v>67</v>
      </c>
      <c r="F31" s="62">
        <v>270</v>
      </c>
      <c r="G31" s="10">
        <f t="shared" si="0"/>
        <v>5.3972222222222221</v>
      </c>
      <c r="H31" s="11" t="str">
        <f>VLOOKUP(VALUE(RIGHT(E31,1)),T_Escuelas[],2,FALSE)</f>
        <v>Química</v>
      </c>
      <c r="I31" s="11" t="str">
        <f>VLOOKUP(LEFT(C31,2),T_Contratos[],2,FALSE)</f>
        <v>Ayudante</v>
      </c>
      <c r="J31" s="61">
        <f t="shared" si="1"/>
        <v>180</v>
      </c>
      <c r="K31" s="61">
        <f t="shared" si="2"/>
        <v>400</v>
      </c>
      <c r="L31" s="61">
        <f t="shared" si="3"/>
        <v>397.95</v>
      </c>
      <c r="M31" s="61">
        <f t="shared" si="4"/>
        <v>400</v>
      </c>
      <c r="N31" s="61">
        <f t="shared" si="5"/>
        <v>51.3</v>
      </c>
      <c r="O31" s="61">
        <f t="shared" si="6"/>
        <v>209.75</v>
      </c>
      <c r="P31" s="61">
        <f>IF(AND(G31&lt;5.75,OR(I31="Asociado",I31="Auxiliar")),O31,AVERAGE($M$17:$M$32)*(1-0.125))</f>
        <v>350</v>
      </c>
    </row>
    <row r="32" spans="2:16" ht="33" x14ac:dyDescent="0.45">
      <c r="B32" s="7" t="s">
        <v>41</v>
      </c>
      <c r="C32" s="8" t="s">
        <v>54</v>
      </c>
      <c r="D32" s="9">
        <v>42224</v>
      </c>
      <c r="E32" s="8" t="s">
        <v>67</v>
      </c>
      <c r="F32" s="62">
        <v>270</v>
      </c>
      <c r="G32" s="10">
        <f t="shared" si="0"/>
        <v>5.3972222222222221</v>
      </c>
      <c r="H32" s="11" t="str">
        <f>VLOOKUP(VALUE(RIGHT(E32,1)),T_Escuelas[],2,FALSE)</f>
        <v>Química</v>
      </c>
      <c r="I32" s="11" t="str">
        <f>VLOOKUP(LEFT(C32,2),T_Contratos[],2,FALSE)</f>
        <v>Ayudante</v>
      </c>
      <c r="J32" s="61">
        <f t="shared" si="1"/>
        <v>180</v>
      </c>
      <c r="K32" s="61">
        <f t="shared" si="2"/>
        <v>400</v>
      </c>
      <c r="L32" s="61">
        <f t="shared" si="3"/>
        <v>397.95</v>
      </c>
      <c r="M32" s="61">
        <f t="shared" si="4"/>
        <v>400</v>
      </c>
      <c r="N32" s="61">
        <f t="shared" si="5"/>
        <v>51.3</v>
      </c>
      <c r="O32" s="61">
        <f t="shared" si="6"/>
        <v>209.75</v>
      </c>
      <c r="P32" s="61">
        <f t="shared" si="7"/>
        <v>350</v>
      </c>
    </row>
    <row r="33" spans="2:16" ht="33" x14ac:dyDescent="0.45">
      <c r="B33" s="13"/>
      <c r="C33" s="14"/>
      <c r="D33" s="15"/>
      <c r="E33" s="14"/>
      <c r="F33" s="16"/>
      <c r="G33" s="17"/>
      <c r="H33" s="18"/>
      <c r="I33" s="18"/>
      <c r="J33" s="19"/>
      <c r="K33" s="19"/>
      <c r="L33" s="19"/>
      <c r="M33" s="19"/>
      <c r="N33" s="18"/>
      <c r="O33" s="20"/>
      <c r="P33" s="21"/>
    </row>
    <row r="34" spans="2:16" ht="33" x14ac:dyDescent="0.45">
      <c r="B34" s="13"/>
      <c r="C34" s="14"/>
      <c r="D34" s="15"/>
      <c r="E34" s="14"/>
      <c r="F34" s="16"/>
      <c r="G34" s="17"/>
      <c r="H34" s="18"/>
      <c r="I34" s="18"/>
      <c r="J34" s="19"/>
      <c r="K34" s="19"/>
      <c r="L34" s="19"/>
      <c r="M34" s="19"/>
      <c r="N34" s="18"/>
      <c r="O34" s="20"/>
      <c r="P34" s="21"/>
    </row>
    <row r="35" spans="2:16" ht="33" x14ac:dyDescent="0.45">
      <c r="B35" s="13"/>
      <c r="C35" s="14"/>
      <c r="D35" s="15"/>
      <c r="E35" s="14"/>
      <c r="F35" s="16"/>
      <c r="G35" s="17"/>
      <c r="H35" s="18"/>
      <c r="I35" s="18"/>
      <c r="J35" s="19"/>
      <c r="K35" s="19"/>
      <c r="L35" s="19"/>
      <c r="M35" s="19"/>
      <c r="N35" s="18"/>
      <c r="O35" s="20"/>
      <c r="P35" s="21"/>
    </row>
    <row r="36" spans="2:16" ht="33" x14ac:dyDescent="0.45">
      <c r="B36" s="13"/>
      <c r="C36" s="14"/>
      <c r="D36" s="15"/>
      <c r="E36" s="14"/>
      <c r="F36" s="16"/>
      <c r="G36" s="17"/>
      <c r="H36" s="18"/>
      <c r="I36" s="18"/>
      <c r="J36" s="19"/>
      <c r="K36" s="19"/>
      <c r="L36" s="19"/>
      <c r="M36" s="19"/>
      <c r="N36" s="18"/>
      <c r="O36" s="20"/>
      <c r="P36" s="21"/>
    </row>
    <row r="37" spans="2:16" ht="33" x14ac:dyDescent="0.45">
      <c r="B37" s="13"/>
      <c r="C37" s="14"/>
      <c r="D37" s="15"/>
      <c r="E37" s="14"/>
      <c r="F37" s="16"/>
      <c r="G37" s="17"/>
      <c r="H37" s="18"/>
      <c r="I37" s="18"/>
      <c r="J37" s="19"/>
      <c r="K37" s="19"/>
      <c r="L37" s="19"/>
      <c r="M37" s="19"/>
      <c r="N37" s="18"/>
      <c r="O37" s="20"/>
      <c r="P37" s="21"/>
    </row>
    <row r="38" spans="2:16" ht="33" x14ac:dyDescent="0.45">
      <c r="B38" s="13"/>
      <c r="C38" s="14"/>
      <c r="D38" s="15"/>
      <c r="E38" s="14"/>
      <c r="F38" s="16"/>
      <c r="G38" s="17"/>
      <c r="H38" s="18"/>
      <c r="I38" s="18"/>
      <c r="J38" s="19"/>
      <c r="K38" s="19"/>
      <c r="L38" s="19"/>
      <c r="M38" s="19"/>
      <c r="N38" s="18"/>
      <c r="O38" s="20"/>
      <c r="P38" s="21"/>
    </row>
    <row r="39" spans="2:16" ht="33" x14ac:dyDescent="0.45">
      <c r="B39" s="13"/>
      <c r="C39" s="14"/>
      <c r="D39" s="15"/>
      <c r="E39" s="14"/>
      <c r="F39" s="16"/>
      <c r="G39" s="17"/>
      <c r="H39" s="18"/>
      <c r="I39" s="18"/>
      <c r="J39" s="19"/>
      <c r="K39" s="19"/>
      <c r="L39" s="19"/>
      <c r="M39" s="19"/>
      <c r="N39" s="18"/>
      <c r="O39" s="20"/>
      <c r="P39" s="21"/>
    </row>
    <row r="40" spans="2:16" ht="33" x14ac:dyDescent="0.45">
      <c r="B40" s="13"/>
      <c r="C40" s="14"/>
      <c r="D40" s="15"/>
      <c r="E40" s="14"/>
      <c r="F40" s="16"/>
      <c r="G40" s="17"/>
      <c r="H40" s="18"/>
      <c r="I40" s="18"/>
      <c r="J40" s="19"/>
      <c r="K40" s="19"/>
      <c r="L40" s="19"/>
      <c r="M40" s="19"/>
      <c r="N40" s="18"/>
      <c r="O40" s="20"/>
      <c r="P40" s="21"/>
    </row>
    <row r="41" spans="2:16" ht="33" x14ac:dyDescent="0.45">
      <c r="B41" s="13"/>
      <c r="C41" s="14"/>
      <c r="D41" s="15"/>
      <c r="E41" s="14"/>
      <c r="F41" s="16"/>
      <c r="G41" s="17"/>
      <c r="H41" s="18"/>
      <c r="I41" s="18"/>
      <c r="J41" s="19"/>
      <c r="K41" s="19"/>
      <c r="L41" s="19"/>
      <c r="M41" s="19"/>
      <c r="N41" s="18"/>
      <c r="O41" s="20"/>
      <c r="P41" s="21"/>
    </row>
    <row r="42" spans="2:16" ht="33" x14ac:dyDescent="0.45">
      <c r="B42" s="13"/>
      <c r="C42" s="14"/>
      <c r="D42" s="15"/>
      <c r="E42" s="14"/>
      <c r="F42" s="16"/>
      <c r="G42" s="17"/>
      <c r="H42" s="18"/>
      <c r="I42" s="18"/>
      <c r="J42" s="19"/>
      <c r="K42" s="19"/>
      <c r="L42" s="19"/>
      <c r="M42" s="19"/>
      <c r="N42" s="18"/>
      <c r="O42" s="20"/>
      <c r="P42" s="21"/>
    </row>
    <row r="43" spans="2:16" ht="33" x14ac:dyDescent="0.45">
      <c r="B43" s="13"/>
      <c r="C43" s="14"/>
      <c r="D43" s="15"/>
      <c r="E43" s="14"/>
      <c r="F43" s="16"/>
      <c r="G43" s="17"/>
      <c r="H43" s="18"/>
      <c r="I43" s="18"/>
      <c r="J43" s="19"/>
      <c r="K43" s="19"/>
      <c r="L43" s="19"/>
      <c r="M43" s="19"/>
      <c r="N43" s="18"/>
      <c r="O43" s="20"/>
      <c r="P43" s="21"/>
    </row>
    <row r="44" spans="2:16" ht="33" x14ac:dyDescent="0.45">
      <c r="B44" s="13"/>
      <c r="C44" s="14"/>
      <c r="D44" s="15"/>
      <c r="E44" s="14"/>
      <c r="F44" s="16"/>
      <c r="G44" s="17"/>
      <c r="H44" s="18"/>
      <c r="I44" s="18"/>
      <c r="J44" s="19"/>
      <c r="K44" s="19"/>
      <c r="L44" s="19"/>
      <c r="M44" s="19"/>
      <c r="N44" s="18"/>
      <c r="O44" s="20"/>
      <c r="P44" s="21"/>
    </row>
    <row r="45" spans="2:16" ht="33" x14ac:dyDescent="0.45">
      <c r="B45" s="13"/>
      <c r="C45" s="14"/>
      <c r="D45" s="15"/>
      <c r="E45" s="14"/>
      <c r="F45" s="16"/>
      <c r="G45" s="17"/>
      <c r="H45" s="18"/>
      <c r="I45" s="18"/>
      <c r="J45" s="19"/>
      <c r="K45" s="19"/>
      <c r="L45" s="19"/>
      <c r="M45" s="19"/>
      <c r="N45" s="18"/>
      <c r="O45" s="20"/>
      <c r="P45" s="21"/>
    </row>
    <row r="46" spans="2:16" ht="33" x14ac:dyDescent="0.45">
      <c r="B46" s="13"/>
      <c r="C46" s="14"/>
      <c r="D46" s="15"/>
      <c r="E46" s="14"/>
      <c r="F46" s="16"/>
      <c r="G46" s="17"/>
      <c r="H46" s="18"/>
      <c r="I46" s="18"/>
      <c r="J46" s="19"/>
      <c r="K46" s="19"/>
      <c r="L46" s="19"/>
      <c r="M46" s="19"/>
      <c r="N46" s="18"/>
      <c r="O46" s="20"/>
      <c r="P46" s="21"/>
    </row>
    <row r="47" spans="2:16" ht="33" x14ac:dyDescent="0.45">
      <c r="B47" s="13"/>
      <c r="C47" s="14"/>
      <c r="D47" s="15"/>
      <c r="E47" s="14"/>
      <c r="F47" s="16"/>
      <c r="G47" s="17"/>
      <c r="H47" s="18"/>
      <c r="I47" s="18"/>
      <c r="J47" s="19"/>
      <c r="K47" s="19"/>
      <c r="L47" s="19"/>
      <c r="M47" s="19"/>
      <c r="N47" s="18"/>
      <c r="O47" s="20"/>
      <c r="P47" s="21"/>
    </row>
    <row r="48" spans="2:16" ht="33" x14ac:dyDescent="0.45">
      <c r="B48" s="13"/>
      <c r="C48" s="14"/>
      <c r="D48" s="15"/>
      <c r="E48" s="14"/>
      <c r="F48" s="16"/>
      <c r="G48" s="17"/>
      <c r="H48" s="18"/>
      <c r="I48" s="18"/>
      <c r="J48" s="19"/>
      <c r="K48" s="19"/>
      <c r="L48" s="19"/>
      <c r="M48" s="19"/>
      <c r="N48" s="18"/>
      <c r="O48" s="20"/>
      <c r="P48" s="21"/>
    </row>
    <row r="49" spans="2:16" ht="33" x14ac:dyDescent="0.45">
      <c r="B49" s="13"/>
      <c r="C49" s="14"/>
      <c r="D49" s="15"/>
      <c r="E49" s="14"/>
      <c r="F49" s="16"/>
      <c r="G49" s="17"/>
      <c r="H49" s="18"/>
      <c r="I49" s="18"/>
      <c r="J49" s="19"/>
      <c r="K49" s="19"/>
      <c r="L49" s="19"/>
      <c r="M49" s="19"/>
      <c r="N49" s="18"/>
      <c r="O49" s="20"/>
      <c r="P49" s="21"/>
    </row>
    <row r="50" spans="2:16" ht="61.5" customHeight="1" x14ac:dyDescent="0.2">
      <c r="E50" s="22"/>
    </row>
    <row r="51" spans="2:16" ht="40.5" customHeight="1" x14ac:dyDescent="0.2">
      <c r="E51" s="22"/>
    </row>
    <row r="52" spans="2:16" ht="51" customHeight="1" x14ac:dyDescent="0.2">
      <c r="E52" s="23"/>
    </row>
  </sheetData>
  <sortState xmlns:xlrd2="http://schemas.microsoft.com/office/spreadsheetml/2017/richdata2" ref="B17:P32">
    <sortCondition ref="D17"/>
  </sortState>
  <mergeCells count="1">
    <mergeCell ref="C5:F5"/>
  </mergeCells>
  <phoneticPr fontId="4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G23"/>
  <sheetViews>
    <sheetView topLeftCell="A2" workbookViewId="0">
      <selection activeCell="B41" sqref="B41"/>
    </sheetView>
  </sheetViews>
  <sheetFormatPr defaultColWidth="11.42578125" defaultRowHeight="12.75" x14ac:dyDescent="0.2"/>
  <cols>
    <col min="5" max="5" width="22.28515625" customWidth="1"/>
    <col min="6" max="6" width="22.42578125" customWidth="1"/>
    <col min="7" max="7" width="14.85546875" customWidth="1"/>
  </cols>
  <sheetData>
    <row r="8" spans="3:6" x14ac:dyDescent="0.2">
      <c r="E8" s="2"/>
      <c r="F8" s="2"/>
    </row>
    <row r="9" spans="3:6" x14ac:dyDescent="0.2">
      <c r="C9" s="47" t="s">
        <v>34</v>
      </c>
      <c r="E9" s="2">
        <v>1</v>
      </c>
      <c r="F9" s="2">
        <v>2</v>
      </c>
    </row>
    <row r="10" spans="3:6" x14ac:dyDescent="0.2">
      <c r="E10" s="1"/>
      <c r="F10" s="1"/>
    </row>
    <row r="11" spans="3:6" x14ac:dyDescent="0.2">
      <c r="E11" s="60" t="s">
        <v>0</v>
      </c>
      <c r="F11" s="60" t="s">
        <v>28</v>
      </c>
    </row>
    <row r="12" spans="3:6" x14ac:dyDescent="0.2">
      <c r="E12" s="56" t="s">
        <v>20</v>
      </c>
      <c r="F12" s="58" t="s">
        <v>4</v>
      </c>
    </row>
    <row r="13" spans="3:6" x14ac:dyDescent="0.2">
      <c r="E13" s="57" t="s">
        <v>21</v>
      </c>
      <c r="F13" s="59" t="s">
        <v>5</v>
      </c>
    </row>
    <row r="14" spans="3:6" x14ac:dyDescent="0.2">
      <c r="E14" s="57" t="s">
        <v>22</v>
      </c>
      <c r="F14" s="59" t="s">
        <v>6</v>
      </c>
    </row>
    <row r="17" spans="3:7" x14ac:dyDescent="0.2">
      <c r="E17" s="2">
        <v>1</v>
      </c>
      <c r="F17" s="2">
        <v>2</v>
      </c>
      <c r="G17" s="2">
        <v>3</v>
      </c>
    </row>
    <row r="18" spans="3:7" x14ac:dyDescent="0.2">
      <c r="C18" s="47" t="s">
        <v>35</v>
      </c>
    </row>
    <row r="19" spans="3:7" x14ac:dyDescent="0.2">
      <c r="E19" s="53" t="s">
        <v>7</v>
      </c>
      <c r="F19" s="54" t="s">
        <v>29</v>
      </c>
      <c r="G19" s="55" t="s">
        <v>30</v>
      </c>
    </row>
    <row r="20" spans="3:7" ht="30" x14ac:dyDescent="0.4">
      <c r="E20" s="41">
        <v>1</v>
      </c>
      <c r="F20" s="42" t="s">
        <v>8</v>
      </c>
      <c r="G20" s="43" t="s">
        <v>23</v>
      </c>
    </row>
    <row r="21" spans="3:7" ht="30" x14ac:dyDescent="0.4">
      <c r="E21" s="44">
        <v>2</v>
      </c>
      <c r="F21" s="45" t="s">
        <v>10</v>
      </c>
      <c r="G21" s="46" t="s">
        <v>31</v>
      </c>
    </row>
    <row r="22" spans="3:7" ht="30" x14ac:dyDescent="0.4">
      <c r="E22" s="41">
        <v>3</v>
      </c>
      <c r="F22" s="42" t="s">
        <v>9</v>
      </c>
      <c r="G22" s="43" t="s">
        <v>32</v>
      </c>
    </row>
    <row r="23" spans="3:7" ht="30" x14ac:dyDescent="0.4">
      <c r="E23" s="44">
        <v>4</v>
      </c>
      <c r="F23" s="45" t="s">
        <v>16</v>
      </c>
      <c r="G23" s="46" t="s">
        <v>33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Datos Profesores I</vt:lpstr>
      <vt:lpstr>Bases de Datos</vt:lpstr>
    </vt:vector>
  </TitlesOfParts>
  <Company>Bachillerato 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Matías Duhalde</cp:lastModifiedBy>
  <cp:lastPrinted>2003-09-10T23:42:08Z</cp:lastPrinted>
  <dcterms:created xsi:type="dcterms:W3CDTF">2003-04-16T15:10:07Z</dcterms:created>
  <dcterms:modified xsi:type="dcterms:W3CDTF">2020-04-21T20:06:59Z</dcterms:modified>
</cp:coreProperties>
</file>