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/Downloads/Temp/"/>
    </mc:Choice>
  </mc:AlternateContent>
  <xr:revisionPtr revIDLastSave="0" documentId="13_ncr:1_{843A2B20-13A5-1043-AB60-2DE97CB05F98}" xr6:coauthVersionLast="45" xr6:coauthVersionMax="45" xr10:uidLastSave="{00000000-0000-0000-0000-000000000000}"/>
  <bookViews>
    <workbookView xWindow="0" yWindow="460" windowWidth="25520" windowHeight="14440" tabRatio="500" xr2:uid="{00000000-000D-0000-FFFF-FFFF00000000}"/>
  </bookViews>
  <sheets>
    <sheet name="Sección 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D113" i="1" l="1"/>
  <c r="E101" i="1"/>
  <c r="D101" i="1"/>
  <c r="C101" i="1"/>
  <c r="B101" i="1"/>
  <c r="E100" i="1"/>
  <c r="D100" i="1"/>
  <c r="C100" i="1"/>
  <c r="G100" i="1" s="1"/>
  <c r="H100" i="1" s="1"/>
  <c r="I100" i="1" s="1"/>
  <c r="B100" i="1"/>
  <c r="E99" i="1"/>
  <c r="D99" i="1"/>
  <c r="C99" i="1"/>
  <c r="B99" i="1"/>
  <c r="E98" i="1"/>
  <c r="D98" i="1"/>
  <c r="C98" i="1"/>
  <c r="G98" i="1" s="1"/>
  <c r="H98" i="1" s="1"/>
  <c r="I98" i="1" s="1"/>
  <c r="B98" i="1"/>
  <c r="E97" i="1"/>
  <c r="D97" i="1"/>
  <c r="C97" i="1"/>
  <c r="B97" i="1"/>
  <c r="E96" i="1"/>
  <c r="D96" i="1"/>
  <c r="C96" i="1"/>
  <c r="G96" i="1" s="1"/>
  <c r="H96" i="1" s="1"/>
  <c r="I96" i="1" s="1"/>
  <c r="B96" i="1"/>
  <c r="E95" i="1"/>
  <c r="D95" i="1"/>
  <c r="C95" i="1"/>
  <c r="B95" i="1"/>
  <c r="E94" i="1"/>
  <c r="D94" i="1"/>
  <c r="C94" i="1"/>
  <c r="G94" i="1" s="1"/>
  <c r="H94" i="1" s="1"/>
  <c r="I94" i="1" s="1"/>
  <c r="B94" i="1"/>
  <c r="E93" i="1"/>
  <c r="D93" i="1"/>
  <c r="C93" i="1"/>
  <c r="B93" i="1"/>
  <c r="E92" i="1"/>
  <c r="D92" i="1"/>
  <c r="C92" i="1"/>
  <c r="G92" i="1" s="1"/>
  <c r="H92" i="1" s="1"/>
  <c r="I92" i="1" s="1"/>
  <c r="B92" i="1"/>
  <c r="E91" i="1"/>
  <c r="D91" i="1"/>
  <c r="C91" i="1"/>
  <c r="B91" i="1"/>
  <c r="E90" i="1"/>
  <c r="D90" i="1"/>
  <c r="C90" i="1"/>
  <c r="G90" i="1" s="1"/>
  <c r="H90" i="1" s="1"/>
  <c r="I90" i="1" s="1"/>
  <c r="B90" i="1"/>
  <c r="E89" i="1"/>
  <c r="D89" i="1"/>
  <c r="C89" i="1"/>
  <c r="B89" i="1"/>
  <c r="E88" i="1"/>
  <c r="D88" i="1"/>
  <c r="C88" i="1"/>
  <c r="B88" i="1"/>
  <c r="E87" i="1"/>
  <c r="D87" i="1"/>
  <c r="C87" i="1"/>
  <c r="B87" i="1"/>
  <c r="E86" i="1"/>
  <c r="D86" i="1"/>
  <c r="C86" i="1"/>
  <c r="B86" i="1"/>
  <c r="E85" i="1"/>
  <c r="D85" i="1"/>
  <c r="C85" i="1"/>
  <c r="B85" i="1"/>
  <c r="E84" i="1"/>
  <c r="D84" i="1"/>
  <c r="C84" i="1"/>
  <c r="B84" i="1"/>
  <c r="E83" i="1"/>
  <c r="D83" i="1"/>
  <c r="C83" i="1"/>
  <c r="B83" i="1"/>
  <c r="E82" i="1"/>
  <c r="D82" i="1"/>
  <c r="C82" i="1"/>
  <c r="B82" i="1"/>
  <c r="E81" i="1"/>
  <c r="D81" i="1"/>
  <c r="C81" i="1"/>
  <c r="B81" i="1"/>
  <c r="E80" i="1"/>
  <c r="D80" i="1"/>
  <c r="C80" i="1"/>
  <c r="B80" i="1"/>
  <c r="E79" i="1"/>
  <c r="D79" i="1"/>
  <c r="C79" i="1"/>
  <c r="B79" i="1"/>
  <c r="E78" i="1"/>
  <c r="D78" i="1"/>
  <c r="C78" i="1"/>
  <c r="B78" i="1"/>
  <c r="E77" i="1"/>
  <c r="D77" i="1"/>
  <c r="C77" i="1"/>
  <c r="B77" i="1"/>
  <c r="E76" i="1"/>
  <c r="D76" i="1"/>
  <c r="C76" i="1"/>
  <c r="B76" i="1"/>
  <c r="E75" i="1"/>
  <c r="D75" i="1"/>
  <c r="C75" i="1"/>
  <c r="B75" i="1"/>
  <c r="E74" i="1"/>
  <c r="D74" i="1"/>
  <c r="C74" i="1"/>
  <c r="B74" i="1"/>
  <c r="E73" i="1"/>
  <c r="D73" i="1"/>
  <c r="C73" i="1"/>
  <c r="B73" i="1"/>
  <c r="E72" i="1"/>
  <c r="D72" i="1"/>
  <c r="C72" i="1"/>
  <c r="B72" i="1"/>
  <c r="E71" i="1"/>
  <c r="D71" i="1"/>
  <c r="C71" i="1"/>
  <c r="B71" i="1"/>
  <c r="E70" i="1"/>
  <c r="D70" i="1"/>
  <c r="C70" i="1"/>
  <c r="B70" i="1"/>
  <c r="E69" i="1"/>
  <c r="C69" i="1"/>
  <c r="G69" i="1" s="1"/>
  <c r="B69" i="1"/>
  <c r="E68" i="1"/>
  <c r="D68" i="1"/>
  <c r="C68" i="1"/>
  <c r="B68" i="1"/>
  <c r="E67" i="1"/>
  <c r="D67" i="1"/>
  <c r="C67" i="1"/>
  <c r="B67" i="1"/>
  <c r="E66" i="1"/>
  <c r="D66" i="1"/>
  <c r="C66" i="1"/>
  <c r="G66" i="1" s="1"/>
  <c r="H66" i="1" s="1"/>
  <c r="B66" i="1"/>
  <c r="E65" i="1"/>
  <c r="D65" i="1"/>
  <c r="C65" i="1"/>
  <c r="B65" i="1"/>
  <c r="E64" i="1"/>
  <c r="D64" i="1"/>
  <c r="C64" i="1"/>
  <c r="B64" i="1"/>
  <c r="E63" i="1"/>
  <c r="D63" i="1"/>
  <c r="C63" i="1"/>
  <c r="B63" i="1"/>
  <c r="E62" i="1"/>
  <c r="D62" i="1"/>
  <c r="C62" i="1"/>
  <c r="B62" i="1"/>
  <c r="E61" i="1"/>
  <c r="D61" i="1"/>
  <c r="C61" i="1"/>
  <c r="B61" i="1"/>
  <c r="E60" i="1"/>
  <c r="D60" i="1"/>
  <c r="C60" i="1"/>
  <c r="B60" i="1"/>
  <c r="E59" i="1"/>
  <c r="D59" i="1"/>
  <c r="C59" i="1"/>
  <c r="B59" i="1"/>
  <c r="E58" i="1"/>
  <c r="D58" i="1"/>
  <c r="C58" i="1"/>
  <c r="B58" i="1"/>
  <c r="E57" i="1"/>
  <c r="D57" i="1"/>
  <c r="C57" i="1"/>
  <c r="B57" i="1"/>
  <c r="E56" i="1"/>
  <c r="D56" i="1"/>
  <c r="C56" i="1"/>
  <c r="B56" i="1"/>
  <c r="E55" i="1"/>
  <c r="D55" i="1"/>
  <c r="C55" i="1"/>
  <c r="B55" i="1"/>
  <c r="E54" i="1"/>
  <c r="D54" i="1"/>
  <c r="C54" i="1"/>
  <c r="B54" i="1"/>
  <c r="E53" i="1"/>
  <c r="D53" i="1"/>
  <c r="C53" i="1"/>
  <c r="B53" i="1"/>
  <c r="E52" i="1"/>
  <c r="D52" i="1"/>
  <c r="C52" i="1"/>
  <c r="B52" i="1"/>
  <c r="E51" i="1"/>
  <c r="D51" i="1"/>
  <c r="C51" i="1"/>
  <c r="B51" i="1"/>
  <c r="E50" i="1"/>
  <c r="D50" i="1"/>
  <c r="C50" i="1"/>
  <c r="B50" i="1"/>
  <c r="E49" i="1"/>
  <c r="D49" i="1"/>
  <c r="C49" i="1"/>
  <c r="B49" i="1"/>
  <c r="E48" i="1"/>
  <c r="D48" i="1"/>
  <c r="C48" i="1"/>
  <c r="B48" i="1"/>
  <c r="E47" i="1"/>
  <c r="D47" i="1"/>
  <c r="C47" i="1"/>
  <c r="B47" i="1"/>
  <c r="E46" i="1"/>
  <c r="D46" i="1"/>
  <c r="C46" i="1"/>
  <c r="B46" i="1"/>
  <c r="E45" i="1"/>
  <c r="D45" i="1"/>
  <c r="C45" i="1"/>
  <c r="B45" i="1"/>
  <c r="E44" i="1"/>
  <c r="D44" i="1"/>
  <c r="C44" i="1"/>
  <c r="B44" i="1"/>
  <c r="E43" i="1"/>
  <c r="D43" i="1"/>
  <c r="C43" i="1"/>
  <c r="B43" i="1"/>
  <c r="E42" i="1"/>
  <c r="D42" i="1"/>
  <c r="C42" i="1"/>
  <c r="B42" i="1"/>
  <c r="E41" i="1"/>
  <c r="D41" i="1"/>
  <c r="C41" i="1"/>
  <c r="B41" i="1"/>
  <c r="E40" i="1"/>
  <c r="D40" i="1"/>
  <c r="C40" i="1"/>
  <c r="B40" i="1"/>
  <c r="E39" i="1"/>
  <c r="D39" i="1"/>
  <c r="C39" i="1"/>
  <c r="B39" i="1"/>
  <c r="E38" i="1"/>
  <c r="D38" i="1"/>
  <c r="C38" i="1"/>
  <c r="B38" i="1"/>
  <c r="E37" i="1"/>
  <c r="D37" i="1"/>
  <c r="C37" i="1"/>
  <c r="B37" i="1"/>
  <c r="E36" i="1"/>
  <c r="D36" i="1"/>
  <c r="C36" i="1"/>
  <c r="B36" i="1"/>
  <c r="E35" i="1"/>
  <c r="D35" i="1"/>
  <c r="C35" i="1"/>
  <c r="B35" i="1"/>
  <c r="E34" i="1"/>
  <c r="D34" i="1"/>
  <c r="C34" i="1"/>
  <c r="B34" i="1"/>
  <c r="E33" i="1"/>
  <c r="D33" i="1"/>
  <c r="C33" i="1"/>
  <c r="B33" i="1"/>
  <c r="E32" i="1"/>
  <c r="D32" i="1"/>
  <c r="C32" i="1"/>
  <c r="B32" i="1"/>
  <c r="E31" i="1"/>
  <c r="D31" i="1"/>
  <c r="C31" i="1"/>
  <c r="B31" i="1"/>
  <c r="E30" i="1"/>
  <c r="D30" i="1"/>
  <c r="C30" i="1"/>
  <c r="B30" i="1"/>
  <c r="E29" i="1"/>
  <c r="D29" i="1"/>
  <c r="C29" i="1"/>
  <c r="B29" i="1"/>
  <c r="E28" i="1"/>
  <c r="D28" i="1"/>
  <c r="C28" i="1"/>
  <c r="B28" i="1"/>
  <c r="E27" i="1"/>
  <c r="D27" i="1"/>
  <c r="C27" i="1"/>
  <c r="B27" i="1"/>
  <c r="E26" i="1"/>
  <c r="D26" i="1"/>
  <c r="C26" i="1"/>
  <c r="G26" i="1" s="1"/>
  <c r="H26" i="1" s="1"/>
  <c r="B26" i="1"/>
  <c r="E25" i="1"/>
  <c r="D25" i="1"/>
  <c r="C25" i="1"/>
  <c r="B25" i="1"/>
  <c r="E24" i="1"/>
  <c r="D24" i="1"/>
  <c r="C24" i="1"/>
  <c r="B24" i="1"/>
  <c r="E23" i="1"/>
  <c r="D23" i="1"/>
  <c r="C23" i="1"/>
  <c r="B23" i="1"/>
  <c r="E22" i="1"/>
  <c r="D22" i="1"/>
  <c r="C22" i="1"/>
  <c r="B22" i="1"/>
  <c r="E21" i="1"/>
  <c r="D21" i="1"/>
  <c r="C21" i="1"/>
  <c r="B21" i="1"/>
  <c r="E20" i="1"/>
  <c r="D20" i="1"/>
  <c r="C20" i="1"/>
  <c r="B20" i="1"/>
  <c r="E19" i="1"/>
  <c r="D19" i="1"/>
  <c r="C19" i="1"/>
  <c r="B19" i="1"/>
  <c r="E18" i="1"/>
  <c r="D18" i="1"/>
  <c r="C18" i="1"/>
  <c r="B18" i="1"/>
  <c r="E17" i="1"/>
  <c r="D17" i="1"/>
  <c r="C17" i="1"/>
  <c r="B17" i="1"/>
  <c r="E16" i="1"/>
  <c r="D16" i="1"/>
  <c r="C16" i="1"/>
  <c r="B16" i="1"/>
  <c r="E15" i="1"/>
  <c r="D15" i="1"/>
  <c r="C15" i="1"/>
  <c r="B15" i="1"/>
  <c r="E14" i="1"/>
  <c r="D14" i="1"/>
  <c r="C14" i="1"/>
  <c r="B14" i="1"/>
  <c r="E13" i="1"/>
  <c r="D13" i="1"/>
  <c r="C13" i="1"/>
  <c r="B13" i="1"/>
  <c r="E12" i="1"/>
  <c r="D12" i="1"/>
  <c r="C12" i="1"/>
  <c r="B12" i="1"/>
  <c r="E11" i="1"/>
  <c r="D11" i="1"/>
  <c r="C11" i="1"/>
  <c r="B11" i="1"/>
  <c r="E10" i="1"/>
  <c r="D10" i="1"/>
  <c r="C10" i="1"/>
  <c r="B10" i="1"/>
  <c r="E9" i="1"/>
  <c r="D9" i="1"/>
  <c r="C9" i="1"/>
  <c r="B9" i="1"/>
  <c r="E8" i="1"/>
  <c r="D8" i="1"/>
  <c r="C8" i="1"/>
  <c r="B8" i="1"/>
  <c r="E7" i="1"/>
  <c r="D7" i="1"/>
  <c r="C7" i="1"/>
  <c r="B7" i="1"/>
  <c r="E6" i="1"/>
  <c r="D6" i="1"/>
  <c r="C6" i="1"/>
  <c r="B6" i="1"/>
  <c r="E5" i="1"/>
  <c r="D5" i="1"/>
  <c r="C5" i="1"/>
  <c r="B5" i="1"/>
  <c r="E4" i="1"/>
  <c r="D4" i="1"/>
  <c r="C4" i="1"/>
  <c r="B4" i="1"/>
  <c r="E3" i="1"/>
  <c r="D3" i="1"/>
  <c r="C3" i="1"/>
  <c r="B3" i="1"/>
  <c r="E2" i="1"/>
  <c r="D2" i="1"/>
  <c r="C2" i="1"/>
  <c r="B2" i="1"/>
  <c r="G49" i="1" l="1"/>
  <c r="G77" i="1"/>
  <c r="G85" i="1"/>
  <c r="G87" i="1"/>
  <c r="G93" i="1"/>
  <c r="H93" i="1" s="1"/>
  <c r="I93" i="1" s="1"/>
  <c r="G95" i="1"/>
  <c r="H95" i="1" s="1"/>
  <c r="I95" i="1" s="1"/>
  <c r="I26" i="1"/>
  <c r="G9" i="1"/>
  <c r="H9" i="1" s="1"/>
  <c r="I9" i="1" s="1"/>
  <c r="G2" i="1"/>
  <c r="H2" i="1" s="1"/>
  <c r="I2" i="1" s="1"/>
  <c r="G34" i="1"/>
  <c r="G56" i="1"/>
  <c r="H56" i="1" s="1"/>
  <c r="I56" i="1" s="1"/>
  <c r="G58" i="1"/>
  <c r="H58" i="1" s="1"/>
  <c r="I58" i="1" s="1"/>
  <c r="G17" i="1"/>
  <c r="G19" i="1"/>
  <c r="H19" i="1" s="1"/>
  <c r="I19" i="1" s="1"/>
  <c r="G21" i="1"/>
  <c r="H21" i="1" s="1"/>
  <c r="I21" i="1" s="1"/>
  <c r="G23" i="1"/>
  <c r="H23" i="1" s="1"/>
  <c r="I23" i="1" s="1"/>
  <c r="G25" i="1"/>
  <c r="H25" i="1" s="1"/>
  <c r="I25" i="1" s="1"/>
  <c r="G27" i="1"/>
  <c r="H27" i="1" s="1"/>
  <c r="I27" i="1" s="1"/>
  <c r="G29" i="1"/>
  <c r="H29" i="1" s="1"/>
  <c r="G31" i="1"/>
  <c r="H31" i="1" s="1"/>
  <c r="I31" i="1" s="1"/>
  <c r="G33" i="1"/>
  <c r="H33" i="1" s="1"/>
  <c r="G81" i="1"/>
  <c r="H81" i="1" s="1"/>
  <c r="I81" i="1" s="1"/>
  <c r="G80" i="1"/>
  <c r="H80" i="1" s="1"/>
  <c r="I80" i="1" s="1"/>
  <c r="I66" i="1"/>
  <c r="G24" i="1"/>
  <c r="H24" i="1" s="1"/>
  <c r="I24" i="1" s="1"/>
  <c r="G88" i="1"/>
  <c r="H88" i="1" s="1"/>
  <c r="I88" i="1" s="1"/>
  <c r="G4" i="1"/>
  <c r="H4" i="1" s="1"/>
  <c r="I4" i="1" s="1"/>
  <c r="G6" i="1"/>
  <c r="H6" i="1" s="1"/>
  <c r="I6" i="1" s="1"/>
  <c r="G10" i="1"/>
  <c r="H10" i="1" s="1"/>
  <c r="I10" i="1" s="1"/>
  <c r="G12" i="1"/>
  <c r="H12" i="1" s="1"/>
  <c r="I12" i="1" s="1"/>
  <c r="G14" i="1"/>
  <c r="H14" i="1" s="1"/>
  <c r="I14" i="1" s="1"/>
  <c r="G41" i="1"/>
  <c r="H41" i="1" s="1"/>
  <c r="I41" i="1" s="1"/>
  <c r="G51" i="1"/>
  <c r="H51" i="1" s="1"/>
  <c r="I51" i="1" s="1"/>
  <c r="G53" i="1"/>
  <c r="H53" i="1" s="1"/>
  <c r="I53" i="1" s="1"/>
  <c r="G57" i="1"/>
  <c r="H57" i="1" s="1"/>
  <c r="I57" i="1" s="1"/>
  <c r="G59" i="1"/>
  <c r="H59" i="1" s="1"/>
  <c r="I59" i="1" s="1"/>
  <c r="G61" i="1"/>
  <c r="H61" i="1" s="1"/>
  <c r="I61" i="1" s="1"/>
  <c r="G63" i="1"/>
  <c r="H63" i="1" s="1"/>
  <c r="I63" i="1" s="1"/>
  <c r="G73" i="1"/>
  <c r="H73" i="1" s="1"/>
  <c r="I73" i="1" s="1"/>
  <c r="G18" i="1"/>
  <c r="H18" i="1" s="1"/>
  <c r="I18" i="1" s="1"/>
  <c r="G67" i="1"/>
  <c r="H67" i="1" s="1"/>
  <c r="I67" i="1" s="1"/>
  <c r="H69" i="1"/>
  <c r="I69" i="1" s="1"/>
  <c r="G89" i="1"/>
  <c r="H89" i="1" s="1"/>
  <c r="I89" i="1" s="1"/>
  <c r="G32" i="1"/>
  <c r="G36" i="1"/>
  <c r="H36" i="1" s="1"/>
  <c r="I36" i="1" s="1"/>
  <c r="G38" i="1"/>
  <c r="H38" i="1" s="1"/>
  <c r="I38" i="1" s="1"/>
  <c r="G42" i="1"/>
  <c r="H42" i="1" s="1"/>
  <c r="I42" i="1" s="1"/>
  <c r="G44" i="1"/>
  <c r="H44" i="1" s="1"/>
  <c r="I44" i="1" s="1"/>
  <c r="G46" i="1"/>
  <c r="H46" i="1" s="1"/>
  <c r="I46" i="1" s="1"/>
  <c r="H34" i="1"/>
  <c r="I34" i="1" s="1"/>
  <c r="G50" i="1"/>
  <c r="H50" i="1" s="1"/>
  <c r="I50" i="1" s="1"/>
  <c r="G60" i="1"/>
  <c r="H60" i="1" s="1"/>
  <c r="I60" i="1" s="1"/>
  <c r="G70" i="1"/>
  <c r="H70" i="1" s="1"/>
  <c r="I70" i="1" s="1"/>
  <c r="H17" i="1"/>
  <c r="I17" i="1" s="1"/>
  <c r="I29" i="1"/>
  <c r="G65" i="1"/>
  <c r="H65" i="1" s="1"/>
  <c r="I65" i="1" s="1"/>
  <c r="G71" i="1"/>
  <c r="H71" i="1" s="1"/>
  <c r="I71" i="1" s="1"/>
  <c r="G75" i="1"/>
  <c r="H75" i="1" s="1"/>
  <c r="I75" i="1" s="1"/>
  <c r="H49" i="1"/>
  <c r="I49" i="1" s="1"/>
  <c r="G16" i="1"/>
  <c r="H16" i="1" s="1"/>
  <c r="I16" i="1" s="1"/>
  <c r="G48" i="1"/>
  <c r="H48" i="1" s="1"/>
  <c r="I48" i="1" s="1"/>
  <c r="H77" i="1"/>
  <c r="I77" i="1" s="1"/>
  <c r="G79" i="1"/>
  <c r="H79" i="1" s="1"/>
  <c r="I79" i="1" s="1"/>
  <c r="G83" i="1"/>
  <c r="H83" i="1" s="1"/>
  <c r="I83" i="1" s="1"/>
  <c r="G40" i="1"/>
  <c r="H40" i="1" s="1"/>
  <c r="I40" i="1" s="1"/>
  <c r="G3" i="1"/>
  <c r="H3" i="1" s="1"/>
  <c r="I3" i="1" s="1"/>
  <c r="G5" i="1"/>
  <c r="H5" i="1" s="1"/>
  <c r="I5" i="1" s="1"/>
  <c r="G7" i="1"/>
  <c r="H7" i="1" s="1"/>
  <c r="I7" i="1" s="1"/>
  <c r="G20" i="1"/>
  <c r="H20" i="1" s="1"/>
  <c r="I20" i="1" s="1"/>
  <c r="G22" i="1"/>
  <c r="H22" i="1" s="1"/>
  <c r="I22" i="1" s="1"/>
  <c r="G35" i="1"/>
  <c r="H35" i="1" s="1"/>
  <c r="I35" i="1" s="1"/>
  <c r="G37" i="1"/>
  <c r="H37" i="1" s="1"/>
  <c r="I37" i="1" s="1"/>
  <c r="G39" i="1"/>
  <c r="H39" i="1" s="1"/>
  <c r="I39" i="1" s="1"/>
  <c r="G52" i="1"/>
  <c r="H52" i="1" s="1"/>
  <c r="I52" i="1" s="1"/>
  <c r="G54" i="1"/>
  <c r="H54" i="1" s="1"/>
  <c r="I54" i="1" s="1"/>
  <c r="H85" i="1"/>
  <c r="I85" i="1" s="1"/>
  <c r="H87" i="1"/>
  <c r="I87" i="1" s="1"/>
  <c r="G91" i="1"/>
  <c r="H91" i="1" s="1"/>
  <c r="I91" i="1" s="1"/>
  <c r="G97" i="1"/>
  <c r="H97" i="1" s="1"/>
  <c r="I97" i="1" s="1"/>
  <c r="G99" i="1"/>
  <c r="H99" i="1" s="1"/>
  <c r="I99" i="1" s="1"/>
  <c r="G101" i="1"/>
  <c r="H101" i="1" s="1"/>
  <c r="I101" i="1" s="1"/>
  <c r="G55" i="1"/>
  <c r="H55" i="1" s="1"/>
  <c r="I55" i="1" s="1"/>
  <c r="G8" i="1"/>
  <c r="H8" i="1" s="1"/>
  <c r="I8" i="1" s="1"/>
  <c r="G11" i="1"/>
  <c r="H11" i="1" s="1"/>
  <c r="I11" i="1" s="1"/>
  <c r="G13" i="1"/>
  <c r="H13" i="1" s="1"/>
  <c r="I13" i="1" s="1"/>
  <c r="G15" i="1"/>
  <c r="H15" i="1" s="1"/>
  <c r="I15" i="1" s="1"/>
  <c r="G28" i="1"/>
  <c r="H28" i="1" s="1"/>
  <c r="I28" i="1" s="1"/>
  <c r="G30" i="1"/>
  <c r="H30" i="1" s="1"/>
  <c r="I30" i="1" s="1"/>
  <c r="G43" i="1"/>
  <c r="H43" i="1" s="1"/>
  <c r="I43" i="1" s="1"/>
  <c r="G45" i="1"/>
  <c r="H45" i="1" s="1"/>
  <c r="I45" i="1" s="1"/>
  <c r="G47" i="1"/>
  <c r="H47" i="1" s="1"/>
  <c r="I47" i="1" s="1"/>
  <c r="G62" i="1"/>
  <c r="H62" i="1" s="1"/>
  <c r="I62" i="1" s="1"/>
  <c r="G64" i="1"/>
  <c r="H64" i="1" s="1"/>
  <c r="I64" i="1" s="1"/>
  <c r="G68" i="1"/>
  <c r="H68" i="1" s="1"/>
  <c r="I68" i="1" s="1"/>
  <c r="G72" i="1"/>
  <c r="H72" i="1" s="1"/>
  <c r="I72" i="1" s="1"/>
  <c r="G74" i="1"/>
  <c r="H74" i="1" s="1"/>
  <c r="I74" i="1" s="1"/>
  <c r="G76" i="1"/>
  <c r="H76" i="1" s="1"/>
  <c r="I76" i="1" s="1"/>
  <c r="G78" i="1"/>
  <c r="H78" i="1" s="1"/>
  <c r="I78" i="1" s="1"/>
  <c r="I33" i="1"/>
  <c r="H32" i="1"/>
  <c r="I32" i="1" s="1"/>
  <c r="G82" i="1"/>
  <c r="H82" i="1" s="1"/>
  <c r="I82" i="1" s="1"/>
  <c r="G84" i="1"/>
  <c r="H84" i="1" s="1"/>
  <c r="I84" i="1" s="1"/>
  <c r="G86" i="1"/>
  <c r="H86" i="1" s="1"/>
  <c r="I86" i="1" s="1"/>
</calcChain>
</file>

<file path=xl/sharedStrings.xml><?xml version="1.0" encoding="utf-8"?>
<sst xmlns="http://schemas.openxmlformats.org/spreadsheetml/2006/main" count="17" uniqueCount="17">
  <si>
    <t>No. alumno</t>
  </si>
  <si>
    <t>Final Proyecto</t>
  </si>
  <si>
    <t>Nota I1</t>
  </si>
  <si>
    <t>Nota I2</t>
  </si>
  <si>
    <t>Nota Ex</t>
  </si>
  <si>
    <t>Ausencia Justificada</t>
  </si>
  <si>
    <t>Condicion</t>
  </si>
  <si>
    <t>Final Cátedra</t>
  </si>
  <si>
    <t>Final Ramo</t>
  </si>
  <si>
    <t>1864208J</t>
  </si>
  <si>
    <t>1764013J</t>
  </si>
  <si>
    <t>1762472J</t>
  </si>
  <si>
    <t>1763847J</t>
  </si>
  <si>
    <t>1863852J</t>
  </si>
  <si>
    <t>1662307J</t>
  </si>
  <si>
    <t>Casos Especiales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</si>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</sst>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charset val="1"/>
    </font>
    <font>
      <b/>
      <sz val="11"/>
      <color rgb="FF000000"/>
      <name val="Nunito"/>
      <charset val="1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B7E1CD"/>
      </patternFill>
    </fill>
    <fill>
      <patternFill patternType="solid">
        <fgColor rgb="FFF6B26B"/>
        <bgColor rgb="FFF4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4">
    <dxf>
      <fill>
        <patternFill>
          <bgColor rgb="FFF4CCCC"/>
        </patternFill>
      </fill>
    </dxf>
    <dxf>
      <fill>
        <patternFill>
          <bgColor rgb="FFB7E1CD"/>
        </patternFill>
      </fill>
    </dxf>
    <dxf>
      <fill>
        <patternFill>
          <bgColor rgb="FFF4CCCC"/>
        </patternFill>
      </fill>
    </dxf>
    <dxf>
      <fill>
        <patternFill>
          <bgColor rgb="FFB7E1CD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6B26B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zoomScaleNormal="100" workbookViewId="0">
      <pane xSplit="1" ySplit="1" topLeftCell="B30" activePane="bottomRight" state="frozen"/>
      <selection pane="topRight" activeCell="B1" sqref="B1"/>
      <selection pane="bottomLeft" activeCell="A68" sqref="A68"/>
      <selection pane="bottomRight" activeCell="K8" sqref="K8"/>
    </sheetView>
  </sheetViews>
  <sheetFormatPr baseColWidth="10" defaultColWidth="14.5" defaultRowHeight="13"/>
  <cols>
    <col min="1" max="1" width="21.5" customWidth="1"/>
    <col min="2" max="2" width="20.33203125" customWidth="1"/>
    <col min="3" max="3" width="19.5" customWidth="1"/>
    <col min="4" max="4" width="18.5" customWidth="1"/>
    <col min="5" max="5" width="19.6640625" customWidth="1"/>
    <col min="6" max="8" width="18.33203125" customWidth="1"/>
    <col min="9" max="9" width="20.1640625" customWidth="1"/>
    <col min="10" max="10" width="16.6640625" customWidth="1"/>
    <col min="1009" max="1024" width="11.5" customWidth="1"/>
  </cols>
  <sheetData>
    <row r="1" spans="1:10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</v>
      </c>
    </row>
    <row r="2" spans="1:10" ht="14">
      <c r="A2" s="3">
        <v>18641598</v>
      </c>
      <c r="B2" s="4">
        <f ca="1">IFERROR(__xludf.dummyfunction("VLOOKUP(A2, IMPORTRANGE(""https://docs.google.com/spreadsheets/d/1WAXfo1nsCjpHXtcoGE16C4HR44t1K8gsIByus__VUSE"", ""'Sección 1'!$A$2:$E$100""), 5, FALSE)"),6.86)</f>
        <v>6.86</v>
      </c>
      <c r="C2" s="4">
        <f ca="1">IFERROR(__xludf.dummyfunction("VLOOKUP(A2, IMPORTRANGE(""https://docs.google.com/spreadsheets/d/1IJepw3fl3JT9l2xD-NCBW2t5xk8mCdlfKcnD6eLjDu4"", ""'I1'!$A$2:$N$101""), 14, FALSE)"),4.87)</f>
        <v>4.87</v>
      </c>
      <c r="D2" s="4">
        <f ca="1">IFERROR(__xludf.dummyfunction("IF(VLOOKUP(A2, IMPORTRANGE(""https://docs.google.com/spreadsheets/d/1IJepw3fl3JT9l2xD-NCBW2t5xk8mCdlfKcnD6eLjDu4"", ""'Ex'!$A$2:$F$101""), 6, FALSE)=1, 0.75 * VLOOKUP(A2, IMPORTRANGE(""https://docs.google.com/spreadsheets/d/1IJepw3fl3JT9l2xD-NCBW2t5xk8mCd"&amp;"lfKcnD6eLjDu4"", ""'Ex'!$A$2:$R$101""), 18, FALSE) + 0.25 * VLOOKUP(A2, IMPORTRANGE(""https://docs.google.com/spreadsheets/d/1IJepw3fl3JT9l2xD-NCBW2t5xk8mCdlfKcnD6eLjDu4"", ""'Ex'!$A$2:$R$101""), 15, FALSE) ,VLOOKUP(A2, IMPORTRANGE(""https://docs.google.c"&amp;"om/spreadsheets/d/1IJepw3fl3JT9l2xD-NCBW2t5xk8mCdlfKcnD6eLjDu4"", ""'I2'!$A$2:$P$101""), 16, FALSE))"),3)</f>
        <v>3</v>
      </c>
      <c r="E2" s="4">
        <f ca="1">IFERROR(__xludf.dummyfunction("VLOOKUP(A2, IMPORTRANGE(""https://docs.google.com/spreadsheets/d/1IJepw3fl3JT9l2xD-NCBW2t5xk8mCdlfKcnD6eLjDu4"", ""'Ex'!$A$2:$R$101""), 18, FALSE)"),5.25)</f>
        <v>5.25</v>
      </c>
      <c r="G2" s="4">
        <f t="shared" ref="G2:G33" ca="1" si="0">IF(AND(C2&gt;=3,D2&gt;=3),1,0)</f>
        <v>1</v>
      </c>
      <c r="H2" s="4">
        <f t="shared" ref="H2:H33" ca="1" si="1">ROUND(IF(G2=1,(C2+D2+2*E2-MIN(C2:E2))/3,IF(F2=1,(C2+D2+E2)/3,IF(C2&gt;=3,(C2+D2+2*E2-MIN(C2,E2))/3,IF(D2&gt;=3,(C2+D2+2*E2-MIN(D2,E2))/3,(C2+D2+E2)/3)))),2)</f>
        <v>5.12</v>
      </c>
      <c r="I2" s="4">
        <f t="shared" ref="I2:I33" ca="1" si="2">ROUND(IF(AND(H2&gt;=3.95,B2&gt;=3.95),AVERAGE(B2, H2),MIN(B2,H2)),1)</f>
        <v>6</v>
      </c>
    </row>
    <row r="3" spans="1:10" ht="14">
      <c r="A3" s="3">
        <v>15624447</v>
      </c>
      <c r="B3" s="4">
        <f ca="1">IFERROR(__xludf.dummyfunction("VLOOKUP(A3, IMPORTRANGE(""https://docs.google.com/spreadsheets/d/1WAXfo1nsCjpHXtcoGE16C4HR44t1K8gsIByus__VUSE"", ""'Sección 1'!$A$2:$E$100""), 5, FALSE)"),5.71)</f>
        <v>5.71</v>
      </c>
      <c r="C3" s="4">
        <f ca="1">IFERROR(__xludf.dummyfunction("VLOOKUP(A3, IMPORTRANGE(""https://docs.google.com/spreadsheets/d/1IJepw3fl3JT9l2xD-NCBW2t5xk8mCdlfKcnD6eLjDu4"", ""'I1'!$A$2:$N$101""), 14, FALSE)"),3.92)</f>
        <v>3.92</v>
      </c>
      <c r="D3" s="4">
        <f ca="1">IFERROR(__xludf.dummyfunction("IF(VLOOKUP(A3, IMPORTRANGE(""https://docs.google.com/spreadsheets/d/1IJepw3fl3JT9l2xD-NCBW2t5xk8mCdlfKcnD6eLjDu4"", ""'Ex'!$A$2:$F$101""), 6, FALSE)=1, 0.75 * VLOOKUP(A3, IMPORTRANGE(""https://docs.google.com/spreadsheets/d/1IJepw3fl3JT9l2xD-NCBW2t5xk8mCd"&amp;"lfKcnD6eLjDu4"", ""'Ex'!$A$2:$R$101""), 18, FALSE) + 0.25 * VLOOKUP(A3, IMPORTRANGE(""https://docs.google.com/spreadsheets/d/1IJepw3fl3JT9l2xD-NCBW2t5xk8mCdlfKcnD6eLjDu4"", ""'Ex'!$A$2:$R$101""), 15, FALSE) ,VLOOKUP(A3, IMPORTRANGE(""https://docs.google.c"&amp;"om/spreadsheets/d/1IJepw3fl3JT9l2xD-NCBW2t5xk8mCdlfKcnD6eLjDu4"", ""'I2'!$A$2:$P$101""), 16, FALSE))"),3.5)</f>
        <v>3.5</v>
      </c>
      <c r="E3" s="4">
        <f ca="1">IFERROR(__xludf.dummyfunction("VLOOKUP(A3, IMPORTRANGE(""https://docs.google.com/spreadsheets/d/1IJepw3fl3JT9l2xD-NCBW2t5xk8mCdlfKcnD6eLjDu4"", ""'Ex'!$A$2:$R$101""), 18, FALSE)"),4)</f>
        <v>4</v>
      </c>
      <c r="G3" s="4">
        <f t="shared" ca="1" si="0"/>
        <v>1</v>
      </c>
      <c r="H3" s="4">
        <f t="shared" ca="1" si="1"/>
        <v>3.97</v>
      </c>
      <c r="I3" s="4">
        <f t="shared" ca="1" si="2"/>
        <v>4.8</v>
      </c>
    </row>
    <row r="4" spans="1:10" ht="14">
      <c r="A4" s="3">
        <v>16207246</v>
      </c>
      <c r="B4" s="4">
        <f ca="1">IFERROR(__xludf.dummyfunction("VLOOKUP(A4, IMPORTRANGE(""https://docs.google.com/spreadsheets/d/1WAXfo1nsCjpHXtcoGE16C4HR44t1K8gsIByus__VUSE"", ""'Sección 1'!$A$2:$E$100""), 5, FALSE)"),6.68)</f>
        <v>6.68</v>
      </c>
      <c r="C4" s="4">
        <f ca="1">IFERROR(__xludf.dummyfunction("VLOOKUP(A4, IMPORTRANGE(""https://docs.google.com/spreadsheets/d/1IJepw3fl3JT9l2xD-NCBW2t5xk8mCdlfKcnD6eLjDu4"", ""'I1'!$A$2:$N$101""), 14, FALSE)"),5.43)</f>
        <v>5.43</v>
      </c>
      <c r="D4" s="4">
        <f ca="1">IFERROR(__xludf.dummyfunction("IF(VLOOKUP(A4, IMPORTRANGE(""https://docs.google.com/spreadsheets/d/1IJepw3fl3JT9l2xD-NCBW2t5xk8mCdlfKcnD6eLjDu4"", ""'Ex'!$A$2:$F$101""), 6, FALSE)=1, 0.75 * VLOOKUP(A4, IMPORTRANGE(""https://docs.google.com/spreadsheets/d/1IJepw3fl3JT9l2xD-NCBW2t5xk8mCd"&amp;"lfKcnD6eLjDu4"", ""'Ex'!$A$2:$R$101""), 18, FALSE) + 0.25 * VLOOKUP(A4, IMPORTRANGE(""https://docs.google.com/spreadsheets/d/1IJepw3fl3JT9l2xD-NCBW2t5xk8mCdlfKcnD6eLjDu4"", ""'Ex'!$A$2:$R$101""), 15, FALSE) ,VLOOKUP(A4, IMPORTRANGE(""https://docs.google.c"&amp;"om/spreadsheets/d/1IJepw3fl3JT9l2xD-NCBW2t5xk8mCdlfKcnD6eLjDu4"", ""'I2'!$A$2:$P$101""), 16, FALSE))"),4.5)</f>
        <v>4.5</v>
      </c>
      <c r="E4" s="4">
        <f ca="1">IFERROR(__xludf.dummyfunction("VLOOKUP(A4, IMPORTRANGE(""https://docs.google.com/spreadsheets/d/1IJepw3fl3JT9l2xD-NCBW2t5xk8mCdlfKcnD6eLjDu4"", ""'Ex'!$A$2:$R$101""), 18, FALSE)"),4.75)</f>
        <v>4.75</v>
      </c>
      <c r="G4" s="4">
        <f t="shared" ca="1" si="0"/>
        <v>1</v>
      </c>
      <c r="H4" s="4">
        <f t="shared" ca="1" si="1"/>
        <v>4.9800000000000004</v>
      </c>
      <c r="I4" s="4">
        <f t="shared" ca="1" si="2"/>
        <v>5.8</v>
      </c>
    </row>
    <row r="5" spans="1:10" ht="14">
      <c r="A5" s="3">
        <v>18639038</v>
      </c>
      <c r="B5" s="4">
        <f ca="1">IFERROR(__xludf.dummyfunction("VLOOKUP(A5, IMPORTRANGE(""https://docs.google.com/spreadsheets/d/1WAXfo1nsCjpHXtcoGE16C4HR44t1K8gsIByus__VUSE"", ""'Sección 1'!$A$2:$E$100""), 5, FALSE)"),6.8)</f>
        <v>6.8</v>
      </c>
      <c r="C5" s="4">
        <f ca="1">IFERROR(__xludf.dummyfunction("VLOOKUP(A5, IMPORTRANGE(""https://docs.google.com/spreadsheets/d/1IJepw3fl3JT9l2xD-NCBW2t5xk8mCdlfKcnD6eLjDu4"", ""'I1'!$A$2:$N$101""), 14, FALSE)"),6.75)</f>
        <v>6.75</v>
      </c>
      <c r="D5" s="4">
        <f ca="1">IFERROR(__xludf.dummyfunction("IF(VLOOKUP(A5, IMPORTRANGE(""https://docs.google.com/spreadsheets/d/1IJepw3fl3JT9l2xD-NCBW2t5xk8mCdlfKcnD6eLjDu4"", ""'Ex'!$A$2:$F$101""), 6, FALSE)=1, 0.75 * VLOOKUP(A5, IMPORTRANGE(""https://docs.google.com/spreadsheets/d/1IJepw3fl3JT9l2xD-NCBW2t5xk8mCd"&amp;"lfKcnD6eLjDu4"", ""'Ex'!$A$2:$R$101""), 18, FALSE) + 0.25 * VLOOKUP(A5, IMPORTRANGE(""https://docs.google.com/spreadsheets/d/1IJepw3fl3JT9l2xD-NCBW2t5xk8mCdlfKcnD6eLjDu4"", ""'Ex'!$A$2:$R$101""), 15, FALSE) ,VLOOKUP(A5, IMPORTRANGE(""https://docs.google.c"&amp;"om/spreadsheets/d/1IJepw3fl3JT9l2xD-NCBW2t5xk8mCdlfKcnD6eLjDu4"", ""'I2'!$A$2:$P$101""), 16, FALSE))"),5.88)</f>
        <v>5.88</v>
      </c>
      <c r="E5" s="4">
        <f ca="1">IFERROR(__xludf.dummyfunction("VLOOKUP(A5, IMPORTRANGE(""https://docs.google.com/spreadsheets/d/1IJepw3fl3JT9l2xD-NCBW2t5xk8mCdlfKcnD6eLjDu4"", ""'Ex'!$A$2:$R$101""), 18, FALSE)"),5.13)</f>
        <v>5.13</v>
      </c>
      <c r="G5" s="4">
        <f t="shared" ca="1" si="0"/>
        <v>1</v>
      </c>
      <c r="H5" s="4">
        <f t="shared" ca="1" si="1"/>
        <v>5.92</v>
      </c>
      <c r="I5" s="4">
        <f t="shared" ca="1" si="2"/>
        <v>6.4</v>
      </c>
    </row>
    <row r="6" spans="1:10" ht="14">
      <c r="A6" s="5">
        <v>18637124</v>
      </c>
      <c r="B6" s="6">
        <f ca="1">IFERROR(__xludf.dummyfunction("VLOOKUP(A6, IMPORTRANGE(""https://docs.google.com/spreadsheets/d/1WAXfo1nsCjpHXtcoGE16C4HR44t1K8gsIByus__VUSE"", ""'Sección 1'!$A$2:$E$100""), 5, FALSE)"),5.93)</f>
        <v>5.93</v>
      </c>
      <c r="C6" s="6">
        <f ca="1">IFERROR(__xludf.dummyfunction("VLOOKUP(A6, IMPORTRANGE(""https://docs.google.com/spreadsheets/d/1IJepw3fl3JT9l2xD-NCBW2t5xk8mCdlfKcnD6eLjDu4"", ""'I1'!$A$2:$N$101""), 14, FALSE)"),4.95)</f>
        <v>4.95</v>
      </c>
      <c r="D6" s="6">
        <f ca="1">IFERROR(__xludf.dummyfunction("IF(VLOOKUP(A6, IMPORTRANGE(""https://docs.google.com/spreadsheets/d/1IJepw3fl3JT9l2xD-NCBW2t5xk8mCdlfKcnD6eLjDu4"", ""'Ex'!$A$2:$F$101""), 6, FALSE)=1, 0.75 * VLOOKUP(A6, IMPORTRANGE(""https://docs.google.com/spreadsheets/d/1IJepw3fl3JT9l2xD-NCBW2t5xk8mCd"&amp;"lfKcnD6eLjDu4"", ""'Ex'!$A$2:$R$101""), 18, FALSE) + 0.25 * VLOOKUP(A6, IMPORTRANGE(""https://docs.google.com/spreadsheets/d/1IJepw3fl3JT9l2xD-NCBW2t5xk8mCdlfKcnD6eLjDu4"", ""'Ex'!$A$2:$R$101""), 15, FALSE) ,VLOOKUP(A6, IMPORTRANGE(""https://docs.google.c"&amp;"om/spreadsheets/d/1IJepw3fl3JT9l2xD-NCBW2t5xk8mCdlfKcnD6eLjDu4"", ""'I2'!$A$2:$P$101""), 16, FALSE))"),1)</f>
        <v>1</v>
      </c>
      <c r="E6" s="6">
        <f ca="1">IFERROR(__xludf.dummyfunction("VLOOKUP(A6, IMPORTRANGE(""https://docs.google.com/spreadsheets/d/1IJepw3fl3JT9l2xD-NCBW2t5xk8mCdlfKcnD6eLjDu4"", ""'Ex'!$A$2:$R$101""), 18, FALSE)"),1)</f>
        <v>1</v>
      </c>
      <c r="F6" s="6"/>
      <c r="G6" s="6">
        <f t="shared" ca="1" si="0"/>
        <v>0</v>
      </c>
      <c r="H6" s="4">
        <f t="shared" ca="1" si="1"/>
        <v>2.3199999999999998</v>
      </c>
      <c r="I6" s="6">
        <f t="shared" ca="1" si="2"/>
        <v>2.2999999999999998</v>
      </c>
    </row>
    <row r="7" spans="1:10" ht="14">
      <c r="A7" s="3">
        <v>18639429</v>
      </c>
      <c r="B7" s="4">
        <f ca="1">IFERROR(__xludf.dummyfunction("VLOOKUP(A7, IMPORTRANGE(""https://docs.google.com/spreadsheets/d/1WAXfo1nsCjpHXtcoGE16C4HR44t1K8gsIByus__VUSE"", ""'Sección 1'!$A$2:$E$100""), 5, FALSE)"),6.81)</f>
        <v>6.81</v>
      </c>
      <c r="C7" s="4">
        <f ca="1">IFERROR(__xludf.dummyfunction("VLOOKUP(A7, IMPORTRANGE(""https://docs.google.com/spreadsheets/d/1IJepw3fl3JT9l2xD-NCBW2t5xk8mCdlfKcnD6eLjDu4"", ""'I1'!$A$2:$N$101""), 14, FALSE)"),5.8)</f>
        <v>5.8</v>
      </c>
      <c r="D7" s="4">
        <f ca="1">IFERROR(__xludf.dummyfunction("IF(VLOOKUP(A7, IMPORTRANGE(""https://docs.google.com/spreadsheets/d/1IJepw3fl3JT9l2xD-NCBW2t5xk8mCdlfKcnD6eLjDu4"", ""'Ex'!$A$2:$F$101""), 6, FALSE)=1, 0.75 * VLOOKUP(A7, IMPORTRANGE(""https://docs.google.com/spreadsheets/d/1IJepw3fl3JT9l2xD-NCBW2t5xk8mCd"&amp;"lfKcnD6eLjDu4"", ""'Ex'!$A$2:$R$101""), 18, FALSE) + 0.25 * VLOOKUP(A7, IMPORTRANGE(""https://docs.google.com/spreadsheets/d/1IJepw3fl3JT9l2xD-NCBW2t5xk8mCdlfKcnD6eLjDu4"", ""'Ex'!$A$2:$R$101""), 15, FALSE) ,VLOOKUP(A7, IMPORTRANGE(""https://docs.google.c"&amp;"om/spreadsheets/d/1IJepw3fl3JT9l2xD-NCBW2t5xk8mCdlfKcnD6eLjDu4"", ""'I2'!$A$2:$P$101""), 16, FALSE))"),3.38)</f>
        <v>3.38</v>
      </c>
      <c r="E7" s="4">
        <f ca="1">IFERROR(__xludf.dummyfunction("VLOOKUP(A7, IMPORTRANGE(""https://docs.google.com/spreadsheets/d/1IJepw3fl3JT9l2xD-NCBW2t5xk8mCdlfKcnD6eLjDu4"", ""'Ex'!$A$2:$R$101""), 18, FALSE)"),4.63)</f>
        <v>4.63</v>
      </c>
      <c r="G7" s="4">
        <f t="shared" ca="1" si="0"/>
        <v>1</v>
      </c>
      <c r="H7" s="4">
        <f t="shared" ca="1" si="1"/>
        <v>5.0199999999999996</v>
      </c>
      <c r="I7" s="4">
        <f t="shared" ca="1" si="2"/>
        <v>5.9</v>
      </c>
    </row>
    <row r="8" spans="1:10" ht="14">
      <c r="A8" s="3">
        <v>17627540</v>
      </c>
      <c r="B8" s="4">
        <f ca="1">IFERROR(__xludf.dummyfunction("VLOOKUP(A8, IMPORTRANGE(""https://docs.google.com/spreadsheets/d/1WAXfo1nsCjpHXtcoGE16C4HR44t1K8gsIByus__VUSE"", ""'Sección 1'!$A$2:$E$100""), 5, FALSE)"),6.44)</f>
        <v>6.44</v>
      </c>
      <c r="C8" s="4">
        <f ca="1">IFERROR(__xludf.dummyfunction("VLOOKUP(A8, IMPORTRANGE(""https://docs.google.com/spreadsheets/d/1IJepw3fl3JT9l2xD-NCBW2t5xk8mCdlfKcnD6eLjDu4"", ""'I1'!$A$2:$N$101""), 14, FALSE)"),4.67)</f>
        <v>4.67</v>
      </c>
      <c r="D8" s="4">
        <f ca="1">IFERROR(__xludf.dummyfunction("IF(VLOOKUP(A8, IMPORTRANGE(""https://docs.google.com/spreadsheets/d/1IJepw3fl3JT9l2xD-NCBW2t5xk8mCdlfKcnD6eLjDu4"", ""'Ex'!$A$2:$F$101""), 6, FALSE)=1, 0.75 * VLOOKUP(A8, IMPORTRANGE(""https://docs.google.com/spreadsheets/d/1IJepw3fl3JT9l2xD-NCBW2t5xk8mCd"&amp;"lfKcnD6eLjDu4"", ""'Ex'!$A$2:$R$101""), 18, FALSE) + 0.25 * VLOOKUP(A8, IMPORTRANGE(""https://docs.google.com/spreadsheets/d/1IJepw3fl3JT9l2xD-NCBW2t5xk8mCdlfKcnD6eLjDu4"", ""'Ex'!$A$2:$R$101""), 15, FALSE) ,VLOOKUP(A8, IMPORTRANGE(""https://docs.google.c"&amp;"om/spreadsheets/d/1IJepw3fl3JT9l2xD-NCBW2t5xk8mCdlfKcnD6eLjDu4"", ""'I2'!$A$2:$P$101""), 16, FALSE))"),2.63)</f>
        <v>2.63</v>
      </c>
      <c r="E8" s="4">
        <f ca="1">IFERROR(__xludf.dummyfunction("VLOOKUP(A8, IMPORTRANGE(""https://docs.google.com/spreadsheets/d/1IJepw3fl3JT9l2xD-NCBW2t5xk8mCdlfKcnD6eLjDu4"", ""'Ex'!$A$2:$R$101""), 18, FALSE)"),4.75)</f>
        <v>4.75</v>
      </c>
      <c r="G8" s="4">
        <f t="shared" ca="1" si="0"/>
        <v>0</v>
      </c>
      <c r="H8" s="4">
        <f t="shared" ca="1" si="1"/>
        <v>4.04</v>
      </c>
      <c r="I8" s="4">
        <f t="shared" ca="1" si="2"/>
        <v>5.2</v>
      </c>
    </row>
    <row r="9" spans="1:10" ht="14">
      <c r="A9" s="3">
        <v>16639855</v>
      </c>
      <c r="B9" s="4">
        <f ca="1">IFERROR(__xludf.dummyfunction("VLOOKUP(A9, IMPORTRANGE(""https://docs.google.com/spreadsheets/d/1WAXfo1nsCjpHXtcoGE16C4HR44t1K8gsIByus__VUSE"", ""'Sección 1'!$A$2:$E$100""), 5, FALSE)"),6.64)</f>
        <v>6.64</v>
      </c>
      <c r="C9" s="4">
        <f ca="1">IFERROR(__xludf.dummyfunction("VLOOKUP(A9, IMPORTRANGE(""https://docs.google.com/spreadsheets/d/1IJepw3fl3JT9l2xD-NCBW2t5xk8mCdlfKcnD6eLjDu4"", ""'I1'!$A$2:$N$101""), 14, FALSE)"),5.13)</f>
        <v>5.13</v>
      </c>
      <c r="D9" s="4">
        <f ca="1">IFERROR(__xludf.dummyfunction("IF(VLOOKUP(A9, IMPORTRANGE(""https://docs.google.com/spreadsheets/d/1IJepw3fl3JT9l2xD-NCBW2t5xk8mCdlfKcnD6eLjDu4"", ""'Ex'!$A$2:$F$101""), 6, FALSE)=1, 0.75 * VLOOKUP(A9, IMPORTRANGE(""https://docs.google.com/spreadsheets/d/1IJepw3fl3JT9l2xD-NCBW2t5xk8mCd"&amp;"lfKcnD6eLjDu4"", ""'Ex'!$A$2:$R$101""), 18, FALSE) + 0.25 * VLOOKUP(A9, IMPORTRANGE(""https://docs.google.com/spreadsheets/d/1IJepw3fl3JT9l2xD-NCBW2t5xk8mCdlfKcnD6eLjDu4"", ""'Ex'!$A$2:$R$101""), 15, FALSE) ,VLOOKUP(A9, IMPORTRANGE(""https://docs.google.c"&amp;"om/spreadsheets/d/1IJepw3fl3JT9l2xD-NCBW2t5xk8mCdlfKcnD6eLjDu4"", ""'I2'!$A$2:$P$101""), 16, FALSE))"),3.75)</f>
        <v>3.75</v>
      </c>
      <c r="E9" s="4">
        <f ca="1">IFERROR(__xludf.dummyfunction("VLOOKUP(A9, IMPORTRANGE(""https://docs.google.com/spreadsheets/d/1IJepw3fl3JT9l2xD-NCBW2t5xk8mCdlfKcnD6eLjDu4"", ""'Ex'!$A$2:$R$101""), 18, FALSE)"),3)</f>
        <v>3</v>
      </c>
      <c r="G9" s="4">
        <f t="shared" ca="1" si="0"/>
        <v>1</v>
      </c>
      <c r="H9" s="4">
        <f t="shared" ca="1" si="1"/>
        <v>3.96</v>
      </c>
      <c r="I9" s="4">
        <f t="shared" ca="1" si="2"/>
        <v>5.3</v>
      </c>
    </row>
    <row r="10" spans="1:10" ht="14">
      <c r="A10" s="3">
        <v>17624177</v>
      </c>
      <c r="B10" s="4">
        <f ca="1">IFERROR(__xludf.dummyfunction("VLOOKUP(A10, IMPORTRANGE(""https://docs.google.com/spreadsheets/d/1WAXfo1nsCjpHXtcoGE16C4HR44t1K8gsIByus__VUSE"", ""'Sección 1'!$A$2:$E$100""), 5, FALSE)"),6.12)</f>
        <v>6.12</v>
      </c>
      <c r="C10" s="4">
        <f ca="1">IFERROR(__xludf.dummyfunction("VLOOKUP(A10, IMPORTRANGE(""https://docs.google.com/spreadsheets/d/1IJepw3fl3JT9l2xD-NCBW2t5xk8mCdlfKcnD6eLjDu4"", ""'I1'!$A$2:$N$101""), 14, FALSE)"),4.92)</f>
        <v>4.92</v>
      </c>
      <c r="D10" s="4">
        <f ca="1">IFERROR(__xludf.dummyfunction("IF(VLOOKUP(A10, IMPORTRANGE(""https://docs.google.com/spreadsheets/d/1IJepw3fl3JT9l2xD-NCBW2t5xk8mCdlfKcnD6eLjDu4"", ""'Ex'!$A$2:$F$101""), 6, FALSE)=1, 0.75 * VLOOKUP(A10, IMPORTRANGE(""https://docs.google.com/spreadsheets/d/1IJepw3fl3JT9l2xD-NCBW2t5xk8m"&amp;"CdlfKcnD6eLjDu4"", ""'Ex'!$A$2:$R$101""), 18, FALSE) + 0.25 * VLOOKUP(A10, IMPORTRANGE(""https://docs.google.com/spreadsheets/d/1IJepw3fl3JT9l2xD-NCBW2t5xk8mCdlfKcnD6eLjDu4"", ""'Ex'!$A$2:$R$101""), 15, FALSE) ,VLOOKUP(A10, IMPORTRANGE(""https://docs.goog"&amp;"le.com/spreadsheets/d/1IJepw3fl3JT9l2xD-NCBW2t5xk8mCdlfKcnD6eLjDu4"", ""'I2'!$A$2:$P$101""), 16, FALSE))"),3.98)</f>
        <v>3.98</v>
      </c>
      <c r="E10" s="4">
        <f ca="1">IFERROR(__xludf.dummyfunction("VLOOKUP(A10, IMPORTRANGE(""https://docs.google.com/spreadsheets/d/1IJepw3fl3JT9l2xD-NCBW2t5xk8mCdlfKcnD6eLjDu4"", ""'Ex'!$A$2:$R$101""), 18, FALSE)"),3.93)</f>
        <v>3.93</v>
      </c>
      <c r="G10" s="4">
        <f t="shared" ca="1" si="0"/>
        <v>1</v>
      </c>
      <c r="H10" s="4">
        <f t="shared" ca="1" si="1"/>
        <v>4.28</v>
      </c>
      <c r="I10" s="4">
        <f t="shared" ca="1" si="2"/>
        <v>5.2</v>
      </c>
    </row>
    <row r="11" spans="1:10" ht="14">
      <c r="A11" s="3">
        <v>18642268</v>
      </c>
      <c r="B11" s="4">
        <f ca="1">IFERROR(__xludf.dummyfunction("VLOOKUP(A11, IMPORTRANGE(""https://docs.google.com/spreadsheets/d/1WAXfo1nsCjpHXtcoGE16C4HR44t1K8gsIByus__VUSE"", ""'Sección 1'!$A$2:$E$100""), 5, FALSE)"),6.36)</f>
        <v>6.36</v>
      </c>
      <c r="C11" s="4">
        <f ca="1">IFERROR(__xludf.dummyfunction("VLOOKUP(A11, IMPORTRANGE(""https://docs.google.com/spreadsheets/d/1IJepw3fl3JT9l2xD-NCBW2t5xk8mCdlfKcnD6eLjDu4"", ""'I1'!$A$2:$N$101""), 14, FALSE)"),6.22)</f>
        <v>6.22</v>
      </c>
      <c r="D11" s="4">
        <f ca="1">IFERROR(__xludf.dummyfunction("IF(VLOOKUP(A11, IMPORTRANGE(""https://docs.google.com/spreadsheets/d/1IJepw3fl3JT9l2xD-NCBW2t5xk8mCdlfKcnD6eLjDu4"", ""'Ex'!$A$2:$F$101""), 6, FALSE)=1, 0.75 * VLOOKUP(A11, IMPORTRANGE(""https://docs.google.com/spreadsheets/d/1IJepw3fl3JT9l2xD-NCBW2t5xk8m"&amp;"CdlfKcnD6eLjDu4"", ""'Ex'!$A$2:$R$101""), 18, FALSE) + 0.25 * VLOOKUP(A11, IMPORTRANGE(""https://docs.google.com/spreadsheets/d/1IJepw3fl3JT9l2xD-NCBW2t5xk8mCdlfKcnD6eLjDu4"", ""'Ex'!$A$2:$R$101""), 15, FALSE) ,VLOOKUP(A11, IMPORTRANGE(""https://docs.goog"&amp;"le.com/spreadsheets/d/1IJepw3fl3JT9l2xD-NCBW2t5xk8mCdlfKcnD6eLjDu4"", ""'I2'!$A$2:$P$101""), 16, FALSE))"),5)</f>
        <v>5</v>
      </c>
      <c r="E11" s="4">
        <f ca="1">IFERROR(__xludf.dummyfunction("VLOOKUP(A11, IMPORTRANGE(""https://docs.google.com/spreadsheets/d/1IJepw3fl3JT9l2xD-NCBW2t5xk8mCdlfKcnD6eLjDu4"", ""'Ex'!$A$2:$R$101""), 18, FALSE)"),4.88)</f>
        <v>4.88</v>
      </c>
      <c r="G11" s="4">
        <f t="shared" ca="1" si="0"/>
        <v>1</v>
      </c>
      <c r="H11" s="4">
        <f t="shared" ca="1" si="1"/>
        <v>5.37</v>
      </c>
      <c r="I11" s="4">
        <f t="shared" ca="1" si="2"/>
        <v>5.9</v>
      </c>
    </row>
    <row r="12" spans="1:10" ht="14">
      <c r="A12" s="3" t="s">
        <v>9</v>
      </c>
      <c r="B12" s="4">
        <f ca="1">IFERROR(__xludf.dummyfunction("VLOOKUP(A12, IMPORTRANGE(""https://docs.google.com/spreadsheets/d/1WAXfo1nsCjpHXtcoGE16C4HR44t1K8gsIByus__VUSE"", ""'Sección 1'!$A$2:$E$100""), 5, FALSE)"),6.86)</f>
        <v>6.86</v>
      </c>
      <c r="C12" s="4">
        <f ca="1">IFERROR(__xludf.dummyfunction("VLOOKUP(A12, IMPORTRANGE(""https://docs.google.com/spreadsheets/d/1IJepw3fl3JT9l2xD-NCBW2t5xk8mCdlfKcnD6eLjDu4"", ""'I1'!$A$2:$N$101""), 14, FALSE)"),6.58)</f>
        <v>6.58</v>
      </c>
      <c r="D12" s="4">
        <f ca="1">IFERROR(__xludf.dummyfunction("IF(VLOOKUP(A12, IMPORTRANGE(""https://docs.google.com/spreadsheets/d/1IJepw3fl3JT9l2xD-NCBW2t5xk8mCdlfKcnD6eLjDu4"", ""'Ex'!$A$2:$F$101""), 6, FALSE)=1, 0.75 * VLOOKUP(A12, IMPORTRANGE(""https://docs.google.com/spreadsheets/d/1IJepw3fl3JT9l2xD-NCBW2t5xk8m"&amp;"CdlfKcnD6eLjDu4"", ""'Ex'!$A$2:$R$101""), 18, FALSE) + 0.25 * VLOOKUP(A12, IMPORTRANGE(""https://docs.google.com/spreadsheets/d/1IJepw3fl3JT9l2xD-NCBW2t5xk8mCdlfKcnD6eLjDu4"", ""'Ex'!$A$2:$R$101""), 15, FALSE) ,VLOOKUP(A12, IMPORTRANGE(""https://docs.goog"&amp;"le.com/spreadsheets/d/1IJepw3fl3JT9l2xD-NCBW2t5xk8mCdlfKcnD6eLjDu4"", ""'I2'!$A$2:$P$101""), 16, FALSE))"),4.38)</f>
        <v>4.38</v>
      </c>
      <c r="E12" s="4">
        <f ca="1">IFERROR(__xludf.dummyfunction("VLOOKUP(A12, IMPORTRANGE(""https://docs.google.com/spreadsheets/d/1IJepw3fl3JT9l2xD-NCBW2t5xk8mCdlfKcnD6eLjDu4"", ""'Ex'!$A$2:$R$101""), 18, FALSE)"),4.95)</f>
        <v>4.95</v>
      </c>
      <c r="G12" s="4">
        <f t="shared" ca="1" si="0"/>
        <v>1</v>
      </c>
      <c r="H12" s="4">
        <f t="shared" ca="1" si="1"/>
        <v>5.49</v>
      </c>
      <c r="I12" s="4">
        <f t="shared" ca="1" si="2"/>
        <v>6.2</v>
      </c>
    </row>
    <row r="13" spans="1:10" ht="14">
      <c r="A13" s="3">
        <v>18642578</v>
      </c>
      <c r="B13" s="4">
        <f ca="1">IFERROR(__xludf.dummyfunction("VLOOKUP(A13, IMPORTRANGE(""https://docs.google.com/spreadsheets/d/1WAXfo1nsCjpHXtcoGE16C4HR44t1K8gsIByus__VUSE"", ""'Sección 1'!$A$2:$E$100""), 5, FALSE)"),6.68)</f>
        <v>6.68</v>
      </c>
      <c r="C13" s="4">
        <f ca="1">IFERROR(__xludf.dummyfunction("VLOOKUP(A13, IMPORTRANGE(""https://docs.google.com/spreadsheets/d/1IJepw3fl3JT9l2xD-NCBW2t5xk8mCdlfKcnD6eLjDu4"", ""'I1'!$A$2:$N$101""), 14, FALSE)"),4.27)</f>
        <v>4.2699999999999996</v>
      </c>
      <c r="D13" s="4">
        <f ca="1">IFERROR(__xludf.dummyfunction("IF(VLOOKUP(A13, IMPORTRANGE(""https://docs.google.com/spreadsheets/d/1IJepw3fl3JT9l2xD-NCBW2t5xk8mCdlfKcnD6eLjDu4"", ""'Ex'!$A$2:$F$101""), 6, FALSE)=1, 0.75 * VLOOKUP(A13, IMPORTRANGE(""https://docs.google.com/spreadsheets/d/1IJepw3fl3JT9l2xD-NCBW2t5xk8m"&amp;"CdlfKcnD6eLjDu4"", ""'Ex'!$A$2:$R$101""), 18, FALSE) + 0.25 * VLOOKUP(A13, IMPORTRANGE(""https://docs.google.com/spreadsheets/d/1IJepw3fl3JT9l2xD-NCBW2t5xk8mCdlfKcnD6eLjDu4"", ""'Ex'!$A$2:$R$101""), 15, FALSE) ,VLOOKUP(A13, IMPORTRANGE(""https://docs.goog"&amp;"le.com/spreadsheets/d/1IJepw3fl3JT9l2xD-NCBW2t5xk8mCdlfKcnD6eLjDu4"", ""'I2'!$A$2:$P$101""), 16, FALSE))"),3.5)</f>
        <v>3.5</v>
      </c>
      <c r="E13" s="4">
        <f ca="1">IFERROR(__xludf.dummyfunction("VLOOKUP(A13, IMPORTRANGE(""https://docs.google.com/spreadsheets/d/1IJepw3fl3JT9l2xD-NCBW2t5xk8mCdlfKcnD6eLjDu4"", ""'Ex'!$A$2:$R$101""), 18, FALSE)"),4.25)</f>
        <v>4.25</v>
      </c>
      <c r="G13" s="4">
        <f t="shared" ca="1" si="0"/>
        <v>1</v>
      </c>
      <c r="H13" s="4">
        <f t="shared" ca="1" si="1"/>
        <v>4.26</v>
      </c>
      <c r="I13" s="4">
        <f t="shared" ca="1" si="2"/>
        <v>5.5</v>
      </c>
    </row>
    <row r="14" spans="1:10" ht="14">
      <c r="A14" s="3">
        <v>16640411</v>
      </c>
      <c r="B14" s="4">
        <f ca="1">IFERROR(__xludf.dummyfunction("VLOOKUP(A14, IMPORTRANGE(""https://docs.google.com/spreadsheets/d/1WAXfo1nsCjpHXtcoGE16C4HR44t1K8gsIByus__VUSE"", ""'Sección 1'!$A$2:$E$100""), 5, FALSE)"),6.46)</f>
        <v>6.46</v>
      </c>
      <c r="C14" s="4">
        <f ca="1">IFERROR(__xludf.dummyfunction("VLOOKUP(A14, IMPORTRANGE(""https://docs.google.com/spreadsheets/d/1IJepw3fl3JT9l2xD-NCBW2t5xk8mCdlfKcnD6eLjDu4"", ""'I1'!$A$2:$N$101""), 14, FALSE)"),6.25)</f>
        <v>6.25</v>
      </c>
      <c r="D14" s="4">
        <f ca="1">IFERROR(__xludf.dummyfunction("IF(VLOOKUP(A14, IMPORTRANGE(""https://docs.google.com/spreadsheets/d/1IJepw3fl3JT9l2xD-NCBW2t5xk8mCdlfKcnD6eLjDu4"", ""'Ex'!$A$2:$F$101""), 6, FALSE)=1, 0.75 * VLOOKUP(A14, IMPORTRANGE(""https://docs.google.com/spreadsheets/d/1IJepw3fl3JT9l2xD-NCBW2t5xk8m"&amp;"CdlfKcnD6eLjDu4"", ""'Ex'!$A$2:$R$101""), 18, FALSE) + 0.25 * VLOOKUP(A14, IMPORTRANGE(""https://docs.google.com/spreadsheets/d/1IJepw3fl3JT9l2xD-NCBW2t5xk8mCdlfKcnD6eLjDu4"", ""'Ex'!$A$2:$R$101""), 15, FALSE) ,VLOOKUP(A14, IMPORTRANGE(""https://docs.goog"&amp;"le.com/spreadsheets/d/1IJepw3fl3JT9l2xD-NCBW2t5xk8mCdlfKcnD6eLjDu4"", ""'I2'!$A$2:$P$101""), 16, FALSE))"),5)</f>
        <v>5</v>
      </c>
      <c r="E14" s="4">
        <f ca="1">IFERROR(__xludf.dummyfunction("VLOOKUP(A14, IMPORTRANGE(""https://docs.google.com/spreadsheets/d/1IJepw3fl3JT9l2xD-NCBW2t5xk8mCdlfKcnD6eLjDu4"", ""'Ex'!$A$2:$R$101""), 18, FALSE)"),5.2)</f>
        <v>5.2</v>
      </c>
      <c r="G14" s="4">
        <f t="shared" ca="1" si="0"/>
        <v>1</v>
      </c>
      <c r="H14" s="4">
        <f t="shared" ca="1" si="1"/>
        <v>5.55</v>
      </c>
      <c r="I14" s="4">
        <f t="shared" ca="1" si="2"/>
        <v>6</v>
      </c>
    </row>
    <row r="15" spans="1:10" ht="14">
      <c r="A15" s="3">
        <v>16639561</v>
      </c>
      <c r="B15" s="4">
        <f ca="1">IFERROR(__xludf.dummyfunction("VLOOKUP(A15, IMPORTRANGE(""https://docs.google.com/spreadsheets/d/1WAXfo1nsCjpHXtcoGE16C4HR44t1K8gsIByus__VUSE"", ""'Sección 1'!$A$2:$E$100""), 5, FALSE)"),4.97)</f>
        <v>4.97</v>
      </c>
      <c r="C15" s="4">
        <f ca="1">IFERROR(__xludf.dummyfunction("VLOOKUP(A15, IMPORTRANGE(""https://docs.google.com/spreadsheets/d/1IJepw3fl3JT9l2xD-NCBW2t5xk8mCdlfKcnD6eLjDu4"", ""'I1'!$A$2:$N$101""), 14, FALSE)"),3.75)</f>
        <v>3.75</v>
      </c>
      <c r="D15" s="4">
        <f ca="1">IFERROR(__xludf.dummyfunction("IF(VLOOKUP(A15, IMPORTRANGE(""https://docs.google.com/spreadsheets/d/1IJepw3fl3JT9l2xD-NCBW2t5xk8mCdlfKcnD6eLjDu4"", ""'Ex'!$A$2:$F$101""), 6, FALSE)=1, 0.75 * VLOOKUP(A15, IMPORTRANGE(""https://docs.google.com/spreadsheets/d/1IJepw3fl3JT9l2xD-NCBW2t5xk8m"&amp;"CdlfKcnD6eLjDu4"", ""'Ex'!$A$2:$R$101""), 18, FALSE) + 0.25 * VLOOKUP(A15, IMPORTRANGE(""https://docs.google.com/spreadsheets/d/1IJepw3fl3JT9l2xD-NCBW2t5xk8mCdlfKcnD6eLjDu4"", ""'Ex'!$A$2:$R$101""), 15, FALSE) ,VLOOKUP(A15, IMPORTRANGE(""https://docs.goog"&amp;"le.com/spreadsheets/d/1IJepw3fl3JT9l2xD-NCBW2t5xk8mCdlfKcnD6eLjDu4"", ""'I2'!$A$2:$P$101""), 16, FALSE))"),3.93)</f>
        <v>3.93</v>
      </c>
      <c r="E15" s="4">
        <f ca="1">IFERROR(__xludf.dummyfunction("VLOOKUP(A15, IMPORTRANGE(""https://docs.google.com/spreadsheets/d/1IJepw3fl3JT9l2xD-NCBW2t5xk8mCdlfKcnD6eLjDu4"", ""'Ex'!$A$2:$R$101""), 18, FALSE)"),4.63)</f>
        <v>4.63</v>
      </c>
      <c r="G15" s="4">
        <f t="shared" ca="1" si="0"/>
        <v>1</v>
      </c>
      <c r="H15" s="4">
        <f t="shared" ca="1" si="1"/>
        <v>4.4000000000000004</v>
      </c>
      <c r="I15" s="4">
        <f t="shared" ca="1" si="2"/>
        <v>4.7</v>
      </c>
    </row>
    <row r="16" spans="1:10" ht="14">
      <c r="A16" s="3">
        <v>18636713</v>
      </c>
      <c r="B16" s="4">
        <f ca="1">IFERROR(__xludf.dummyfunction("VLOOKUP(A16, IMPORTRANGE(""https://docs.google.com/spreadsheets/d/1WAXfo1nsCjpHXtcoGE16C4HR44t1K8gsIByus__VUSE"", ""'Sección 1'!$A$2:$E$100""), 5, FALSE)"),6.39)</f>
        <v>6.39</v>
      </c>
      <c r="C16" s="4">
        <f ca="1">IFERROR(__xludf.dummyfunction("VLOOKUP(A16, IMPORTRANGE(""https://docs.google.com/spreadsheets/d/1IJepw3fl3JT9l2xD-NCBW2t5xk8mCdlfKcnD6eLjDu4"", ""'I1'!$A$2:$N$101""), 14, FALSE)"),5.5)</f>
        <v>5.5</v>
      </c>
      <c r="D16" s="4">
        <f ca="1">IFERROR(__xludf.dummyfunction("IF(VLOOKUP(A16, IMPORTRANGE(""https://docs.google.com/spreadsheets/d/1IJepw3fl3JT9l2xD-NCBW2t5xk8mCdlfKcnD6eLjDu4"", ""'Ex'!$A$2:$F$101""), 6, FALSE)=1, 0.75 * VLOOKUP(A16, IMPORTRANGE(""https://docs.google.com/spreadsheets/d/1IJepw3fl3JT9l2xD-NCBW2t5xk8m"&amp;"CdlfKcnD6eLjDu4"", ""'Ex'!$A$2:$R$101""), 18, FALSE) + 0.25 * VLOOKUP(A16, IMPORTRANGE(""https://docs.google.com/spreadsheets/d/1IJepw3fl3JT9l2xD-NCBW2t5xk8mCdlfKcnD6eLjDu4"", ""'Ex'!$A$2:$R$101""), 15, FALSE) ,VLOOKUP(A16, IMPORTRANGE(""https://docs.goog"&amp;"le.com/spreadsheets/d/1IJepw3fl3JT9l2xD-NCBW2t5xk8mCdlfKcnD6eLjDu4"", ""'I2'!$A$2:$P$101""), 16, FALSE))"),5.63)</f>
        <v>5.63</v>
      </c>
      <c r="E16" s="4">
        <f ca="1">IFERROR(__xludf.dummyfunction("VLOOKUP(A16, IMPORTRANGE(""https://docs.google.com/spreadsheets/d/1IJepw3fl3JT9l2xD-NCBW2t5xk8mCdlfKcnD6eLjDu4"", ""'Ex'!$A$2:$R$101""), 18, FALSE)"),5.88)</f>
        <v>5.88</v>
      </c>
      <c r="G16" s="4">
        <f t="shared" ca="1" si="0"/>
        <v>1</v>
      </c>
      <c r="H16" s="4">
        <f t="shared" ca="1" si="1"/>
        <v>5.8</v>
      </c>
      <c r="I16" s="4">
        <f t="shared" ca="1" si="2"/>
        <v>6.1</v>
      </c>
    </row>
    <row r="17" spans="1:9" ht="14">
      <c r="A17" s="3" t="s">
        <v>10</v>
      </c>
      <c r="B17" s="4">
        <f ca="1">IFERROR(__xludf.dummyfunction("VLOOKUP(A17, IMPORTRANGE(""https://docs.google.com/spreadsheets/d/1WAXfo1nsCjpHXtcoGE16C4HR44t1K8gsIByus__VUSE"", ""'Sección 1'!$A$2:$E$100""), 5, FALSE)"),6.4)</f>
        <v>6.4</v>
      </c>
      <c r="C17" s="4">
        <f ca="1">IFERROR(__xludf.dummyfunction("VLOOKUP(A17, IMPORTRANGE(""https://docs.google.com/spreadsheets/d/1IJepw3fl3JT9l2xD-NCBW2t5xk8mCdlfKcnD6eLjDu4"", ""'I1'!$A$2:$N$101""), 14, FALSE)"),5.67)</f>
        <v>5.67</v>
      </c>
      <c r="D17" s="4">
        <f ca="1">IFERROR(__xludf.dummyfunction("IF(VLOOKUP(A17, IMPORTRANGE(""https://docs.google.com/spreadsheets/d/1IJepw3fl3JT9l2xD-NCBW2t5xk8mCdlfKcnD6eLjDu4"", ""'Ex'!$A$2:$F$101""), 6, FALSE)=1, 0.75 * VLOOKUP(A17, IMPORTRANGE(""https://docs.google.com/spreadsheets/d/1IJepw3fl3JT9l2xD-NCBW2t5xk8m"&amp;"CdlfKcnD6eLjDu4"", ""'Ex'!$A$2:$R$101""), 18, FALSE) + 0.25 * VLOOKUP(A17, IMPORTRANGE(""https://docs.google.com/spreadsheets/d/1IJepw3fl3JT9l2xD-NCBW2t5xk8mCdlfKcnD6eLjDu4"", ""'Ex'!$A$2:$R$101""), 15, FALSE) ,VLOOKUP(A17, IMPORTRANGE(""https://docs.goog"&amp;"le.com/spreadsheets/d/1IJepw3fl3JT9l2xD-NCBW2t5xk8mCdlfKcnD6eLjDu4"", ""'I2'!$A$2:$P$101""), 16, FALSE))"),1.88)</f>
        <v>1.88</v>
      </c>
      <c r="E17" s="4">
        <f ca="1">IFERROR(__xludf.dummyfunction("VLOOKUP(A17, IMPORTRANGE(""https://docs.google.com/spreadsheets/d/1IJepw3fl3JT9l2xD-NCBW2t5xk8mCdlfKcnD6eLjDu4"", ""'Ex'!$A$2:$R$101""), 18, FALSE)"),5.38)</f>
        <v>5.38</v>
      </c>
      <c r="G17" s="4">
        <f t="shared" ca="1" si="0"/>
        <v>0</v>
      </c>
      <c r="H17" s="4">
        <f t="shared" ca="1" si="1"/>
        <v>4.3099999999999996</v>
      </c>
      <c r="I17" s="4">
        <f t="shared" ca="1" si="2"/>
        <v>5.4</v>
      </c>
    </row>
    <row r="18" spans="1:9" ht="14">
      <c r="A18" s="3">
        <v>19639821</v>
      </c>
      <c r="B18" s="4">
        <f ca="1">IFERROR(__xludf.dummyfunction("VLOOKUP(A18, IMPORTRANGE(""https://docs.google.com/spreadsheets/d/1WAXfo1nsCjpHXtcoGE16C4HR44t1K8gsIByus__VUSE"", ""'Sección 1'!$A$2:$E$100""), 5, FALSE)"),6.47)</f>
        <v>6.47</v>
      </c>
      <c r="C18" s="4">
        <f ca="1">IFERROR(__xludf.dummyfunction("VLOOKUP(A18, IMPORTRANGE(""https://docs.google.com/spreadsheets/d/1IJepw3fl3JT9l2xD-NCBW2t5xk8mCdlfKcnD6eLjDu4"", ""'I1'!$A$2:$N$101""), 14, FALSE)"),5.17)</f>
        <v>5.17</v>
      </c>
      <c r="D18" s="4">
        <f ca="1">IFERROR(__xludf.dummyfunction("IF(VLOOKUP(A18, IMPORTRANGE(""https://docs.google.com/spreadsheets/d/1IJepw3fl3JT9l2xD-NCBW2t5xk8mCdlfKcnD6eLjDu4"", ""'Ex'!$A$2:$F$101""), 6, FALSE)=1, 0.75 * VLOOKUP(A18, IMPORTRANGE(""https://docs.google.com/spreadsheets/d/1IJepw3fl3JT9l2xD-NCBW2t5xk8m"&amp;"CdlfKcnD6eLjDu4"", ""'Ex'!$A$2:$R$101""), 18, FALSE) + 0.25 * VLOOKUP(A18, IMPORTRANGE(""https://docs.google.com/spreadsheets/d/1IJepw3fl3JT9l2xD-NCBW2t5xk8mCdlfKcnD6eLjDu4"", ""'Ex'!$A$2:$R$101""), 15, FALSE) ,VLOOKUP(A18, IMPORTRANGE(""https://docs.goog"&amp;"le.com/spreadsheets/d/1IJepw3fl3JT9l2xD-NCBW2t5xk8mCdlfKcnD6eLjDu4"", ""'I2'!$A$2:$P$101""), 16, FALSE))"),5)</f>
        <v>5</v>
      </c>
      <c r="E18" s="4">
        <f ca="1">IFERROR(__xludf.dummyfunction("VLOOKUP(A18, IMPORTRANGE(""https://docs.google.com/spreadsheets/d/1IJepw3fl3JT9l2xD-NCBW2t5xk8mCdlfKcnD6eLjDu4"", ""'Ex'!$A$2:$R$101""), 18, FALSE)"),4.88)</f>
        <v>4.88</v>
      </c>
      <c r="G18" s="4">
        <f t="shared" ca="1" si="0"/>
        <v>1</v>
      </c>
      <c r="H18" s="4">
        <f t="shared" ca="1" si="1"/>
        <v>5.0199999999999996</v>
      </c>
      <c r="I18" s="4">
        <f t="shared" ca="1" si="2"/>
        <v>5.7</v>
      </c>
    </row>
    <row r="19" spans="1:9" ht="14">
      <c r="A19" s="3">
        <v>18642314</v>
      </c>
      <c r="B19" s="4">
        <f ca="1">IFERROR(__xludf.dummyfunction("VLOOKUP(A19, IMPORTRANGE(""https://docs.google.com/spreadsheets/d/1WAXfo1nsCjpHXtcoGE16C4HR44t1K8gsIByus__VUSE"", ""'Sección 1'!$A$2:$E$100""), 5, FALSE)"),6.95)</f>
        <v>6.95</v>
      </c>
      <c r="C19" s="4">
        <f ca="1">IFERROR(__xludf.dummyfunction("VLOOKUP(A19, IMPORTRANGE(""https://docs.google.com/spreadsheets/d/1IJepw3fl3JT9l2xD-NCBW2t5xk8mCdlfKcnD6eLjDu4"", ""'I1'!$A$2:$N$101""), 14, FALSE)"),6.58)</f>
        <v>6.58</v>
      </c>
      <c r="D19" s="4">
        <f ca="1">IFERROR(__xludf.dummyfunction("IF(VLOOKUP(A19, IMPORTRANGE(""https://docs.google.com/spreadsheets/d/1IJepw3fl3JT9l2xD-NCBW2t5xk8mCdlfKcnD6eLjDu4"", ""'Ex'!$A$2:$F$101""), 6, FALSE)=1, 0.75 * VLOOKUP(A19, IMPORTRANGE(""https://docs.google.com/spreadsheets/d/1IJepw3fl3JT9l2xD-NCBW2t5xk8m"&amp;"CdlfKcnD6eLjDu4"", ""'Ex'!$A$2:$R$101""), 18, FALSE) + 0.25 * VLOOKUP(A19, IMPORTRANGE(""https://docs.google.com/spreadsheets/d/1IJepw3fl3JT9l2xD-NCBW2t5xk8mCdlfKcnD6eLjDu4"", ""'Ex'!$A$2:$R$101""), 15, FALSE) ,VLOOKUP(A19, IMPORTRANGE(""https://docs.goog"&amp;"le.com/spreadsheets/d/1IJepw3fl3JT9l2xD-NCBW2t5xk8mCdlfKcnD6eLjDu4"", ""'I2'!$A$2:$P$101""), 16, FALSE))"),5.5)</f>
        <v>5.5</v>
      </c>
      <c r="E19" s="4">
        <f ca="1">IFERROR(__xludf.dummyfunction("VLOOKUP(A19, IMPORTRANGE(""https://docs.google.com/spreadsheets/d/1IJepw3fl3JT9l2xD-NCBW2t5xk8mCdlfKcnD6eLjDu4"", ""'Ex'!$A$2:$R$101""), 18, FALSE)"),5.88)</f>
        <v>5.88</v>
      </c>
      <c r="G19" s="4">
        <f t="shared" ca="1" si="0"/>
        <v>1</v>
      </c>
      <c r="H19" s="4">
        <f t="shared" ca="1" si="1"/>
        <v>6.11</v>
      </c>
      <c r="I19" s="4">
        <f t="shared" ca="1" si="2"/>
        <v>6.5</v>
      </c>
    </row>
    <row r="20" spans="1:9" ht="14">
      <c r="A20" s="3">
        <v>18638058</v>
      </c>
      <c r="B20" s="4">
        <f ca="1">IFERROR(__xludf.dummyfunction("VLOOKUP(A20, IMPORTRANGE(""https://docs.google.com/spreadsheets/d/1WAXfo1nsCjpHXtcoGE16C4HR44t1K8gsIByus__VUSE"", ""'Sección 1'!$A$2:$E$100""), 5, FALSE)"),5.95)</f>
        <v>5.95</v>
      </c>
      <c r="C20" s="4">
        <f ca="1">IFERROR(__xludf.dummyfunction("VLOOKUP(A20, IMPORTRANGE(""https://docs.google.com/spreadsheets/d/1IJepw3fl3JT9l2xD-NCBW2t5xk8mCdlfKcnD6eLjDu4"", ""'I1'!$A$2:$N$101""), 14, FALSE)"),4.92)</f>
        <v>4.92</v>
      </c>
      <c r="D20" s="4">
        <f ca="1">IFERROR(__xludf.dummyfunction("IF(VLOOKUP(A20, IMPORTRANGE(""https://docs.google.com/spreadsheets/d/1IJepw3fl3JT9l2xD-NCBW2t5xk8mCdlfKcnD6eLjDu4"", ""'Ex'!$A$2:$F$101""), 6, FALSE)=1, 0.75 * VLOOKUP(A20, IMPORTRANGE(""https://docs.google.com/spreadsheets/d/1IJepw3fl3JT9l2xD-NCBW2t5xk8m"&amp;"CdlfKcnD6eLjDu4"", ""'Ex'!$A$2:$R$101""), 18, FALSE) + 0.25 * VLOOKUP(A20, IMPORTRANGE(""https://docs.google.com/spreadsheets/d/1IJepw3fl3JT9l2xD-NCBW2t5xk8mCdlfKcnD6eLjDu4"", ""'Ex'!$A$2:$R$101""), 15, FALSE) ,VLOOKUP(A20, IMPORTRANGE(""https://docs.goog"&amp;"le.com/spreadsheets/d/1IJepw3fl3JT9l2xD-NCBW2t5xk8mCdlfKcnD6eLjDu4"", ""'I2'!$A$2:$P$101""), 16, FALSE))"),2.13)</f>
        <v>2.13</v>
      </c>
      <c r="E20" s="4">
        <f ca="1">IFERROR(__xludf.dummyfunction("VLOOKUP(A20, IMPORTRANGE(""https://docs.google.com/spreadsheets/d/1IJepw3fl3JT9l2xD-NCBW2t5xk8mCdlfKcnD6eLjDu4"", ""'Ex'!$A$2:$R$101""), 18, FALSE)"),4.88)</f>
        <v>4.88</v>
      </c>
      <c r="G20" s="4">
        <f t="shared" ca="1" si="0"/>
        <v>0</v>
      </c>
      <c r="H20" s="4">
        <f t="shared" ca="1" si="1"/>
        <v>3.98</v>
      </c>
      <c r="I20" s="4">
        <f t="shared" ca="1" si="2"/>
        <v>5</v>
      </c>
    </row>
    <row r="21" spans="1:9" ht="14">
      <c r="A21" s="3">
        <v>16635116</v>
      </c>
      <c r="B21" s="4">
        <f ca="1">IFERROR(__xludf.dummyfunction("VLOOKUP(A21, IMPORTRANGE(""https://docs.google.com/spreadsheets/d/1WAXfo1nsCjpHXtcoGE16C4HR44t1K8gsIByus__VUSE"", ""'Sección 1'!$A$2:$E$100""), 5, FALSE)"),6.91)</f>
        <v>6.91</v>
      </c>
      <c r="C21" s="4">
        <f ca="1">IFERROR(__xludf.dummyfunction("VLOOKUP(A21, IMPORTRANGE(""https://docs.google.com/spreadsheets/d/1IJepw3fl3JT9l2xD-NCBW2t5xk8mCdlfKcnD6eLjDu4"", ""'I1'!$A$2:$N$101""), 14, FALSE)"),5.83)</f>
        <v>5.83</v>
      </c>
      <c r="D21" s="4">
        <f ca="1">IFERROR(__xludf.dummyfunction("IF(VLOOKUP(A21, IMPORTRANGE(""https://docs.google.com/spreadsheets/d/1IJepw3fl3JT9l2xD-NCBW2t5xk8mCdlfKcnD6eLjDu4"", ""'Ex'!$A$2:$F$101""), 6, FALSE)=1, 0.75 * VLOOKUP(A21, IMPORTRANGE(""https://docs.google.com/spreadsheets/d/1IJepw3fl3JT9l2xD-NCBW2t5xk8m"&amp;"CdlfKcnD6eLjDu4"", ""'Ex'!$A$2:$R$101""), 18, FALSE) + 0.25 * VLOOKUP(A21, IMPORTRANGE(""https://docs.google.com/spreadsheets/d/1IJepw3fl3JT9l2xD-NCBW2t5xk8mCdlfKcnD6eLjDu4"", ""'Ex'!$A$2:$R$101""), 15, FALSE) ,VLOOKUP(A21, IMPORTRANGE(""https://docs.goog"&amp;"le.com/spreadsheets/d/1IJepw3fl3JT9l2xD-NCBW2t5xk8mCdlfKcnD6eLjDu4"", ""'I2'!$A$2:$P$101""), 16, FALSE))"),5.63)</f>
        <v>5.63</v>
      </c>
      <c r="E21" s="4">
        <f ca="1">IFERROR(__xludf.dummyfunction("VLOOKUP(A21, IMPORTRANGE(""https://docs.google.com/spreadsheets/d/1IJepw3fl3JT9l2xD-NCBW2t5xk8mCdlfKcnD6eLjDu4"", ""'Ex'!$A$2:$R$101""), 18, FALSE)"),6.45)</f>
        <v>6.45</v>
      </c>
      <c r="G21" s="4">
        <f t="shared" ca="1" si="0"/>
        <v>1</v>
      </c>
      <c r="H21" s="4">
        <f t="shared" ca="1" si="1"/>
        <v>6.24</v>
      </c>
      <c r="I21" s="4">
        <f t="shared" ca="1" si="2"/>
        <v>6.6</v>
      </c>
    </row>
    <row r="22" spans="1:9" ht="14">
      <c r="A22" s="3">
        <v>16641558</v>
      </c>
      <c r="B22" s="4">
        <f ca="1">IFERROR(__xludf.dummyfunction("VLOOKUP(A22, IMPORTRANGE(""https://docs.google.com/spreadsheets/d/1WAXfo1nsCjpHXtcoGE16C4HR44t1K8gsIByus__VUSE"", ""'Sección 1'!$A$2:$E$100""), 5, FALSE)"),6.64)</f>
        <v>6.64</v>
      </c>
      <c r="C22" s="4">
        <f ca="1">IFERROR(__xludf.dummyfunction("VLOOKUP(A22, IMPORTRANGE(""https://docs.google.com/spreadsheets/d/1IJepw3fl3JT9l2xD-NCBW2t5xk8mCdlfKcnD6eLjDu4"", ""'I1'!$A$2:$N$101""), 14, FALSE)"),4.87)</f>
        <v>4.87</v>
      </c>
      <c r="D22" s="4">
        <f ca="1">IFERROR(__xludf.dummyfunction("IF(VLOOKUP(A22, IMPORTRANGE(""https://docs.google.com/spreadsheets/d/1IJepw3fl3JT9l2xD-NCBW2t5xk8mCdlfKcnD6eLjDu4"", ""'Ex'!$A$2:$F$101""), 6, FALSE)=1, 0.75 * VLOOKUP(A22, IMPORTRANGE(""https://docs.google.com/spreadsheets/d/1IJepw3fl3JT9l2xD-NCBW2t5xk8m"&amp;"CdlfKcnD6eLjDu4"", ""'Ex'!$A$2:$R$101""), 18, FALSE) + 0.25 * VLOOKUP(A22, IMPORTRANGE(""https://docs.google.com/spreadsheets/d/1IJepw3fl3JT9l2xD-NCBW2t5xk8mCdlfKcnD6eLjDu4"", ""'Ex'!$A$2:$R$101""), 15, FALSE) ,VLOOKUP(A22, IMPORTRANGE(""https://docs.goog"&amp;"le.com/spreadsheets/d/1IJepw3fl3JT9l2xD-NCBW2t5xk8mCdlfKcnD6eLjDu4"", ""'I2'!$A$2:$P$101""), 16, FALSE))"),3.63)</f>
        <v>3.63</v>
      </c>
      <c r="E22" s="4">
        <f ca="1">IFERROR(__xludf.dummyfunction("VLOOKUP(A22, IMPORTRANGE(""https://docs.google.com/spreadsheets/d/1IJepw3fl3JT9l2xD-NCBW2t5xk8mCdlfKcnD6eLjDu4"", ""'Ex'!$A$2:$R$101""), 18, FALSE)"),5.5)</f>
        <v>5.5</v>
      </c>
      <c r="G22" s="4">
        <f t="shared" ca="1" si="0"/>
        <v>1</v>
      </c>
      <c r="H22" s="4">
        <f t="shared" ca="1" si="1"/>
        <v>5.29</v>
      </c>
      <c r="I22" s="4">
        <f t="shared" ca="1" si="2"/>
        <v>6</v>
      </c>
    </row>
    <row r="23" spans="1:9" ht="14">
      <c r="A23" s="3">
        <v>18637205</v>
      </c>
      <c r="B23" s="4">
        <f ca="1">IFERROR(__xludf.dummyfunction("VLOOKUP(A23, IMPORTRANGE(""https://docs.google.com/spreadsheets/d/1WAXfo1nsCjpHXtcoGE16C4HR44t1K8gsIByus__VUSE"", ""'Sección 1'!$A$2:$E$100""), 5, FALSE)"),6.44)</f>
        <v>6.44</v>
      </c>
      <c r="C23" s="4">
        <f ca="1">IFERROR(__xludf.dummyfunction("VLOOKUP(A23, IMPORTRANGE(""https://docs.google.com/spreadsheets/d/1IJepw3fl3JT9l2xD-NCBW2t5xk8mCdlfKcnD6eLjDu4"", ""'I1'!$A$2:$N$101""), 14, FALSE)"),5.58)</f>
        <v>5.58</v>
      </c>
      <c r="D23" s="4">
        <f ca="1">IFERROR(__xludf.dummyfunction("IF(VLOOKUP(A23, IMPORTRANGE(""https://docs.google.com/spreadsheets/d/1IJepw3fl3JT9l2xD-NCBW2t5xk8mCdlfKcnD6eLjDu4"", ""'Ex'!$A$2:$F$101""), 6, FALSE)=1, 0.75 * VLOOKUP(A23, IMPORTRANGE(""https://docs.google.com/spreadsheets/d/1IJepw3fl3JT9l2xD-NCBW2t5xk8m"&amp;"CdlfKcnD6eLjDu4"", ""'Ex'!$A$2:$R$101""), 18, FALSE) + 0.25 * VLOOKUP(A23, IMPORTRANGE(""https://docs.google.com/spreadsheets/d/1IJepw3fl3JT9l2xD-NCBW2t5xk8mCdlfKcnD6eLjDu4"", ""'Ex'!$A$2:$R$101""), 15, FALSE) ,VLOOKUP(A23, IMPORTRANGE(""https://docs.goog"&amp;"le.com/spreadsheets/d/1IJepw3fl3JT9l2xD-NCBW2t5xk8mCdlfKcnD6eLjDu4"", ""'I2'!$A$2:$P$101""), 16, FALSE))"),3.75)</f>
        <v>3.75</v>
      </c>
      <c r="E23" s="4">
        <f ca="1">IFERROR(__xludf.dummyfunction("VLOOKUP(A23, IMPORTRANGE(""https://docs.google.com/spreadsheets/d/1IJepw3fl3JT9l2xD-NCBW2t5xk8mCdlfKcnD6eLjDu4"", ""'Ex'!$A$2:$R$101""), 18, FALSE)"),5.2)</f>
        <v>5.2</v>
      </c>
      <c r="G23" s="4">
        <f t="shared" ca="1" si="0"/>
        <v>1</v>
      </c>
      <c r="H23" s="4">
        <f t="shared" ca="1" si="1"/>
        <v>5.33</v>
      </c>
      <c r="I23" s="4">
        <f t="shared" ca="1" si="2"/>
        <v>5.9</v>
      </c>
    </row>
    <row r="24" spans="1:9" ht="14">
      <c r="A24" s="3">
        <v>17625254</v>
      </c>
      <c r="B24" s="4">
        <f ca="1">IFERROR(__xludf.dummyfunction("VLOOKUP(A24, IMPORTRANGE(""https://docs.google.com/spreadsheets/d/1WAXfo1nsCjpHXtcoGE16C4HR44t1K8gsIByus__VUSE"", ""'Sección 1'!$A$2:$E$100""), 5, FALSE)"),6.61)</f>
        <v>6.61</v>
      </c>
      <c r="C24" s="4">
        <f ca="1">IFERROR(__xludf.dummyfunction("VLOOKUP(A24, IMPORTRANGE(""https://docs.google.com/spreadsheets/d/1IJepw3fl3JT9l2xD-NCBW2t5xk8mCdlfKcnD6eLjDu4"", ""'I1'!$A$2:$N$101""), 14, FALSE)"),5.02)</f>
        <v>5.0199999999999996</v>
      </c>
      <c r="D24" s="4">
        <f ca="1">IFERROR(__xludf.dummyfunction("IF(VLOOKUP(A24, IMPORTRANGE(""https://docs.google.com/spreadsheets/d/1IJepw3fl3JT9l2xD-NCBW2t5xk8mCdlfKcnD6eLjDu4"", ""'Ex'!$A$2:$F$101""), 6, FALSE)=1, 0.75 * VLOOKUP(A24, IMPORTRANGE(""https://docs.google.com/spreadsheets/d/1IJepw3fl3JT9l2xD-NCBW2t5xk8m"&amp;"CdlfKcnD6eLjDu4"", ""'Ex'!$A$2:$R$101""), 18, FALSE) + 0.25 * VLOOKUP(A24, IMPORTRANGE(""https://docs.google.com/spreadsheets/d/1IJepw3fl3JT9l2xD-NCBW2t5xk8mCdlfKcnD6eLjDu4"", ""'Ex'!$A$2:$R$101""), 15, FALSE) ,VLOOKUP(A24, IMPORTRANGE(""https://docs.goog"&amp;"le.com/spreadsheets/d/1IJepw3fl3JT9l2xD-NCBW2t5xk8mCdlfKcnD6eLjDu4"", ""'I2'!$A$2:$P$101""), 16, FALSE))"),5.63)</f>
        <v>5.63</v>
      </c>
      <c r="E24" s="4">
        <f ca="1">IFERROR(__xludf.dummyfunction("VLOOKUP(A24, IMPORTRANGE(""https://docs.google.com/spreadsheets/d/1IJepw3fl3JT9l2xD-NCBW2t5xk8mCdlfKcnD6eLjDu4"", ""'Ex'!$A$2:$R$101""), 18, FALSE)"),3.5)</f>
        <v>3.5</v>
      </c>
      <c r="G24" s="4">
        <f t="shared" ca="1" si="0"/>
        <v>1</v>
      </c>
      <c r="H24" s="4">
        <f t="shared" ca="1" si="1"/>
        <v>4.72</v>
      </c>
      <c r="I24" s="4">
        <f t="shared" ca="1" si="2"/>
        <v>5.7</v>
      </c>
    </row>
    <row r="25" spans="1:9" ht="14">
      <c r="A25" s="3">
        <v>17636892</v>
      </c>
      <c r="B25" s="4">
        <f ca="1">IFERROR(__xludf.dummyfunction("VLOOKUP(A25, IMPORTRANGE(""https://docs.google.com/spreadsheets/d/1WAXfo1nsCjpHXtcoGE16C4HR44t1K8gsIByus__VUSE"", ""'Sección 1'!$A$2:$E$100""), 5, FALSE)"),5.95)</f>
        <v>5.95</v>
      </c>
      <c r="C25" s="4">
        <f ca="1">IFERROR(__xludf.dummyfunction("VLOOKUP(A25, IMPORTRANGE(""https://docs.google.com/spreadsheets/d/1IJepw3fl3JT9l2xD-NCBW2t5xk8mCdlfKcnD6eLjDu4"", ""'I1'!$A$2:$N$101""), 14, FALSE)"),6.17)</f>
        <v>6.17</v>
      </c>
      <c r="D25" s="4">
        <f ca="1">IFERROR(__xludf.dummyfunction("IF(VLOOKUP(A25, IMPORTRANGE(""https://docs.google.com/spreadsheets/d/1IJepw3fl3JT9l2xD-NCBW2t5xk8mCdlfKcnD6eLjDu4"", ""'Ex'!$A$2:$F$101""), 6, FALSE)=1, 0.75 * VLOOKUP(A25, IMPORTRANGE(""https://docs.google.com/spreadsheets/d/1IJepw3fl3JT9l2xD-NCBW2t5xk8m"&amp;"CdlfKcnD6eLjDu4"", ""'Ex'!$A$2:$R$101""), 18, FALSE) + 0.25 * VLOOKUP(A25, IMPORTRANGE(""https://docs.google.com/spreadsheets/d/1IJepw3fl3JT9l2xD-NCBW2t5xk8mCdlfKcnD6eLjDu4"", ""'Ex'!$A$2:$R$101""), 15, FALSE) ,VLOOKUP(A25, IMPORTRANGE(""https://docs.goog"&amp;"le.com/spreadsheets/d/1IJepw3fl3JT9l2xD-NCBW2t5xk8mCdlfKcnD6eLjDu4"", ""'I2'!$A$2:$P$101""), 16, FALSE))"),5.5)</f>
        <v>5.5</v>
      </c>
      <c r="E25" s="4">
        <f ca="1">IFERROR(__xludf.dummyfunction("VLOOKUP(A25, IMPORTRANGE(""https://docs.google.com/spreadsheets/d/1IJepw3fl3JT9l2xD-NCBW2t5xk8mCdlfKcnD6eLjDu4"", ""'Ex'!$A$2:$R$101""), 18, FALSE)"),5)</f>
        <v>5</v>
      </c>
      <c r="G25" s="4">
        <f t="shared" ca="1" si="0"/>
        <v>1</v>
      </c>
      <c r="H25" s="4">
        <f t="shared" ca="1" si="1"/>
        <v>5.56</v>
      </c>
      <c r="I25" s="4">
        <f t="shared" ca="1" si="2"/>
        <v>5.8</v>
      </c>
    </row>
    <row r="26" spans="1:9" ht="14">
      <c r="A26" s="3">
        <v>17626021</v>
      </c>
      <c r="B26" s="4">
        <f ca="1">IFERROR(__xludf.dummyfunction("VLOOKUP(A26, IMPORTRANGE(""https://docs.google.com/spreadsheets/d/1WAXfo1nsCjpHXtcoGE16C4HR44t1K8gsIByus__VUSE"", ""'Sección 1'!$A$2:$E$100""), 5, FALSE)"),6.51)</f>
        <v>6.51</v>
      </c>
      <c r="C26" s="4">
        <f ca="1">IFERROR(__xludf.dummyfunction("VLOOKUP(A26, IMPORTRANGE(""https://docs.google.com/spreadsheets/d/1IJepw3fl3JT9l2xD-NCBW2t5xk8mCdlfKcnD6eLjDu4"", ""'I1'!$A$2:$N$101""), 14, FALSE)"),4.83)</f>
        <v>4.83</v>
      </c>
      <c r="D26" s="4">
        <f ca="1">IFERROR(__xludf.dummyfunction("IF(VLOOKUP(A26, IMPORTRANGE(""https://docs.google.com/spreadsheets/d/1IJepw3fl3JT9l2xD-NCBW2t5xk8mCdlfKcnD6eLjDu4"", ""'Ex'!$A$2:$F$101""), 6, FALSE)=1, 0.75 * VLOOKUP(A26, IMPORTRANGE(""https://docs.google.com/spreadsheets/d/1IJepw3fl3JT9l2xD-NCBW2t5xk8m"&amp;"CdlfKcnD6eLjDu4"", ""'Ex'!$A$2:$R$101""), 18, FALSE) + 0.25 * VLOOKUP(A26, IMPORTRANGE(""https://docs.google.com/spreadsheets/d/1IJepw3fl3JT9l2xD-NCBW2t5xk8mCdlfKcnD6eLjDu4"", ""'Ex'!$A$2:$R$101""), 15, FALSE) ,VLOOKUP(A26, IMPORTRANGE(""https://docs.goog"&amp;"le.com/spreadsheets/d/1IJepw3fl3JT9l2xD-NCBW2t5xk8mCdlfKcnD6eLjDu4"", ""'I2'!$A$2:$P$101""), 16, FALSE))"),3.13)</f>
        <v>3.13</v>
      </c>
      <c r="E26" s="4">
        <f ca="1">IFERROR(__xludf.dummyfunction("VLOOKUP(A26, IMPORTRANGE(""https://docs.google.com/spreadsheets/d/1IJepw3fl3JT9l2xD-NCBW2t5xk8mCdlfKcnD6eLjDu4"", ""'Ex'!$A$2:$R$101""), 18, FALSE)"),3.75)</f>
        <v>3.75</v>
      </c>
      <c r="G26" s="4">
        <f t="shared" ca="1" si="0"/>
        <v>1</v>
      </c>
      <c r="H26" s="4">
        <f t="shared" ca="1" si="1"/>
        <v>4.1100000000000003</v>
      </c>
      <c r="I26" s="4">
        <f t="shared" ca="1" si="2"/>
        <v>5.3</v>
      </c>
    </row>
    <row r="27" spans="1:9" ht="14">
      <c r="A27" s="3">
        <v>17638143</v>
      </c>
      <c r="B27" s="4">
        <f ca="1">IFERROR(__xludf.dummyfunction("VLOOKUP(A27, IMPORTRANGE(""https://docs.google.com/spreadsheets/d/1WAXfo1nsCjpHXtcoGE16C4HR44t1K8gsIByus__VUSE"", ""'Sección 1'!$A$2:$E$100""), 5, FALSE)"),6.75)</f>
        <v>6.75</v>
      </c>
      <c r="C27" s="4">
        <f ca="1">IFERROR(__xludf.dummyfunction("VLOOKUP(A27, IMPORTRANGE(""https://docs.google.com/spreadsheets/d/1IJepw3fl3JT9l2xD-NCBW2t5xk8mCdlfKcnD6eLjDu4"", ""'I1'!$A$2:$N$101""), 14, FALSE)"),5.25)</f>
        <v>5.25</v>
      </c>
      <c r="D27" s="4">
        <f ca="1">IFERROR(__xludf.dummyfunction("IF(VLOOKUP(A27, IMPORTRANGE(""https://docs.google.com/spreadsheets/d/1IJepw3fl3JT9l2xD-NCBW2t5xk8mCdlfKcnD6eLjDu4"", ""'Ex'!$A$2:$F$101""), 6, FALSE)=1, 0.75 * VLOOKUP(A27, IMPORTRANGE(""https://docs.google.com/spreadsheets/d/1IJepw3fl3JT9l2xD-NCBW2t5xk8m"&amp;"CdlfKcnD6eLjDu4"", ""'Ex'!$A$2:$R$101""), 18, FALSE) + 0.25 * VLOOKUP(A27, IMPORTRANGE(""https://docs.google.com/spreadsheets/d/1IJepw3fl3JT9l2xD-NCBW2t5xk8mCdlfKcnD6eLjDu4"", ""'Ex'!$A$2:$R$101""), 15, FALSE) ,VLOOKUP(A27, IMPORTRANGE(""https://docs.goog"&amp;"le.com/spreadsheets/d/1IJepw3fl3JT9l2xD-NCBW2t5xk8mCdlfKcnD6eLjDu4"", ""'I2'!$A$2:$P$101""), 16, FALSE))"),5.63)</f>
        <v>5.63</v>
      </c>
      <c r="E27" s="4">
        <f ca="1">IFERROR(__xludf.dummyfunction("VLOOKUP(A27, IMPORTRANGE(""https://docs.google.com/spreadsheets/d/1IJepw3fl3JT9l2xD-NCBW2t5xk8mCdlfKcnD6eLjDu4"", ""'Ex'!$A$2:$R$101""), 18, FALSE)"),4.38)</f>
        <v>4.38</v>
      </c>
      <c r="G27" s="4">
        <f t="shared" ca="1" si="0"/>
        <v>1</v>
      </c>
      <c r="H27" s="4">
        <f t="shared" ca="1" si="1"/>
        <v>5.09</v>
      </c>
      <c r="I27" s="4">
        <f t="shared" ca="1" si="2"/>
        <v>5.9</v>
      </c>
    </row>
    <row r="28" spans="1:9" ht="14">
      <c r="A28" s="3">
        <v>18638082</v>
      </c>
      <c r="B28" s="4">
        <f ca="1">IFERROR(__xludf.dummyfunction("VLOOKUP(A28, IMPORTRANGE(""https://docs.google.com/spreadsheets/d/1WAXfo1nsCjpHXtcoGE16C4HR44t1K8gsIByus__VUSE"", ""'Sección 1'!$A$2:$E$100""), 5, FALSE)"),5.99)</f>
        <v>5.99</v>
      </c>
      <c r="C28" s="4">
        <f ca="1">IFERROR(__xludf.dummyfunction("VLOOKUP(A28, IMPORTRANGE(""https://docs.google.com/spreadsheets/d/1IJepw3fl3JT9l2xD-NCBW2t5xk8mCdlfKcnD6eLjDu4"", ""'I1'!$A$2:$N$101""), 14, FALSE)"),5.92)</f>
        <v>5.92</v>
      </c>
      <c r="D28" s="4">
        <f ca="1">IFERROR(__xludf.dummyfunction("IF(VLOOKUP(A28, IMPORTRANGE(""https://docs.google.com/spreadsheets/d/1IJepw3fl3JT9l2xD-NCBW2t5xk8mCdlfKcnD6eLjDu4"", ""'Ex'!$A$2:$F$101""), 6, FALSE)=1, 0.75 * VLOOKUP(A28, IMPORTRANGE(""https://docs.google.com/spreadsheets/d/1IJepw3fl3JT9l2xD-NCBW2t5xk8m"&amp;"CdlfKcnD6eLjDu4"", ""'Ex'!$A$2:$R$101""), 18, FALSE) + 0.25 * VLOOKUP(A28, IMPORTRANGE(""https://docs.google.com/spreadsheets/d/1IJepw3fl3JT9l2xD-NCBW2t5xk8mCdlfKcnD6eLjDu4"", ""'Ex'!$A$2:$R$101""), 15, FALSE) ,VLOOKUP(A28, IMPORTRANGE(""https://docs.goog"&amp;"le.com/spreadsheets/d/1IJepw3fl3JT9l2xD-NCBW2t5xk8mCdlfKcnD6eLjDu4"", ""'I2'!$A$2:$P$101""), 16, FALSE))"),4)</f>
        <v>4</v>
      </c>
      <c r="E28" s="4">
        <f ca="1">IFERROR(__xludf.dummyfunction("VLOOKUP(A28, IMPORTRANGE(""https://docs.google.com/spreadsheets/d/1IJepw3fl3JT9l2xD-NCBW2t5xk8mCdlfKcnD6eLjDu4"", ""'Ex'!$A$2:$R$101""), 18, FALSE)"),4.13)</f>
        <v>4.13</v>
      </c>
      <c r="G28" s="4">
        <f t="shared" ca="1" si="0"/>
        <v>1</v>
      </c>
      <c r="H28" s="4">
        <f t="shared" ca="1" si="1"/>
        <v>4.7300000000000004</v>
      </c>
      <c r="I28" s="4">
        <f t="shared" ca="1" si="2"/>
        <v>5.4</v>
      </c>
    </row>
    <row r="29" spans="1:9" ht="14">
      <c r="A29" s="3">
        <v>18639496</v>
      </c>
      <c r="B29" s="4">
        <f ca="1">IFERROR(__xludf.dummyfunction("VLOOKUP(A29, IMPORTRANGE(""https://docs.google.com/spreadsheets/d/1WAXfo1nsCjpHXtcoGE16C4HR44t1K8gsIByus__VUSE"", ""'Sección 1'!$A$2:$E$100""), 5, FALSE)"),6.69)</f>
        <v>6.69</v>
      </c>
      <c r="C29" s="4">
        <f ca="1">IFERROR(__xludf.dummyfunction("VLOOKUP(A29, IMPORTRANGE(""https://docs.google.com/spreadsheets/d/1IJepw3fl3JT9l2xD-NCBW2t5xk8mCdlfKcnD6eLjDu4"", ""'I1'!$A$2:$N$101""), 14, FALSE)"),6.92)</f>
        <v>6.92</v>
      </c>
      <c r="D29" s="4">
        <f ca="1">IFERROR(__xludf.dummyfunction("IF(VLOOKUP(A29, IMPORTRANGE(""https://docs.google.com/spreadsheets/d/1IJepw3fl3JT9l2xD-NCBW2t5xk8mCdlfKcnD6eLjDu4"", ""'Ex'!$A$2:$F$101""), 6, FALSE)=1, 0.75 * VLOOKUP(A29, IMPORTRANGE(""https://docs.google.com/spreadsheets/d/1IJepw3fl3JT9l2xD-NCBW2t5xk8m"&amp;"CdlfKcnD6eLjDu4"", ""'Ex'!$A$2:$R$101""), 18, FALSE) + 0.25 * VLOOKUP(A29, IMPORTRANGE(""https://docs.google.com/spreadsheets/d/1IJepw3fl3JT9l2xD-NCBW2t5xk8mCdlfKcnD6eLjDu4"", ""'Ex'!$A$2:$R$101""), 15, FALSE) ,VLOOKUP(A29, IMPORTRANGE(""https://docs.goog"&amp;"le.com/spreadsheets/d/1IJepw3fl3JT9l2xD-NCBW2t5xk8mCdlfKcnD6eLjDu4"", ""'I2'!$A$2:$P$101""), 16, FALSE))"),6.25)</f>
        <v>6.25</v>
      </c>
      <c r="E29" s="4">
        <f ca="1">IFERROR(__xludf.dummyfunction("VLOOKUP(A29, IMPORTRANGE(""https://docs.google.com/spreadsheets/d/1IJepw3fl3JT9l2xD-NCBW2t5xk8mCdlfKcnD6eLjDu4"", ""'Ex'!$A$2:$R$101""), 18, FALSE)"),5.75)</f>
        <v>5.75</v>
      </c>
      <c r="G29" s="4">
        <f t="shared" ca="1" si="0"/>
        <v>1</v>
      </c>
      <c r="H29" s="4">
        <f t="shared" ca="1" si="1"/>
        <v>6.31</v>
      </c>
      <c r="I29" s="4">
        <f t="shared" ca="1" si="2"/>
        <v>6.5</v>
      </c>
    </row>
    <row r="30" spans="1:9" ht="14">
      <c r="A30" s="3">
        <v>17639247</v>
      </c>
      <c r="B30" s="4">
        <f ca="1">IFERROR(__xludf.dummyfunction("VLOOKUP(A30, IMPORTRANGE(""https://docs.google.com/spreadsheets/d/1WAXfo1nsCjpHXtcoGE16C4HR44t1K8gsIByus__VUSE"", ""'Sección 1'!$A$2:$E$100""), 5, FALSE)"),6.52)</f>
        <v>6.52</v>
      </c>
      <c r="C30" s="4">
        <f ca="1">IFERROR(__xludf.dummyfunction("VLOOKUP(A30, IMPORTRANGE(""https://docs.google.com/spreadsheets/d/1IJepw3fl3JT9l2xD-NCBW2t5xk8mCdlfKcnD6eLjDu4"", ""'I1'!$A$2:$N$101""), 14, FALSE)"),5.22)</f>
        <v>5.22</v>
      </c>
      <c r="D30" s="4">
        <f ca="1">IFERROR(__xludf.dummyfunction("IF(VLOOKUP(A30, IMPORTRANGE(""https://docs.google.com/spreadsheets/d/1IJepw3fl3JT9l2xD-NCBW2t5xk8mCdlfKcnD6eLjDu4"", ""'Ex'!$A$2:$F$101""), 6, FALSE)=1, 0.75 * VLOOKUP(A30, IMPORTRANGE(""https://docs.google.com/spreadsheets/d/1IJepw3fl3JT9l2xD-NCBW2t5xk8m"&amp;"CdlfKcnD6eLjDu4"", ""'Ex'!$A$2:$R$101""), 18, FALSE) + 0.25 * VLOOKUP(A30, IMPORTRANGE(""https://docs.google.com/spreadsheets/d/1IJepw3fl3JT9l2xD-NCBW2t5xk8mCdlfKcnD6eLjDu4"", ""'Ex'!$A$2:$R$101""), 15, FALSE) ,VLOOKUP(A30, IMPORTRANGE(""https://docs.goog"&amp;"le.com/spreadsheets/d/1IJepw3fl3JT9l2xD-NCBW2t5xk8mCdlfKcnD6eLjDu4"", ""'I2'!$A$2:$P$101""), 16, FALSE))"),4)</f>
        <v>4</v>
      </c>
      <c r="E30" s="4">
        <f ca="1">IFERROR(__xludf.dummyfunction("VLOOKUP(A30, IMPORTRANGE(""https://docs.google.com/spreadsheets/d/1IJepw3fl3JT9l2xD-NCBW2t5xk8mCdlfKcnD6eLjDu4"", ""'Ex'!$A$2:$R$101""), 18, FALSE)"),5.5)</f>
        <v>5.5</v>
      </c>
      <c r="G30" s="4">
        <f t="shared" ca="1" si="0"/>
        <v>1</v>
      </c>
      <c r="H30" s="4">
        <f t="shared" ca="1" si="1"/>
        <v>5.41</v>
      </c>
      <c r="I30" s="4">
        <f t="shared" ca="1" si="2"/>
        <v>6</v>
      </c>
    </row>
    <row r="31" spans="1:9" ht="14">
      <c r="A31" s="3">
        <v>17642310</v>
      </c>
      <c r="B31" s="4">
        <f ca="1">IFERROR(__xludf.dummyfunction("VLOOKUP(A31, IMPORTRANGE(""https://docs.google.com/spreadsheets/d/1WAXfo1nsCjpHXtcoGE16C4HR44t1K8gsIByus__VUSE"", ""'Sección 1'!$A$2:$E$100""), 5, FALSE)"),6.36)</f>
        <v>6.36</v>
      </c>
      <c r="C31" s="4">
        <f ca="1">IFERROR(__xludf.dummyfunction("VLOOKUP(A31, IMPORTRANGE(""https://docs.google.com/spreadsheets/d/1IJepw3fl3JT9l2xD-NCBW2t5xk8mCdlfKcnD6eLjDu4"", ""'I1'!$A$2:$N$101""), 14, FALSE)"),6.75)</f>
        <v>6.75</v>
      </c>
      <c r="D31" s="4">
        <f ca="1">IFERROR(__xludf.dummyfunction("IF(VLOOKUP(A31, IMPORTRANGE(""https://docs.google.com/spreadsheets/d/1IJepw3fl3JT9l2xD-NCBW2t5xk8mCdlfKcnD6eLjDu4"", ""'Ex'!$A$2:$F$101""), 6, FALSE)=1, 0.75 * VLOOKUP(A31, IMPORTRANGE(""https://docs.google.com/spreadsheets/d/1IJepw3fl3JT9l2xD-NCBW2t5xk8m"&amp;"CdlfKcnD6eLjDu4"", ""'Ex'!$A$2:$R$101""), 18, FALSE) + 0.25 * VLOOKUP(A31, IMPORTRANGE(""https://docs.google.com/spreadsheets/d/1IJepw3fl3JT9l2xD-NCBW2t5xk8mCdlfKcnD6eLjDu4"", ""'Ex'!$A$2:$R$101""), 15, FALSE) ,VLOOKUP(A31, IMPORTRANGE(""https://docs.goog"&amp;"le.com/spreadsheets/d/1IJepw3fl3JT9l2xD-NCBW2t5xk8mCdlfKcnD6eLjDu4"", ""'I2'!$A$2:$P$101""), 16, FALSE))"),3.75)</f>
        <v>3.75</v>
      </c>
      <c r="E31" s="4">
        <f ca="1">IFERROR(__xludf.dummyfunction("VLOOKUP(A31, IMPORTRANGE(""https://docs.google.com/spreadsheets/d/1IJepw3fl3JT9l2xD-NCBW2t5xk8mCdlfKcnD6eLjDu4"", ""'Ex'!$A$2:$R$101""), 18, FALSE)"),3.95)</f>
        <v>3.95</v>
      </c>
      <c r="G31" s="4">
        <f t="shared" ca="1" si="0"/>
        <v>1</v>
      </c>
      <c r="H31" s="4">
        <f t="shared" ca="1" si="1"/>
        <v>4.88</v>
      </c>
      <c r="I31" s="4">
        <f t="shared" ca="1" si="2"/>
        <v>5.6</v>
      </c>
    </row>
    <row r="32" spans="1:9" ht="14">
      <c r="A32" s="5">
        <v>17640865</v>
      </c>
      <c r="B32" s="6">
        <f ca="1">IFERROR(__xludf.dummyfunction("VLOOKUP(A32, IMPORTRANGE(""https://docs.google.com/spreadsheets/d/1WAXfo1nsCjpHXtcoGE16C4HR44t1K8gsIByus__VUSE"", ""'Sección 1'!$A$2:$E$100""), 5, FALSE)"),6.36)</f>
        <v>6.36</v>
      </c>
      <c r="C32" s="6">
        <f ca="1">IFERROR(__xludf.dummyfunction("VLOOKUP(A32, IMPORTRANGE(""https://docs.google.com/spreadsheets/d/1IJepw3fl3JT9l2xD-NCBW2t5xk8mCdlfKcnD6eLjDu4"", ""'I1'!$A$2:$N$101""), 14, FALSE)"),1)</f>
        <v>1</v>
      </c>
      <c r="D32" s="6">
        <f ca="1">IFERROR(__xludf.dummyfunction("IF(VLOOKUP(A32, IMPORTRANGE(""https://docs.google.com/spreadsheets/d/1IJepw3fl3JT9l2xD-NCBW2t5xk8mCdlfKcnD6eLjDu4"", ""'Ex'!$A$2:$F$101""), 6, FALSE)=1, 0.75 * VLOOKUP(A32, IMPORTRANGE(""https://docs.google.com/spreadsheets/d/1IJepw3fl3JT9l2xD-NCBW2t5xk8m"&amp;"CdlfKcnD6eLjDu4"", ""'Ex'!$A$2:$R$101""), 18, FALSE) + 0.25 * VLOOKUP(A32, IMPORTRANGE(""https://docs.google.com/spreadsheets/d/1IJepw3fl3JT9l2xD-NCBW2t5xk8mCdlfKcnD6eLjDu4"", ""'Ex'!$A$2:$R$101""), 15, FALSE) ,VLOOKUP(A32, IMPORTRANGE(""https://docs.goog"&amp;"le.com/spreadsheets/d/1IJepw3fl3JT9l2xD-NCBW2t5xk8mCdlfKcnD6eLjDu4"", ""'I2'!$A$2:$P$101""), 16, FALSE))"),1)</f>
        <v>1</v>
      </c>
      <c r="E32" s="6">
        <f ca="1">IFERROR(__xludf.dummyfunction("VLOOKUP(A32, IMPORTRANGE(""https://docs.google.com/spreadsheets/d/1IJepw3fl3JT9l2xD-NCBW2t5xk8mCdlfKcnD6eLjDu4"", ""'Ex'!$A$2:$R$101""), 18, FALSE)"),1)</f>
        <v>1</v>
      </c>
      <c r="F32" s="6"/>
      <c r="G32" s="6">
        <f t="shared" ca="1" si="0"/>
        <v>0</v>
      </c>
      <c r="H32" s="4">
        <f t="shared" ca="1" si="1"/>
        <v>1</v>
      </c>
      <c r="I32" s="6">
        <f t="shared" ca="1" si="2"/>
        <v>1</v>
      </c>
    </row>
    <row r="33" spans="1:10" ht="14">
      <c r="A33" s="3" t="s">
        <v>11</v>
      </c>
      <c r="B33" s="4">
        <f ca="1">IFERROR(__xludf.dummyfunction("VLOOKUP(A33, IMPORTRANGE(""https://docs.google.com/spreadsheets/d/1WAXfo1nsCjpHXtcoGE16C4HR44t1K8gsIByus__VUSE"", ""'Sección 1'!$A$2:$E$100""), 5, FALSE)"),6.12)</f>
        <v>6.12</v>
      </c>
      <c r="C33" s="4">
        <f ca="1">IFERROR(__xludf.dummyfunction("VLOOKUP(A33, IMPORTRANGE(""https://docs.google.com/spreadsheets/d/1IJepw3fl3JT9l2xD-NCBW2t5xk8mCdlfKcnD6eLjDu4"", ""'I1'!$A$2:$N$101""), 14, FALSE)"),6.17)</f>
        <v>6.17</v>
      </c>
      <c r="D33" s="4">
        <f ca="1">IFERROR(__xludf.dummyfunction("IF(VLOOKUP(A33, IMPORTRANGE(""https://docs.google.com/spreadsheets/d/1IJepw3fl3JT9l2xD-NCBW2t5xk8mCdlfKcnD6eLjDu4"", ""'Ex'!$A$2:$F$101""), 6, FALSE)=1, 0.75 * VLOOKUP(A33, IMPORTRANGE(""https://docs.google.com/spreadsheets/d/1IJepw3fl3JT9l2xD-NCBW2t5xk8m"&amp;"CdlfKcnD6eLjDu4"", ""'Ex'!$A$2:$R$101""), 18, FALSE) + 0.25 * VLOOKUP(A33, IMPORTRANGE(""https://docs.google.com/spreadsheets/d/1IJepw3fl3JT9l2xD-NCBW2t5xk8mCdlfKcnD6eLjDu4"", ""'Ex'!$A$2:$R$101""), 15, FALSE) ,VLOOKUP(A33, IMPORTRANGE(""https://docs.goog"&amp;"le.com/spreadsheets/d/1IJepw3fl3JT9l2xD-NCBW2t5xk8mCdlfKcnD6eLjDu4"", ""'I2'!$A$2:$P$101""), 16, FALSE))"),3.38)</f>
        <v>3.38</v>
      </c>
      <c r="E33" s="4">
        <f ca="1">IFERROR(__xludf.dummyfunction("VLOOKUP(A33, IMPORTRANGE(""https://docs.google.com/spreadsheets/d/1IJepw3fl3JT9l2xD-NCBW2t5xk8mCdlfKcnD6eLjDu4"", ""'Ex'!$A$2:$R$101""), 18, FALSE)"),5.25)</f>
        <v>5.25</v>
      </c>
      <c r="G33" s="4">
        <f t="shared" ca="1" si="0"/>
        <v>1</v>
      </c>
      <c r="H33" s="4">
        <f t="shared" ca="1" si="1"/>
        <v>5.56</v>
      </c>
      <c r="I33" s="4">
        <f t="shared" ca="1" si="2"/>
        <v>5.8</v>
      </c>
    </row>
    <row r="34" spans="1:10" ht="14">
      <c r="A34" s="3">
        <v>16641418</v>
      </c>
      <c r="B34" s="4">
        <f ca="1">IFERROR(__xludf.dummyfunction("VLOOKUP(A34, IMPORTRANGE(""https://docs.google.com/spreadsheets/d/1WAXfo1nsCjpHXtcoGE16C4HR44t1K8gsIByus__VUSE"", ""'Sección 1'!$A$2:$E$100""), 5, FALSE)"),6.52)</f>
        <v>6.52</v>
      </c>
      <c r="C34" s="4">
        <f ca="1">IFERROR(__xludf.dummyfunction("VLOOKUP(A34, IMPORTRANGE(""https://docs.google.com/spreadsheets/d/1IJepw3fl3JT9l2xD-NCBW2t5xk8mCdlfKcnD6eLjDu4"", ""'I1'!$A$2:$N$101""), 14, FALSE)"),4.23)</f>
        <v>4.2300000000000004</v>
      </c>
      <c r="D34" s="4">
        <f ca="1">IFERROR(__xludf.dummyfunction("IF(VLOOKUP(A34, IMPORTRANGE(""https://docs.google.com/spreadsheets/d/1IJepw3fl3JT9l2xD-NCBW2t5xk8mCdlfKcnD6eLjDu4"", ""'Ex'!$A$2:$F$101""), 6, FALSE)=1, 0.75 * VLOOKUP(A34, IMPORTRANGE(""https://docs.google.com/spreadsheets/d/1IJepw3fl3JT9l2xD-NCBW2t5xk8m"&amp;"CdlfKcnD6eLjDu4"", ""'Ex'!$A$2:$R$101""), 18, FALSE) + 0.25 * VLOOKUP(A34, IMPORTRANGE(""https://docs.google.com/spreadsheets/d/1IJepw3fl3JT9l2xD-NCBW2t5xk8mCdlfKcnD6eLjDu4"", ""'Ex'!$A$2:$R$101""), 15, FALSE) ,VLOOKUP(A34, IMPORTRANGE(""https://docs.goog"&amp;"le.com/spreadsheets/d/1IJepw3fl3JT9l2xD-NCBW2t5xk8mCdlfKcnD6eLjDu4"", ""'I2'!$A$2:$P$101""), 16, FALSE))"),2.5)</f>
        <v>2.5</v>
      </c>
      <c r="E34" s="4">
        <f ca="1">IFERROR(__xludf.dummyfunction("VLOOKUP(A34, IMPORTRANGE(""https://docs.google.com/spreadsheets/d/1IJepw3fl3JT9l2xD-NCBW2t5xk8mCdlfKcnD6eLjDu4"", ""'Ex'!$A$2:$R$101""), 18, FALSE)"),4.43)</f>
        <v>4.43</v>
      </c>
      <c r="G34" s="4">
        <f t="shared" ref="G34:G65" ca="1" si="3">IF(AND(C34&gt;=3,D34&gt;=3),1,0)</f>
        <v>0</v>
      </c>
      <c r="H34" s="4">
        <f t="shared" ref="H34:H65" ca="1" si="4">ROUND(IF(G34=1,(C34+D34+2*E34-MIN(C34:E34))/3,IF(F34=1,(C34+D34+E34)/3,IF(C34&gt;=3,(C34+D34+2*E34-MIN(C34,E34))/3,IF(D34&gt;=3,(C34+D34+2*E34-MIN(D34,E34))/3,(C34+D34+E34)/3)))),2)</f>
        <v>3.79</v>
      </c>
      <c r="I34" s="4">
        <f t="shared" ref="I34:I65" ca="1" si="5">ROUND(IF(AND(H34&gt;=3.95,B34&gt;=3.95),AVERAGE(B34, H34),MIN(B34,H34)),1)</f>
        <v>3.8</v>
      </c>
      <c r="J34">
        <v>4</v>
      </c>
    </row>
    <row r="35" spans="1:10" ht="14">
      <c r="A35" s="3">
        <v>18642152</v>
      </c>
      <c r="B35" s="4">
        <f ca="1">IFERROR(__xludf.dummyfunction("VLOOKUP(A35, IMPORTRANGE(""https://docs.google.com/spreadsheets/d/1WAXfo1nsCjpHXtcoGE16C4HR44t1K8gsIByus__VUSE"", ""'Sección 1'!$A$2:$E$100""), 5, FALSE)"),6.34)</f>
        <v>6.34</v>
      </c>
      <c r="C35" s="4">
        <f ca="1">IFERROR(__xludf.dummyfunction("VLOOKUP(A35, IMPORTRANGE(""https://docs.google.com/spreadsheets/d/1IJepw3fl3JT9l2xD-NCBW2t5xk8mCdlfKcnD6eLjDu4"", ""'I1'!$A$2:$N$101""), 14, FALSE)"),5.27)</f>
        <v>5.27</v>
      </c>
      <c r="D35" s="4">
        <f ca="1">IFERROR(__xludf.dummyfunction("IF(VLOOKUP(A35, IMPORTRANGE(""https://docs.google.com/spreadsheets/d/1IJepw3fl3JT9l2xD-NCBW2t5xk8mCdlfKcnD6eLjDu4"", ""'Ex'!$A$2:$F$101""), 6, FALSE)=1, 0.75 * VLOOKUP(A35, IMPORTRANGE(""https://docs.google.com/spreadsheets/d/1IJepw3fl3JT9l2xD-NCBW2t5xk8m"&amp;"CdlfKcnD6eLjDu4"", ""'Ex'!$A$2:$R$101""), 18, FALSE) + 0.25 * VLOOKUP(A35, IMPORTRANGE(""https://docs.google.com/spreadsheets/d/1IJepw3fl3JT9l2xD-NCBW2t5xk8mCdlfKcnD6eLjDu4"", ""'Ex'!$A$2:$R$101""), 15, FALSE) ,VLOOKUP(A35, IMPORTRANGE(""https://docs.goog"&amp;"le.com/spreadsheets/d/1IJepw3fl3JT9l2xD-NCBW2t5xk8mCdlfKcnD6eLjDu4"", ""'I2'!$A$2:$P$101""), 16, FALSE))"),3.25)</f>
        <v>3.25</v>
      </c>
      <c r="E35" s="4">
        <f ca="1">IFERROR(__xludf.dummyfunction("VLOOKUP(A35, IMPORTRANGE(""https://docs.google.com/spreadsheets/d/1IJepw3fl3JT9l2xD-NCBW2t5xk8mCdlfKcnD6eLjDu4"", ""'Ex'!$A$2:$R$101""), 18, FALSE)"),3.58)</f>
        <v>3.58</v>
      </c>
      <c r="G35" s="4">
        <f t="shared" ca="1" si="3"/>
        <v>1</v>
      </c>
      <c r="H35" s="4">
        <f t="shared" ca="1" si="4"/>
        <v>4.1399999999999997</v>
      </c>
      <c r="I35" s="4">
        <f t="shared" ca="1" si="5"/>
        <v>5.2</v>
      </c>
    </row>
    <row r="36" spans="1:10" ht="14">
      <c r="A36" s="3">
        <v>14205874</v>
      </c>
      <c r="B36" s="4">
        <f ca="1">IFERROR(__xludf.dummyfunction("VLOOKUP(A36, IMPORTRANGE(""https://docs.google.com/spreadsheets/d/1WAXfo1nsCjpHXtcoGE16C4HR44t1K8gsIByus__VUSE"", ""'Sección 1'!$A$2:$E$100""), 5, FALSE)"),6.31)</f>
        <v>6.31</v>
      </c>
      <c r="C36" s="4">
        <f ca="1">IFERROR(__xludf.dummyfunction("VLOOKUP(A36, IMPORTRANGE(""https://docs.google.com/spreadsheets/d/1IJepw3fl3JT9l2xD-NCBW2t5xk8mCdlfKcnD6eLjDu4"", ""'I1'!$A$2:$N$101""), 14, FALSE)"),6.67)</f>
        <v>6.67</v>
      </c>
      <c r="D36" s="4">
        <f ca="1">IFERROR(__xludf.dummyfunction("IF(VLOOKUP(A36, IMPORTRANGE(""https://docs.google.com/spreadsheets/d/1IJepw3fl3JT9l2xD-NCBW2t5xk8mCdlfKcnD6eLjDu4"", ""'Ex'!$A$2:$F$101""), 6, FALSE)=1, 0.75 * VLOOKUP(A36, IMPORTRANGE(""https://docs.google.com/spreadsheets/d/1IJepw3fl3JT9l2xD-NCBW2t5xk8m"&amp;"CdlfKcnD6eLjDu4"", ""'Ex'!$A$2:$R$101""), 18, FALSE) + 0.25 * VLOOKUP(A36, IMPORTRANGE(""https://docs.google.com/spreadsheets/d/1IJepw3fl3JT9l2xD-NCBW2t5xk8mCdlfKcnD6eLjDu4"", ""'Ex'!$A$2:$R$101""), 15, FALSE) ,VLOOKUP(A36, IMPORTRANGE(""https://docs.goog"&amp;"le.com/spreadsheets/d/1IJepw3fl3JT9l2xD-NCBW2t5xk8mCdlfKcnD6eLjDu4"", ""'I2'!$A$2:$P$101""), 16, FALSE))"),3.25)</f>
        <v>3.25</v>
      </c>
      <c r="E36" s="4">
        <f ca="1">IFERROR(__xludf.dummyfunction("VLOOKUP(A36, IMPORTRANGE(""https://docs.google.com/spreadsheets/d/1IJepw3fl3JT9l2xD-NCBW2t5xk8mCdlfKcnD6eLjDu4"", ""'Ex'!$A$2:$R$101""), 18, FALSE)"),4.63)</f>
        <v>4.63</v>
      </c>
      <c r="G36" s="4">
        <f t="shared" ca="1" si="3"/>
        <v>1</v>
      </c>
      <c r="H36" s="4">
        <f t="shared" ca="1" si="4"/>
        <v>5.31</v>
      </c>
      <c r="I36" s="4">
        <f t="shared" ca="1" si="5"/>
        <v>5.8</v>
      </c>
    </row>
    <row r="37" spans="1:10" ht="14">
      <c r="A37" s="3">
        <v>18640206</v>
      </c>
      <c r="B37" s="4">
        <f ca="1">IFERROR(__xludf.dummyfunction("VLOOKUP(A37, IMPORTRANGE(""https://docs.google.com/spreadsheets/d/1WAXfo1nsCjpHXtcoGE16C4HR44t1K8gsIByus__VUSE"", ""'Sección 1'!$A$2:$E$100""), 5, FALSE)"),6.36)</f>
        <v>6.36</v>
      </c>
      <c r="C37" s="4">
        <f ca="1">IFERROR(__xludf.dummyfunction("VLOOKUP(A37, IMPORTRANGE(""https://docs.google.com/spreadsheets/d/1IJepw3fl3JT9l2xD-NCBW2t5xk8mCdlfKcnD6eLjDu4"", ""'I1'!$A$2:$N$101""), 14, FALSE)"),5.68)</f>
        <v>5.68</v>
      </c>
      <c r="D37" s="4">
        <f ca="1">IFERROR(__xludf.dummyfunction("IF(VLOOKUP(A37, IMPORTRANGE(""https://docs.google.com/spreadsheets/d/1IJepw3fl3JT9l2xD-NCBW2t5xk8mCdlfKcnD6eLjDu4"", ""'Ex'!$A$2:$F$101""), 6, FALSE)=1, 0.75 * VLOOKUP(A37, IMPORTRANGE(""https://docs.google.com/spreadsheets/d/1IJepw3fl3JT9l2xD-NCBW2t5xk8m"&amp;"CdlfKcnD6eLjDu4"", ""'Ex'!$A$2:$R$101""), 18, FALSE) + 0.25 * VLOOKUP(A37, IMPORTRANGE(""https://docs.google.com/spreadsheets/d/1IJepw3fl3JT9l2xD-NCBW2t5xk8mCdlfKcnD6eLjDu4"", ""'Ex'!$A$2:$R$101""), 15, FALSE) ,VLOOKUP(A37, IMPORTRANGE(""https://docs.goog"&amp;"le.com/spreadsheets/d/1IJepw3fl3JT9l2xD-NCBW2t5xk8mCdlfKcnD6eLjDu4"", ""'I2'!$A$2:$P$101""), 16, FALSE))"),4.5)</f>
        <v>4.5</v>
      </c>
      <c r="E37" s="4">
        <f ca="1">IFERROR(__xludf.dummyfunction("VLOOKUP(A37, IMPORTRANGE(""https://docs.google.com/spreadsheets/d/1IJepw3fl3JT9l2xD-NCBW2t5xk8mCdlfKcnD6eLjDu4"", ""'Ex'!$A$2:$R$101""), 18, FALSE)"),5.5)</f>
        <v>5.5</v>
      </c>
      <c r="G37" s="4">
        <f t="shared" ca="1" si="3"/>
        <v>1</v>
      </c>
      <c r="H37" s="4">
        <f t="shared" ca="1" si="4"/>
        <v>5.56</v>
      </c>
      <c r="I37" s="4">
        <f t="shared" ca="1" si="5"/>
        <v>6</v>
      </c>
    </row>
    <row r="38" spans="1:10" ht="14">
      <c r="A38" s="3">
        <v>17640784</v>
      </c>
      <c r="B38" s="4">
        <f ca="1">IFERROR(__xludf.dummyfunction("VLOOKUP(A38, IMPORTRANGE(""https://docs.google.com/spreadsheets/d/1WAXfo1nsCjpHXtcoGE16C4HR44t1K8gsIByus__VUSE"", ""'Sección 1'!$A$2:$E$100""), 5, FALSE)"),6.69)</f>
        <v>6.69</v>
      </c>
      <c r="C38" s="4">
        <f ca="1">IFERROR(__xludf.dummyfunction("VLOOKUP(A38, IMPORTRANGE(""https://docs.google.com/spreadsheets/d/1IJepw3fl3JT9l2xD-NCBW2t5xk8mCdlfKcnD6eLjDu4"", ""'I1'!$A$2:$N$101""), 14, FALSE)"),5.77)</f>
        <v>5.77</v>
      </c>
      <c r="D38" s="4">
        <f ca="1">IFERROR(__xludf.dummyfunction("IF(VLOOKUP(A38, IMPORTRANGE(""https://docs.google.com/spreadsheets/d/1IJepw3fl3JT9l2xD-NCBW2t5xk8mCdlfKcnD6eLjDu4"", ""'Ex'!$A$2:$F$101""), 6, FALSE)=1, 0.75 * VLOOKUP(A38, IMPORTRANGE(""https://docs.google.com/spreadsheets/d/1IJepw3fl3JT9l2xD-NCBW2t5xk8m"&amp;"CdlfKcnD6eLjDu4"", ""'Ex'!$A$2:$R$101""), 18, FALSE) + 0.25 * VLOOKUP(A38, IMPORTRANGE(""https://docs.google.com/spreadsheets/d/1IJepw3fl3JT9l2xD-NCBW2t5xk8mCdlfKcnD6eLjDu4"", ""'Ex'!$A$2:$R$101""), 15, FALSE) ,VLOOKUP(A38, IMPORTRANGE(""https://docs.goog"&amp;"le.com/spreadsheets/d/1IJepw3fl3JT9l2xD-NCBW2t5xk8mCdlfKcnD6eLjDu4"", ""'I2'!$A$2:$P$101""), 16, FALSE))"),4.63)</f>
        <v>4.63</v>
      </c>
      <c r="E38" s="4">
        <f ca="1">IFERROR(__xludf.dummyfunction("VLOOKUP(A38, IMPORTRANGE(""https://docs.google.com/spreadsheets/d/1IJepw3fl3JT9l2xD-NCBW2t5xk8mCdlfKcnD6eLjDu4"", ""'Ex'!$A$2:$R$101""), 18, FALSE)"),4.45)</f>
        <v>4.45</v>
      </c>
      <c r="G38" s="4">
        <f t="shared" ca="1" si="3"/>
        <v>1</v>
      </c>
      <c r="H38" s="4">
        <f t="shared" ca="1" si="4"/>
        <v>4.95</v>
      </c>
      <c r="I38" s="4">
        <f t="shared" ca="1" si="5"/>
        <v>5.8</v>
      </c>
    </row>
    <row r="39" spans="1:10" ht="14">
      <c r="A39" s="3">
        <v>17637945</v>
      </c>
      <c r="B39" s="4">
        <f ca="1">IFERROR(__xludf.dummyfunction("VLOOKUP(A39, IMPORTRANGE(""https://docs.google.com/spreadsheets/d/1WAXfo1nsCjpHXtcoGE16C4HR44t1K8gsIByus__VUSE"", ""'Sección 1'!$A$2:$E$100""), 5, FALSE)"),5.72)</f>
        <v>5.72</v>
      </c>
      <c r="C39" s="4">
        <f ca="1">IFERROR(__xludf.dummyfunction("VLOOKUP(A39, IMPORTRANGE(""https://docs.google.com/spreadsheets/d/1IJepw3fl3JT9l2xD-NCBW2t5xk8mCdlfKcnD6eLjDu4"", ""'I1'!$A$2:$N$101""), 14, FALSE)"),5.92)</f>
        <v>5.92</v>
      </c>
      <c r="D39" s="4">
        <f ca="1">IFERROR(__xludf.dummyfunction("IF(VLOOKUP(A39, IMPORTRANGE(""https://docs.google.com/spreadsheets/d/1IJepw3fl3JT9l2xD-NCBW2t5xk8mCdlfKcnD6eLjDu4"", ""'Ex'!$A$2:$F$101""), 6, FALSE)=1, 0.75 * VLOOKUP(A39, IMPORTRANGE(""https://docs.google.com/spreadsheets/d/1IJepw3fl3JT9l2xD-NCBW2t5xk8m"&amp;"CdlfKcnD6eLjDu4"", ""'Ex'!$A$2:$R$101""), 18, FALSE) + 0.25 * VLOOKUP(A39, IMPORTRANGE(""https://docs.google.com/spreadsheets/d/1IJepw3fl3JT9l2xD-NCBW2t5xk8mCdlfKcnD6eLjDu4"", ""'Ex'!$A$2:$R$101""), 15, FALSE) ,VLOOKUP(A39, IMPORTRANGE(""https://docs.goog"&amp;"le.com/spreadsheets/d/1IJepw3fl3JT9l2xD-NCBW2t5xk8mCdlfKcnD6eLjDu4"", ""'I2'!$A$2:$P$101""), 16, FALSE))"),4.33)</f>
        <v>4.33</v>
      </c>
      <c r="E39" s="4">
        <f ca="1">IFERROR(__xludf.dummyfunction("VLOOKUP(A39, IMPORTRANGE(""https://docs.google.com/spreadsheets/d/1IJepw3fl3JT9l2xD-NCBW2t5xk8mCdlfKcnD6eLjDu4"", ""'Ex'!$A$2:$R$101""), 18, FALSE)"),4.63)</f>
        <v>4.63</v>
      </c>
      <c r="G39" s="4">
        <f t="shared" ca="1" si="3"/>
        <v>1</v>
      </c>
      <c r="H39" s="4">
        <f t="shared" ca="1" si="4"/>
        <v>5.0599999999999996</v>
      </c>
      <c r="I39" s="4">
        <f t="shared" ca="1" si="5"/>
        <v>5.4</v>
      </c>
    </row>
    <row r="40" spans="1:10" ht="14">
      <c r="A40" s="3" t="s">
        <v>12</v>
      </c>
      <c r="B40" s="4">
        <f ca="1">IFERROR(__xludf.dummyfunction("VLOOKUP(A40, IMPORTRANGE(""https://docs.google.com/spreadsheets/d/1WAXfo1nsCjpHXtcoGE16C4HR44t1K8gsIByus__VUSE"", ""'Sección 1'!$A$2:$E$100""), 5, FALSE)"),6.79)</f>
        <v>6.79</v>
      </c>
      <c r="C40" s="4">
        <f ca="1">IFERROR(__xludf.dummyfunction("VLOOKUP(A40, IMPORTRANGE(""https://docs.google.com/spreadsheets/d/1IJepw3fl3JT9l2xD-NCBW2t5xk8mCdlfKcnD6eLjDu4"", ""'I1'!$A$2:$N$101""), 14, FALSE)"),5.05)</f>
        <v>5.05</v>
      </c>
      <c r="D40" s="4">
        <f ca="1">IFERROR(__xludf.dummyfunction("IF(VLOOKUP(A40, IMPORTRANGE(""https://docs.google.com/spreadsheets/d/1IJepw3fl3JT9l2xD-NCBW2t5xk8mCdlfKcnD6eLjDu4"", ""'Ex'!$A$2:$F$101""), 6, FALSE)=1, 0.75 * VLOOKUP(A40, IMPORTRANGE(""https://docs.google.com/spreadsheets/d/1IJepw3fl3JT9l2xD-NCBW2t5xk8m"&amp;"CdlfKcnD6eLjDu4"", ""'Ex'!$A$2:$R$101""), 18, FALSE) + 0.25 * VLOOKUP(A40, IMPORTRANGE(""https://docs.google.com/spreadsheets/d/1IJepw3fl3JT9l2xD-NCBW2t5xk8mCdlfKcnD6eLjDu4"", ""'Ex'!$A$2:$R$101""), 15, FALSE) ,VLOOKUP(A40, IMPORTRANGE(""https://docs.goog"&amp;"le.com/spreadsheets/d/1IJepw3fl3JT9l2xD-NCBW2t5xk8mCdlfKcnD6eLjDu4"", ""'I2'!$A$2:$P$101""), 16, FALSE))"),5.13)</f>
        <v>5.13</v>
      </c>
      <c r="E40" s="4">
        <f ca="1">IFERROR(__xludf.dummyfunction("VLOOKUP(A40, IMPORTRANGE(""https://docs.google.com/spreadsheets/d/1IJepw3fl3JT9l2xD-NCBW2t5xk8mCdlfKcnD6eLjDu4"", ""'Ex'!$A$2:$R$101""), 18, FALSE)"),4.75)</f>
        <v>4.75</v>
      </c>
      <c r="G40" s="4">
        <f t="shared" ca="1" si="3"/>
        <v>1</v>
      </c>
      <c r="H40" s="4">
        <f t="shared" ca="1" si="4"/>
        <v>4.9800000000000004</v>
      </c>
      <c r="I40" s="4">
        <f t="shared" ca="1" si="5"/>
        <v>5.9</v>
      </c>
    </row>
    <row r="41" spans="1:10" ht="14">
      <c r="A41" s="3">
        <v>17640660</v>
      </c>
      <c r="B41" s="4">
        <f ca="1">IFERROR(__xludf.dummyfunction("VLOOKUP(A41, IMPORTRANGE(""https://docs.google.com/spreadsheets/d/1WAXfo1nsCjpHXtcoGE16C4HR44t1K8gsIByus__VUSE"", ""'Sección 1'!$A$2:$E$100""), 5, FALSE)"),6.81)</f>
        <v>6.81</v>
      </c>
      <c r="C41" s="4">
        <f ca="1">IFERROR(__xludf.dummyfunction("VLOOKUP(A41, IMPORTRANGE(""https://docs.google.com/spreadsheets/d/1IJepw3fl3JT9l2xD-NCBW2t5xk8mCdlfKcnD6eLjDu4"", ""'I1'!$A$2:$N$101""), 14, FALSE)"),5.23)</f>
        <v>5.23</v>
      </c>
      <c r="D41" s="4">
        <f ca="1">IFERROR(__xludf.dummyfunction("IF(VLOOKUP(A41, IMPORTRANGE(""https://docs.google.com/spreadsheets/d/1IJepw3fl3JT9l2xD-NCBW2t5xk8mCdlfKcnD6eLjDu4"", ""'Ex'!$A$2:$F$101""), 6, FALSE)=1, 0.75 * VLOOKUP(A41, IMPORTRANGE(""https://docs.google.com/spreadsheets/d/1IJepw3fl3JT9l2xD-NCBW2t5xk8m"&amp;"CdlfKcnD6eLjDu4"", ""'Ex'!$A$2:$R$101""), 18, FALSE) + 0.25 * VLOOKUP(A41, IMPORTRANGE(""https://docs.google.com/spreadsheets/d/1IJepw3fl3JT9l2xD-NCBW2t5xk8mCdlfKcnD6eLjDu4"", ""'Ex'!$A$2:$R$101""), 15, FALSE) ,VLOOKUP(A41, IMPORTRANGE(""https://docs.goog"&amp;"le.com/spreadsheets/d/1IJepw3fl3JT9l2xD-NCBW2t5xk8mCdlfKcnD6eLjDu4"", ""'I2'!$A$2:$P$101""), 16, FALSE))"),4.8125)</f>
        <v>4.8125</v>
      </c>
      <c r="E41" s="4">
        <f ca="1">IFERROR(__xludf.dummyfunction("VLOOKUP(A41, IMPORTRANGE(""https://docs.google.com/spreadsheets/d/1IJepw3fl3JT9l2xD-NCBW2t5xk8mCdlfKcnD6eLjDu4"", ""'Ex'!$A$2:$R$101""), 18, FALSE)"),5.25)</f>
        <v>5.25</v>
      </c>
      <c r="F41" s="7">
        <v>1</v>
      </c>
      <c r="G41" s="4">
        <f t="shared" ca="1" si="3"/>
        <v>1</v>
      </c>
      <c r="H41" s="4">
        <f t="shared" ca="1" si="4"/>
        <v>5.24</v>
      </c>
      <c r="I41" s="4">
        <f t="shared" ca="1" si="5"/>
        <v>6</v>
      </c>
    </row>
    <row r="42" spans="1:10" ht="14">
      <c r="A42" s="3">
        <v>18642640</v>
      </c>
      <c r="B42" s="4">
        <f ca="1">IFERROR(__xludf.dummyfunction("VLOOKUP(A42, IMPORTRANGE(""https://docs.google.com/spreadsheets/d/1WAXfo1nsCjpHXtcoGE16C4HR44t1K8gsIByus__VUSE"", ""'Sección 1'!$A$2:$E$100""), 5, FALSE)"),6.8)</f>
        <v>6.8</v>
      </c>
      <c r="C42" s="4">
        <f ca="1">IFERROR(__xludf.dummyfunction("VLOOKUP(A42, IMPORTRANGE(""https://docs.google.com/spreadsheets/d/1IJepw3fl3JT9l2xD-NCBW2t5xk8mCdlfKcnD6eLjDu4"", ""'I1'!$A$2:$N$101""), 14, FALSE)"),4.95)</f>
        <v>4.95</v>
      </c>
      <c r="D42" s="4">
        <f ca="1">IFERROR(__xludf.dummyfunction("IF(VLOOKUP(A42, IMPORTRANGE(""https://docs.google.com/spreadsheets/d/1IJepw3fl3JT9l2xD-NCBW2t5xk8mCdlfKcnD6eLjDu4"", ""'Ex'!$A$2:$F$101""), 6, FALSE)=1, 0.75 * VLOOKUP(A42, IMPORTRANGE(""https://docs.google.com/spreadsheets/d/1IJepw3fl3JT9l2xD-NCBW2t5xk8m"&amp;"CdlfKcnD6eLjDu4"", ""'Ex'!$A$2:$R$101""), 18, FALSE) + 0.25 * VLOOKUP(A42, IMPORTRANGE(""https://docs.google.com/spreadsheets/d/1IJepw3fl3JT9l2xD-NCBW2t5xk8mCdlfKcnD6eLjDu4"", ""'Ex'!$A$2:$R$101""), 15, FALSE) ,VLOOKUP(A42, IMPORTRANGE(""https://docs.goog"&amp;"le.com/spreadsheets/d/1IJepw3fl3JT9l2xD-NCBW2t5xk8mCdlfKcnD6eLjDu4"", ""'I2'!$A$2:$P$101""), 16, FALSE))"),4)</f>
        <v>4</v>
      </c>
      <c r="E42" s="4">
        <f ca="1">IFERROR(__xludf.dummyfunction("VLOOKUP(A42, IMPORTRANGE(""https://docs.google.com/spreadsheets/d/1IJepw3fl3JT9l2xD-NCBW2t5xk8mCdlfKcnD6eLjDu4"", ""'Ex'!$A$2:$R$101""), 18, FALSE)"),3.83)</f>
        <v>3.83</v>
      </c>
      <c r="G42" s="4">
        <f t="shared" ca="1" si="3"/>
        <v>1</v>
      </c>
      <c r="H42" s="4">
        <f t="shared" ca="1" si="4"/>
        <v>4.26</v>
      </c>
      <c r="I42" s="4">
        <f t="shared" ca="1" si="5"/>
        <v>5.5</v>
      </c>
    </row>
    <row r="43" spans="1:10" ht="14">
      <c r="A43" s="3">
        <v>17624533</v>
      </c>
      <c r="B43" s="4">
        <f ca="1">IFERROR(__xludf.dummyfunction("VLOOKUP(A43, IMPORTRANGE(""https://docs.google.com/spreadsheets/d/1WAXfo1nsCjpHXtcoGE16C4HR44t1K8gsIByus__VUSE"", ""'Sección 1'!$A$2:$E$100""), 5, FALSE)"),6.12)</f>
        <v>6.12</v>
      </c>
      <c r="C43" s="4">
        <f ca="1">IFERROR(__xludf.dummyfunction("VLOOKUP(A43, IMPORTRANGE(""https://docs.google.com/spreadsheets/d/1IJepw3fl3JT9l2xD-NCBW2t5xk8mCdlfKcnD6eLjDu4"", ""'I1'!$A$2:$N$101""), 14, FALSE)"),4.5)</f>
        <v>4.5</v>
      </c>
      <c r="D43" s="4">
        <f ca="1">IFERROR(__xludf.dummyfunction("IF(VLOOKUP(A43, IMPORTRANGE(""https://docs.google.com/spreadsheets/d/1IJepw3fl3JT9l2xD-NCBW2t5xk8mCdlfKcnD6eLjDu4"", ""'Ex'!$A$2:$F$101""), 6, FALSE)=1, 0.75 * VLOOKUP(A43, IMPORTRANGE(""https://docs.google.com/spreadsheets/d/1IJepw3fl3JT9l2xD-NCBW2t5xk8m"&amp;"CdlfKcnD6eLjDu4"", ""'Ex'!$A$2:$R$101""), 18, FALSE) + 0.25 * VLOOKUP(A43, IMPORTRANGE(""https://docs.google.com/spreadsheets/d/1IJepw3fl3JT9l2xD-NCBW2t5xk8mCdlfKcnD6eLjDu4"", ""'Ex'!$A$2:$R$101""), 15, FALSE) ,VLOOKUP(A43, IMPORTRANGE(""https://docs.goog"&amp;"le.com/spreadsheets/d/1IJepw3fl3JT9l2xD-NCBW2t5xk8mCdlfKcnD6eLjDu4"", ""'I2'!$A$2:$P$101""), 16, FALSE))"),3.25)</f>
        <v>3.25</v>
      </c>
      <c r="E43" s="4">
        <f ca="1">IFERROR(__xludf.dummyfunction("VLOOKUP(A43, IMPORTRANGE(""https://docs.google.com/spreadsheets/d/1IJepw3fl3JT9l2xD-NCBW2t5xk8mCdlfKcnD6eLjDu4"", ""'Ex'!$A$2:$R$101""), 18, FALSE)"),4.93)</f>
        <v>4.93</v>
      </c>
      <c r="G43" s="4">
        <f t="shared" ca="1" si="3"/>
        <v>1</v>
      </c>
      <c r="H43" s="4">
        <f t="shared" ca="1" si="4"/>
        <v>4.79</v>
      </c>
      <c r="I43" s="4">
        <f t="shared" ca="1" si="5"/>
        <v>5.5</v>
      </c>
    </row>
    <row r="44" spans="1:10" ht="14">
      <c r="A44" s="3">
        <v>16635108</v>
      </c>
      <c r="B44" s="4">
        <f ca="1">IFERROR(__xludf.dummyfunction("VLOOKUP(A44, IMPORTRANGE(""https://docs.google.com/spreadsheets/d/1WAXfo1nsCjpHXtcoGE16C4HR44t1K8gsIByus__VUSE"", ""'Sección 1'!$A$2:$E$100""), 5, FALSE)"),6.46)</f>
        <v>6.46</v>
      </c>
      <c r="C44" s="4">
        <f ca="1">IFERROR(__xludf.dummyfunction("VLOOKUP(A44, IMPORTRANGE(""https://docs.google.com/spreadsheets/d/1IJepw3fl3JT9l2xD-NCBW2t5xk8mCdlfKcnD6eLjDu4"", ""'I1'!$A$2:$N$101""), 14, FALSE)"),5.63)</f>
        <v>5.63</v>
      </c>
      <c r="D44" s="4">
        <f ca="1">IFERROR(__xludf.dummyfunction("IF(VLOOKUP(A44, IMPORTRANGE(""https://docs.google.com/spreadsheets/d/1IJepw3fl3JT9l2xD-NCBW2t5xk8mCdlfKcnD6eLjDu4"", ""'Ex'!$A$2:$F$101""), 6, FALSE)=1, 0.75 * VLOOKUP(A44, IMPORTRANGE(""https://docs.google.com/spreadsheets/d/1IJepw3fl3JT9l2xD-NCBW2t5xk8m"&amp;"CdlfKcnD6eLjDu4"", ""'Ex'!$A$2:$R$101""), 18, FALSE) + 0.25 * VLOOKUP(A44, IMPORTRANGE(""https://docs.google.com/spreadsheets/d/1IJepw3fl3JT9l2xD-NCBW2t5xk8mCdlfKcnD6eLjDu4"", ""'Ex'!$A$2:$R$101""), 15, FALSE) ,VLOOKUP(A44, IMPORTRANGE(""https://docs.goog"&amp;"le.com/spreadsheets/d/1IJepw3fl3JT9l2xD-NCBW2t5xk8mCdlfKcnD6eLjDu4"", ""'I2'!$A$2:$P$101""), 16, FALSE))"),4.75)</f>
        <v>4.75</v>
      </c>
      <c r="E44" s="4">
        <f ca="1">IFERROR(__xludf.dummyfunction("VLOOKUP(A44, IMPORTRANGE(""https://docs.google.com/spreadsheets/d/1IJepw3fl3JT9l2xD-NCBW2t5xk8mCdlfKcnD6eLjDu4"", ""'Ex'!$A$2:$R$101""), 18, FALSE)"),4.45)</f>
        <v>4.45</v>
      </c>
      <c r="G44" s="4">
        <f t="shared" ca="1" si="3"/>
        <v>1</v>
      </c>
      <c r="H44" s="4">
        <f t="shared" ca="1" si="4"/>
        <v>4.9400000000000004</v>
      </c>
      <c r="I44" s="4">
        <f t="shared" ca="1" si="5"/>
        <v>5.7</v>
      </c>
    </row>
    <row r="45" spans="1:10" ht="14">
      <c r="A45" s="3">
        <v>18641571</v>
      </c>
      <c r="B45" s="4">
        <f ca="1">IFERROR(__xludf.dummyfunction("VLOOKUP(A45, IMPORTRANGE(""https://docs.google.com/spreadsheets/d/1WAXfo1nsCjpHXtcoGE16C4HR44t1K8gsIByus__VUSE"", ""'Sección 1'!$A$2:$E$100""), 5, FALSE)"),6.86)</f>
        <v>6.86</v>
      </c>
      <c r="C45" s="4">
        <f ca="1">IFERROR(__xludf.dummyfunction("VLOOKUP(A45, IMPORTRANGE(""https://docs.google.com/spreadsheets/d/1IJepw3fl3JT9l2xD-NCBW2t5xk8mCdlfKcnD6eLjDu4"", ""'I1'!$A$2:$N$101""), 14, FALSE)"),5.65)</f>
        <v>5.65</v>
      </c>
      <c r="D45" s="4">
        <f ca="1">IFERROR(__xludf.dummyfunction("IF(VLOOKUP(A45, IMPORTRANGE(""https://docs.google.com/spreadsheets/d/1IJepw3fl3JT9l2xD-NCBW2t5xk8mCdlfKcnD6eLjDu4"", ""'Ex'!$A$2:$F$101""), 6, FALSE)=1, 0.75 * VLOOKUP(A45, IMPORTRANGE(""https://docs.google.com/spreadsheets/d/1IJepw3fl3JT9l2xD-NCBW2t5xk8m"&amp;"CdlfKcnD6eLjDu4"", ""'Ex'!$A$2:$R$101""), 18, FALSE) + 0.25 * VLOOKUP(A45, IMPORTRANGE(""https://docs.google.com/spreadsheets/d/1IJepw3fl3JT9l2xD-NCBW2t5xk8mCdlfKcnD6eLjDu4"", ""'Ex'!$A$2:$R$101""), 15, FALSE) ,VLOOKUP(A45, IMPORTRANGE(""https://docs.goog"&amp;"le.com/spreadsheets/d/1IJepw3fl3JT9l2xD-NCBW2t5xk8mCdlfKcnD6eLjDu4"", ""'I2'!$A$2:$P$101""), 16, FALSE))"),3.38)</f>
        <v>3.38</v>
      </c>
      <c r="E45" s="4">
        <f ca="1">IFERROR(__xludf.dummyfunction("VLOOKUP(A45, IMPORTRANGE(""https://docs.google.com/spreadsheets/d/1IJepw3fl3JT9l2xD-NCBW2t5xk8mCdlfKcnD6eLjDu4"", ""'Ex'!$A$2:$R$101""), 18, FALSE)"),4.31)</f>
        <v>4.3099999999999996</v>
      </c>
      <c r="G45" s="4">
        <f t="shared" ca="1" si="3"/>
        <v>1</v>
      </c>
      <c r="H45" s="4">
        <f t="shared" ca="1" si="4"/>
        <v>4.76</v>
      </c>
      <c r="I45" s="4">
        <f t="shared" ca="1" si="5"/>
        <v>5.8</v>
      </c>
    </row>
    <row r="46" spans="1:10" ht="14">
      <c r="A46" s="3">
        <v>16635159</v>
      </c>
      <c r="B46" s="4">
        <f ca="1">IFERROR(__xludf.dummyfunction("VLOOKUP(A46, IMPORTRANGE(""https://docs.google.com/spreadsheets/d/1WAXfo1nsCjpHXtcoGE16C4HR44t1K8gsIByus__VUSE"", ""'Sección 1'!$A$2:$E$100""), 5, FALSE)"),6.47)</f>
        <v>6.47</v>
      </c>
      <c r="C46" s="4">
        <f ca="1">IFERROR(__xludf.dummyfunction("VLOOKUP(A46, IMPORTRANGE(""https://docs.google.com/spreadsheets/d/1IJepw3fl3JT9l2xD-NCBW2t5xk8mCdlfKcnD6eLjDu4"", ""'I1'!$A$2:$N$101""), 14, FALSE)"),5.93)</f>
        <v>5.93</v>
      </c>
      <c r="D46" s="4">
        <f ca="1">IFERROR(__xludf.dummyfunction("IF(VLOOKUP(A46, IMPORTRANGE(""https://docs.google.com/spreadsheets/d/1IJepw3fl3JT9l2xD-NCBW2t5xk8mCdlfKcnD6eLjDu4"", ""'Ex'!$A$2:$F$101""), 6, FALSE)=1, 0.75 * VLOOKUP(A46, IMPORTRANGE(""https://docs.google.com/spreadsheets/d/1IJepw3fl3JT9l2xD-NCBW2t5xk8m"&amp;"CdlfKcnD6eLjDu4"", ""'Ex'!$A$2:$R$101""), 18, FALSE) + 0.25 * VLOOKUP(A46, IMPORTRANGE(""https://docs.google.com/spreadsheets/d/1IJepw3fl3JT9l2xD-NCBW2t5xk8mCdlfKcnD6eLjDu4"", ""'Ex'!$A$2:$R$101""), 15, FALSE) ,VLOOKUP(A46, IMPORTRANGE(""https://docs.goog"&amp;"le.com/spreadsheets/d/1IJepw3fl3JT9l2xD-NCBW2t5xk8mCdlfKcnD6eLjDu4"", ""'I2'!$A$2:$P$101""), 16, FALSE))"),6.13)</f>
        <v>6.13</v>
      </c>
      <c r="E46" s="4">
        <f ca="1">IFERROR(__xludf.dummyfunction("VLOOKUP(A46, IMPORTRANGE(""https://docs.google.com/spreadsheets/d/1IJepw3fl3JT9l2xD-NCBW2t5xk8mCdlfKcnD6eLjDu4"", ""'Ex'!$A$2:$R$101""), 18, FALSE)"),6.5)</f>
        <v>6.5</v>
      </c>
      <c r="G46" s="4">
        <f t="shared" ca="1" si="3"/>
        <v>1</v>
      </c>
      <c r="H46" s="4">
        <f t="shared" ca="1" si="4"/>
        <v>6.38</v>
      </c>
      <c r="I46" s="4">
        <f t="shared" ca="1" si="5"/>
        <v>6.4</v>
      </c>
    </row>
    <row r="47" spans="1:10" ht="14">
      <c r="A47" s="3" t="s">
        <v>13</v>
      </c>
      <c r="B47" s="4">
        <f ca="1">IFERROR(__xludf.dummyfunction("VLOOKUP(A47, IMPORTRANGE(""https://docs.google.com/spreadsheets/d/1WAXfo1nsCjpHXtcoGE16C4HR44t1K8gsIByus__VUSE"", ""'Sección 1'!$A$2:$E$100""), 5, FALSE)"),6.44)</f>
        <v>6.44</v>
      </c>
      <c r="C47" s="4">
        <f ca="1">IFERROR(__xludf.dummyfunction("VLOOKUP(A47, IMPORTRANGE(""https://docs.google.com/spreadsheets/d/1IJepw3fl3JT9l2xD-NCBW2t5xk8mCdlfKcnD6eLjDu4"", ""'I1'!$A$2:$N$101""), 14, FALSE)"),6.43)</f>
        <v>6.43</v>
      </c>
      <c r="D47" s="4">
        <f ca="1">IFERROR(__xludf.dummyfunction("IF(VLOOKUP(A47, IMPORTRANGE(""https://docs.google.com/spreadsheets/d/1IJepw3fl3JT9l2xD-NCBW2t5xk8mCdlfKcnD6eLjDu4"", ""'Ex'!$A$2:$F$101""), 6, FALSE)=1, 0.75 * VLOOKUP(A47, IMPORTRANGE(""https://docs.google.com/spreadsheets/d/1IJepw3fl3JT9l2xD-NCBW2t5xk8m"&amp;"CdlfKcnD6eLjDu4"", ""'Ex'!$A$2:$R$101""), 18, FALSE) + 0.25 * VLOOKUP(A47, IMPORTRANGE(""https://docs.google.com/spreadsheets/d/1IJepw3fl3JT9l2xD-NCBW2t5xk8mCdlfKcnD6eLjDu4"", ""'Ex'!$A$2:$R$101""), 15, FALSE) ,VLOOKUP(A47, IMPORTRANGE(""https://docs.goog"&amp;"le.com/spreadsheets/d/1IJepw3fl3JT9l2xD-NCBW2t5xk8mCdlfKcnD6eLjDu4"", ""'I2'!$A$2:$P$101""), 16, FALSE))"),3.75)</f>
        <v>3.75</v>
      </c>
      <c r="E47" s="4">
        <f ca="1">IFERROR(__xludf.dummyfunction("VLOOKUP(A47, IMPORTRANGE(""https://docs.google.com/spreadsheets/d/1IJepw3fl3JT9l2xD-NCBW2t5xk8mCdlfKcnD6eLjDu4"", ""'Ex'!$A$2:$R$101""), 18, FALSE)"),5.45)</f>
        <v>5.45</v>
      </c>
      <c r="G47" s="4">
        <f t="shared" ca="1" si="3"/>
        <v>1</v>
      </c>
      <c r="H47" s="4">
        <f t="shared" ca="1" si="4"/>
        <v>5.78</v>
      </c>
      <c r="I47" s="4">
        <f t="shared" ca="1" si="5"/>
        <v>6.1</v>
      </c>
    </row>
    <row r="48" spans="1:10" ht="14">
      <c r="A48" s="3">
        <v>17638879</v>
      </c>
      <c r="B48" s="4">
        <f ca="1">IFERROR(__xludf.dummyfunction("VLOOKUP(A48, IMPORTRANGE(""https://docs.google.com/spreadsheets/d/1WAXfo1nsCjpHXtcoGE16C4HR44t1K8gsIByus__VUSE"", ""'Sección 1'!$A$2:$E$100""), 5, FALSE)"),6.79)</f>
        <v>6.79</v>
      </c>
      <c r="C48" s="4">
        <f ca="1">IFERROR(__xludf.dummyfunction("VLOOKUP(A48, IMPORTRANGE(""https://docs.google.com/spreadsheets/d/1IJepw3fl3JT9l2xD-NCBW2t5xk8mCdlfKcnD6eLjDu4"", ""'I1'!$A$2:$N$101""), 14, FALSE)"),5.05)</f>
        <v>5.05</v>
      </c>
      <c r="D48" s="4">
        <f ca="1">IFERROR(__xludf.dummyfunction("IF(VLOOKUP(A48, IMPORTRANGE(""https://docs.google.com/spreadsheets/d/1IJepw3fl3JT9l2xD-NCBW2t5xk8mCdlfKcnD6eLjDu4"", ""'Ex'!$A$2:$F$101""), 6, FALSE)=1, 0.75 * VLOOKUP(A48, IMPORTRANGE(""https://docs.google.com/spreadsheets/d/1IJepw3fl3JT9l2xD-NCBW2t5xk8m"&amp;"CdlfKcnD6eLjDu4"", ""'Ex'!$A$2:$R$101""), 18, FALSE) + 0.25 * VLOOKUP(A48, IMPORTRANGE(""https://docs.google.com/spreadsheets/d/1IJepw3fl3JT9l2xD-NCBW2t5xk8mCdlfKcnD6eLjDu4"", ""'Ex'!$A$2:$R$101""), 15, FALSE) ,VLOOKUP(A48, IMPORTRANGE(""https://docs.goog"&amp;"le.com/spreadsheets/d/1IJepw3fl3JT9l2xD-NCBW2t5xk8mCdlfKcnD6eLjDu4"", ""'I2'!$A$2:$P$101""), 16, FALSE))"),5.63)</f>
        <v>5.63</v>
      </c>
      <c r="E48" s="4">
        <f ca="1">IFERROR(__xludf.dummyfunction("VLOOKUP(A48, IMPORTRANGE(""https://docs.google.com/spreadsheets/d/1IJepw3fl3JT9l2xD-NCBW2t5xk8mCdlfKcnD6eLjDu4"", ""'Ex'!$A$2:$R$101""), 18, FALSE)"),6)</f>
        <v>6</v>
      </c>
      <c r="G48" s="4">
        <f t="shared" ca="1" si="3"/>
        <v>1</v>
      </c>
      <c r="H48" s="4">
        <f t="shared" ca="1" si="4"/>
        <v>5.88</v>
      </c>
      <c r="I48" s="4">
        <f t="shared" ca="1" si="5"/>
        <v>6.3</v>
      </c>
    </row>
    <row r="49" spans="1:9" ht="14">
      <c r="A49" s="3">
        <v>16635450</v>
      </c>
      <c r="B49" s="4">
        <f ca="1">IFERROR(__xludf.dummyfunction("VLOOKUP(A49, IMPORTRANGE(""https://docs.google.com/spreadsheets/d/1WAXfo1nsCjpHXtcoGE16C4HR44t1K8gsIByus__VUSE"", ""'Sección 1'!$A$2:$E$100""), 5, FALSE)"),6.91)</f>
        <v>6.91</v>
      </c>
      <c r="C49" s="4">
        <f ca="1">IFERROR(__xludf.dummyfunction("VLOOKUP(A49, IMPORTRANGE(""https://docs.google.com/spreadsheets/d/1IJepw3fl3JT9l2xD-NCBW2t5xk8mCdlfKcnD6eLjDu4"", ""'I1'!$A$2:$N$101""), 14, FALSE)"),5.5)</f>
        <v>5.5</v>
      </c>
      <c r="D49" s="4">
        <f ca="1">IFERROR(__xludf.dummyfunction("IF(VLOOKUP(A49, IMPORTRANGE(""https://docs.google.com/spreadsheets/d/1IJepw3fl3JT9l2xD-NCBW2t5xk8mCdlfKcnD6eLjDu4"", ""'Ex'!$A$2:$F$101""), 6, FALSE)=1, 0.75 * VLOOKUP(A49, IMPORTRANGE(""https://docs.google.com/spreadsheets/d/1IJepw3fl3JT9l2xD-NCBW2t5xk8m"&amp;"CdlfKcnD6eLjDu4"", ""'Ex'!$A$2:$R$101""), 18, FALSE) + 0.25 * VLOOKUP(A49, IMPORTRANGE(""https://docs.google.com/spreadsheets/d/1IJepw3fl3JT9l2xD-NCBW2t5xk8mCdlfKcnD6eLjDu4"", ""'Ex'!$A$2:$R$101""), 15, FALSE) ,VLOOKUP(A49, IMPORTRANGE(""https://docs.goog"&amp;"le.com/spreadsheets/d/1IJepw3fl3JT9l2xD-NCBW2t5xk8mCdlfKcnD6eLjDu4"", ""'I2'!$A$2:$P$101""), 16, FALSE))"),5.93)</f>
        <v>5.93</v>
      </c>
      <c r="E49" s="4">
        <f ca="1">IFERROR(__xludf.dummyfunction("VLOOKUP(A49, IMPORTRANGE(""https://docs.google.com/spreadsheets/d/1IJepw3fl3JT9l2xD-NCBW2t5xk8mCdlfKcnD6eLjDu4"", ""'Ex'!$A$2:$R$101""), 18, FALSE)"),6.75)</f>
        <v>6.75</v>
      </c>
      <c r="G49" s="4">
        <f t="shared" ca="1" si="3"/>
        <v>1</v>
      </c>
      <c r="H49" s="4">
        <f t="shared" ca="1" si="4"/>
        <v>6.48</v>
      </c>
      <c r="I49" s="4">
        <f t="shared" ca="1" si="5"/>
        <v>6.7</v>
      </c>
    </row>
    <row r="50" spans="1:9" ht="14">
      <c r="A50" s="3">
        <v>18639771</v>
      </c>
      <c r="B50" s="4">
        <f ca="1">IFERROR(__xludf.dummyfunction("VLOOKUP(A50, IMPORTRANGE(""https://docs.google.com/spreadsheets/d/1WAXfo1nsCjpHXtcoGE16C4HR44t1K8gsIByus__VUSE"", ""'Sección 1'!$A$2:$E$100""), 5, FALSE)"),6.86)</f>
        <v>6.86</v>
      </c>
      <c r="C50" s="4">
        <f ca="1">IFERROR(__xludf.dummyfunction("VLOOKUP(A50, IMPORTRANGE(""https://docs.google.com/spreadsheets/d/1IJepw3fl3JT9l2xD-NCBW2t5xk8mCdlfKcnD6eLjDu4"", ""'I1'!$A$2:$N$101""), 14, FALSE)"),5.12)</f>
        <v>5.12</v>
      </c>
      <c r="D50" s="4">
        <f ca="1">IFERROR(__xludf.dummyfunction("IF(VLOOKUP(A50, IMPORTRANGE(""https://docs.google.com/spreadsheets/d/1IJepw3fl3JT9l2xD-NCBW2t5xk8mCdlfKcnD6eLjDu4"", ""'Ex'!$A$2:$F$101""), 6, FALSE)=1, 0.75 * VLOOKUP(A50, IMPORTRANGE(""https://docs.google.com/spreadsheets/d/1IJepw3fl3JT9l2xD-NCBW2t5xk8m"&amp;"CdlfKcnD6eLjDu4"", ""'Ex'!$A$2:$R$101""), 18, FALSE) + 0.25 * VLOOKUP(A50, IMPORTRANGE(""https://docs.google.com/spreadsheets/d/1IJepw3fl3JT9l2xD-NCBW2t5xk8mCdlfKcnD6eLjDu4"", ""'Ex'!$A$2:$R$101""), 15, FALSE) ,VLOOKUP(A50, IMPORTRANGE(""https://docs.goog"&amp;"le.com/spreadsheets/d/1IJepw3fl3JT9l2xD-NCBW2t5xk8mCdlfKcnD6eLjDu4"", ""'I2'!$A$2:$P$101""), 16, FALSE))"),3)</f>
        <v>3</v>
      </c>
      <c r="E50" s="4">
        <f ca="1">IFERROR(__xludf.dummyfunction("VLOOKUP(A50, IMPORTRANGE(""https://docs.google.com/spreadsheets/d/1IJepw3fl3JT9l2xD-NCBW2t5xk8mCdlfKcnD6eLjDu4"", ""'Ex'!$A$2:$R$101""), 18, FALSE)"),5.25)</f>
        <v>5.25</v>
      </c>
      <c r="G50" s="4">
        <f t="shared" ca="1" si="3"/>
        <v>1</v>
      </c>
      <c r="H50" s="4">
        <f t="shared" ca="1" si="4"/>
        <v>5.21</v>
      </c>
      <c r="I50" s="4">
        <f t="shared" ca="1" si="5"/>
        <v>6</v>
      </c>
    </row>
    <row r="51" spans="1:9" ht="14">
      <c r="A51" s="3">
        <v>17637155</v>
      </c>
      <c r="B51" s="4">
        <f ca="1">IFERROR(__xludf.dummyfunction("VLOOKUP(A51, IMPORTRANGE(""https://docs.google.com/spreadsheets/d/1WAXfo1nsCjpHXtcoGE16C4HR44t1K8gsIByus__VUSE"", ""'Sección 1'!$A$2:$E$100""), 5, FALSE)"),6.36)</f>
        <v>6.36</v>
      </c>
      <c r="C51" s="4">
        <f ca="1">IFERROR(__xludf.dummyfunction("VLOOKUP(A51, IMPORTRANGE(""https://docs.google.com/spreadsheets/d/1IJepw3fl3JT9l2xD-NCBW2t5xk8mCdlfKcnD6eLjDu4"", ""'I1'!$A$2:$N$101""), 14, FALSE)"),5.95)</f>
        <v>5.95</v>
      </c>
      <c r="D51" s="4">
        <f ca="1">IFERROR(__xludf.dummyfunction("IF(VLOOKUP(A51, IMPORTRANGE(""https://docs.google.com/spreadsheets/d/1IJepw3fl3JT9l2xD-NCBW2t5xk8mCdlfKcnD6eLjDu4"", ""'Ex'!$A$2:$F$101""), 6, FALSE)=1, 0.75 * VLOOKUP(A51, IMPORTRANGE(""https://docs.google.com/spreadsheets/d/1IJepw3fl3JT9l2xD-NCBW2t5xk8m"&amp;"CdlfKcnD6eLjDu4"", ""'Ex'!$A$2:$R$101""), 18, FALSE) + 0.25 * VLOOKUP(A51, IMPORTRANGE(""https://docs.google.com/spreadsheets/d/1IJepw3fl3JT9l2xD-NCBW2t5xk8mCdlfKcnD6eLjDu4"", ""'Ex'!$A$2:$R$101""), 15, FALSE) ,VLOOKUP(A51, IMPORTRANGE(""https://docs.goog"&amp;"le.com/spreadsheets/d/1IJepw3fl3JT9l2xD-NCBW2t5xk8mCdlfKcnD6eLjDu4"", ""'I2'!$A$2:$P$101""), 16, FALSE))"),5.63)</f>
        <v>5.63</v>
      </c>
      <c r="E51" s="4">
        <f ca="1">IFERROR(__xludf.dummyfunction("VLOOKUP(A51, IMPORTRANGE(""https://docs.google.com/spreadsheets/d/1IJepw3fl3JT9l2xD-NCBW2t5xk8mCdlfKcnD6eLjDu4"", ""'Ex'!$A$2:$R$101""), 18, FALSE)"),6.13)</f>
        <v>6.13</v>
      </c>
      <c r="G51" s="4">
        <f t="shared" ca="1" si="3"/>
        <v>1</v>
      </c>
      <c r="H51" s="4">
        <f t="shared" ca="1" si="4"/>
        <v>6.07</v>
      </c>
      <c r="I51" s="4">
        <f t="shared" ca="1" si="5"/>
        <v>6.2</v>
      </c>
    </row>
    <row r="52" spans="1:9" ht="14">
      <c r="A52" s="3">
        <v>17638569</v>
      </c>
      <c r="B52" s="4">
        <f ca="1">IFERROR(__xludf.dummyfunction("VLOOKUP(A52, IMPORTRANGE(""https://docs.google.com/spreadsheets/d/1WAXfo1nsCjpHXtcoGE16C4HR44t1K8gsIByus__VUSE"", ""'Sección 1'!$A$2:$E$100""), 5, FALSE)"),5.72)</f>
        <v>5.72</v>
      </c>
      <c r="C52" s="4">
        <f ca="1">IFERROR(__xludf.dummyfunction("VLOOKUP(A52, IMPORTRANGE(""https://docs.google.com/spreadsheets/d/1IJepw3fl3JT9l2xD-NCBW2t5xk8mCdlfKcnD6eLjDu4"", ""'I1'!$A$2:$N$101""), 14, FALSE)"),6.17)</f>
        <v>6.17</v>
      </c>
      <c r="D52" s="4">
        <f ca="1">IFERROR(__xludf.dummyfunction("IF(VLOOKUP(A52, IMPORTRANGE(""https://docs.google.com/spreadsheets/d/1IJepw3fl3JT9l2xD-NCBW2t5xk8mCdlfKcnD6eLjDu4"", ""'Ex'!$A$2:$F$101""), 6, FALSE)=1, 0.75 * VLOOKUP(A52, IMPORTRANGE(""https://docs.google.com/spreadsheets/d/1IJepw3fl3JT9l2xD-NCBW2t5xk8m"&amp;"CdlfKcnD6eLjDu4"", ""'Ex'!$A$2:$R$101""), 18, FALSE) + 0.25 * VLOOKUP(A52, IMPORTRANGE(""https://docs.google.com/spreadsheets/d/1IJepw3fl3JT9l2xD-NCBW2t5xk8mCdlfKcnD6eLjDu4"", ""'Ex'!$A$2:$R$101""), 15, FALSE) ,VLOOKUP(A52, IMPORTRANGE(""https://docs.goog"&amp;"le.com/spreadsheets/d/1IJepw3fl3JT9l2xD-NCBW2t5xk8mCdlfKcnD6eLjDu4"", ""'I2'!$A$2:$P$101""), 16, FALSE))"),3.88)</f>
        <v>3.88</v>
      </c>
      <c r="E52" s="4">
        <f ca="1">IFERROR(__xludf.dummyfunction("VLOOKUP(A52, IMPORTRANGE(""https://docs.google.com/spreadsheets/d/1IJepw3fl3JT9l2xD-NCBW2t5xk8mCdlfKcnD6eLjDu4"", ""'Ex'!$A$2:$R$101""), 18, FALSE)"),4.75)</f>
        <v>4.75</v>
      </c>
      <c r="G52" s="4">
        <f t="shared" ca="1" si="3"/>
        <v>1</v>
      </c>
      <c r="H52" s="4">
        <f t="shared" ca="1" si="4"/>
        <v>5.22</v>
      </c>
      <c r="I52" s="4">
        <f t="shared" ca="1" si="5"/>
        <v>5.5</v>
      </c>
    </row>
    <row r="53" spans="1:9" ht="14">
      <c r="A53" s="3">
        <v>18642292</v>
      </c>
      <c r="B53" s="4">
        <f ca="1">IFERROR(__xludf.dummyfunction("VLOOKUP(A53, IMPORTRANGE(""https://docs.google.com/spreadsheets/d/1WAXfo1nsCjpHXtcoGE16C4HR44t1K8gsIByus__VUSE"", ""'Sección 1'!$A$2:$E$100""), 5, FALSE)"),5.99)</f>
        <v>5.99</v>
      </c>
      <c r="C53" s="4">
        <f ca="1">IFERROR(__xludf.dummyfunction("VLOOKUP(A53, IMPORTRANGE(""https://docs.google.com/spreadsheets/d/1IJepw3fl3JT9l2xD-NCBW2t5xk8mCdlfKcnD6eLjDu4"", ""'I1'!$A$2:$N$101""), 14, FALSE)"),3.75)</f>
        <v>3.75</v>
      </c>
      <c r="D53" s="4">
        <f ca="1">IFERROR(__xludf.dummyfunction("IF(VLOOKUP(A53, IMPORTRANGE(""https://docs.google.com/spreadsheets/d/1IJepw3fl3JT9l2xD-NCBW2t5xk8mCdlfKcnD6eLjDu4"", ""'Ex'!$A$2:$F$101""), 6, FALSE)=1, 0.75 * VLOOKUP(A53, IMPORTRANGE(""https://docs.google.com/spreadsheets/d/1IJepw3fl3JT9l2xD-NCBW2t5xk8m"&amp;"CdlfKcnD6eLjDu4"", ""'Ex'!$A$2:$R$101""), 18, FALSE) + 0.25 * VLOOKUP(A53, IMPORTRANGE(""https://docs.google.com/spreadsheets/d/1IJepw3fl3JT9l2xD-NCBW2t5xk8mCdlfKcnD6eLjDu4"", ""'Ex'!$A$2:$R$101""), 15, FALSE) ,VLOOKUP(A53, IMPORTRANGE(""https://docs.goog"&amp;"le.com/spreadsheets/d/1IJepw3fl3JT9l2xD-NCBW2t5xk8mCdlfKcnD6eLjDu4"", ""'I2'!$A$2:$P$101""), 16, FALSE))"),3.98)</f>
        <v>3.98</v>
      </c>
      <c r="E53" s="4">
        <f ca="1">IFERROR(__xludf.dummyfunction("VLOOKUP(A53, IMPORTRANGE(""https://docs.google.com/spreadsheets/d/1IJepw3fl3JT9l2xD-NCBW2t5xk8mCdlfKcnD6eLjDu4"", ""'Ex'!$A$2:$R$101""), 18, FALSE)"),4.25)</f>
        <v>4.25</v>
      </c>
      <c r="G53" s="4">
        <f t="shared" ca="1" si="3"/>
        <v>1</v>
      </c>
      <c r="H53" s="4">
        <f t="shared" ca="1" si="4"/>
        <v>4.16</v>
      </c>
      <c r="I53" s="4">
        <f t="shared" ca="1" si="5"/>
        <v>5.0999999999999996</v>
      </c>
    </row>
    <row r="54" spans="1:9" ht="14">
      <c r="A54" s="3">
        <v>18639119</v>
      </c>
      <c r="B54" s="4">
        <f ca="1">IFERROR(__xludf.dummyfunction("VLOOKUP(A54, IMPORTRANGE(""https://docs.google.com/spreadsheets/d/1WAXfo1nsCjpHXtcoGE16C4HR44t1K8gsIByus__VUSE"", ""'Sección 1'!$A$2:$E$100""), 5, FALSE)"),6.7)</f>
        <v>6.7</v>
      </c>
      <c r="C54" s="4">
        <f ca="1">IFERROR(__xludf.dummyfunction("VLOOKUP(A54, IMPORTRANGE(""https://docs.google.com/spreadsheets/d/1IJepw3fl3JT9l2xD-NCBW2t5xk8mCdlfKcnD6eLjDu4"", ""'I1'!$A$2:$N$101""), 14, FALSE)"),4.78)</f>
        <v>4.78</v>
      </c>
      <c r="D54" s="4">
        <f ca="1">IFERROR(__xludf.dummyfunction("IF(VLOOKUP(A54, IMPORTRANGE(""https://docs.google.com/spreadsheets/d/1IJepw3fl3JT9l2xD-NCBW2t5xk8mCdlfKcnD6eLjDu4"", ""'Ex'!$A$2:$F$101""), 6, FALSE)=1, 0.75 * VLOOKUP(A54, IMPORTRANGE(""https://docs.google.com/spreadsheets/d/1IJepw3fl3JT9l2xD-NCBW2t5xk8m"&amp;"CdlfKcnD6eLjDu4"", ""'Ex'!$A$2:$R$101""), 18, FALSE) + 0.25 * VLOOKUP(A54, IMPORTRANGE(""https://docs.google.com/spreadsheets/d/1IJepw3fl3JT9l2xD-NCBW2t5xk8mCdlfKcnD6eLjDu4"", ""'Ex'!$A$2:$R$101""), 15, FALSE) ,VLOOKUP(A54, IMPORTRANGE(""https://docs.goog"&amp;"le.com/spreadsheets/d/1IJepw3fl3JT9l2xD-NCBW2t5xk8mCdlfKcnD6eLjDu4"", ""'I2'!$A$2:$P$101""), 16, FALSE))"),4.63)</f>
        <v>4.63</v>
      </c>
      <c r="E54" s="4">
        <f ca="1">IFERROR(__xludf.dummyfunction("VLOOKUP(A54, IMPORTRANGE(""https://docs.google.com/spreadsheets/d/1IJepw3fl3JT9l2xD-NCBW2t5xk8mCdlfKcnD6eLjDu4"", ""'Ex'!$A$2:$R$101""), 18, FALSE)"),4.43)</f>
        <v>4.43</v>
      </c>
      <c r="G54" s="4">
        <f t="shared" ca="1" si="3"/>
        <v>1</v>
      </c>
      <c r="H54" s="4">
        <f t="shared" ca="1" si="4"/>
        <v>4.6100000000000003</v>
      </c>
      <c r="I54" s="4">
        <f t="shared" ca="1" si="5"/>
        <v>5.7</v>
      </c>
    </row>
    <row r="55" spans="1:9" ht="14">
      <c r="A55" s="3">
        <v>18639399</v>
      </c>
      <c r="B55" s="4">
        <f ca="1">IFERROR(__xludf.dummyfunction("VLOOKUP(A55, IMPORTRANGE(""https://docs.google.com/spreadsheets/d/1WAXfo1nsCjpHXtcoGE16C4HR44t1K8gsIByus__VUSE"", ""'Sección 1'!$A$2:$E$100""), 5, FALSE)"),6.86)</f>
        <v>6.86</v>
      </c>
      <c r="C55" s="4">
        <f ca="1">IFERROR(__xludf.dummyfunction("VLOOKUP(A55, IMPORTRANGE(""https://docs.google.com/spreadsheets/d/1IJepw3fl3JT9l2xD-NCBW2t5xk8mCdlfKcnD6eLjDu4"", ""'I1'!$A$2:$N$101""), 14, FALSE)"),6.25)</f>
        <v>6.25</v>
      </c>
      <c r="D55" s="4">
        <f ca="1">IFERROR(__xludf.dummyfunction("IF(VLOOKUP(A55, IMPORTRANGE(""https://docs.google.com/spreadsheets/d/1IJepw3fl3JT9l2xD-NCBW2t5xk8mCdlfKcnD6eLjDu4"", ""'Ex'!$A$2:$F$101""), 6, FALSE)=1, 0.75 * VLOOKUP(A55, IMPORTRANGE(""https://docs.google.com/spreadsheets/d/1IJepw3fl3JT9l2xD-NCBW2t5xk8m"&amp;"CdlfKcnD6eLjDu4"", ""'Ex'!$A$2:$R$101""), 18, FALSE) + 0.25 * VLOOKUP(A55, IMPORTRANGE(""https://docs.google.com/spreadsheets/d/1IJepw3fl3JT9l2xD-NCBW2t5xk8mCdlfKcnD6eLjDu4"", ""'Ex'!$A$2:$R$101""), 15, FALSE) ,VLOOKUP(A55, IMPORTRANGE(""https://docs.goog"&amp;"le.com/spreadsheets/d/1IJepw3fl3JT9l2xD-NCBW2t5xk8mCdlfKcnD6eLjDu4"", ""'I2'!$A$2:$P$101""), 16, FALSE))"),4.25)</f>
        <v>4.25</v>
      </c>
      <c r="E55" s="4">
        <f ca="1">IFERROR(__xludf.dummyfunction("VLOOKUP(A55, IMPORTRANGE(""https://docs.google.com/spreadsheets/d/1IJepw3fl3JT9l2xD-NCBW2t5xk8mCdlfKcnD6eLjDu4"", ""'Ex'!$A$2:$R$101""), 18, FALSE)"),5.88)</f>
        <v>5.88</v>
      </c>
      <c r="G55" s="4">
        <f t="shared" ca="1" si="3"/>
        <v>1</v>
      </c>
      <c r="H55" s="4">
        <f t="shared" ca="1" si="4"/>
        <v>6</v>
      </c>
      <c r="I55" s="4">
        <f t="shared" ca="1" si="5"/>
        <v>6.4</v>
      </c>
    </row>
    <row r="56" spans="1:9" ht="14">
      <c r="A56" s="3">
        <v>16635000</v>
      </c>
      <c r="B56" s="4">
        <f ca="1">IFERROR(__xludf.dummyfunction("VLOOKUP(A56, IMPORTRANGE(""https://docs.google.com/spreadsheets/d/1WAXfo1nsCjpHXtcoGE16C4HR44t1K8gsIByus__VUSE"", ""'Sección 1'!$A$2:$E$100""), 5, FALSE)"),6.47)</f>
        <v>6.47</v>
      </c>
      <c r="C56" s="4">
        <f ca="1">IFERROR(__xludf.dummyfunction("VLOOKUP(A56, IMPORTRANGE(""https://docs.google.com/spreadsheets/d/1IJepw3fl3JT9l2xD-NCBW2t5xk8mCdlfKcnD6eLjDu4"", ""'I1'!$A$2:$N$101""), 14, FALSE)"),5.17)</f>
        <v>5.17</v>
      </c>
      <c r="D56" s="4">
        <f ca="1">IFERROR(__xludf.dummyfunction("IF(VLOOKUP(A56, IMPORTRANGE(""https://docs.google.com/spreadsheets/d/1IJepw3fl3JT9l2xD-NCBW2t5xk8mCdlfKcnD6eLjDu4"", ""'Ex'!$A$2:$F$101""), 6, FALSE)=1, 0.75 * VLOOKUP(A56, IMPORTRANGE(""https://docs.google.com/spreadsheets/d/1IJepw3fl3JT9l2xD-NCBW2t5xk8m"&amp;"CdlfKcnD6eLjDu4"", ""'Ex'!$A$2:$R$101""), 18, FALSE) + 0.25 * VLOOKUP(A56, IMPORTRANGE(""https://docs.google.com/spreadsheets/d/1IJepw3fl3JT9l2xD-NCBW2t5xk8mCdlfKcnD6eLjDu4"", ""'Ex'!$A$2:$R$101""), 15, FALSE) ,VLOOKUP(A56, IMPORTRANGE(""https://docs.goog"&amp;"le.com/spreadsheets/d/1IJepw3fl3JT9l2xD-NCBW2t5xk8mCdlfKcnD6eLjDu4"", ""'I2'!$A$2:$P$101""), 16, FALSE))"),5)</f>
        <v>5</v>
      </c>
      <c r="E56" s="4">
        <f ca="1">IFERROR(__xludf.dummyfunction("VLOOKUP(A56, IMPORTRANGE(""https://docs.google.com/spreadsheets/d/1IJepw3fl3JT9l2xD-NCBW2t5xk8mCdlfKcnD6eLjDu4"", ""'Ex'!$A$2:$R$101""), 18, FALSE)"),5.88)</f>
        <v>5.88</v>
      </c>
      <c r="G56" s="4">
        <f t="shared" ca="1" si="3"/>
        <v>1</v>
      </c>
      <c r="H56" s="4">
        <f t="shared" ca="1" si="4"/>
        <v>5.64</v>
      </c>
      <c r="I56" s="4">
        <f t="shared" ca="1" si="5"/>
        <v>6.1</v>
      </c>
    </row>
    <row r="57" spans="1:9" ht="14">
      <c r="A57" s="3">
        <v>17640350</v>
      </c>
      <c r="B57" s="4">
        <f ca="1">IFERROR(__xludf.dummyfunction("VLOOKUP(A57, IMPORTRANGE(""https://docs.google.com/spreadsheets/d/1WAXfo1nsCjpHXtcoGE16C4HR44t1K8gsIByus__VUSE"", ""'Sección 1'!$A$2:$E$100""), 5, FALSE)"),6.69)</f>
        <v>6.69</v>
      </c>
      <c r="C57" s="4">
        <f ca="1">IFERROR(__xludf.dummyfunction("VLOOKUP(A57, IMPORTRANGE(""https://docs.google.com/spreadsheets/d/1IJepw3fl3JT9l2xD-NCBW2t5xk8mCdlfKcnD6eLjDu4"", ""'I1'!$A$2:$N$101""), 14, FALSE)"),5.05)</f>
        <v>5.05</v>
      </c>
      <c r="D57" s="4">
        <f ca="1">IFERROR(__xludf.dummyfunction("IF(VLOOKUP(A57, IMPORTRANGE(""https://docs.google.com/spreadsheets/d/1IJepw3fl3JT9l2xD-NCBW2t5xk8mCdlfKcnD6eLjDu4"", ""'Ex'!$A$2:$F$101""), 6, FALSE)=1, 0.75 * VLOOKUP(A57, IMPORTRANGE(""https://docs.google.com/spreadsheets/d/1IJepw3fl3JT9l2xD-NCBW2t5xk8m"&amp;"CdlfKcnD6eLjDu4"", ""'Ex'!$A$2:$R$101""), 18, FALSE) + 0.25 * VLOOKUP(A57, IMPORTRANGE(""https://docs.google.com/spreadsheets/d/1IJepw3fl3JT9l2xD-NCBW2t5xk8mCdlfKcnD6eLjDu4"", ""'Ex'!$A$2:$R$101""), 15, FALSE) ,VLOOKUP(A57, IMPORTRANGE(""https://docs.goog"&amp;"le.com/spreadsheets/d/1IJepw3fl3JT9l2xD-NCBW2t5xk8mCdlfKcnD6eLjDu4"", ""'I2'!$A$2:$P$101""), 16, FALSE))"),3.38)</f>
        <v>3.38</v>
      </c>
      <c r="E57" s="4">
        <f ca="1">IFERROR(__xludf.dummyfunction("VLOOKUP(A57, IMPORTRANGE(""https://docs.google.com/spreadsheets/d/1IJepw3fl3JT9l2xD-NCBW2t5xk8mCdlfKcnD6eLjDu4"", ""'Ex'!$A$2:$R$101""), 18, FALSE)"),6)</f>
        <v>6</v>
      </c>
      <c r="G57" s="4">
        <f t="shared" ca="1" si="3"/>
        <v>1</v>
      </c>
      <c r="H57" s="4">
        <f t="shared" ca="1" si="4"/>
        <v>5.68</v>
      </c>
      <c r="I57" s="4">
        <f t="shared" ca="1" si="5"/>
        <v>6.2</v>
      </c>
    </row>
    <row r="58" spans="1:9" ht="14">
      <c r="A58" s="3">
        <v>18638600</v>
      </c>
      <c r="B58" s="4">
        <f ca="1">IFERROR(__xludf.dummyfunction("VLOOKUP(A58, IMPORTRANGE(""https://docs.google.com/spreadsheets/d/1WAXfo1nsCjpHXtcoGE16C4HR44t1K8gsIByus__VUSE"", ""'Sección 1'!$A$2:$E$100""), 5, FALSE)"),6.81)</f>
        <v>6.81</v>
      </c>
      <c r="C58" s="4">
        <f ca="1">IFERROR(__xludf.dummyfunction("VLOOKUP(A58, IMPORTRANGE(""https://docs.google.com/spreadsheets/d/1IJepw3fl3JT9l2xD-NCBW2t5xk8mCdlfKcnD6eLjDu4"", ""'I1'!$A$2:$N$101""), 14, FALSE)"),5.77)</f>
        <v>5.77</v>
      </c>
      <c r="D58" s="4">
        <f ca="1">IFERROR(__xludf.dummyfunction("IF(VLOOKUP(A58, IMPORTRANGE(""https://docs.google.com/spreadsheets/d/1IJepw3fl3JT9l2xD-NCBW2t5xk8mCdlfKcnD6eLjDu4"", ""'Ex'!$A$2:$F$101""), 6, FALSE)=1, 0.75 * VLOOKUP(A58, IMPORTRANGE(""https://docs.google.com/spreadsheets/d/1IJepw3fl3JT9l2xD-NCBW2t5xk8m"&amp;"CdlfKcnD6eLjDu4"", ""'Ex'!$A$2:$R$101""), 18, FALSE) + 0.25 * VLOOKUP(A58, IMPORTRANGE(""https://docs.google.com/spreadsheets/d/1IJepw3fl3JT9l2xD-NCBW2t5xk8mCdlfKcnD6eLjDu4"", ""'Ex'!$A$2:$R$101""), 15, FALSE) ,VLOOKUP(A58, IMPORTRANGE(""https://docs.goog"&amp;"le.com/spreadsheets/d/1IJepw3fl3JT9l2xD-NCBW2t5xk8mCdlfKcnD6eLjDu4"", ""'I2'!$A$2:$P$101""), 16, FALSE))"),3.56)</f>
        <v>3.56</v>
      </c>
      <c r="E58" s="4">
        <f ca="1">IFERROR(__xludf.dummyfunction("VLOOKUP(A58, IMPORTRANGE(""https://docs.google.com/spreadsheets/d/1IJepw3fl3JT9l2xD-NCBW2t5xk8mCdlfKcnD6eLjDu4"", ""'Ex'!$A$2:$R$101""), 18, FALSE)"),5.5)</f>
        <v>5.5</v>
      </c>
      <c r="G58" s="4">
        <f t="shared" ca="1" si="3"/>
        <v>1</v>
      </c>
      <c r="H58" s="4">
        <f t="shared" ca="1" si="4"/>
        <v>5.59</v>
      </c>
      <c r="I58" s="4">
        <f t="shared" ca="1" si="5"/>
        <v>6.2</v>
      </c>
    </row>
    <row r="59" spans="1:9" ht="14">
      <c r="A59" s="3">
        <v>16637887</v>
      </c>
      <c r="B59" s="4">
        <f ca="1">IFERROR(__xludf.dummyfunction("VLOOKUP(A59, IMPORTRANGE(""https://docs.google.com/spreadsheets/d/1WAXfo1nsCjpHXtcoGE16C4HR44t1K8gsIByus__VUSE"", ""'Sección 1'!$A$2:$E$100""), 5, FALSE)"),6.79)</f>
        <v>6.79</v>
      </c>
      <c r="C59" s="4">
        <f ca="1">IFERROR(__xludf.dummyfunction("VLOOKUP(A59, IMPORTRANGE(""https://docs.google.com/spreadsheets/d/1IJepw3fl3JT9l2xD-NCBW2t5xk8mCdlfKcnD6eLjDu4"", ""'I1'!$A$2:$N$101""), 14, FALSE)"),6.05)</f>
        <v>6.05</v>
      </c>
      <c r="D59" s="4">
        <f ca="1">IFERROR(__xludf.dummyfunction("IF(VLOOKUP(A59, IMPORTRANGE(""https://docs.google.com/spreadsheets/d/1IJepw3fl3JT9l2xD-NCBW2t5xk8mCdlfKcnD6eLjDu4"", ""'Ex'!$A$2:$F$101""), 6, FALSE)=1, 0.75 * VLOOKUP(A59, IMPORTRANGE(""https://docs.google.com/spreadsheets/d/1IJepw3fl3JT9l2xD-NCBW2t5xk8m"&amp;"CdlfKcnD6eLjDu4"", ""'Ex'!$A$2:$R$101""), 18, FALSE) + 0.25 * VLOOKUP(A59, IMPORTRANGE(""https://docs.google.com/spreadsheets/d/1IJepw3fl3JT9l2xD-NCBW2t5xk8mCdlfKcnD6eLjDu4"", ""'Ex'!$A$2:$R$101""), 15, FALSE) ,VLOOKUP(A59, IMPORTRANGE(""https://docs.goog"&amp;"le.com/spreadsheets/d/1IJepw3fl3JT9l2xD-NCBW2t5xk8mCdlfKcnD6eLjDu4"", ""'I2'!$A$2:$P$101""), 16, FALSE))"),5.88)</f>
        <v>5.88</v>
      </c>
      <c r="E59" s="4">
        <f ca="1">IFERROR(__xludf.dummyfunction("VLOOKUP(A59, IMPORTRANGE(""https://docs.google.com/spreadsheets/d/1IJepw3fl3JT9l2xD-NCBW2t5xk8mCdlfKcnD6eLjDu4"", ""'Ex'!$A$2:$R$101""), 18, FALSE)"),5.13)</f>
        <v>5.13</v>
      </c>
      <c r="G59" s="4">
        <f t="shared" ca="1" si="3"/>
        <v>1</v>
      </c>
      <c r="H59" s="4">
        <f t="shared" ca="1" si="4"/>
        <v>5.69</v>
      </c>
      <c r="I59" s="4">
        <f t="shared" ca="1" si="5"/>
        <v>6.2</v>
      </c>
    </row>
    <row r="60" spans="1:9" ht="14">
      <c r="A60" s="3">
        <v>16641027</v>
      </c>
      <c r="B60" s="4">
        <f ca="1">IFERROR(__xludf.dummyfunction("VLOOKUP(A60, IMPORTRANGE(""https://docs.google.com/spreadsheets/d/1WAXfo1nsCjpHXtcoGE16C4HR44t1K8gsIByus__VUSE"", ""'Sección 1'!$A$2:$E$100""), 5, FALSE)"),6.52)</f>
        <v>6.52</v>
      </c>
      <c r="C60" s="4">
        <f ca="1">IFERROR(__xludf.dummyfunction("VLOOKUP(A60, IMPORTRANGE(""https://docs.google.com/spreadsheets/d/1IJepw3fl3JT9l2xD-NCBW2t5xk8mCdlfKcnD6eLjDu4"", ""'I1'!$A$2:$N$101""), 14, FALSE)"),6.52)</f>
        <v>6.52</v>
      </c>
      <c r="D60" s="4">
        <f ca="1">IFERROR(__xludf.dummyfunction("IF(VLOOKUP(A60, IMPORTRANGE(""https://docs.google.com/spreadsheets/d/1IJepw3fl3JT9l2xD-NCBW2t5xk8mCdlfKcnD6eLjDu4"", ""'Ex'!$A$2:$F$101""), 6, FALSE)=1, 0.75 * VLOOKUP(A60, IMPORTRANGE(""https://docs.google.com/spreadsheets/d/1IJepw3fl3JT9l2xD-NCBW2t5xk8m"&amp;"CdlfKcnD6eLjDu4"", ""'Ex'!$A$2:$R$101""), 18, FALSE) + 0.25 * VLOOKUP(A60, IMPORTRANGE(""https://docs.google.com/spreadsheets/d/1IJepw3fl3JT9l2xD-NCBW2t5xk8mCdlfKcnD6eLjDu4"", ""'Ex'!$A$2:$R$101""), 15, FALSE) ,VLOOKUP(A60, IMPORTRANGE(""https://docs.goog"&amp;"le.com/spreadsheets/d/1IJepw3fl3JT9l2xD-NCBW2t5xk8mCdlfKcnD6eLjDu4"", ""'I2'!$A$2:$P$101""), 16, FALSE))"),4)</f>
        <v>4</v>
      </c>
      <c r="E60" s="4">
        <f ca="1">IFERROR(__xludf.dummyfunction("VLOOKUP(A60, IMPORTRANGE(""https://docs.google.com/spreadsheets/d/1IJepw3fl3JT9l2xD-NCBW2t5xk8mCdlfKcnD6eLjDu4"", ""'Ex'!$A$2:$R$101""), 18, FALSE)"),4.13)</f>
        <v>4.13</v>
      </c>
      <c r="G60" s="4">
        <f t="shared" ca="1" si="3"/>
        <v>1</v>
      </c>
      <c r="H60" s="4">
        <f t="shared" ca="1" si="4"/>
        <v>4.93</v>
      </c>
      <c r="I60" s="4">
        <f t="shared" ca="1" si="5"/>
        <v>5.7</v>
      </c>
    </row>
    <row r="61" spans="1:9" ht="14">
      <c r="A61" s="3">
        <v>17640342</v>
      </c>
      <c r="B61" s="4">
        <f ca="1">IFERROR(__xludf.dummyfunction("VLOOKUP(A61, IMPORTRANGE(""https://docs.google.com/spreadsheets/d/1WAXfo1nsCjpHXtcoGE16C4HR44t1K8gsIByus__VUSE"", ""'Sección 1'!$A$2:$E$100""), 5, FALSE)"),6.47)</f>
        <v>6.47</v>
      </c>
      <c r="C61" s="4">
        <f ca="1">IFERROR(__xludf.dummyfunction("VLOOKUP(A61, IMPORTRANGE(""https://docs.google.com/spreadsheets/d/1IJepw3fl3JT9l2xD-NCBW2t5xk8mCdlfKcnD6eLjDu4"", ""'I1'!$A$2:$N$101""), 14, FALSE)"),4.17)</f>
        <v>4.17</v>
      </c>
      <c r="D61" s="4">
        <f ca="1">IFERROR(__xludf.dummyfunction("IF(VLOOKUP(A61, IMPORTRANGE(""https://docs.google.com/spreadsheets/d/1IJepw3fl3JT9l2xD-NCBW2t5xk8mCdlfKcnD6eLjDu4"", ""'Ex'!$A$2:$F$101""), 6, FALSE)=1, 0.75 * VLOOKUP(A61, IMPORTRANGE(""https://docs.google.com/spreadsheets/d/1IJepw3fl3JT9l2xD-NCBW2t5xk8m"&amp;"CdlfKcnD6eLjDu4"", ""'Ex'!$A$2:$R$101""), 18, FALSE) + 0.25 * VLOOKUP(A61, IMPORTRANGE(""https://docs.google.com/spreadsheets/d/1IJepw3fl3JT9l2xD-NCBW2t5xk8mCdlfKcnD6eLjDu4"", ""'Ex'!$A$2:$R$101""), 15, FALSE) ,VLOOKUP(A61, IMPORTRANGE(""https://docs.goog"&amp;"le.com/spreadsheets/d/1IJepw3fl3JT9l2xD-NCBW2t5xk8mCdlfKcnD6eLjDu4"", ""'I2'!$A$2:$P$101""), 16, FALSE))"),1)</f>
        <v>1</v>
      </c>
      <c r="E61" s="4">
        <f ca="1">IFERROR(__xludf.dummyfunction("VLOOKUP(A61, IMPORTRANGE(""https://docs.google.com/spreadsheets/d/1IJepw3fl3JT9l2xD-NCBW2t5xk8mCdlfKcnD6eLjDu4"", ""'Ex'!$A$2:$R$101""), 18, FALSE)"),5.5)</f>
        <v>5.5</v>
      </c>
      <c r="G61" s="4">
        <f t="shared" ca="1" si="3"/>
        <v>0</v>
      </c>
      <c r="H61" s="4">
        <f t="shared" ca="1" si="4"/>
        <v>4</v>
      </c>
      <c r="I61" s="4">
        <f t="shared" ca="1" si="5"/>
        <v>5.2</v>
      </c>
    </row>
    <row r="62" spans="1:9" ht="14">
      <c r="A62" s="3">
        <v>16204964</v>
      </c>
      <c r="B62" s="4">
        <f ca="1">IFERROR(__xludf.dummyfunction("VLOOKUP(A62, IMPORTRANGE(""https://docs.google.com/spreadsheets/d/1WAXfo1nsCjpHXtcoGE16C4HR44t1K8gsIByus__VUSE"", ""'Sección 1'!$A$2:$E$100""), 5, FALSE)"),6.64)</f>
        <v>6.64</v>
      </c>
      <c r="C62" s="4">
        <f ca="1">IFERROR(__xludf.dummyfunction("VLOOKUP(A62, IMPORTRANGE(""https://docs.google.com/spreadsheets/d/1IJepw3fl3JT9l2xD-NCBW2t5xk8mCdlfKcnD6eLjDu4"", ""'I1'!$A$2:$N$101""), 14, FALSE)"),6.7)</f>
        <v>6.7</v>
      </c>
      <c r="D62" s="4">
        <f ca="1">IFERROR(__xludf.dummyfunction("IF(VLOOKUP(A62, IMPORTRANGE(""https://docs.google.com/spreadsheets/d/1IJepw3fl3JT9l2xD-NCBW2t5xk8mCdlfKcnD6eLjDu4"", ""'Ex'!$A$2:$F$101""), 6, FALSE)=1, 0.75 * VLOOKUP(A62, IMPORTRANGE(""https://docs.google.com/spreadsheets/d/1IJepw3fl3JT9l2xD-NCBW2t5xk8m"&amp;"CdlfKcnD6eLjDu4"", ""'Ex'!$A$2:$R$101""), 18, FALSE) + 0.25 * VLOOKUP(A62, IMPORTRANGE(""https://docs.google.com/spreadsheets/d/1IJepw3fl3JT9l2xD-NCBW2t5xk8mCdlfKcnD6eLjDu4"", ""'Ex'!$A$2:$R$101""), 15, FALSE) ,VLOOKUP(A62, IMPORTRANGE(""https://docs.goog"&amp;"le.com/spreadsheets/d/1IJepw3fl3JT9l2xD-NCBW2t5xk8mCdlfKcnD6eLjDu4"", ""'I2'!$A$2:$P$101""), 16, FALSE))"),4.05)</f>
        <v>4.05</v>
      </c>
      <c r="E62" s="4">
        <f ca="1">IFERROR(__xludf.dummyfunction("VLOOKUP(A62, IMPORTRANGE(""https://docs.google.com/spreadsheets/d/1IJepw3fl3JT9l2xD-NCBW2t5xk8mCdlfKcnD6eLjDu4"", ""'Ex'!$A$2:$R$101""), 18, FALSE)"),4.38)</f>
        <v>4.38</v>
      </c>
      <c r="G62" s="4">
        <f t="shared" ca="1" si="3"/>
        <v>1</v>
      </c>
      <c r="H62" s="4">
        <f t="shared" ca="1" si="4"/>
        <v>5.15</v>
      </c>
      <c r="I62" s="4">
        <f t="shared" ca="1" si="5"/>
        <v>5.9</v>
      </c>
    </row>
    <row r="63" spans="1:9" ht="14">
      <c r="A63" s="3">
        <v>18636926</v>
      </c>
      <c r="B63" s="4">
        <f ca="1">IFERROR(__xludf.dummyfunction("VLOOKUP(A63, IMPORTRANGE(""https://docs.google.com/spreadsheets/d/1WAXfo1nsCjpHXtcoGE16C4HR44t1K8gsIByus__VUSE"", ""'Sección 1'!$A$2:$E$100""), 5, FALSE)"),6.39)</f>
        <v>6.39</v>
      </c>
      <c r="C63" s="4">
        <f ca="1">IFERROR(__xludf.dummyfunction("VLOOKUP(A63, IMPORTRANGE(""https://docs.google.com/spreadsheets/d/1IJepw3fl3JT9l2xD-NCBW2t5xk8mCdlfKcnD6eLjDu4"", ""'I1'!$A$2:$N$101""), 14, FALSE)"),5.33)</f>
        <v>5.33</v>
      </c>
      <c r="D63" s="4">
        <f ca="1">IFERROR(__xludf.dummyfunction("IF(VLOOKUP(A63, IMPORTRANGE(""https://docs.google.com/spreadsheets/d/1IJepw3fl3JT9l2xD-NCBW2t5xk8mCdlfKcnD6eLjDu4"", ""'Ex'!$A$2:$F$101""), 6, FALSE)=1, 0.75 * VLOOKUP(A63, IMPORTRANGE(""https://docs.google.com/spreadsheets/d/1IJepw3fl3JT9l2xD-NCBW2t5xk8m"&amp;"CdlfKcnD6eLjDu4"", ""'Ex'!$A$2:$R$101""), 18, FALSE) + 0.25 * VLOOKUP(A63, IMPORTRANGE(""https://docs.google.com/spreadsheets/d/1IJepw3fl3JT9l2xD-NCBW2t5xk8mCdlfKcnD6eLjDu4"", ""'Ex'!$A$2:$R$101""), 15, FALSE) ,VLOOKUP(A63, IMPORTRANGE(""https://docs.goog"&amp;"le.com/spreadsheets/d/1IJepw3fl3JT9l2xD-NCBW2t5xk8mCdlfKcnD6eLjDu4"", ""'I2'!$A$2:$P$101""), 16, FALSE))"),4.75)</f>
        <v>4.75</v>
      </c>
      <c r="E63" s="4">
        <f ca="1">IFERROR(__xludf.dummyfunction("VLOOKUP(A63, IMPORTRANGE(""https://docs.google.com/spreadsheets/d/1IJepw3fl3JT9l2xD-NCBW2t5xk8mCdlfKcnD6eLjDu4"", ""'Ex'!$A$2:$R$101""), 18, FALSE)"),4.38)</f>
        <v>4.38</v>
      </c>
      <c r="G63" s="4">
        <f t="shared" ca="1" si="3"/>
        <v>1</v>
      </c>
      <c r="H63" s="4">
        <f t="shared" ca="1" si="4"/>
        <v>4.82</v>
      </c>
      <c r="I63" s="4">
        <f t="shared" ca="1" si="5"/>
        <v>5.6</v>
      </c>
    </row>
    <row r="64" spans="1:9" ht="14">
      <c r="A64" s="3">
        <v>17640210</v>
      </c>
      <c r="B64" s="4">
        <f ca="1">IFERROR(__xludf.dummyfunction("VLOOKUP(A64, IMPORTRANGE(""https://docs.google.com/spreadsheets/d/1WAXfo1nsCjpHXtcoGE16C4HR44t1K8gsIByus__VUSE"", ""'Sección 1'!$A$2:$E$100""), 5, FALSE)"),6.75)</f>
        <v>6.75</v>
      </c>
      <c r="C64" s="4">
        <f ca="1">IFERROR(__xludf.dummyfunction("VLOOKUP(A64, IMPORTRANGE(""https://docs.google.com/spreadsheets/d/1IJepw3fl3JT9l2xD-NCBW2t5xk8mCdlfKcnD6eLjDu4"", ""'I1'!$A$2:$N$101""), 14, FALSE)"),6.13)</f>
        <v>6.13</v>
      </c>
      <c r="D64" s="4">
        <f ca="1">IFERROR(__xludf.dummyfunction("IF(VLOOKUP(A64, IMPORTRANGE(""https://docs.google.com/spreadsheets/d/1IJepw3fl3JT9l2xD-NCBW2t5xk8mCdlfKcnD6eLjDu4"", ""'Ex'!$A$2:$F$101""), 6, FALSE)=1, 0.75 * VLOOKUP(A64, IMPORTRANGE(""https://docs.google.com/spreadsheets/d/1IJepw3fl3JT9l2xD-NCBW2t5xk8m"&amp;"CdlfKcnD6eLjDu4"", ""'Ex'!$A$2:$R$101""), 18, FALSE) + 0.25 * VLOOKUP(A64, IMPORTRANGE(""https://docs.google.com/spreadsheets/d/1IJepw3fl3JT9l2xD-NCBW2t5xk8mCdlfKcnD6eLjDu4"", ""'Ex'!$A$2:$R$101""), 15, FALSE) ,VLOOKUP(A64, IMPORTRANGE(""https://docs.goog"&amp;"le.com/spreadsheets/d/1IJepw3fl3JT9l2xD-NCBW2t5xk8mCdlfKcnD6eLjDu4"", ""'I2'!$A$2:$P$101""), 16, FALSE))"),5.63)</f>
        <v>5.63</v>
      </c>
      <c r="E64" s="4">
        <f ca="1">IFERROR(__xludf.dummyfunction("VLOOKUP(A64, IMPORTRANGE(""https://docs.google.com/spreadsheets/d/1IJepw3fl3JT9l2xD-NCBW2t5xk8mCdlfKcnD6eLjDu4"", ""'Ex'!$A$2:$R$101""), 18, FALSE)"),5)</f>
        <v>5</v>
      </c>
      <c r="G64" s="4">
        <f t="shared" ca="1" si="3"/>
        <v>1</v>
      </c>
      <c r="H64" s="4">
        <f t="shared" ca="1" si="4"/>
        <v>5.59</v>
      </c>
      <c r="I64" s="4">
        <f t="shared" ca="1" si="5"/>
        <v>6.2</v>
      </c>
    </row>
    <row r="65" spans="1:10" ht="14">
      <c r="A65" s="3">
        <v>16639820</v>
      </c>
      <c r="B65" s="4">
        <f ca="1">IFERROR(__xludf.dummyfunction("VLOOKUP(A65, IMPORTRANGE(""https://docs.google.com/spreadsheets/d/1WAXfo1nsCjpHXtcoGE16C4HR44t1K8gsIByus__VUSE"", ""'Sección 1'!$A$2:$E$100""), 5, FALSE)"),6.52)</f>
        <v>6.52</v>
      </c>
      <c r="C65" s="4">
        <f ca="1">IFERROR(__xludf.dummyfunction("VLOOKUP(A65, IMPORTRANGE(""https://docs.google.com/spreadsheets/d/1IJepw3fl3JT9l2xD-NCBW2t5xk8mCdlfKcnD6eLjDu4"", ""'I1'!$A$2:$N$101""), 14, FALSE)"),4.97)</f>
        <v>4.97</v>
      </c>
      <c r="D65" s="4">
        <f ca="1">IFERROR(__xludf.dummyfunction("IF(VLOOKUP(A65, IMPORTRANGE(""https://docs.google.com/spreadsheets/d/1IJepw3fl3JT9l2xD-NCBW2t5xk8mCdlfKcnD6eLjDu4"", ""'Ex'!$A$2:$F$101""), 6, FALSE)=1, 0.75 * VLOOKUP(A65, IMPORTRANGE(""https://docs.google.com/spreadsheets/d/1IJepw3fl3JT9l2xD-NCBW2t5xk8m"&amp;"CdlfKcnD6eLjDu4"", ""'Ex'!$A$2:$R$101""), 18, FALSE) + 0.25 * VLOOKUP(A65, IMPORTRANGE(""https://docs.google.com/spreadsheets/d/1IJepw3fl3JT9l2xD-NCBW2t5xk8mCdlfKcnD6eLjDu4"", ""'Ex'!$A$2:$R$101""), 15, FALSE) ,VLOOKUP(A65, IMPORTRANGE(""https://docs.goog"&amp;"le.com/spreadsheets/d/1IJepw3fl3JT9l2xD-NCBW2t5xk8mCdlfKcnD6eLjDu4"", ""'I2'!$A$2:$P$101""), 16, FALSE))"),3.5)</f>
        <v>3.5</v>
      </c>
      <c r="E65" s="4">
        <f ca="1">IFERROR(__xludf.dummyfunction("VLOOKUP(A65, IMPORTRANGE(""https://docs.google.com/spreadsheets/d/1IJepw3fl3JT9l2xD-NCBW2t5xk8mCdlfKcnD6eLjDu4"", ""'Ex'!$A$2:$R$101""), 18, FALSE)"),5.13)</f>
        <v>5.13</v>
      </c>
      <c r="G65" s="4">
        <f t="shared" ca="1" si="3"/>
        <v>1</v>
      </c>
      <c r="H65" s="4">
        <f t="shared" ca="1" si="4"/>
        <v>5.08</v>
      </c>
      <c r="I65" s="4">
        <f t="shared" ca="1" si="5"/>
        <v>5.8</v>
      </c>
    </row>
    <row r="66" spans="1:10" ht="14">
      <c r="A66" s="3">
        <v>18640591</v>
      </c>
      <c r="B66" s="4">
        <f ca="1">IFERROR(__xludf.dummyfunction("VLOOKUP(A66, IMPORTRANGE(""https://docs.google.com/spreadsheets/d/1WAXfo1nsCjpHXtcoGE16C4HR44t1K8gsIByus__VUSE"", ""'Sección 1'!$A$2:$E$100""), 5, FALSE)"),5.72)</f>
        <v>5.72</v>
      </c>
      <c r="C66" s="4">
        <f ca="1">IFERROR(__xludf.dummyfunction("VLOOKUP(A66, IMPORTRANGE(""https://docs.google.com/spreadsheets/d/1IJepw3fl3JT9l2xD-NCBW2t5xk8mCdlfKcnD6eLjDu4"", ""'I1'!$A$2:$N$101""), 14, FALSE)"),5.62)</f>
        <v>5.62</v>
      </c>
      <c r="D66" s="4">
        <f ca="1">IFERROR(__xludf.dummyfunction("IF(VLOOKUP(A66, IMPORTRANGE(""https://docs.google.com/spreadsheets/d/1IJepw3fl3JT9l2xD-NCBW2t5xk8mCdlfKcnD6eLjDu4"", ""'Ex'!$A$2:$F$101""), 6, FALSE)=1, 0.75 * VLOOKUP(A66, IMPORTRANGE(""https://docs.google.com/spreadsheets/d/1IJepw3fl3JT9l2xD-NCBW2t5xk8m"&amp;"CdlfKcnD6eLjDu4"", ""'Ex'!$A$2:$R$101""), 18, FALSE) + 0.25 * VLOOKUP(A66, IMPORTRANGE(""https://docs.google.com/spreadsheets/d/1IJepw3fl3JT9l2xD-NCBW2t5xk8mCdlfKcnD6eLjDu4"", ""'Ex'!$A$2:$R$101""), 15, FALSE) ,VLOOKUP(A66, IMPORTRANGE(""https://docs.goog"&amp;"le.com/spreadsheets/d/1IJepw3fl3JT9l2xD-NCBW2t5xk8mCdlfKcnD6eLjDu4"", ""'I2'!$A$2:$P$101""), 16, FALSE))"),3.38)</f>
        <v>3.38</v>
      </c>
      <c r="E66" s="4">
        <f ca="1">IFERROR(__xludf.dummyfunction("VLOOKUP(A66, IMPORTRANGE(""https://docs.google.com/spreadsheets/d/1IJepw3fl3JT9l2xD-NCBW2t5xk8mCdlfKcnD6eLjDu4"", ""'Ex'!$A$2:$R$101""), 18, FALSE)"),4.5)</f>
        <v>4.5</v>
      </c>
      <c r="G66" s="4">
        <f t="shared" ref="G66:G101" ca="1" si="6">IF(AND(C66&gt;=3,D66&gt;=3),1,0)</f>
        <v>1</v>
      </c>
      <c r="H66" s="4">
        <f t="shared" ref="H66:H97" ca="1" si="7">ROUND(IF(G66=1,(C66+D66+2*E66-MIN(C66:E66))/3,IF(F66=1,(C66+D66+E66)/3,IF(C66&gt;=3,(C66+D66+2*E66-MIN(C66,E66))/3,IF(D66&gt;=3,(C66+D66+2*E66-MIN(D66,E66))/3,(C66+D66+E66)/3)))),2)</f>
        <v>4.87</v>
      </c>
      <c r="I66" s="4">
        <f t="shared" ref="I66:I97" ca="1" si="8">ROUND(IF(AND(H66&gt;=3.95,B66&gt;=3.95),AVERAGE(B66, H66),MIN(B66,H66)),1)</f>
        <v>5.3</v>
      </c>
    </row>
    <row r="67" spans="1:10" ht="14">
      <c r="A67" s="5">
        <v>17626994</v>
      </c>
      <c r="B67" s="6">
        <f ca="1">IFERROR(__xludf.dummyfunction("VLOOKUP(A67, IMPORTRANGE(""https://docs.google.com/spreadsheets/d/1WAXfo1nsCjpHXtcoGE16C4HR44t1K8gsIByus__VUSE"", ""'Sección 1'!$A$2:$E$100""), 5, FALSE)"),6.47)</f>
        <v>6.47</v>
      </c>
      <c r="C67" s="6">
        <f ca="1">IFERROR(__xludf.dummyfunction("VLOOKUP(A67, IMPORTRANGE(""https://docs.google.com/spreadsheets/d/1IJepw3fl3JT9l2xD-NCBW2t5xk8mCdlfKcnD6eLjDu4"", ""'I1'!$A$2:$N$101""), 14, FALSE)"),1.5)</f>
        <v>1.5</v>
      </c>
      <c r="D67" s="6">
        <f ca="1">IFERROR(__xludf.dummyfunction("IF(VLOOKUP(A67, IMPORTRANGE(""https://docs.google.com/spreadsheets/d/1IJepw3fl3JT9l2xD-NCBW2t5xk8mCdlfKcnD6eLjDu4"", ""'Ex'!$A$2:$F$101""), 6, FALSE)=1, 0.75 * VLOOKUP(A67, IMPORTRANGE(""https://docs.google.com/spreadsheets/d/1IJepw3fl3JT9l2xD-NCBW2t5xk8m"&amp;"CdlfKcnD6eLjDu4"", ""'Ex'!$A$2:$R$101""), 18, FALSE) + 0.25 * VLOOKUP(A67, IMPORTRANGE(""https://docs.google.com/spreadsheets/d/1IJepw3fl3JT9l2xD-NCBW2t5xk8mCdlfKcnD6eLjDu4"", ""'Ex'!$A$2:$R$101""), 15, FALSE) ,VLOOKUP(A67, IMPORTRANGE(""https://docs.goog"&amp;"le.com/spreadsheets/d/1IJepw3fl3JT9l2xD-NCBW2t5xk8mCdlfKcnD6eLjDu4"", ""'I2'!$A$2:$P$101""), 16, FALSE))"),1)</f>
        <v>1</v>
      </c>
      <c r="E67" s="6">
        <f ca="1">IFERROR(__xludf.dummyfunction("VLOOKUP(A67, IMPORTRANGE(""https://docs.google.com/spreadsheets/d/1IJepw3fl3JT9l2xD-NCBW2t5xk8mCdlfKcnD6eLjDu4"", ""'Ex'!$A$2:$R$101""), 18, FALSE)"),1)</f>
        <v>1</v>
      </c>
      <c r="F67" s="6"/>
      <c r="G67" s="6">
        <f t="shared" ca="1" si="6"/>
        <v>0</v>
      </c>
      <c r="H67" s="4">
        <f t="shared" ca="1" si="7"/>
        <v>1.17</v>
      </c>
      <c r="I67" s="6">
        <f t="shared" ca="1" si="8"/>
        <v>1.2</v>
      </c>
    </row>
    <row r="68" spans="1:10" ht="14">
      <c r="A68" s="3">
        <v>15636453</v>
      </c>
      <c r="B68" s="4">
        <f ca="1">IFERROR(__xludf.dummyfunction("VLOOKUP(A68, IMPORTRANGE(""https://docs.google.com/spreadsheets/d/1WAXfo1nsCjpHXtcoGE16C4HR44t1K8gsIByus__VUSE"", ""'Sección 1'!$A$2:$E$100""), 5, FALSE)"),5.71)</f>
        <v>5.71</v>
      </c>
      <c r="C68" s="4">
        <f ca="1">IFERROR(__xludf.dummyfunction("VLOOKUP(A68, IMPORTRANGE(""https://docs.google.com/spreadsheets/d/1IJepw3fl3JT9l2xD-NCBW2t5xk8mCdlfKcnD6eLjDu4"", ""'I1'!$A$2:$N$101""), 14, FALSE)"),4.92)</f>
        <v>4.92</v>
      </c>
      <c r="D68" s="4">
        <f ca="1">IFERROR(__xludf.dummyfunction("IF(VLOOKUP(A68, IMPORTRANGE(""https://docs.google.com/spreadsheets/d/1IJepw3fl3JT9l2xD-NCBW2t5xk8mCdlfKcnD6eLjDu4"", ""'Ex'!$A$2:$F$101""), 6, FALSE)=1, 0.75 * VLOOKUP(A68, IMPORTRANGE(""https://docs.google.com/spreadsheets/d/1IJepw3fl3JT9l2xD-NCBW2t5xk8m"&amp;"CdlfKcnD6eLjDu4"", ""'Ex'!$A$2:$R$101""), 18, FALSE) + 0.25 * VLOOKUP(A68, IMPORTRANGE(""https://docs.google.com/spreadsheets/d/1IJepw3fl3JT9l2xD-NCBW2t5xk8mCdlfKcnD6eLjDu4"", ""'Ex'!$A$2:$R$101""), 15, FALSE) ,VLOOKUP(A68, IMPORTRANGE(""https://docs.goog"&amp;"le.com/spreadsheets/d/1IJepw3fl3JT9l2xD-NCBW2t5xk8mCdlfKcnD6eLjDu4"", ""'I2'!$A$2:$P$101""), 16, FALSE))"),2.5)</f>
        <v>2.5</v>
      </c>
      <c r="E68" s="4">
        <f ca="1">IFERROR(__xludf.dummyfunction("VLOOKUP(A68, IMPORTRANGE(""https://docs.google.com/spreadsheets/d/1IJepw3fl3JT9l2xD-NCBW2t5xk8mCdlfKcnD6eLjDu4"", ""'Ex'!$A$2:$R$101""), 18, FALSE)"),4)</f>
        <v>4</v>
      </c>
      <c r="G68" s="4">
        <f t="shared" ca="1" si="6"/>
        <v>0</v>
      </c>
      <c r="H68" s="4">
        <f t="shared" ca="1" si="7"/>
        <v>3.81</v>
      </c>
      <c r="I68" s="4">
        <f t="shared" ca="1" si="8"/>
        <v>3.8</v>
      </c>
      <c r="J68">
        <v>4</v>
      </c>
    </row>
    <row r="69" spans="1:10" ht="14">
      <c r="A69" s="3">
        <v>14633582</v>
      </c>
      <c r="B69" s="4">
        <f ca="1">IFERROR(__xludf.dummyfunction("VLOOKUP(A69, IMPORTRANGE(""https://docs.google.com/spreadsheets/d/1WAXfo1nsCjpHXtcoGE16C4HR44t1K8gsIByus__VUSE"", ""'Sección 1'!$A$2:$E$100""), 5, FALSE)"),4.97)</f>
        <v>4.97</v>
      </c>
      <c r="C69" s="4">
        <f ca="1">IFERROR(__xludf.dummyfunction("VLOOKUP(A69, IMPORTRANGE(""https://docs.google.com/spreadsheets/d/1IJepw3fl3JT9l2xD-NCBW2t5xk8mCdlfKcnD6eLjDu4"", ""'I1'!$A$2:$N$101""), 14, FALSE)"),4.55)</f>
        <v>4.55</v>
      </c>
      <c r="D69" s="7">
        <v>4.375</v>
      </c>
      <c r="E69" s="4">
        <f ca="1">IFERROR(__xludf.dummyfunction("VLOOKUP(A69, IMPORTRANGE(""https://docs.google.com/spreadsheets/d/1IJepw3fl3JT9l2xD-NCBW2t5xk8mCdlfKcnD6eLjDu4"", ""'Ex'!$A$2:$R$101""), 18, FALSE)"),5.5)</f>
        <v>5.5</v>
      </c>
      <c r="F69" s="7">
        <v>1</v>
      </c>
      <c r="G69" s="4">
        <f t="shared" ca="1" si="6"/>
        <v>1</v>
      </c>
      <c r="H69" s="4">
        <f t="shared" ca="1" si="7"/>
        <v>5.18</v>
      </c>
      <c r="I69" s="4">
        <f t="shared" ca="1" si="8"/>
        <v>5.0999999999999996</v>
      </c>
    </row>
    <row r="70" spans="1:10" ht="14">
      <c r="A70" s="3">
        <v>16641329</v>
      </c>
      <c r="B70" s="4">
        <f ca="1">IFERROR(__xludf.dummyfunction("VLOOKUP(A70, IMPORTRANGE(""https://docs.google.com/spreadsheets/d/1WAXfo1nsCjpHXtcoGE16C4HR44t1K8gsIByus__VUSE"", ""'Sección 1'!$A$2:$E$100""), 5, FALSE)"),6.53)</f>
        <v>6.53</v>
      </c>
      <c r="C70" s="4">
        <f ca="1">IFERROR(__xludf.dummyfunction("VLOOKUP(A70, IMPORTRANGE(""https://docs.google.com/spreadsheets/d/1IJepw3fl3JT9l2xD-NCBW2t5xk8mCdlfKcnD6eLjDu4"", ""'I1'!$A$2:$N$101""), 14, FALSE)"),5.08)</f>
        <v>5.08</v>
      </c>
      <c r="D70" s="4">
        <f ca="1">IFERROR(__xludf.dummyfunction("IF(VLOOKUP(A70, IMPORTRANGE(""https://docs.google.com/spreadsheets/d/1IJepw3fl3JT9l2xD-NCBW2t5xk8mCdlfKcnD6eLjDu4"", ""'Ex'!$A$2:$F$101""), 6, FALSE)=1, 0.75 * VLOOKUP(A70, IMPORTRANGE(""https://docs.google.com/spreadsheets/d/1IJepw3fl3JT9l2xD-NCBW2t5xk8m"&amp;"CdlfKcnD6eLjDu4"", ""'Ex'!$A$2:$R$101""), 18, FALSE) + 0.25 * VLOOKUP(A70, IMPORTRANGE(""https://docs.google.com/spreadsheets/d/1IJepw3fl3JT9l2xD-NCBW2t5xk8mCdlfKcnD6eLjDu4"", ""'Ex'!$A$2:$R$101""), 15, FALSE) ,VLOOKUP(A70, IMPORTRANGE(""https://docs.goog"&amp;"le.com/spreadsheets/d/1IJepw3fl3JT9l2xD-NCBW2t5xk8mCdlfKcnD6eLjDu4"", ""'I2'!$A$2:$P$101""), 16, FALSE))"),4.5)</f>
        <v>4.5</v>
      </c>
      <c r="E70" s="4">
        <f ca="1">IFERROR(__xludf.dummyfunction("VLOOKUP(A70, IMPORTRANGE(""https://docs.google.com/spreadsheets/d/1IJepw3fl3JT9l2xD-NCBW2t5xk8mCdlfKcnD6eLjDu4"", ""'Ex'!$A$2:$R$101""), 18, FALSE)"),4.63)</f>
        <v>4.63</v>
      </c>
      <c r="G70" s="4">
        <f t="shared" ca="1" si="6"/>
        <v>1</v>
      </c>
      <c r="H70" s="4">
        <f t="shared" ca="1" si="7"/>
        <v>4.78</v>
      </c>
      <c r="I70" s="4">
        <f t="shared" ca="1" si="8"/>
        <v>5.7</v>
      </c>
    </row>
    <row r="71" spans="1:10" ht="14">
      <c r="A71" s="3">
        <v>17638119</v>
      </c>
      <c r="B71" s="4">
        <f ca="1">IFERROR(__xludf.dummyfunction("VLOOKUP(A71, IMPORTRANGE(""https://docs.google.com/spreadsheets/d/1WAXfo1nsCjpHXtcoGE16C4HR44t1K8gsIByus__VUSE"", ""'Sección 1'!$A$2:$E$100""), 5, FALSE)"),6.4)</f>
        <v>6.4</v>
      </c>
      <c r="C71" s="4">
        <f ca="1">IFERROR(__xludf.dummyfunction("VLOOKUP(A71, IMPORTRANGE(""https://docs.google.com/spreadsheets/d/1IJepw3fl3JT9l2xD-NCBW2t5xk8mCdlfKcnD6eLjDu4"", ""'I1'!$A$2:$N$101""), 14, FALSE)"),5.02)</f>
        <v>5.0199999999999996</v>
      </c>
      <c r="D71" s="4">
        <f ca="1">IFERROR(__xludf.dummyfunction("IF(VLOOKUP(A71, IMPORTRANGE(""https://docs.google.com/spreadsheets/d/1IJepw3fl3JT9l2xD-NCBW2t5xk8mCdlfKcnD6eLjDu4"", ""'Ex'!$A$2:$F$101""), 6, FALSE)=1, 0.75 * VLOOKUP(A71, IMPORTRANGE(""https://docs.google.com/spreadsheets/d/1IJepw3fl3JT9l2xD-NCBW2t5xk8m"&amp;"CdlfKcnD6eLjDu4"", ""'Ex'!$A$2:$R$101""), 18, FALSE) + 0.25 * VLOOKUP(A71, IMPORTRANGE(""https://docs.google.com/spreadsheets/d/1IJepw3fl3JT9l2xD-NCBW2t5xk8mCdlfKcnD6eLjDu4"", ""'Ex'!$A$2:$R$101""), 15, FALSE) ,VLOOKUP(A71, IMPORTRANGE(""https://docs.goog"&amp;"le.com/spreadsheets/d/1IJepw3fl3JT9l2xD-NCBW2t5xk8mCdlfKcnD6eLjDu4"", ""'I2'!$A$2:$P$101""), 16, FALSE))"),4.75)</f>
        <v>4.75</v>
      </c>
      <c r="E71" s="4">
        <f ca="1">IFERROR(__xludf.dummyfunction("VLOOKUP(A71, IMPORTRANGE(""https://docs.google.com/spreadsheets/d/1IJepw3fl3JT9l2xD-NCBW2t5xk8mCdlfKcnD6eLjDu4"", ""'Ex'!$A$2:$R$101""), 18, FALSE)"),4.25)</f>
        <v>4.25</v>
      </c>
      <c r="G71" s="4">
        <f t="shared" ca="1" si="6"/>
        <v>1</v>
      </c>
      <c r="H71" s="4">
        <f t="shared" ca="1" si="7"/>
        <v>4.67</v>
      </c>
      <c r="I71" s="4">
        <f t="shared" ca="1" si="8"/>
        <v>5.5</v>
      </c>
    </row>
    <row r="72" spans="1:10" ht="14">
      <c r="A72" s="3">
        <v>17642299</v>
      </c>
      <c r="B72" s="4">
        <f ca="1">IFERROR(__xludf.dummyfunction("VLOOKUP(A72, IMPORTRANGE(""https://docs.google.com/spreadsheets/d/1WAXfo1nsCjpHXtcoGE16C4HR44t1K8gsIByus__VUSE"", ""'Sección 1'!$A$2:$E$100""), 5, FALSE)"),6.4)</f>
        <v>6.4</v>
      </c>
      <c r="C72" s="4">
        <f ca="1">IFERROR(__xludf.dummyfunction("VLOOKUP(A72, IMPORTRANGE(""https://docs.google.com/spreadsheets/d/1IJepw3fl3JT9l2xD-NCBW2t5xk8mCdlfKcnD6eLjDu4"", ""'I1'!$A$2:$N$101""), 14, FALSE)"),6.43)</f>
        <v>6.43</v>
      </c>
      <c r="D72" s="4">
        <f ca="1">IFERROR(__xludf.dummyfunction("IF(VLOOKUP(A72, IMPORTRANGE(""https://docs.google.com/spreadsheets/d/1IJepw3fl3JT9l2xD-NCBW2t5xk8mCdlfKcnD6eLjDu4"", ""'Ex'!$A$2:$F$101""), 6, FALSE)=1, 0.75 * VLOOKUP(A72, IMPORTRANGE(""https://docs.google.com/spreadsheets/d/1IJepw3fl3JT9l2xD-NCBW2t5xk8m"&amp;"CdlfKcnD6eLjDu4"", ""'Ex'!$A$2:$R$101""), 18, FALSE) + 0.25 * VLOOKUP(A72, IMPORTRANGE(""https://docs.google.com/spreadsheets/d/1IJepw3fl3JT9l2xD-NCBW2t5xk8mCdlfKcnD6eLjDu4"", ""'Ex'!$A$2:$R$101""), 15, FALSE) ,VLOOKUP(A72, IMPORTRANGE(""https://docs.goog"&amp;"le.com/spreadsheets/d/1IJepw3fl3JT9l2xD-NCBW2t5xk8mCdlfKcnD6eLjDu4"", ""'I2'!$A$2:$P$101""), 16, FALSE))"),5.38)</f>
        <v>5.38</v>
      </c>
      <c r="E72" s="4">
        <f ca="1">IFERROR(__xludf.dummyfunction("VLOOKUP(A72, IMPORTRANGE(""https://docs.google.com/spreadsheets/d/1IJepw3fl3JT9l2xD-NCBW2t5xk8mCdlfKcnD6eLjDu4"", ""'Ex'!$A$2:$R$101""), 18, FALSE)"),5.63)</f>
        <v>5.63</v>
      </c>
      <c r="G72" s="4">
        <f t="shared" ca="1" si="6"/>
        <v>1</v>
      </c>
      <c r="H72" s="4">
        <f t="shared" ca="1" si="7"/>
        <v>5.9</v>
      </c>
      <c r="I72" s="4">
        <f t="shared" ca="1" si="8"/>
        <v>6.2</v>
      </c>
    </row>
    <row r="73" spans="1:10" ht="14">
      <c r="A73" s="3">
        <v>16637151</v>
      </c>
      <c r="B73" s="4">
        <f ca="1">IFERROR(__xludf.dummyfunction("VLOOKUP(A73, IMPORTRANGE(""https://docs.google.com/spreadsheets/d/1WAXfo1nsCjpHXtcoGE16C4HR44t1K8gsIByus__VUSE"", ""'Sección 1'!$A$2:$E$100""), 5, FALSE)"),6.51)</f>
        <v>6.51</v>
      </c>
      <c r="C73" s="4">
        <f ca="1">IFERROR(__xludf.dummyfunction("VLOOKUP(A73, IMPORTRANGE(""https://docs.google.com/spreadsheets/d/1IJepw3fl3JT9l2xD-NCBW2t5xk8mCdlfKcnD6eLjDu4"", ""'I1'!$A$2:$N$101""), 14, FALSE)"),6.42)</f>
        <v>6.42</v>
      </c>
      <c r="D73" s="4">
        <f ca="1">IFERROR(__xludf.dummyfunction("IF(VLOOKUP(A73, IMPORTRANGE(""https://docs.google.com/spreadsheets/d/1IJepw3fl3JT9l2xD-NCBW2t5xk8mCdlfKcnD6eLjDu4"", ""'Ex'!$A$2:$F$101""), 6, FALSE)=1, 0.75 * VLOOKUP(A73, IMPORTRANGE(""https://docs.google.com/spreadsheets/d/1IJepw3fl3JT9l2xD-NCBW2t5xk8m"&amp;"CdlfKcnD6eLjDu4"", ""'Ex'!$A$2:$R$101""), 18, FALSE) + 0.25 * VLOOKUP(A73, IMPORTRANGE(""https://docs.google.com/spreadsheets/d/1IJepw3fl3JT9l2xD-NCBW2t5xk8mCdlfKcnD6eLjDu4"", ""'Ex'!$A$2:$R$101""), 15, FALSE) ,VLOOKUP(A73, IMPORTRANGE(""https://docs.goog"&amp;"le.com/spreadsheets/d/1IJepw3fl3JT9l2xD-NCBW2t5xk8mCdlfKcnD6eLjDu4"", ""'I2'!$A$2:$P$101""), 16, FALSE))"),5.5)</f>
        <v>5.5</v>
      </c>
      <c r="E73" s="4">
        <f ca="1">IFERROR(__xludf.dummyfunction("VLOOKUP(A73, IMPORTRANGE(""https://docs.google.com/spreadsheets/d/1IJepw3fl3JT9l2xD-NCBW2t5xk8mCdlfKcnD6eLjDu4"", ""'Ex'!$A$2:$R$101""), 18, FALSE)"),5.75)</f>
        <v>5.75</v>
      </c>
      <c r="G73" s="4">
        <f t="shared" ca="1" si="6"/>
        <v>1</v>
      </c>
      <c r="H73" s="4">
        <f t="shared" ca="1" si="7"/>
        <v>5.97</v>
      </c>
      <c r="I73" s="4">
        <f t="shared" ca="1" si="8"/>
        <v>6.2</v>
      </c>
    </row>
    <row r="74" spans="1:10" ht="14">
      <c r="A74" s="3">
        <v>18638759</v>
      </c>
      <c r="B74" s="4">
        <f ca="1">IFERROR(__xludf.dummyfunction("VLOOKUP(A74, IMPORTRANGE(""https://docs.google.com/spreadsheets/d/1WAXfo1nsCjpHXtcoGE16C4HR44t1K8gsIByus__VUSE"", ""'Sección 1'!$A$2:$E$100""), 5, FALSE)"),6.86)</f>
        <v>6.86</v>
      </c>
      <c r="C74" s="4">
        <f ca="1">IFERROR(__xludf.dummyfunction("VLOOKUP(A74, IMPORTRANGE(""https://docs.google.com/spreadsheets/d/1IJepw3fl3JT9l2xD-NCBW2t5xk8mCdlfKcnD6eLjDu4"", ""'I1'!$A$2:$N$101""), 14, FALSE)"),4.45)</f>
        <v>4.45</v>
      </c>
      <c r="D74" s="4">
        <f ca="1">IFERROR(__xludf.dummyfunction("IF(VLOOKUP(A74, IMPORTRANGE(""https://docs.google.com/spreadsheets/d/1IJepw3fl3JT9l2xD-NCBW2t5xk8mCdlfKcnD6eLjDu4"", ""'Ex'!$A$2:$F$101""), 6, FALSE)=1, 0.75 * VLOOKUP(A74, IMPORTRANGE(""https://docs.google.com/spreadsheets/d/1IJepw3fl3JT9l2xD-NCBW2t5xk8m"&amp;"CdlfKcnD6eLjDu4"", ""'Ex'!$A$2:$R$101""), 18, FALSE) + 0.25 * VLOOKUP(A74, IMPORTRANGE(""https://docs.google.com/spreadsheets/d/1IJepw3fl3JT9l2xD-NCBW2t5xk8mCdlfKcnD6eLjDu4"", ""'Ex'!$A$2:$R$101""), 15, FALSE) ,VLOOKUP(A74, IMPORTRANGE(""https://docs.goog"&amp;"le.com/spreadsheets/d/1IJepw3fl3JT9l2xD-NCBW2t5xk8mCdlfKcnD6eLjDu4"", ""'I2'!$A$2:$P$101""), 16, FALSE))"),5.13)</f>
        <v>5.13</v>
      </c>
      <c r="E74" s="4">
        <f ca="1">IFERROR(__xludf.dummyfunction("VLOOKUP(A74, IMPORTRANGE(""https://docs.google.com/spreadsheets/d/1IJepw3fl3JT9l2xD-NCBW2t5xk8mCdlfKcnD6eLjDu4"", ""'Ex'!$A$2:$R$101""), 18, FALSE)"),3.75)</f>
        <v>3.75</v>
      </c>
      <c r="G74" s="4">
        <f t="shared" ca="1" si="6"/>
        <v>1</v>
      </c>
      <c r="H74" s="4">
        <f t="shared" ca="1" si="7"/>
        <v>4.4400000000000004</v>
      </c>
      <c r="I74" s="4">
        <f t="shared" ca="1" si="8"/>
        <v>5.7</v>
      </c>
    </row>
    <row r="75" spans="1:10" ht="14">
      <c r="A75" s="3">
        <v>16637895</v>
      </c>
      <c r="B75" s="4">
        <f ca="1">IFERROR(__xludf.dummyfunction("VLOOKUP(A75, IMPORTRANGE(""https://docs.google.com/spreadsheets/d/1WAXfo1nsCjpHXtcoGE16C4HR44t1K8gsIByus__VUSE"", ""'Sección 1'!$A$2:$E$100""), 5, FALSE)"),6.52)</f>
        <v>6.52</v>
      </c>
      <c r="C75" s="4">
        <f ca="1">IFERROR(__xludf.dummyfunction("VLOOKUP(A75, IMPORTRANGE(""https://docs.google.com/spreadsheets/d/1IJepw3fl3JT9l2xD-NCBW2t5xk8mCdlfKcnD6eLjDu4"", ""'I1'!$A$2:$N$101""), 14, FALSE)"),5.97)</f>
        <v>5.97</v>
      </c>
      <c r="D75" s="4">
        <f ca="1">IFERROR(__xludf.dummyfunction("IF(VLOOKUP(A75, IMPORTRANGE(""https://docs.google.com/spreadsheets/d/1IJepw3fl3JT9l2xD-NCBW2t5xk8mCdlfKcnD6eLjDu4"", ""'Ex'!$A$2:$F$101""), 6, FALSE)=1, 0.75 * VLOOKUP(A75, IMPORTRANGE(""https://docs.google.com/spreadsheets/d/1IJepw3fl3JT9l2xD-NCBW2t5xk8m"&amp;"CdlfKcnD6eLjDu4"", ""'Ex'!$A$2:$R$101""), 18, FALSE) + 0.25 * VLOOKUP(A75, IMPORTRANGE(""https://docs.google.com/spreadsheets/d/1IJepw3fl3JT9l2xD-NCBW2t5xk8mCdlfKcnD6eLjDu4"", ""'Ex'!$A$2:$R$101""), 15, FALSE) ,VLOOKUP(A75, IMPORTRANGE(""https://docs.goog"&amp;"le.com/spreadsheets/d/1IJepw3fl3JT9l2xD-NCBW2t5xk8mCdlfKcnD6eLjDu4"", ""'I2'!$A$2:$P$101""), 16, FALSE))"),5)</f>
        <v>5</v>
      </c>
      <c r="E75" s="4">
        <f ca="1">IFERROR(__xludf.dummyfunction("VLOOKUP(A75, IMPORTRANGE(""https://docs.google.com/spreadsheets/d/1IJepw3fl3JT9l2xD-NCBW2t5xk8mCdlfKcnD6eLjDu4"", ""'Ex'!$A$2:$R$101""), 18, FALSE)"),5.25)</f>
        <v>5.25</v>
      </c>
      <c r="G75" s="4">
        <f t="shared" ca="1" si="6"/>
        <v>1</v>
      </c>
      <c r="H75" s="4">
        <f t="shared" ca="1" si="7"/>
        <v>5.49</v>
      </c>
      <c r="I75" s="4">
        <f t="shared" ca="1" si="8"/>
        <v>6</v>
      </c>
    </row>
    <row r="76" spans="1:10" ht="14">
      <c r="A76" s="3">
        <v>16630769</v>
      </c>
      <c r="B76" s="4">
        <f ca="1">IFERROR(__xludf.dummyfunction("VLOOKUP(A76, IMPORTRANGE(""https://docs.google.com/spreadsheets/d/1WAXfo1nsCjpHXtcoGE16C4HR44t1K8gsIByus__VUSE"", ""'Sección 1'!$A$2:$E$100""), 5, FALSE)"),5.93)</f>
        <v>5.93</v>
      </c>
      <c r="C76" s="4">
        <f ca="1">IFERROR(__xludf.dummyfunction("VLOOKUP(A76, IMPORTRANGE(""https://docs.google.com/spreadsheets/d/1IJepw3fl3JT9l2xD-NCBW2t5xk8mCdlfKcnD6eLjDu4"", ""'I1'!$A$2:$N$101""), 14, FALSE)"),6.33)</f>
        <v>6.33</v>
      </c>
      <c r="D76" s="4">
        <f ca="1">IFERROR(__xludf.dummyfunction("IF(VLOOKUP(A76, IMPORTRANGE(""https://docs.google.com/spreadsheets/d/1IJepw3fl3JT9l2xD-NCBW2t5xk8mCdlfKcnD6eLjDu4"", ""'Ex'!$A$2:$F$101""), 6, FALSE)=1, 0.75 * VLOOKUP(A76, IMPORTRANGE(""https://docs.google.com/spreadsheets/d/1IJepw3fl3JT9l2xD-NCBW2t5xk8m"&amp;"CdlfKcnD6eLjDu4"", ""'Ex'!$A$2:$R$101""), 18, FALSE) + 0.25 * VLOOKUP(A76, IMPORTRANGE(""https://docs.google.com/spreadsheets/d/1IJepw3fl3JT9l2xD-NCBW2t5xk8mCdlfKcnD6eLjDu4"", ""'Ex'!$A$2:$R$101""), 15, FALSE) ,VLOOKUP(A76, IMPORTRANGE(""https://docs.goog"&amp;"le.com/spreadsheets/d/1IJepw3fl3JT9l2xD-NCBW2t5xk8mCdlfKcnD6eLjDu4"", ""'I2'!$A$2:$P$101""), 16, FALSE))"),3.63)</f>
        <v>3.63</v>
      </c>
      <c r="E76" s="4">
        <f ca="1">IFERROR(__xludf.dummyfunction("VLOOKUP(A76, IMPORTRANGE(""https://docs.google.com/spreadsheets/d/1IJepw3fl3JT9l2xD-NCBW2t5xk8mCdlfKcnD6eLjDu4"", ""'Ex'!$A$2:$R$101""), 18, FALSE)"),5)</f>
        <v>5</v>
      </c>
      <c r="G76" s="4">
        <f t="shared" ca="1" si="6"/>
        <v>1</v>
      </c>
      <c r="H76" s="4">
        <f t="shared" ca="1" si="7"/>
        <v>5.44</v>
      </c>
      <c r="I76" s="4">
        <f t="shared" ca="1" si="8"/>
        <v>5.7</v>
      </c>
    </row>
    <row r="77" spans="1:10" ht="14">
      <c r="A77" s="3">
        <v>18208266</v>
      </c>
      <c r="B77" s="4">
        <f ca="1">IFERROR(__xludf.dummyfunction("VLOOKUP(A77, IMPORTRANGE(""https://docs.google.com/spreadsheets/d/1WAXfo1nsCjpHXtcoGE16C4HR44t1K8gsIByus__VUSE"", ""'Sección 1'!$A$2:$E$100""), 5, FALSE)"),6.8)</f>
        <v>6.8</v>
      </c>
      <c r="C77" s="4">
        <f ca="1">IFERROR(__xludf.dummyfunction("VLOOKUP(A77, IMPORTRANGE(""https://docs.google.com/spreadsheets/d/1IJepw3fl3JT9l2xD-NCBW2t5xk8mCdlfKcnD6eLjDu4"", ""'I1'!$A$2:$N$101""), 14, FALSE)"),4.33)</f>
        <v>4.33</v>
      </c>
      <c r="D77" s="4">
        <f ca="1">IFERROR(__xludf.dummyfunction("IF(VLOOKUP(A77, IMPORTRANGE(""https://docs.google.com/spreadsheets/d/1IJepw3fl3JT9l2xD-NCBW2t5xk8mCdlfKcnD6eLjDu4"", ""'Ex'!$A$2:$F$101""), 6, FALSE)=1, 0.75 * VLOOKUP(A77, IMPORTRANGE(""https://docs.google.com/spreadsheets/d/1IJepw3fl3JT9l2xD-NCBW2t5xk8m"&amp;"CdlfKcnD6eLjDu4"", ""'Ex'!$A$2:$R$101""), 18, FALSE) + 0.25 * VLOOKUP(A77, IMPORTRANGE(""https://docs.google.com/spreadsheets/d/1IJepw3fl3JT9l2xD-NCBW2t5xk8mCdlfKcnD6eLjDu4"", ""'Ex'!$A$2:$R$101""), 15, FALSE) ,VLOOKUP(A77, IMPORTRANGE(""https://docs.goog"&amp;"le.com/spreadsheets/d/1IJepw3fl3JT9l2xD-NCBW2t5xk8mCdlfKcnD6eLjDu4"", ""'I2'!$A$2:$P$101""), 16, FALSE))"),3.25)</f>
        <v>3.25</v>
      </c>
      <c r="E77" s="4">
        <f ca="1">IFERROR(__xludf.dummyfunction("VLOOKUP(A77, IMPORTRANGE(""https://docs.google.com/spreadsheets/d/1IJepw3fl3JT9l2xD-NCBW2t5xk8mCdlfKcnD6eLjDu4"", ""'Ex'!$A$2:$R$101""), 18, FALSE)"),4.13)</f>
        <v>4.13</v>
      </c>
      <c r="G77" s="4">
        <f t="shared" ca="1" si="6"/>
        <v>1</v>
      </c>
      <c r="H77" s="4">
        <f t="shared" ca="1" si="7"/>
        <v>4.2</v>
      </c>
      <c r="I77" s="4">
        <f t="shared" ca="1" si="8"/>
        <v>5.5</v>
      </c>
    </row>
    <row r="78" spans="1:10" ht="14">
      <c r="A78" s="3">
        <v>15635759</v>
      </c>
      <c r="B78" s="4">
        <f ca="1">IFERROR(__xludf.dummyfunction("VLOOKUP(A78, IMPORTRANGE(""https://docs.google.com/spreadsheets/d/1WAXfo1nsCjpHXtcoGE16C4HR44t1K8gsIByus__VUSE"", ""'Sección 1'!$A$2:$E$100""), 5, FALSE)"),6.56)</f>
        <v>6.56</v>
      </c>
      <c r="C78" s="4">
        <f ca="1">IFERROR(__xludf.dummyfunction("VLOOKUP(A78, IMPORTRANGE(""https://docs.google.com/spreadsheets/d/1IJepw3fl3JT9l2xD-NCBW2t5xk8mCdlfKcnD6eLjDu4"", ""'I1'!$A$2:$N$101""), 14, FALSE)"),6.67)</f>
        <v>6.67</v>
      </c>
      <c r="D78" s="4">
        <f ca="1">IFERROR(__xludf.dummyfunction("IF(VLOOKUP(A78, IMPORTRANGE(""https://docs.google.com/spreadsheets/d/1IJepw3fl3JT9l2xD-NCBW2t5xk8mCdlfKcnD6eLjDu4"", ""'Ex'!$A$2:$F$101""), 6, FALSE)=1, 0.75 * VLOOKUP(A78, IMPORTRANGE(""https://docs.google.com/spreadsheets/d/1IJepw3fl3JT9l2xD-NCBW2t5xk8m"&amp;"CdlfKcnD6eLjDu4"", ""'Ex'!$A$2:$R$101""), 18, FALSE) + 0.25 * VLOOKUP(A78, IMPORTRANGE(""https://docs.google.com/spreadsheets/d/1IJepw3fl3JT9l2xD-NCBW2t5xk8mCdlfKcnD6eLjDu4"", ""'Ex'!$A$2:$R$101""), 15, FALSE) ,VLOOKUP(A78, IMPORTRANGE(""https://docs.goog"&amp;"le.com/spreadsheets/d/1IJepw3fl3JT9l2xD-NCBW2t5xk8mCdlfKcnD6eLjDu4"", ""'I2'!$A$2:$P$101""), 16, FALSE))"),3.75)</f>
        <v>3.75</v>
      </c>
      <c r="E78" s="4">
        <f ca="1">IFERROR(__xludf.dummyfunction("VLOOKUP(A78, IMPORTRANGE(""https://docs.google.com/spreadsheets/d/1IJepw3fl3JT9l2xD-NCBW2t5xk8mCdlfKcnD6eLjDu4"", ""'Ex'!$A$2:$R$101""), 18, FALSE)"),3.13)</f>
        <v>3.13</v>
      </c>
      <c r="G78" s="4">
        <f t="shared" ca="1" si="6"/>
        <v>1</v>
      </c>
      <c r="H78" s="4">
        <f t="shared" ca="1" si="7"/>
        <v>4.5199999999999996</v>
      </c>
      <c r="I78" s="4">
        <f t="shared" ca="1" si="8"/>
        <v>5.5</v>
      </c>
    </row>
    <row r="79" spans="1:10" ht="14">
      <c r="A79" s="3">
        <v>18641822</v>
      </c>
      <c r="B79" s="4">
        <f ca="1">IFERROR(__xludf.dummyfunction("VLOOKUP(A79, IMPORTRANGE(""https://docs.google.com/spreadsheets/d/1WAXfo1nsCjpHXtcoGE16C4HR44t1K8gsIByus__VUSE"", ""'Sección 1'!$A$2:$E$100""), 5, FALSE)"),6.44)</f>
        <v>6.44</v>
      </c>
      <c r="C79" s="4">
        <f ca="1">IFERROR(__xludf.dummyfunction("VLOOKUP(A79, IMPORTRANGE(""https://docs.google.com/spreadsheets/d/1IJepw3fl3JT9l2xD-NCBW2t5xk8mCdlfKcnD6eLjDu4"", ""'I1'!$A$2:$N$101""), 14, FALSE)"),5.27)</f>
        <v>5.27</v>
      </c>
      <c r="D79" s="4">
        <f ca="1">IFERROR(__xludf.dummyfunction("IF(VLOOKUP(A79, IMPORTRANGE(""https://docs.google.com/spreadsheets/d/1IJepw3fl3JT9l2xD-NCBW2t5xk8mCdlfKcnD6eLjDu4"", ""'Ex'!$A$2:$F$101""), 6, FALSE)=1, 0.75 * VLOOKUP(A79, IMPORTRANGE(""https://docs.google.com/spreadsheets/d/1IJepw3fl3JT9l2xD-NCBW2t5xk8m"&amp;"CdlfKcnD6eLjDu4"", ""'Ex'!$A$2:$R$101""), 18, FALSE) + 0.25 * VLOOKUP(A79, IMPORTRANGE(""https://docs.google.com/spreadsheets/d/1IJepw3fl3JT9l2xD-NCBW2t5xk8mCdlfKcnD6eLjDu4"", ""'Ex'!$A$2:$R$101""), 15, FALSE) ,VLOOKUP(A79, IMPORTRANGE(""https://docs.goog"&amp;"le.com/spreadsheets/d/1IJepw3fl3JT9l2xD-NCBW2t5xk8mCdlfKcnD6eLjDu4"", ""'I2'!$A$2:$P$101""), 16, FALSE))"),4.88)</f>
        <v>4.88</v>
      </c>
      <c r="E79" s="4">
        <f ca="1">IFERROR(__xludf.dummyfunction("VLOOKUP(A79, IMPORTRANGE(""https://docs.google.com/spreadsheets/d/1IJepw3fl3JT9l2xD-NCBW2t5xk8mCdlfKcnD6eLjDu4"", ""'Ex'!$A$2:$R$101""), 18, FALSE)"),5)</f>
        <v>5</v>
      </c>
      <c r="G79" s="4">
        <f t="shared" ca="1" si="6"/>
        <v>1</v>
      </c>
      <c r="H79" s="4">
        <f t="shared" ca="1" si="7"/>
        <v>5.09</v>
      </c>
      <c r="I79" s="4">
        <f t="shared" ca="1" si="8"/>
        <v>5.8</v>
      </c>
    </row>
    <row r="80" spans="1:10" ht="14">
      <c r="A80" s="3">
        <v>18639925</v>
      </c>
      <c r="B80" s="4">
        <f ca="1">IFERROR(__xludf.dummyfunction("VLOOKUP(A80, IMPORTRANGE(""https://docs.google.com/spreadsheets/d/1WAXfo1nsCjpHXtcoGE16C4HR44t1K8gsIByus__VUSE"", ""'Sección 1'!$A$2:$E$100""), 5, FALSE)"),6.39)</f>
        <v>6.39</v>
      </c>
      <c r="C80" s="4">
        <f ca="1">IFERROR(__xludf.dummyfunction("VLOOKUP(A80, IMPORTRANGE(""https://docs.google.com/spreadsheets/d/1IJepw3fl3JT9l2xD-NCBW2t5xk8mCdlfKcnD6eLjDu4"", ""'I1'!$A$2:$N$101""), 14, FALSE)"),5.78)</f>
        <v>5.78</v>
      </c>
      <c r="D80" s="4">
        <f ca="1">IFERROR(__xludf.dummyfunction("IF(VLOOKUP(A80, IMPORTRANGE(""https://docs.google.com/spreadsheets/d/1IJepw3fl3JT9l2xD-NCBW2t5xk8mCdlfKcnD6eLjDu4"", ""'Ex'!$A$2:$F$101""), 6, FALSE)=1, 0.75 * VLOOKUP(A80, IMPORTRANGE(""https://docs.google.com/spreadsheets/d/1IJepw3fl3JT9l2xD-NCBW2t5xk8m"&amp;"CdlfKcnD6eLjDu4"", ""'Ex'!$A$2:$R$101""), 18, FALSE) + 0.25 * VLOOKUP(A80, IMPORTRANGE(""https://docs.google.com/spreadsheets/d/1IJepw3fl3JT9l2xD-NCBW2t5xk8mCdlfKcnD6eLjDu4"", ""'Ex'!$A$2:$R$101""), 15, FALSE) ,VLOOKUP(A80, IMPORTRANGE(""https://docs.goog"&amp;"le.com/spreadsheets/d/1IJepw3fl3JT9l2xD-NCBW2t5xk8mCdlfKcnD6eLjDu4"", ""'I2'!$A$2:$P$101""), 16, FALSE))"),3.63)</f>
        <v>3.63</v>
      </c>
      <c r="E80" s="4">
        <f ca="1">IFERROR(__xludf.dummyfunction("VLOOKUP(A80, IMPORTRANGE(""https://docs.google.com/spreadsheets/d/1IJepw3fl3JT9l2xD-NCBW2t5xk8mCdlfKcnD6eLjDu4"", ""'Ex'!$A$2:$R$101""), 18, FALSE)"),4.63)</f>
        <v>4.63</v>
      </c>
      <c r="G80" s="4">
        <f t="shared" ca="1" si="6"/>
        <v>1</v>
      </c>
      <c r="H80" s="4">
        <f t="shared" ca="1" si="7"/>
        <v>5.01</v>
      </c>
      <c r="I80" s="4">
        <f t="shared" ca="1" si="8"/>
        <v>5.7</v>
      </c>
    </row>
    <row r="81" spans="1:10" ht="14">
      <c r="A81" s="3">
        <v>16636848</v>
      </c>
      <c r="B81" s="4">
        <f ca="1">IFERROR(__xludf.dummyfunction("VLOOKUP(A81, IMPORTRANGE(""https://docs.google.com/spreadsheets/d/1WAXfo1nsCjpHXtcoGE16C4HR44t1K8gsIByus__VUSE"", ""'Sección 1'!$A$2:$E$100""), 5, FALSE)"),6.61)</f>
        <v>6.61</v>
      </c>
      <c r="C81" s="4">
        <f ca="1">IFERROR(__xludf.dummyfunction("VLOOKUP(A81, IMPORTRANGE(""https://docs.google.com/spreadsheets/d/1IJepw3fl3JT9l2xD-NCBW2t5xk8mCdlfKcnD6eLjDu4"", ""'I1'!$A$2:$N$101""), 14, FALSE)"),3)</f>
        <v>3</v>
      </c>
      <c r="D81" s="4">
        <f ca="1">IFERROR(__xludf.dummyfunction("IF(VLOOKUP(A81, IMPORTRANGE(""https://docs.google.com/spreadsheets/d/1IJepw3fl3JT9l2xD-NCBW2t5xk8mCdlfKcnD6eLjDu4"", ""'Ex'!$A$2:$F$101""), 6, FALSE)=1, 0.75 * VLOOKUP(A81, IMPORTRANGE(""https://docs.google.com/spreadsheets/d/1IJepw3fl3JT9l2xD-NCBW2t5xk8m"&amp;"CdlfKcnD6eLjDu4"", ""'Ex'!$A$2:$R$101""), 18, FALSE) + 0.25 * VLOOKUP(A81, IMPORTRANGE(""https://docs.google.com/spreadsheets/d/1IJepw3fl3JT9l2xD-NCBW2t5xk8mCdlfKcnD6eLjDu4"", ""'Ex'!$A$2:$R$101""), 15, FALSE) ,VLOOKUP(A81, IMPORTRANGE(""https://docs.goog"&amp;"le.com/spreadsheets/d/1IJepw3fl3JT9l2xD-NCBW2t5xk8mCdlfKcnD6eLjDu4"", ""'I2'!$A$2:$P$101""), 16, FALSE))"),2.88)</f>
        <v>2.88</v>
      </c>
      <c r="E81" s="4">
        <f ca="1">IFERROR(__xludf.dummyfunction("VLOOKUP(A81, IMPORTRANGE(""https://docs.google.com/spreadsheets/d/1IJepw3fl3JT9l2xD-NCBW2t5xk8mCdlfKcnD6eLjDu4"", ""'Ex'!$A$2:$R$101""), 18, FALSE)"),1)</f>
        <v>1</v>
      </c>
      <c r="G81" s="4">
        <f t="shared" ca="1" si="6"/>
        <v>0</v>
      </c>
      <c r="H81" s="4">
        <f t="shared" ca="1" si="7"/>
        <v>2.29</v>
      </c>
      <c r="I81" s="4">
        <f t="shared" ca="1" si="8"/>
        <v>2.2999999999999998</v>
      </c>
      <c r="J81" s="8" t="s">
        <v>16</v>
      </c>
    </row>
    <row r="82" spans="1:10" ht="14">
      <c r="A82" s="5">
        <v>16210336</v>
      </c>
      <c r="B82" s="6">
        <f ca="1">IFERROR(__xludf.dummyfunction("VLOOKUP(A82, IMPORTRANGE(""https://docs.google.com/spreadsheets/d/1WAXfo1nsCjpHXtcoGE16C4HR44t1K8gsIByus__VUSE"", ""'Sección 1'!$A$2:$E$100""), 5, FALSE)"),6.51)</f>
        <v>6.51</v>
      </c>
      <c r="C82" s="6">
        <f ca="1">IFERROR(__xludf.dummyfunction("VLOOKUP(A82, IMPORTRANGE(""https://docs.google.com/spreadsheets/d/1IJepw3fl3JT9l2xD-NCBW2t5xk8mCdlfKcnD6eLjDu4"", ""'I1'!$A$2:$N$101""), 14, FALSE)"),1)</f>
        <v>1</v>
      </c>
      <c r="D82" s="6">
        <f ca="1">IFERROR(__xludf.dummyfunction("IF(VLOOKUP(A82, IMPORTRANGE(""https://docs.google.com/spreadsheets/d/1IJepw3fl3JT9l2xD-NCBW2t5xk8mCdlfKcnD6eLjDu4"", ""'Ex'!$A$2:$F$101""), 6, FALSE)=1, 0.75 * VLOOKUP(A82, IMPORTRANGE(""https://docs.google.com/spreadsheets/d/1IJepw3fl3JT9l2xD-NCBW2t5xk8m"&amp;"CdlfKcnD6eLjDu4"", ""'Ex'!$A$2:$R$101""), 18, FALSE) + 0.25 * VLOOKUP(A82, IMPORTRANGE(""https://docs.google.com/spreadsheets/d/1IJepw3fl3JT9l2xD-NCBW2t5xk8mCdlfKcnD6eLjDu4"", ""'Ex'!$A$2:$R$101""), 15, FALSE) ,VLOOKUP(A82, IMPORTRANGE(""https://docs.goog"&amp;"le.com/spreadsheets/d/1IJepw3fl3JT9l2xD-NCBW2t5xk8mCdlfKcnD6eLjDu4"", ""'I2'!$A$2:$P$101""), 16, FALSE))"),1)</f>
        <v>1</v>
      </c>
      <c r="E82" s="6">
        <f ca="1">IFERROR(__xludf.dummyfunction("VLOOKUP(A82, IMPORTRANGE(""https://docs.google.com/spreadsheets/d/1IJepw3fl3JT9l2xD-NCBW2t5xk8mCdlfKcnD6eLjDu4"", ""'Ex'!$A$2:$R$101""), 18, FALSE)"),1)</f>
        <v>1</v>
      </c>
      <c r="F82" s="6"/>
      <c r="G82" s="6">
        <f t="shared" ca="1" si="6"/>
        <v>0</v>
      </c>
      <c r="H82" s="4">
        <f t="shared" ca="1" si="7"/>
        <v>1</v>
      </c>
      <c r="I82" s="6">
        <f t="shared" ca="1" si="8"/>
        <v>1</v>
      </c>
    </row>
    <row r="83" spans="1:10" ht="14">
      <c r="A83" s="3">
        <v>17641403</v>
      </c>
      <c r="B83" s="4">
        <f ca="1">IFERROR(__xludf.dummyfunction("VLOOKUP(A83, IMPORTRANGE(""https://docs.google.com/spreadsheets/d/1WAXfo1nsCjpHXtcoGE16C4HR44t1K8gsIByus__VUSE"", ""'Sección 1'!$A$2:$E$100""), 5, FALSE)"),5.99)</f>
        <v>5.99</v>
      </c>
      <c r="C83" s="4">
        <f ca="1">IFERROR(__xludf.dummyfunction("VLOOKUP(A83, IMPORTRANGE(""https://docs.google.com/spreadsheets/d/1IJepw3fl3JT9l2xD-NCBW2t5xk8mCdlfKcnD6eLjDu4"", ""'I1'!$A$2:$N$101""), 14, FALSE)"),6.17)</f>
        <v>6.17</v>
      </c>
      <c r="D83" s="4">
        <f ca="1">IFERROR(__xludf.dummyfunction("IF(VLOOKUP(A83, IMPORTRANGE(""https://docs.google.com/spreadsheets/d/1IJepw3fl3JT9l2xD-NCBW2t5xk8mCdlfKcnD6eLjDu4"", ""'Ex'!$A$2:$F$101""), 6, FALSE)=1, 0.75 * VLOOKUP(A83, IMPORTRANGE(""https://docs.google.com/spreadsheets/d/1IJepw3fl3JT9l2xD-NCBW2t5xk8m"&amp;"CdlfKcnD6eLjDu4"", ""'Ex'!$A$2:$R$101""), 18, FALSE) + 0.25 * VLOOKUP(A83, IMPORTRANGE(""https://docs.google.com/spreadsheets/d/1IJepw3fl3JT9l2xD-NCBW2t5xk8mCdlfKcnD6eLjDu4"", ""'Ex'!$A$2:$R$101""), 15, FALSE) ,VLOOKUP(A83, IMPORTRANGE(""https://docs.goog"&amp;"le.com/spreadsheets/d/1IJepw3fl3JT9l2xD-NCBW2t5xk8mCdlfKcnD6eLjDu4"", ""'I2'!$A$2:$P$101""), 16, FALSE))"),3.63)</f>
        <v>3.63</v>
      </c>
      <c r="E83" s="4">
        <f ca="1">IFERROR(__xludf.dummyfunction("VLOOKUP(A83, IMPORTRANGE(""https://docs.google.com/spreadsheets/d/1IJepw3fl3JT9l2xD-NCBW2t5xk8mCdlfKcnD6eLjDu4"", ""'Ex'!$A$2:$R$101""), 18, FALSE)"),4.83)</f>
        <v>4.83</v>
      </c>
      <c r="G83" s="4">
        <f t="shared" ca="1" si="6"/>
        <v>1</v>
      </c>
      <c r="H83" s="4">
        <f t="shared" ca="1" si="7"/>
        <v>5.28</v>
      </c>
      <c r="I83" s="4">
        <f t="shared" ca="1" si="8"/>
        <v>5.6</v>
      </c>
    </row>
    <row r="84" spans="1:10" ht="14">
      <c r="A84" s="3">
        <v>18642411</v>
      </c>
      <c r="B84" s="4">
        <f ca="1">IFERROR(__xludf.dummyfunction("VLOOKUP(A84, IMPORTRANGE(""https://docs.google.com/spreadsheets/d/1WAXfo1nsCjpHXtcoGE16C4HR44t1K8gsIByus__VUSE"", ""'Sección 1'!$A$2:$E$100""), 5, FALSE)"),5.93)</f>
        <v>5.93</v>
      </c>
      <c r="C84" s="4">
        <f ca="1">IFERROR(__xludf.dummyfunction("VLOOKUP(A84, IMPORTRANGE(""https://docs.google.com/spreadsheets/d/1IJepw3fl3JT9l2xD-NCBW2t5xk8mCdlfKcnD6eLjDu4"", ""'I1'!$A$2:$N$101""), 14, FALSE)"),4.58)</f>
        <v>4.58</v>
      </c>
      <c r="D84" s="4">
        <f ca="1">IFERROR(__xludf.dummyfunction("IF(VLOOKUP(A84, IMPORTRANGE(""https://docs.google.com/spreadsheets/d/1IJepw3fl3JT9l2xD-NCBW2t5xk8mCdlfKcnD6eLjDu4"", ""'Ex'!$A$2:$F$101""), 6, FALSE)=1, 0.75 * VLOOKUP(A84, IMPORTRANGE(""https://docs.google.com/spreadsheets/d/1IJepw3fl3JT9l2xD-NCBW2t5xk8m"&amp;"CdlfKcnD6eLjDu4"", ""'Ex'!$A$2:$R$101""), 18, FALSE) + 0.25 * VLOOKUP(A84, IMPORTRANGE(""https://docs.google.com/spreadsheets/d/1IJepw3fl3JT9l2xD-NCBW2t5xk8mCdlfKcnD6eLjDu4"", ""'Ex'!$A$2:$R$101""), 15, FALSE) ,VLOOKUP(A84, IMPORTRANGE(""https://docs.goog"&amp;"le.com/spreadsheets/d/1IJepw3fl3JT9l2xD-NCBW2t5xk8mCdlfKcnD6eLjDu4"", ""'I2'!$A$2:$P$101""), 16, FALSE))"),4.25)</f>
        <v>4.25</v>
      </c>
      <c r="E84" s="4">
        <f ca="1">IFERROR(__xludf.dummyfunction("VLOOKUP(A84, IMPORTRANGE(""https://docs.google.com/spreadsheets/d/1IJepw3fl3JT9l2xD-NCBW2t5xk8mCdlfKcnD6eLjDu4"", ""'Ex'!$A$2:$R$101""), 18, FALSE)"),4.38)</f>
        <v>4.38</v>
      </c>
      <c r="G84" s="4">
        <f t="shared" ca="1" si="6"/>
        <v>1</v>
      </c>
      <c r="H84" s="4">
        <f t="shared" ca="1" si="7"/>
        <v>4.45</v>
      </c>
      <c r="I84" s="4">
        <f t="shared" ca="1" si="8"/>
        <v>5.2</v>
      </c>
    </row>
    <row r="85" spans="1:10" ht="14">
      <c r="A85" s="3">
        <v>18641709</v>
      </c>
      <c r="B85" s="4">
        <f ca="1">IFERROR(__xludf.dummyfunction("VLOOKUP(A85, IMPORTRANGE(""https://docs.google.com/spreadsheets/d/1WAXfo1nsCjpHXtcoGE16C4HR44t1K8gsIByus__VUSE"", ""'Sección 1'!$A$2:$E$100""), 5, FALSE)"),5.84)</f>
        <v>5.84</v>
      </c>
      <c r="C85" s="4">
        <f ca="1">IFERROR(__xludf.dummyfunction("VLOOKUP(A85, IMPORTRANGE(""https://docs.google.com/spreadsheets/d/1IJepw3fl3JT9l2xD-NCBW2t5xk8mCdlfKcnD6eLjDu4"", ""'I1'!$A$2:$N$101""), 14, FALSE)"),6.18)</f>
        <v>6.18</v>
      </c>
      <c r="D85" s="4">
        <f ca="1">IFERROR(__xludf.dummyfunction("IF(VLOOKUP(A85, IMPORTRANGE(""https://docs.google.com/spreadsheets/d/1IJepw3fl3JT9l2xD-NCBW2t5xk8mCdlfKcnD6eLjDu4"", ""'Ex'!$A$2:$F$101""), 6, FALSE)=1, 0.75 * VLOOKUP(A85, IMPORTRANGE(""https://docs.google.com/spreadsheets/d/1IJepw3fl3JT9l2xD-NCBW2t5xk8m"&amp;"CdlfKcnD6eLjDu4"", ""'Ex'!$A$2:$R$101""), 18, FALSE) + 0.25 * VLOOKUP(A85, IMPORTRANGE(""https://docs.google.com/spreadsheets/d/1IJepw3fl3JT9l2xD-NCBW2t5xk8mCdlfKcnD6eLjDu4"", ""'Ex'!$A$2:$R$101""), 15, FALSE) ,VLOOKUP(A85, IMPORTRANGE(""https://docs.goog"&amp;"le.com/spreadsheets/d/1IJepw3fl3JT9l2xD-NCBW2t5xk8mCdlfKcnD6eLjDu4"", ""'I2'!$A$2:$P$101""), 16, FALSE))"),5.75)</f>
        <v>5.75</v>
      </c>
      <c r="E85" s="4">
        <f ca="1">IFERROR(__xludf.dummyfunction("VLOOKUP(A85, IMPORTRANGE(""https://docs.google.com/spreadsheets/d/1IJepw3fl3JT9l2xD-NCBW2t5xk8mCdlfKcnD6eLjDu4"", ""'Ex'!$A$2:$R$101""), 18, FALSE)"),5.05)</f>
        <v>5.05</v>
      </c>
      <c r="G85" s="4">
        <f t="shared" ca="1" si="6"/>
        <v>1</v>
      </c>
      <c r="H85" s="4">
        <f t="shared" ca="1" si="7"/>
        <v>5.66</v>
      </c>
      <c r="I85" s="4">
        <f t="shared" ca="1" si="8"/>
        <v>5.8</v>
      </c>
    </row>
    <row r="86" spans="1:10" ht="14">
      <c r="A86" s="3">
        <v>17641985</v>
      </c>
      <c r="B86" s="4">
        <f ca="1">IFERROR(__xludf.dummyfunction("VLOOKUP(A86, IMPORTRANGE(""https://docs.google.com/spreadsheets/d/1WAXfo1nsCjpHXtcoGE16C4HR44t1K8gsIByus__VUSE"", ""'Sección 1'!$A$2:$E$100""), 5, FALSE)"),4.97)</f>
        <v>4.97</v>
      </c>
      <c r="C86" s="4">
        <f ca="1">IFERROR(__xludf.dummyfunction("VLOOKUP(A86, IMPORTRANGE(""https://docs.google.com/spreadsheets/d/1IJepw3fl3JT9l2xD-NCBW2t5xk8mCdlfKcnD6eLjDu4"", ""'I1'!$A$2:$N$101""), 14, FALSE)"),5.08)</f>
        <v>5.08</v>
      </c>
      <c r="D86" s="4">
        <f ca="1">IFERROR(__xludf.dummyfunction("IF(VLOOKUP(A86, IMPORTRANGE(""https://docs.google.com/spreadsheets/d/1IJepw3fl3JT9l2xD-NCBW2t5xk8mCdlfKcnD6eLjDu4"", ""'Ex'!$A$2:$F$101""), 6, FALSE)=1, 0.75 * VLOOKUP(A86, IMPORTRANGE(""https://docs.google.com/spreadsheets/d/1IJepw3fl3JT9l2xD-NCBW2t5xk8m"&amp;"CdlfKcnD6eLjDu4"", ""'Ex'!$A$2:$R$101""), 18, FALSE) + 0.25 * VLOOKUP(A86, IMPORTRANGE(""https://docs.google.com/spreadsheets/d/1IJepw3fl3JT9l2xD-NCBW2t5xk8mCdlfKcnD6eLjDu4"", ""'Ex'!$A$2:$R$101""), 15, FALSE) ,VLOOKUP(A86, IMPORTRANGE(""https://docs.goog"&amp;"le.com/spreadsheets/d/1IJepw3fl3JT9l2xD-NCBW2t5xk8mCdlfKcnD6eLjDu4"", ""'I2'!$A$2:$P$101""), 16, FALSE))"),4.25)</f>
        <v>4.25</v>
      </c>
      <c r="E86" s="4">
        <f ca="1">IFERROR(__xludf.dummyfunction("VLOOKUP(A86, IMPORTRANGE(""https://docs.google.com/spreadsheets/d/1IJepw3fl3JT9l2xD-NCBW2t5xk8mCdlfKcnD6eLjDu4"", ""'Ex'!$A$2:$R$101""), 18, FALSE)"),3.5)</f>
        <v>3.5</v>
      </c>
      <c r="G86" s="4">
        <f t="shared" ca="1" si="6"/>
        <v>1</v>
      </c>
      <c r="H86" s="4">
        <f t="shared" ca="1" si="7"/>
        <v>4.28</v>
      </c>
      <c r="I86" s="4">
        <f t="shared" ca="1" si="8"/>
        <v>4.5999999999999996</v>
      </c>
    </row>
    <row r="87" spans="1:10" ht="14">
      <c r="A87" s="3">
        <v>16626427</v>
      </c>
      <c r="B87" s="4">
        <f ca="1">IFERROR(__xludf.dummyfunction("VLOOKUP(A87, IMPORTRANGE(""https://docs.google.com/spreadsheets/d/1WAXfo1nsCjpHXtcoGE16C4HR44t1K8gsIByus__VUSE"", ""'Sección 1'!$A$2:$E$100""), 5, FALSE)"),6.56)</f>
        <v>6.56</v>
      </c>
      <c r="C87" s="4">
        <f ca="1">IFERROR(__xludf.dummyfunction("VLOOKUP(A87, IMPORTRANGE(""https://docs.google.com/spreadsheets/d/1IJepw3fl3JT9l2xD-NCBW2t5xk8mCdlfKcnD6eLjDu4"", ""'I1'!$A$2:$N$101""), 14, FALSE)"),5.6)</f>
        <v>5.6</v>
      </c>
      <c r="D87" s="4">
        <f ca="1">IFERROR(__xludf.dummyfunction("IF(VLOOKUP(A87, IMPORTRANGE(""https://docs.google.com/spreadsheets/d/1IJepw3fl3JT9l2xD-NCBW2t5xk8mCdlfKcnD6eLjDu4"", ""'Ex'!$A$2:$F$101""), 6, FALSE)=1, 0.75 * VLOOKUP(A87, IMPORTRANGE(""https://docs.google.com/spreadsheets/d/1IJepw3fl3JT9l2xD-NCBW2t5xk8m"&amp;"CdlfKcnD6eLjDu4"", ""'Ex'!$A$2:$R$101""), 18, FALSE) + 0.25 * VLOOKUP(A87, IMPORTRANGE(""https://docs.google.com/spreadsheets/d/1IJepw3fl3JT9l2xD-NCBW2t5xk8mCdlfKcnD6eLjDu4"", ""'Ex'!$A$2:$R$101""), 15, FALSE) ,VLOOKUP(A87, IMPORTRANGE(""https://docs.goog"&amp;"le.com/spreadsheets/d/1IJepw3fl3JT9l2xD-NCBW2t5xk8mCdlfKcnD6eLjDu4"", ""'I2'!$A$2:$P$101""), 16, FALSE))"),3.38)</f>
        <v>3.38</v>
      </c>
      <c r="E87" s="4">
        <f ca="1">IFERROR(__xludf.dummyfunction("VLOOKUP(A87, IMPORTRANGE(""https://docs.google.com/spreadsheets/d/1IJepw3fl3JT9l2xD-NCBW2t5xk8mCdlfKcnD6eLjDu4"", ""'Ex'!$A$2:$R$101""), 18, FALSE)"),4.93)</f>
        <v>4.93</v>
      </c>
      <c r="G87" s="4">
        <f t="shared" ca="1" si="6"/>
        <v>1</v>
      </c>
      <c r="H87" s="4">
        <f t="shared" ca="1" si="7"/>
        <v>5.15</v>
      </c>
      <c r="I87" s="4">
        <f t="shared" ca="1" si="8"/>
        <v>5.9</v>
      </c>
    </row>
    <row r="88" spans="1:10" ht="14">
      <c r="A88" s="3">
        <v>17624908</v>
      </c>
      <c r="B88" s="4">
        <f ca="1">IFERROR(__xludf.dummyfunction("VLOOKUP(A88, IMPORTRANGE(""https://docs.google.com/spreadsheets/d/1WAXfo1nsCjpHXtcoGE16C4HR44t1K8gsIByus__VUSE"", ""'Sección 1'!$A$2:$E$100""), 5, FALSE)"),6.68)</f>
        <v>6.68</v>
      </c>
      <c r="C88" s="4">
        <f ca="1">IFERROR(__xludf.dummyfunction("VLOOKUP(A88, IMPORTRANGE(""https://docs.google.com/spreadsheets/d/1IJepw3fl3JT9l2xD-NCBW2t5xk8mCdlfKcnD6eLjDu4"", ""'I1'!$A$2:$N$101""), 14, FALSE)"),5.35)</f>
        <v>5.35</v>
      </c>
      <c r="D88" s="4">
        <f ca="1">IFERROR(__xludf.dummyfunction("IF(VLOOKUP(A88, IMPORTRANGE(""https://docs.google.com/spreadsheets/d/1IJepw3fl3JT9l2xD-NCBW2t5xk8mCdlfKcnD6eLjDu4"", ""'Ex'!$A$2:$F$101""), 6, FALSE)=1, 0.75 * VLOOKUP(A88, IMPORTRANGE(""https://docs.google.com/spreadsheets/d/1IJepw3fl3JT9l2xD-NCBW2t5xk8m"&amp;"CdlfKcnD6eLjDu4"", ""'Ex'!$A$2:$R$101""), 18, FALSE) + 0.25 * VLOOKUP(A88, IMPORTRANGE(""https://docs.google.com/spreadsheets/d/1IJepw3fl3JT9l2xD-NCBW2t5xk8mCdlfKcnD6eLjDu4"", ""'Ex'!$A$2:$R$101""), 15, FALSE) ,VLOOKUP(A88, IMPORTRANGE(""https://docs.goog"&amp;"le.com/spreadsheets/d/1IJepw3fl3JT9l2xD-NCBW2t5xk8mCdlfKcnD6eLjDu4"", ""'I2'!$A$2:$P$101""), 16, FALSE))"),4.13)</f>
        <v>4.13</v>
      </c>
      <c r="E88" s="4">
        <f ca="1">IFERROR(__xludf.dummyfunction("VLOOKUP(A88, IMPORTRANGE(""https://docs.google.com/spreadsheets/d/1IJepw3fl3JT9l2xD-NCBW2t5xk8mCdlfKcnD6eLjDu4"", ""'Ex'!$A$2:$R$101""), 18, FALSE)"),5.18)</f>
        <v>5.18</v>
      </c>
      <c r="G88" s="4">
        <f t="shared" ca="1" si="6"/>
        <v>1</v>
      </c>
      <c r="H88" s="4">
        <f t="shared" ca="1" si="7"/>
        <v>5.24</v>
      </c>
      <c r="I88" s="4">
        <f t="shared" ca="1" si="8"/>
        <v>6</v>
      </c>
    </row>
    <row r="89" spans="1:10" ht="14">
      <c r="A89" s="3">
        <v>18638465</v>
      </c>
      <c r="B89" s="4">
        <f ca="1">IFERROR(__xludf.dummyfunction("VLOOKUP(A89, IMPORTRANGE(""https://docs.google.com/spreadsheets/d/1WAXfo1nsCjpHXtcoGE16C4HR44t1K8gsIByus__VUSE"", ""'Sección 1'!$A$2:$E$100""), 5, FALSE)"),6.95)</f>
        <v>6.95</v>
      </c>
      <c r="C89" s="4">
        <f ca="1">IFERROR(__xludf.dummyfunction("VLOOKUP(A89, IMPORTRANGE(""https://docs.google.com/spreadsheets/d/1IJepw3fl3JT9l2xD-NCBW2t5xk8mCdlfKcnD6eLjDu4"", ""'I1'!$A$2:$N$101""), 14, FALSE)"),6.58)</f>
        <v>6.58</v>
      </c>
      <c r="D89" s="4">
        <f ca="1">IFERROR(__xludf.dummyfunction("IF(VLOOKUP(A89, IMPORTRANGE(""https://docs.google.com/spreadsheets/d/1IJepw3fl3JT9l2xD-NCBW2t5xk8mCdlfKcnD6eLjDu4"", ""'Ex'!$A$2:$F$101""), 6, FALSE)=1, 0.75 * VLOOKUP(A89, IMPORTRANGE(""https://docs.google.com/spreadsheets/d/1IJepw3fl3JT9l2xD-NCBW2t5xk8m"&amp;"CdlfKcnD6eLjDu4"", ""'Ex'!$A$2:$R$101""), 18, FALSE) + 0.25 * VLOOKUP(A89, IMPORTRANGE(""https://docs.google.com/spreadsheets/d/1IJepw3fl3JT9l2xD-NCBW2t5xk8mCdlfKcnD6eLjDu4"", ""'Ex'!$A$2:$R$101""), 15, FALSE) ,VLOOKUP(A89, IMPORTRANGE(""https://docs.goog"&amp;"le.com/spreadsheets/d/1IJepw3fl3JT9l2xD-NCBW2t5xk8mCdlfKcnD6eLjDu4"", ""'I2'!$A$2:$P$101""), 16, FALSE))"),5.5)</f>
        <v>5.5</v>
      </c>
      <c r="E89" s="4">
        <f ca="1">IFERROR(__xludf.dummyfunction("VLOOKUP(A89, IMPORTRANGE(""https://docs.google.com/spreadsheets/d/1IJepw3fl3JT9l2xD-NCBW2t5xk8mCdlfKcnD6eLjDu4"", ""'Ex'!$A$2:$R$101""), 18, FALSE)"),5.75)</f>
        <v>5.75</v>
      </c>
      <c r="G89" s="4">
        <f t="shared" ca="1" si="6"/>
        <v>1</v>
      </c>
      <c r="H89" s="4">
        <f t="shared" ca="1" si="7"/>
        <v>6.03</v>
      </c>
      <c r="I89" s="4">
        <f t="shared" ca="1" si="8"/>
        <v>6.5</v>
      </c>
    </row>
    <row r="90" spans="1:10" ht="14">
      <c r="A90" s="3">
        <v>16622391</v>
      </c>
      <c r="B90" s="4">
        <f ca="1">IFERROR(__xludf.dummyfunction("VLOOKUP(A90, IMPORTRANGE(""https://docs.google.com/spreadsheets/d/1WAXfo1nsCjpHXtcoGE16C4HR44t1K8gsIByus__VUSE"", ""'Sección 1'!$A$2:$E$100""), 5, FALSE)"),6.56)</f>
        <v>6.56</v>
      </c>
      <c r="C90" s="4">
        <f ca="1">IFERROR(__xludf.dummyfunction("VLOOKUP(A90, IMPORTRANGE(""https://docs.google.com/spreadsheets/d/1IJepw3fl3JT9l2xD-NCBW2t5xk8mCdlfKcnD6eLjDu4"", ""'I1'!$A$2:$N$101""), 14, FALSE)"),3.92)</f>
        <v>3.92</v>
      </c>
      <c r="D90" s="4">
        <f ca="1">IFERROR(__xludf.dummyfunction("IF(VLOOKUP(A90, IMPORTRANGE(""https://docs.google.com/spreadsheets/d/1IJepw3fl3JT9l2xD-NCBW2t5xk8mCdlfKcnD6eLjDu4"", ""'Ex'!$A$2:$F$101""), 6, FALSE)=1, 0.75 * VLOOKUP(A90, IMPORTRANGE(""https://docs.google.com/spreadsheets/d/1IJepw3fl3JT9l2xD-NCBW2t5xk8m"&amp;"CdlfKcnD6eLjDu4"", ""'Ex'!$A$2:$R$101""), 18, FALSE) + 0.25 * VLOOKUP(A90, IMPORTRANGE(""https://docs.google.com/spreadsheets/d/1IJepw3fl3JT9l2xD-NCBW2t5xk8mCdlfKcnD6eLjDu4"", ""'Ex'!$A$2:$R$101""), 15, FALSE) ,VLOOKUP(A90, IMPORTRANGE(""https://docs.goog"&amp;"le.com/spreadsheets/d/1IJepw3fl3JT9l2xD-NCBW2t5xk8mCdlfKcnD6eLjDu4"", ""'I2'!$A$2:$P$101""), 16, FALSE))"),2.38)</f>
        <v>2.38</v>
      </c>
      <c r="E90" s="4">
        <f ca="1">IFERROR(__xludf.dummyfunction("VLOOKUP(A90, IMPORTRANGE(""https://docs.google.com/spreadsheets/d/1IJepw3fl3JT9l2xD-NCBW2t5xk8mCdlfKcnD6eLjDu4"", ""'Ex'!$A$2:$R$101""), 18, FALSE)"),5.13)</f>
        <v>5.13</v>
      </c>
      <c r="G90" s="4">
        <f t="shared" ca="1" si="6"/>
        <v>0</v>
      </c>
      <c r="H90" s="4">
        <f t="shared" ca="1" si="7"/>
        <v>4.21</v>
      </c>
      <c r="I90" s="4">
        <f t="shared" ca="1" si="8"/>
        <v>5.4</v>
      </c>
    </row>
    <row r="91" spans="1:10" ht="14">
      <c r="A91" s="3" t="s">
        <v>14</v>
      </c>
      <c r="B91" s="4">
        <f ca="1">IFERROR(__xludf.dummyfunction("VLOOKUP(A91, IMPORTRANGE(""https://docs.google.com/spreadsheets/d/1WAXfo1nsCjpHXtcoGE16C4HR44t1K8gsIByus__VUSE"", ""'Sección 1'!$A$2:$E$100""), 5, FALSE)"),6.42)</f>
        <v>6.42</v>
      </c>
      <c r="C91" s="4">
        <f ca="1">IFERROR(__xludf.dummyfunction("VLOOKUP(A91, IMPORTRANGE(""https://docs.google.com/spreadsheets/d/1IJepw3fl3JT9l2xD-NCBW2t5xk8mCdlfKcnD6eLjDu4"", ""'I1'!$A$2:$N$101""), 14, FALSE)"),4.68)</f>
        <v>4.68</v>
      </c>
      <c r="D91" s="4">
        <f ca="1">IFERROR(__xludf.dummyfunction("IF(VLOOKUP(A91, IMPORTRANGE(""https://docs.google.com/spreadsheets/d/1IJepw3fl3JT9l2xD-NCBW2t5xk8mCdlfKcnD6eLjDu4"", ""'Ex'!$A$2:$F$101""), 6, FALSE)=1, 0.75 * VLOOKUP(A91, IMPORTRANGE(""https://docs.google.com/spreadsheets/d/1IJepw3fl3JT9l2xD-NCBW2t5xk8m"&amp;"CdlfKcnD6eLjDu4"", ""'Ex'!$A$2:$R$101""), 18, FALSE) + 0.25 * VLOOKUP(A91, IMPORTRANGE(""https://docs.google.com/spreadsheets/d/1IJepw3fl3JT9l2xD-NCBW2t5xk8mCdlfKcnD6eLjDu4"", ""'Ex'!$A$2:$R$101""), 15, FALSE) ,VLOOKUP(A91, IMPORTRANGE(""https://docs.goog"&amp;"le.com/spreadsheets/d/1IJepw3fl3JT9l2xD-NCBW2t5xk8mCdlfKcnD6eLjDu4"", ""'I2'!$A$2:$P$101""), 16, FALSE))"),3.38)</f>
        <v>3.38</v>
      </c>
      <c r="E91" s="4">
        <f ca="1">IFERROR(__xludf.dummyfunction("VLOOKUP(A91, IMPORTRANGE(""https://docs.google.com/spreadsheets/d/1IJepw3fl3JT9l2xD-NCBW2t5xk8mCdlfKcnD6eLjDu4"", ""'Ex'!$A$2:$R$101""), 18, FALSE)"),3.83)</f>
        <v>3.83</v>
      </c>
      <c r="G91" s="4">
        <f t="shared" ca="1" si="6"/>
        <v>1</v>
      </c>
      <c r="H91" s="4">
        <f t="shared" ca="1" si="7"/>
        <v>4.1100000000000003</v>
      </c>
      <c r="I91" s="4">
        <f t="shared" ca="1" si="8"/>
        <v>5.3</v>
      </c>
    </row>
    <row r="92" spans="1:10" ht="14">
      <c r="A92" s="3">
        <v>16636597</v>
      </c>
      <c r="B92" s="4">
        <f ca="1">IFERROR(__xludf.dummyfunction("VLOOKUP(A92, IMPORTRANGE(""https://docs.google.com/spreadsheets/d/1WAXfo1nsCjpHXtcoGE16C4HR44t1K8gsIByus__VUSE"", ""'Sección 1'!$A$2:$E$100""), 5, FALSE)"),6.47)</f>
        <v>6.47</v>
      </c>
      <c r="C92" s="4">
        <f ca="1">IFERROR(__xludf.dummyfunction("VLOOKUP(A92, IMPORTRANGE(""https://docs.google.com/spreadsheets/d/1IJepw3fl3JT9l2xD-NCBW2t5xk8mCdlfKcnD6eLjDu4"", ""'I1'!$A$2:$N$101""), 14, FALSE)"),5.12)</f>
        <v>5.12</v>
      </c>
      <c r="D92" s="4">
        <f ca="1">IFERROR(__xludf.dummyfunction("IF(VLOOKUP(A92, IMPORTRANGE(""https://docs.google.com/spreadsheets/d/1IJepw3fl3JT9l2xD-NCBW2t5xk8mCdlfKcnD6eLjDu4"", ""'Ex'!$A$2:$F$101""), 6, FALSE)=1, 0.75 * VLOOKUP(A92, IMPORTRANGE(""https://docs.google.com/spreadsheets/d/1IJepw3fl3JT9l2xD-NCBW2t5xk8m"&amp;"CdlfKcnD6eLjDu4"", ""'Ex'!$A$2:$R$101""), 18, FALSE) + 0.25 * VLOOKUP(A92, IMPORTRANGE(""https://docs.google.com/spreadsheets/d/1IJepw3fl3JT9l2xD-NCBW2t5xk8mCdlfKcnD6eLjDu4"", ""'Ex'!$A$2:$R$101""), 15, FALSE) ,VLOOKUP(A92, IMPORTRANGE(""https://docs.goog"&amp;"le.com/spreadsheets/d/1IJepw3fl3JT9l2xD-NCBW2t5xk8mCdlfKcnD6eLjDu4"", ""'I2'!$A$2:$P$101""), 16, FALSE))"),5.13)</f>
        <v>5.13</v>
      </c>
      <c r="E92" s="4">
        <f ca="1">IFERROR(__xludf.dummyfunction("VLOOKUP(A92, IMPORTRANGE(""https://docs.google.com/spreadsheets/d/1IJepw3fl3JT9l2xD-NCBW2t5xk8mCdlfKcnD6eLjDu4"", ""'Ex'!$A$2:$R$101""), 18, FALSE)"),6.63)</f>
        <v>6.63</v>
      </c>
      <c r="G92" s="4">
        <f t="shared" ca="1" si="6"/>
        <v>1</v>
      </c>
      <c r="H92" s="4">
        <f t="shared" ca="1" si="7"/>
        <v>6.13</v>
      </c>
      <c r="I92" s="4">
        <f t="shared" ca="1" si="8"/>
        <v>6.3</v>
      </c>
    </row>
    <row r="93" spans="1:10" ht="14">
      <c r="A93" s="3">
        <v>18645887</v>
      </c>
      <c r="B93" s="4">
        <f ca="1">IFERROR(__xludf.dummyfunction("VLOOKUP(A93, IMPORTRANGE(""https://docs.google.com/spreadsheets/d/1WAXfo1nsCjpHXtcoGE16C4HR44t1K8gsIByus__VUSE"", ""'Sección 1'!$A$2:$E$100""), 5, FALSE)"),6.95)</f>
        <v>6.95</v>
      </c>
      <c r="C93" s="4">
        <f ca="1">IFERROR(__xludf.dummyfunction("VLOOKUP(A93, IMPORTRANGE(""https://docs.google.com/spreadsheets/d/1IJepw3fl3JT9l2xD-NCBW2t5xk8mCdlfKcnD6eLjDu4"", ""'I1'!$A$2:$N$101""), 14, FALSE)"),6.12)</f>
        <v>6.12</v>
      </c>
      <c r="D93" s="4">
        <f ca="1">IFERROR(__xludf.dummyfunction("IF(VLOOKUP(A93, IMPORTRANGE(""https://docs.google.com/spreadsheets/d/1IJepw3fl3JT9l2xD-NCBW2t5xk8mCdlfKcnD6eLjDu4"", ""'Ex'!$A$2:$F$101""), 6, FALSE)=1, 0.75 * VLOOKUP(A93, IMPORTRANGE(""https://docs.google.com/spreadsheets/d/1IJepw3fl3JT9l2xD-NCBW2t5xk8m"&amp;"CdlfKcnD6eLjDu4"", ""'Ex'!$A$2:$R$101""), 18, FALSE) + 0.25 * VLOOKUP(A93, IMPORTRANGE(""https://docs.google.com/spreadsheets/d/1IJepw3fl3JT9l2xD-NCBW2t5xk8mCdlfKcnD6eLjDu4"", ""'Ex'!$A$2:$R$101""), 15, FALSE) ,VLOOKUP(A93, IMPORTRANGE(""https://docs.goog"&amp;"le.com/spreadsheets/d/1IJepw3fl3JT9l2xD-NCBW2t5xk8mCdlfKcnD6eLjDu4"", ""'I2'!$A$2:$P$101""), 16, FALSE))"),6.25)</f>
        <v>6.25</v>
      </c>
      <c r="E93" s="4">
        <f ca="1">IFERROR(__xludf.dummyfunction("VLOOKUP(A93, IMPORTRANGE(""https://docs.google.com/spreadsheets/d/1IJepw3fl3JT9l2xD-NCBW2t5xk8mCdlfKcnD6eLjDu4"", ""'Ex'!$A$2:$R$101""), 18, FALSE)"),4.88)</f>
        <v>4.88</v>
      </c>
      <c r="G93" s="4">
        <f t="shared" ca="1" si="6"/>
        <v>1</v>
      </c>
      <c r="H93" s="4">
        <f t="shared" ca="1" si="7"/>
        <v>5.75</v>
      </c>
      <c r="I93" s="4">
        <f t="shared" ca="1" si="8"/>
        <v>6.4</v>
      </c>
    </row>
    <row r="94" spans="1:10" ht="14">
      <c r="A94" s="3">
        <v>18638562</v>
      </c>
      <c r="B94" s="4">
        <f ca="1">IFERROR(__xludf.dummyfunction("VLOOKUP(A94, IMPORTRANGE(""https://docs.google.com/spreadsheets/d/1WAXfo1nsCjpHXtcoGE16C4HR44t1K8gsIByus__VUSE"", ""'Sección 1'!$A$2:$E$100""), 5, FALSE)"),5.71)</f>
        <v>5.71</v>
      </c>
      <c r="C94" s="4">
        <f ca="1">IFERROR(__xludf.dummyfunction("VLOOKUP(A94, IMPORTRANGE(""https://docs.google.com/spreadsheets/d/1IJepw3fl3JT9l2xD-NCBW2t5xk8mCdlfKcnD6eLjDu4"", ""'I1'!$A$2:$N$101""), 14, FALSE)"),4.42)</f>
        <v>4.42</v>
      </c>
      <c r="D94" s="4">
        <f ca="1">IFERROR(__xludf.dummyfunction("IF(VLOOKUP(A94, IMPORTRANGE(""https://docs.google.com/spreadsheets/d/1IJepw3fl3JT9l2xD-NCBW2t5xk8mCdlfKcnD6eLjDu4"", ""'Ex'!$A$2:$F$101""), 6, FALSE)=1, 0.75 * VLOOKUP(A94, IMPORTRANGE(""https://docs.google.com/spreadsheets/d/1IJepw3fl3JT9l2xD-NCBW2t5xk8m"&amp;"CdlfKcnD6eLjDu4"", ""'Ex'!$A$2:$R$101""), 18, FALSE) + 0.25 * VLOOKUP(A94, IMPORTRANGE(""https://docs.google.com/spreadsheets/d/1IJepw3fl3JT9l2xD-NCBW2t5xk8mCdlfKcnD6eLjDu4"", ""'Ex'!$A$2:$R$101""), 15, FALSE) ,VLOOKUP(A94, IMPORTRANGE(""https://docs.goog"&amp;"le.com/spreadsheets/d/1IJepw3fl3JT9l2xD-NCBW2t5xk8mCdlfKcnD6eLjDu4"", ""'I2'!$A$2:$P$101""), 16, FALSE))"),2.94)</f>
        <v>2.94</v>
      </c>
      <c r="E94" s="4">
        <f ca="1">IFERROR(__xludf.dummyfunction("VLOOKUP(A94, IMPORTRANGE(""https://docs.google.com/spreadsheets/d/1IJepw3fl3JT9l2xD-NCBW2t5xk8mCdlfKcnD6eLjDu4"", ""'Ex'!$A$2:$R$101""), 18, FALSE)"),5.7)</f>
        <v>5.7</v>
      </c>
      <c r="G94" s="4">
        <f t="shared" ca="1" si="6"/>
        <v>0</v>
      </c>
      <c r="H94" s="4">
        <f t="shared" ca="1" si="7"/>
        <v>4.78</v>
      </c>
      <c r="I94" s="4">
        <f t="shared" ca="1" si="8"/>
        <v>5.2</v>
      </c>
    </row>
    <row r="95" spans="1:10" ht="14">
      <c r="A95" s="3">
        <v>18637264</v>
      </c>
      <c r="B95" s="4">
        <f ca="1">IFERROR(__xludf.dummyfunction("VLOOKUP(A95, IMPORTRANGE(""https://docs.google.com/spreadsheets/d/1WAXfo1nsCjpHXtcoGE16C4HR44t1K8gsIByus__VUSE"", ""'Sección 1'!$A$2:$E$100""), 5, FALSE)"),6.44)</f>
        <v>6.44</v>
      </c>
      <c r="C95" s="4">
        <f ca="1">IFERROR(__xludf.dummyfunction("VLOOKUP(A95, IMPORTRANGE(""https://docs.google.com/spreadsheets/d/1IJepw3fl3JT9l2xD-NCBW2t5xk8mCdlfKcnD6eLjDu4"", ""'I1'!$A$2:$N$101""), 14, FALSE)"),6.1)</f>
        <v>6.1</v>
      </c>
      <c r="D95" s="4">
        <f ca="1">IFERROR(__xludf.dummyfunction("IF(VLOOKUP(A95, IMPORTRANGE(""https://docs.google.com/spreadsheets/d/1IJepw3fl3JT9l2xD-NCBW2t5xk8mCdlfKcnD6eLjDu4"", ""'Ex'!$A$2:$F$101""), 6, FALSE)=1, 0.75 * VLOOKUP(A95, IMPORTRANGE(""https://docs.google.com/spreadsheets/d/1IJepw3fl3JT9l2xD-NCBW2t5xk8m"&amp;"CdlfKcnD6eLjDu4"", ""'Ex'!$A$2:$R$101""), 18, FALSE) + 0.25 * VLOOKUP(A95, IMPORTRANGE(""https://docs.google.com/spreadsheets/d/1IJepw3fl3JT9l2xD-NCBW2t5xk8mCdlfKcnD6eLjDu4"", ""'Ex'!$A$2:$R$101""), 15, FALSE) ,VLOOKUP(A95, IMPORTRANGE(""https://docs.goog"&amp;"le.com/spreadsheets/d/1IJepw3fl3JT9l2xD-NCBW2t5xk8mCdlfKcnD6eLjDu4"", ""'I2'!$A$2:$P$101""), 16, FALSE))"),5)</f>
        <v>5</v>
      </c>
      <c r="E95" s="4">
        <f ca="1">IFERROR(__xludf.dummyfunction("VLOOKUP(A95, IMPORTRANGE(""https://docs.google.com/spreadsheets/d/1IJepw3fl3JT9l2xD-NCBW2t5xk8mCdlfKcnD6eLjDu4"", ""'Ex'!$A$2:$R$101""), 18, FALSE)"),4.88)</f>
        <v>4.88</v>
      </c>
      <c r="G95" s="4">
        <f t="shared" ca="1" si="6"/>
        <v>1</v>
      </c>
      <c r="H95" s="4">
        <f t="shared" ca="1" si="7"/>
        <v>5.33</v>
      </c>
      <c r="I95" s="4">
        <f t="shared" ca="1" si="8"/>
        <v>5.9</v>
      </c>
    </row>
    <row r="96" spans="1:10" ht="14">
      <c r="A96" s="3">
        <v>18638104</v>
      </c>
      <c r="B96" s="4">
        <f ca="1">IFERROR(__xludf.dummyfunction("VLOOKUP(A96, IMPORTRANGE(""https://docs.google.com/spreadsheets/d/1WAXfo1nsCjpHXtcoGE16C4HR44t1K8gsIByus__VUSE"", ""'Sección 1'!$A$2:$E$100""), 5, FALSE)"),6.68)</f>
        <v>6.68</v>
      </c>
      <c r="C96" s="4">
        <f ca="1">IFERROR(__xludf.dummyfunction("VLOOKUP(A96, IMPORTRANGE(""https://docs.google.com/spreadsheets/d/1IJepw3fl3JT9l2xD-NCBW2t5xk8mCdlfKcnD6eLjDu4"", ""'I1'!$A$2:$N$101""), 14, FALSE)"),6.65)</f>
        <v>6.65</v>
      </c>
      <c r="D96" s="4">
        <f ca="1">IFERROR(__xludf.dummyfunction("IF(VLOOKUP(A96, IMPORTRANGE(""https://docs.google.com/spreadsheets/d/1IJepw3fl3JT9l2xD-NCBW2t5xk8mCdlfKcnD6eLjDu4"", ""'Ex'!$A$2:$F$101""), 6, FALSE)=1, 0.75 * VLOOKUP(A96, IMPORTRANGE(""https://docs.google.com/spreadsheets/d/1IJepw3fl3JT9l2xD-NCBW2t5xk8m"&amp;"CdlfKcnD6eLjDu4"", ""'Ex'!$A$2:$R$101""), 18, FALSE) + 0.25 * VLOOKUP(A96, IMPORTRANGE(""https://docs.google.com/spreadsheets/d/1IJepw3fl3JT9l2xD-NCBW2t5xk8mCdlfKcnD6eLjDu4"", ""'Ex'!$A$2:$R$101""), 15, FALSE) ,VLOOKUP(A96, IMPORTRANGE(""https://docs.goog"&amp;"le.com/spreadsheets/d/1IJepw3fl3JT9l2xD-NCBW2t5xk8mCdlfKcnD6eLjDu4"", ""'I2'!$A$2:$P$101""), 16, FALSE))"),4.88)</f>
        <v>4.88</v>
      </c>
      <c r="E96" s="4">
        <f ca="1">IFERROR(__xludf.dummyfunction("VLOOKUP(A96, IMPORTRANGE(""https://docs.google.com/spreadsheets/d/1IJepw3fl3JT9l2xD-NCBW2t5xk8mCdlfKcnD6eLjDu4"", ""'Ex'!$A$2:$R$101""), 18, FALSE)"),5.5)</f>
        <v>5.5</v>
      </c>
      <c r="G96" s="4">
        <f t="shared" ca="1" si="6"/>
        <v>1</v>
      </c>
      <c r="H96" s="4">
        <f t="shared" ca="1" si="7"/>
        <v>5.88</v>
      </c>
      <c r="I96" s="4">
        <f t="shared" ca="1" si="8"/>
        <v>6.3</v>
      </c>
    </row>
    <row r="97" spans="1:9" ht="14">
      <c r="A97" s="3">
        <v>17639107</v>
      </c>
      <c r="B97" s="4">
        <f ca="1">IFERROR(__xludf.dummyfunction("VLOOKUP(A97, IMPORTRANGE(""https://docs.google.com/spreadsheets/d/1WAXfo1nsCjpHXtcoGE16C4HR44t1K8gsIByus__VUSE"", ""'Sección 1'!$A$2:$E$100""), 5, FALSE)"),6.75)</f>
        <v>6.75</v>
      </c>
      <c r="C97" s="4">
        <f ca="1">IFERROR(__xludf.dummyfunction("VLOOKUP(A97, IMPORTRANGE(""https://docs.google.com/spreadsheets/d/1IJepw3fl3JT9l2xD-NCBW2t5xk8mCdlfKcnD6eLjDu4"", ""'I1'!$A$2:$N$101""), 14, FALSE)"),7.1)</f>
        <v>7.1</v>
      </c>
      <c r="D97" s="4">
        <f ca="1">IFERROR(__xludf.dummyfunction("IF(VLOOKUP(A97, IMPORTRANGE(""https://docs.google.com/spreadsheets/d/1IJepw3fl3JT9l2xD-NCBW2t5xk8mCdlfKcnD6eLjDu4"", ""'Ex'!$A$2:$F$101""), 6, FALSE)=1, 0.75 * VLOOKUP(A97, IMPORTRANGE(""https://docs.google.com/spreadsheets/d/1IJepw3fl3JT9l2xD-NCBW2t5xk8m"&amp;"CdlfKcnD6eLjDu4"", ""'Ex'!$A$2:$R$101""), 18, FALSE) + 0.25 * VLOOKUP(A97, IMPORTRANGE(""https://docs.google.com/spreadsheets/d/1IJepw3fl3JT9l2xD-NCBW2t5xk8mCdlfKcnD6eLjDu4"", ""'Ex'!$A$2:$R$101""), 15, FALSE) ,VLOOKUP(A97, IMPORTRANGE(""https://docs.goog"&amp;"le.com/spreadsheets/d/1IJepw3fl3JT9l2xD-NCBW2t5xk8mCdlfKcnD6eLjDu4"", ""'I2'!$A$2:$P$101""), 16, FALSE))"),5.13)</f>
        <v>5.13</v>
      </c>
      <c r="E97" s="4">
        <f ca="1">IFERROR(__xludf.dummyfunction("VLOOKUP(A97, IMPORTRANGE(""https://docs.google.com/spreadsheets/d/1IJepw3fl3JT9l2xD-NCBW2t5xk8mCdlfKcnD6eLjDu4"", ""'Ex'!$A$2:$R$101""), 18, FALSE)"),5.25)</f>
        <v>5.25</v>
      </c>
      <c r="G97" s="4">
        <f t="shared" ca="1" si="6"/>
        <v>1</v>
      </c>
      <c r="H97" s="4">
        <f t="shared" ca="1" si="7"/>
        <v>5.87</v>
      </c>
      <c r="I97" s="4">
        <f t="shared" ca="1" si="8"/>
        <v>6.3</v>
      </c>
    </row>
    <row r="98" spans="1:9" ht="14">
      <c r="A98" s="3">
        <v>18640311</v>
      </c>
      <c r="B98" s="4">
        <f ca="1">IFERROR(__xludf.dummyfunction("VLOOKUP(A98, IMPORTRANGE(""https://docs.google.com/spreadsheets/d/1WAXfo1nsCjpHXtcoGE16C4HR44t1K8gsIByus__VUSE"", ""'Sección 1'!$A$2:$E$100""), 5, FALSE)"),6.7)</f>
        <v>6.7</v>
      </c>
      <c r="C98" s="4">
        <f ca="1">IFERROR(__xludf.dummyfunction("VLOOKUP(A98, IMPORTRANGE(""https://docs.google.com/spreadsheets/d/1IJepw3fl3JT9l2xD-NCBW2t5xk8mCdlfKcnD6eLjDu4"", ""'I1'!$A$2:$N$101""), 14, FALSE)"),5.83)</f>
        <v>5.83</v>
      </c>
      <c r="D98" s="4">
        <f ca="1">IFERROR(__xludf.dummyfunction("IF(VLOOKUP(A98, IMPORTRANGE(""https://docs.google.com/spreadsheets/d/1IJepw3fl3JT9l2xD-NCBW2t5xk8mCdlfKcnD6eLjDu4"", ""'Ex'!$A$2:$F$101""), 6, FALSE)=1, 0.75 * VLOOKUP(A98, IMPORTRANGE(""https://docs.google.com/spreadsheets/d/1IJepw3fl3JT9l2xD-NCBW2t5xk8m"&amp;"CdlfKcnD6eLjDu4"", ""'Ex'!$A$2:$R$101""), 18, FALSE) + 0.25 * VLOOKUP(A98, IMPORTRANGE(""https://docs.google.com/spreadsheets/d/1IJepw3fl3JT9l2xD-NCBW2t5xk8mCdlfKcnD6eLjDu4"", ""'Ex'!$A$2:$R$101""), 15, FALSE) ,VLOOKUP(A98, IMPORTRANGE(""https://docs.goog"&amp;"le.com/spreadsheets/d/1IJepw3fl3JT9l2xD-NCBW2t5xk8mCdlfKcnD6eLjDu4"", ""'I2'!$A$2:$P$101""), 16, FALSE))"),5.5)</f>
        <v>5.5</v>
      </c>
      <c r="E98" s="4">
        <f ca="1">IFERROR(__xludf.dummyfunction("VLOOKUP(A98, IMPORTRANGE(""https://docs.google.com/spreadsheets/d/1IJepw3fl3JT9l2xD-NCBW2t5xk8mCdlfKcnD6eLjDu4"", ""'Ex'!$A$2:$R$101""), 18, FALSE)"),5.75)</f>
        <v>5.75</v>
      </c>
      <c r="G98" s="4">
        <f t="shared" ca="1" si="6"/>
        <v>1</v>
      </c>
      <c r="H98" s="4">
        <f t="shared" ref="H98:H129" ca="1" si="9">ROUND(IF(G98=1,(C98+D98+2*E98-MIN(C98:E98))/3,IF(F98=1,(C98+D98+E98)/3,IF(C98&gt;=3,(C98+D98+2*E98-MIN(C98,E98))/3,IF(D98&gt;=3,(C98+D98+2*E98-MIN(D98,E98))/3,(C98+D98+E98)/3)))),2)</f>
        <v>5.78</v>
      </c>
      <c r="I98" s="4">
        <f t="shared" ref="I98:I129" ca="1" si="10">ROUND(IF(AND(H98&gt;=3.95,B98&gt;=3.95),AVERAGE(B98, H98),MIN(B98,H98)),1)</f>
        <v>6.2</v>
      </c>
    </row>
    <row r="99" spans="1:9" ht="14">
      <c r="A99" s="3">
        <v>18639801</v>
      </c>
      <c r="B99" s="4">
        <f ca="1">IFERROR(__xludf.dummyfunction("VLOOKUP(A99, IMPORTRANGE(""https://docs.google.com/spreadsheets/d/1WAXfo1nsCjpHXtcoGE16C4HR44t1K8gsIByus__VUSE"", ""'Sección 1'!$A$2:$E$100""), 5, FALSE)"),6.91)</f>
        <v>6.91</v>
      </c>
      <c r="C99" s="4">
        <f ca="1">IFERROR(__xludf.dummyfunction("VLOOKUP(A99, IMPORTRANGE(""https://docs.google.com/spreadsheets/d/1IJepw3fl3JT9l2xD-NCBW2t5xk8mCdlfKcnD6eLjDu4"", ""'I1'!$A$2:$N$101""), 14, FALSE)"),6.92)</f>
        <v>6.92</v>
      </c>
      <c r="D99" s="4">
        <f ca="1">IFERROR(__xludf.dummyfunction("IF(VLOOKUP(A99, IMPORTRANGE(""https://docs.google.com/spreadsheets/d/1IJepw3fl3JT9l2xD-NCBW2t5xk8mCdlfKcnD6eLjDu4"", ""'Ex'!$A$2:$F$101""), 6, FALSE)=1, 0.75 * VLOOKUP(A99, IMPORTRANGE(""https://docs.google.com/spreadsheets/d/1IJepw3fl3JT9l2xD-NCBW2t5xk8m"&amp;"CdlfKcnD6eLjDu4"", ""'Ex'!$A$2:$R$101""), 18, FALSE) + 0.25 * VLOOKUP(A99, IMPORTRANGE(""https://docs.google.com/spreadsheets/d/1IJepw3fl3JT9l2xD-NCBW2t5xk8mCdlfKcnD6eLjDu4"", ""'Ex'!$A$2:$R$101""), 15, FALSE) ,VLOOKUP(A99, IMPORTRANGE(""https://docs.goog"&amp;"le.com/spreadsheets/d/1IJepw3fl3JT9l2xD-NCBW2t5xk8mCdlfKcnD6eLjDu4"", ""'I2'!$A$2:$P$101""), 16, FALSE))"),5.63)</f>
        <v>5.63</v>
      </c>
      <c r="E99" s="4">
        <f ca="1">IFERROR(__xludf.dummyfunction("VLOOKUP(A99, IMPORTRANGE(""https://docs.google.com/spreadsheets/d/1IJepw3fl3JT9l2xD-NCBW2t5xk8mCdlfKcnD6eLjDu4"", ""'Ex'!$A$2:$R$101""), 18, FALSE)"),3.75)</f>
        <v>3.75</v>
      </c>
      <c r="G99" s="4">
        <f t="shared" ca="1" si="6"/>
        <v>1</v>
      </c>
      <c r="H99" s="4">
        <f t="shared" ca="1" si="9"/>
        <v>5.43</v>
      </c>
      <c r="I99" s="4">
        <f t="shared" ca="1" si="10"/>
        <v>6.2</v>
      </c>
    </row>
    <row r="100" spans="1:9" ht="14">
      <c r="A100" s="3">
        <v>16637941</v>
      </c>
      <c r="B100" s="4">
        <f ca="1">IFERROR(__xludf.dummyfunction("VLOOKUP(A100, IMPORTRANGE(""https://docs.google.com/spreadsheets/d/1WAXfo1nsCjpHXtcoGE16C4HR44t1K8gsIByus__VUSE"", ""'Sección 1'!$A$2:$E$100""), 5, FALSE)"),6.52)</f>
        <v>6.52</v>
      </c>
      <c r="C100" s="4">
        <f ca="1">IFERROR(__xludf.dummyfunction("VLOOKUP(A100, IMPORTRANGE(""https://docs.google.com/spreadsheets/d/1IJepw3fl3JT9l2xD-NCBW2t5xk8mCdlfKcnD6eLjDu4"", ""'I1'!$A$2:$N$101""), 14, FALSE)"),4.17)</f>
        <v>4.17</v>
      </c>
      <c r="D100" s="4">
        <f ca="1">IFERROR(__xludf.dummyfunction("IF(VLOOKUP(A100, IMPORTRANGE(""https://docs.google.com/spreadsheets/d/1IJepw3fl3JT9l2xD-NCBW2t5xk8mCdlfKcnD6eLjDu4"", ""'Ex'!$A$2:$F$101""), 6, FALSE)=1, 0.75 * VLOOKUP(A100, IMPORTRANGE(""https://docs.google.com/spreadsheets/d/1IJepw3fl3JT9l2xD-NCBW2t5xk"&amp;"8mCdlfKcnD6eLjDu4"", ""'Ex'!$A$2:$R$101""), 18, FALSE) + 0.25 * VLOOKUP(A100, IMPORTRANGE(""https://docs.google.com/spreadsheets/d/1IJepw3fl3JT9l2xD-NCBW2t5xk8mCdlfKcnD6eLjDu4"", ""'Ex'!$A$2:$R$101""), 15, FALSE) ,VLOOKUP(A100, IMPORTRANGE(""https://docs."&amp;"google.com/spreadsheets/d/1IJepw3fl3JT9l2xD-NCBW2t5xk8mCdlfKcnD6eLjDu4"", ""'I2'!$A$2:$P$101""), 16, FALSE))"),2.88)</f>
        <v>2.88</v>
      </c>
      <c r="E100" s="4">
        <f ca="1">IFERROR(__xludf.dummyfunction("VLOOKUP(A100, IMPORTRANGE(""https://docs.google.com/spreadsheets/d/1IJepw3fl3JT9l2xD-NCBW2t5xk8mCdlfKcnD6eLjDu4"", ""'Ex'!$A$2:$R$101""), 18, FALSE)"),1.5)</f>
        <v>1.5</v>
      </c>
      <c r="G100" s="4">
        <f t="shared" ca="1" si="6"/>
        <v>0</v>
      </c>
      <c r="H100" s="4">
        <f t="shared" ca="1" si="9"/>
        <v>2.85</v>
      </c>
      <c r="I100" s="4">
        <f t="shared" ca="1" si="10"/>
        <v>2.9</v>
      </c>
    </row>
    <row r="101" spans="1:9" ht="14">
      <c r="A101" s="3">
        <v>16622421</v>
      </c>
      <c r="B101" s="4">
        <f ca="1">IFERROR(__xludf.dummyfunction("VLOOKUP(A101, IMPORTRANGE(""https://docs.google.com/spreadsheets/d/1WAXfo1nsCjpHXtcoGE16C4HR44t1K8gsIByus__VUSE"", ""'Sección 2'!$A$2:$E$100""), 5, FALSE)"),4.93)</f>
        <v>4.93</v>
      </c>
      <c r="C101" s="4">
        <f ca="1">IFERROR(__xludf.dummyfunction("VLOOKUP(A101, IMPORTRANGE(""https://docs.google.com/spreadsheets/d/1IJepw3fl3JT9l2xD-NCBW2t5xk8mCdlfKcnD6eLjDu4"", ""'I1'!$A$2:$N$101""), 14, FALSE)"),4.62)</f>
        <v>4.62</v>
      </c>
      <c r="D101" s="4">
        <f ca="1">IFERROR(__xludf.dummyfunction("IF(VLOOKUP(A101, IMPORTRANGE(""https://docs.google.com/spreadsheets/d/1IJepw3fl3JT9l2xD-NCBW2t5xk8mCdlfKcnD6eLjDu4"", ""'Ex'!$A$2:$F$101""), 6, FALSE)=1, 0.75 * VLOOKUP(A101, IMPORTRANGE(""https://docs.google.com/spreadsheets/d/1IJepw3fl3JT9l2xD-NCBW2t5xk"&amp;"8mCdlfKcnD6eLjDu4"", ""'Ex'!$A$2:$R$101""), 18, FALSE) + 0.25 * VLOOKUP(A101, IMPORTRANGE(""https://docs.google.com/spreadsheets/d/1IJepw3fl3JT9l2xD-NCBW2t5xk8mCdlfKcnD6eLjDu4"", ""'Ex'!$A$2:$R$101""), 15, FALSE) ,VLOOKUP(A101, IMPORTRANGE(""https://docs."&amp;"google.com/spreadsheets/d/1IJepw3fl3JT9l2xD-NCBW2t5xk8mCdlfKcnD6eLjDu4"", ""'I2'!$A$2:$P$101""), 16, FALSE))"),2.63)</f>
        <v>2.63</v>
      </c>
      <c r="E101" s="7">
        <f ca="1">IFERROR(__xludf.dummyfunction("VLOOKUP(A101, IMPORTRANGE(""https://docs.google.com/spreadsheets/d/1IJepw3fl3JT9l2xD-NCBW2t5xk8mCdlfKcnD6eLjDu4"", ""'Ex'!$A$2:$R$101""), 18, FALSE)"),4.63)</f>
        <v>4.63</v>
      </c>
      <c r="G101" s="4">
        <f t="shared" ca="1" si="6"/>
        <v>0</v>
      </c>
      <c r="H101" s="4">
        <f t="shared" ca="1" si="9"/>
        <v>3.96</v>
      </c>
      <c r="I101" s="4">
        <f t="shared" ca="1" si="10"/>
        <v>4.4000000000000004</v>
      </c>
    </row>
    <row r="113" spans="4:4" ht="14">
      <c r="D113" s="4" t="str">
        <f ca="1">IFERROR(__xludf.dummyfunction("VLOOKUP(A2, IMPORTRANGE(""https://docs.google.com/spreadsheets/d/1IJepw3fl3JT9l2xD-NCBW2t5xk8mCdlfKcnD6eLjDu4"", ""'Ex'!$A$2:$F$101""), 6, FALSE)"),"")</f>
        <v/>
      </c>
    </row>
  </sheetData>
  <conditionalFormatting sqref="H2:H101">
    <cfRule type="cellIs" dxfId="3" priority="2" operator="greaterThanOrEqual">
      <formula>3.95</formula>
    </cfRule>
  </conditionalFormatting>
  <conditionalFormatting sqref="H2:H101">
    <cfRule type="cellIs" dxfId="2" priority="3" operator="lessThan">
      <formula>3.95</formula>
    </cfRule>
  </conditionalFormatting>
  <conditionalFormatting sqref="I2:I101">
    <cfRule type="cellIs" dxfId="1" priority="4" operator="greaterThanOrEqual">
      <formula>4</formula>
    </cfRule>
  </conditionalFormatting>
  <conditionalFormatting sqref="I2:I101">
    <cfRule type="cellIs" dxfId="0" priority="5" operator="lessThan">
      <formula>4</formula>
    </cfRule>
  </conditionalFormatting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Sección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Jose Benedetto</cp:lastModifiedBy>
  <cp:revision>2</cp:revision>
  <dcterms:modified xsi:type="dcterms:W3CDTF">2020-07-21T04:03:07Z</dcterms:modified>
  <dc:language>en-US</dc:language>
</cp:coreProperties>
</file>