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is\OneDrive\Documents\Schoolwork\"/>
    </mc:Choice>
  </mc:AlternateContent>
  <xr:revisionPtr revIDLastSave="0" documentId="8_{F23557A2-D547-41C6-95CA-572A8553D2B0}" xr6:coauthVersionLast="47" xr6:coauthVersionMax="47" xr10:uidLastSave="{00000000-0000-0000-0000-000000000000}"/>
  <bookViews>
    <workbookView xWindow="-28920" yWindow="-120" windowWidth="29040" windowHeight="15720" xr2:uid="{625C27FE-6C88-4407-828A-4E6A20C898F5}"/>
  </bookViews>
  <sheets>
    <sheet name="Most Likely" sheetId="2" r:id="rId1"/>
    <sheet name="Best Case" sheetId="4" r:id="rId2"/>
    <sheet name="Worst Cas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2" i="4" l="1"/>
  <c r="B58" i="4"/>
  <c r="B36" i="4"/>
  <c r="C20" i="4"/>
  <c r="B20" i="4"/>
  <c r="C19" i="4"/>
  <c r="D34" i="4" s="1"/>
  <c r="B19" i="4"/>
  <c r="C34" i="4" s="1"/>
  <c r="C18" i="4"/>
  <c r="B18" i="4"/>
  <c r="C17" i="4"/>
  <c r="C22" i="4" s="1"/>
  <c r="B17" i="4"/>
  <c r="B22" i="4" s="1"/>
  <c r="E11" i="4"/>
  <c r="B9" i="4"/>
  <c r="B5" i="4"/>
  <c r="B7" i="4" s="1"/>
  <c r="C24" i="4" s="1"/>
  <c r="B58" i="3"/>
  <c r="B52" i="3"/>
  <c r="B5" i="3" s="1"/>
  <c r="B7" i="3" s="1"/>
  <c r="D24" i="3" s="1"/>
  <c r="B36" i="3"/>
  <c r="C20" i="3"/>
  <c r="B20" i="3"/>
  <c r="C19" i="3"/>
  <c r="D34" i="3" s="1"/>
  <c r="B19" i="3"/>
  <c r="C34" i="3" s="1"/>
  <c r="C18" i="3"/>
  <c r="B18" i="3"/>
  <c r="C17" i="3"/>
  <c r="C22" i="3" s="1"/>
  <c r="B17" i="3"/>
  <c r="B22" i="3" s="1"/>
  <c r="E11" i="3"/>
  <c r="B9" i="3"/>
  <c r="B59" i="2"/>
  <c r="B53" i="2"/>
  <c r="B5" i="2" s="1"/>
  <c r="B7" i="2" s="1"/>
  <c r="C24" i="2" s="1"/>
  <c r="B36" i="2"/>
  <c r="D34" i="2"/>
  <c r="C20" i="2"/>
  <c r="B20" i="2"/>
  <c r="C19" i="2"/>
  <c r="B19" i="2"/>
  <c r="C34" i="2" s="1"/>
  <c r="C18" i="2"/>
  <c r="B18" i="2"/>
  <c r="C17" i="2"/>
  <c r="B17" i="2"/>
  <c r="B22" i="2" s="1"/>
  <c r="E11" i="2"/>
  <c r="B9" i="2"/>
  <c r="C22" i="2" l="1"/>
  <c r="B60" i="4"/>
  <c r="B38" i="4"/>
  <c r="B8" i="4"/>
  <c r="D24" i="4"/>
  <c r="B48" i="4"/>
  <c r="E24" i="3"/>
  <c r="B60" i="3"/>
  <c r="B38" i="3"/>
  <c r="C24" i="3"/>
  <c r="B48" i="3"/>
  <c r="B8" i="3"/>
  <c r="B61" i="2"/>
  <c r="B38" i="2"/>
  <c r="B8" i="2"/>
  <c r="B49" i="2"/>
  <c r="D24" i="2"/>
  <c r="E24" i="4" l="1"/>
  <c r="F6" i="4"/>
  <c r="C28" i="4"/>
  <c r="D31" i="4"/>
  <c r="E31" i="4" s="1"/>
  <c r="F31" i="4" s="1"/>
  <c r="G31" i="4" s="1"/>
  <c r="H31" i="4" s="1"/>
  <c r="I31" i="4" s="1"/>
  <c r="J31" i="4" s="1"/>
  <c r="K31" i="4" s="1"/>
  <c r="L31" i="4" s="1"/>
  <c r="D30" i="4"/>
  <c r="E30" i="4" s="1"/>
  <c r="F30" i="4" s="1"/>
  <c r="G30" i="4" s="1"/>
  <c r="H30" i="4" s="1"/>
  <c r="I30" i="4" s="1"/>
  <c r="J30" i="4" s="1"/>
  <c r="K30" i="4" s="1"/>
  <c r="L30" i="4" s="1"/>
  <c r="F7" i="4"/>
  <c r="D26" i="4"/>
  <c r="F5" i="4"/>
  <c r="F2" i="4"/>
  <c r="D28" i="4"/>
  <c r="E28" i="4" s="1"/>
  <c r="F28" i="4" s="1"/>
  <c r="G28" i="4" s="1"/>
  <c r="H28" i="4" s="1"/>
  <c r="I28" i="4" s="1"/>
  <c r="J28" i="4" s="1"/>
  <c r="K28" i="4" s="1"/>
  <c r="L28" i="4" s="1"/>
  <c r="C26" i="4"/>
  <c r="D29" i="4"/>
  <c r="E29" i="4" s="1"/>
  <c r="F29" i="4" s="1"/>
  <c r="G29" i="4" s="1"/>
  <c r="H29" i="4" s="1"/>
  <c r="I29" i="4" s="1"/>
  <c r="J29" i="4" s="1"/>
  <c r="K29" i="4" s="1"/>
  <c r="L29" i="4" s="1"/>
  <c r="F4" i="4"/>
  <c r="D32" i="4"/>
  <c r="E32" i="4" s="1"/>
  <c r="F32" i="4" s="1"/>
  <c r="G32" i="4" s="1"/>
  <c r="H32" i="4" s="1"/>
  <c r="I32" i="4" s="1"/>
  <c r="J32" i="4" s="1"/>
  <c r="K32" i="4" s="1"/>
  <c r="L32" i="4" s="1"/>
  <c r="C29" i="4"/>
  <c r="F3" i="4"/>
  <c r="C32" i="4"/>
  <c r="C31" i="4"/>
  <c r="D27" i="4"/>
  <c r="E27" i="4" s="1"/>
  <c r="F27" i="4" s="1"/>
  <c r="G27" i="4" s="1"/>
  <c r="H27" i="4" s="1"/>
  <c r="I27" i="4" s="1"/>
  <c r="J27" i="4" s="1"/>
  <c r="K27" i="4" s="1"/>
  <c r="L27" i="4" s="1"/>
  <c r="C33" i="4"/>
  <c r="F10" i="4"/>
  <c r="C30" i="4"/>
  <c r="F8" i="4"/>
  <c r="F11" i="4"/>
  <c r="F9" i="4"/>
  <c r="C27" i="4"/>
  <c r="D33" i="4"/>
  <c r="E33" i="4" s="1"/>
  <c r="F33" i="4" s="1"/>
  <c r="G33" i="4" s="1"/>
  <c r="H33" i="4" s="1"/>
  <c r="I33" i="4" s="1"/>
  <c r="J33" i="4" s="1"/>
  <c r="K33" i="4" s="1"/>
  <c r="L33" i="4" s="1"/>
  <c r="F6" i="3"/>
  <c r="F2" i="3"/>
  <c r="D26" i="3"/>
  <c r="F5" i="3"/>
  <c r="D33" i="3"/>
  <c r="E33" i="3" s="1"/>
  <c r="F33" i="3" s="1"/>
  <c r="G33" i="3" s="1"/>
  <c r="H33" i="3" s="1"/>
  <c r="I33" i="3" s="1"/>
  <c r="J33" i="3" s="1"/>
  <c r="K33" i="3" s="1"/>
  <c r="L33" i="3" s="1"/>
  <c r="C26" i="3"/>
  <c r="C32" i="3"/>
  <c r="C28" i="3"/>
  <c r="C31" i="3"/>
  <c r="F9" i="3"/>
  <c r="D29" i="3"/>
  <c r="E29" i="3" s="1"/>
  <c r="F29" i="3" s="1"/>
  <c r="G29" i="3" s="1"/>
  <c r="H29" i="3" s="1"/>
  <c r="I29" i="3" s="1"/>
  <c r="J29" i="3" s="1"/>
  <c r="K29" i="3" s="1"/>
  <c r="L29" i="3" s="1"/>
  <c r="F4" i="3"/>
  <c r="D32" i="3"/>
  <c r="E32" i="3" s="1"/>
  <c r="F32" i="3" s="1"/>
  <c r="G32" i="3" s="1"/>
  <c r="H32" i="3" s="1"/>
  <c r="I32" i="3" s="1"/>
  <c r="J32" i="3" s="1"/>
  <c r="K32" i="3" s="1"/>
  <c r="L32" i="3" s="1"/>
  <c r="D28" i="3"/>
  <c r="E28" i="3" s="1"/>
  <c r="F28" i="3" s="1"/>
  <c r="G28" i="3" s="1"/>
  <c r="H28" i="3" s="1"/>
  <c r="I28" i="3" s="1"/>
  <c r="J28" i="3" s="1"/>
  <c r="K28" i="3" s="1"/>
  <c r="L28" i="3" s="1"/>
  <c r="F11" i="3"/>
  <c r="D30" i="3"/>
  <c r="E30" i="3" s="1"/>
  <c r="F30" i="3" s="1"/>
  <c r="G30" i="3" s="1"/>
  <c r="H30" i="3" s="1"/>
  <c r="I30" i="3" s="1"/>
  <c r="J30" i="3" s="1"/>
  <c r="K30" i="3" s="1"/>
  <c r="L30" i="3" s="1"/>
  <c r="C29" i="3"/>
  <c r="F3" i="3"/>
  <c r="D31" i="3"/>
  <c r="E31" i="3" s="1"/>
  <c r="F31" i="3" s="1"/>
  <c r="G31" i="3" s="1"/>
  <c r="H31" i="3" s="1"/>
  <c r="I31" i="3" s="1"/>
  <c r="J31" i="3" s="1"/>
  <c r="K31" i="3" s="1"/>
  <c r="L31" i="3" s="1"/>
  <c r="C27" i="3"/>
  <c r="D27" i="3"/>
  <c r="E27" i="3" s="1"/>
  <c r="F27" i="3" s="1"/>
  <c r="G27" i="3" s="1"/>
  <c r="H27" i="3" s="1"/>
  <c r="I27" i="3" s="1"/>
  <c r="J27" i="3" s="1"/>
  <c r="K27" i="3" s="1"/>
  <c r="L27" i="3" s="1"/>
  <c r="F10" i="3"/>
  <c r="C33" i="3"/>
  <c r="F8" i="3"/>
  <c r="C30" i="3"/>
  <c r="F7" i="3"/>
  <c r="F24" i="3"/>
  <c r="E24" i="2"/>
  <c r="F6" i="2"/>
  <c r="F2" i="2"/>
  <c r="F9" i="2"/>
  <c r="C33" i="2"/>
  <c r="D26" i="2"/>
  <c r="F5" i="2"/>
  <c r="F11" i="2"/>
  <c r="C26" i="2"/>
  <c r="D32" i="2"/>
  <c r="E32" i="2" s="1"/>
  <c r="F32" i="2" s="1"/>
  <c r="G32" i="2" s="1"/>
  <c r="H32" i="2" s="1"/>
  <c r="I32" i="2" s="1"/>
  <c r="J32" i="2" s="1"/>
  <c r="K32" i="2" s="1"/>
  <c r="L32" i="2" s="1"/>
  <c r="D28" i="2"/>
  <c r="E28" i="2" s="1"/>
  <c r="F28" i="2" s="1"/>
  <c r="G28" i="2" s="1"/>
  <c r="H28" i="2" s="1"/>
  <c r="I28" i="2" s="1"/>
  <c r="J28" i="2" s="1"/>
  <c r="K28" i="2" s="1"/>
  <c r="L28" i="2" s="1"/>
  <c r="D29" i="2"/>
  <c r="E29" i="2" s="1"/>
  <c r="F29" i="2" s="1"/>
  <c r="G29" i="2" s="1"/>
  <c r="H29" i="2" s="1"/>
  <c r="I29" i="2" s="1"/>
  <c r="J29" i="2" s="1"/>
  <c r="K29" i="2" s="1"/>
  <c r="L29" i="2" s="1"/>
  <c r="F4" i="2"/>
  <c r="C32" i="2"/>
  <c r="C28" i="2"/>
  <c r="C29" i="2"/>
  <c r="F3" i="2"/>
  <c r="C31" i="2"/>
  <c r="D27" i="2"/>
  <c r="E27" i="2" s="1"/>
  <c r="F27" i="2" s="1"/>
  <c r="G27" i="2" s="1"/>
  <c r="H27" i="2" s="1"/>
  <c r="I27" i="2" s="1"/>
  <c r="J27" i="2" s="1"/>
  <c r="K27" i="2" s="1"/>
  <c r="L27" i="2" s="1"/>
  <c r="F8" i="2"/>
  <c r="F10" i="2"/>
  <c r="D33" i="2"/>
  <c r="E33" i="2" s="1"/>
  <c r="F33" i="2" s="1"/>
  <c r="G33" i="2" s="1"/>
  <c r="H33" i="2" s="1"/>
  <c r="I33" i="2" s="1"/>
  <c r="J33" i="2" s="1"/>
  <c r="K33" i="2" s="1"/>
  <c r="L33" i="2" s="1"/>
  <c r="D31" i="2"/>
  <c r="E31" i="2" s="1"/>
  <c r="F31" i="2" s="1"/>
  <c r="G31" i="2" s="1"/>
  <c r="H31" i="2" s="1"/>
  <c r="I31" i="2" s="1"/>
  <c r="J31" i="2" s="1"/>
  <c r="K31" i="2" s="1"/>
  <c r="L31" i="2" s="1"/>
  <c r="C30" i="2"/>
  <c r="D30" i="2"/>
  <c r="E30" i="2" s="1"/>
  <c r="F30" i="2" s="1"/>
  <c r="G30" i="2" s="1"/>
  <c r="H30" i="2" s="1"/>
  <c r="I30" i="2" s="1"/>
  <c r="J30" i="2" s="1"/>
  <c r="K30" i="2" s="1"/>
  <c r="L30" i="2" s="1"/>
  <c r="C27" i="2"/>
  <c r="F7" i="2"/>
  <c r="C35" i="4" l="1"/>
  <c r="C36" i="4" s="1"/>
  <c r="C37" i="4" s="1"/>
  <c r="C38" i="4" s="1"/>
  <c r="E26" i="4"/>
  <c r="D35" i="4"/>
  <c r="D36" i="4" s="1"/>
  <c r="D37" i="4" s="1"/>
  <c r="D38" i="4" s="1"/>
  <c r="F24" i="4"/>
  <c r="C35" i="3"/>
  <c r="C36" i="3" s="1"/>
  <c r="C37" i="3" s="1"/>
  <c r="C38" i="3" s="1"/>
  <c r="E26" i="3"/>
  <c r="D35" i="3"/>
  <c r="D36" i="3" s="1"/>
  <c r="D37" i="3" s="1"/>
  <c r="D38" i="3" s="1"/>
  <c r="G24" i="3"/>
  <c r="C35" i="2"/>
  <c r="C36" i="2" s="1"/>
  <c r="C37" i="2" s="1"/>
  <c r="C38" i="2" s="1"/>
  <c r="E26" i="2"/>
  <c r="D35" i="2"/>
  <c r="D36" i="2" s="1"/>
  <c r="D37" i="2" s="1"/>
  <c r="D38" i="2" s="1"/>
  <c r="F24" i="2"/>
  <c r="G24" i="4" l="1"/>
  <c r="E35" i="4"/>
  <c r="E36" i="4" s="1"/>
  <c r="E37" i="4" s="1"/>
  <c r="E38" i="4" s="1"/>
  <c r="F26" i="4"/>
  <c r="H24" i="3"/>
  <c r="E35" i="3"/>
  <c r="E36" i="3" s="1"/>
  <c r="E37" i="3" s="1"/>
  <c r="E38" i="3" s="1"/>
  <c r="F26" i="3"/>
  <c r="G24" i="2"/>
  <c r="F26" i="2"/>
  <c r="E35" i="2"/>
  <c r="E36" i="2" s="1"/>
  <c r="E37" i="2" s="1"/>
  <c r="E38" i="2" s="1"/>
  <c r="F35" i="4" l="1"/>
  <c r="F36" i="4" s="1"/>
  <c r="F37" i="4" s="1"/>
  <c r="F38" i="4" s="1"/>
  <c r="B59" i="4" s="1"/>
  <c r="G26" i="4"/>
  <c r="H24" i="4"/>
  <c r="F35" i="3"/>
  <c r="F36" i="3" s="1"/>
  <c r="F37" i="3" s="1"/>
  <c r="F38" i="3" s="1"/>
  <c r="G26" i="3"/>
  <c r="I24" i="3"/>
  <c r="F35" i="2"/>
  <c r="F36" i="2" s="1"/>
  <c r="F37" i="2" s="1"/>
  <c r="F38" i="2" s="1"/>
  <c r="G26" i="2"/>
  <c r="H24" i="2"/>
  <c r="G35" i="4" l="1"/>
  <c r="G36" i="4" s="1"/>
  <c r="G37" i="4" s="1"/>
  <c r="G38" i="4" s="1"/>
  <c r="H26" i="4"/>
  <c r="I24" i="4"/>
  <c r="G35" i="3"/>
  <c r="G36" i="3" s="1"/>
  <c r="G37" i="3" s="1"/>
  <c r="G38" i="3" s="1"/>
  <c r="H26" i="3"/>
  <c r="J24" i="3"/>
  <c r="B59" i="3"/>
  <c r="B60" i="2"/>
  <c r="I24" i="2"/>
  <c r="G35" i="2"/>
  <c r="G36" i="2" s="1"/>
  <c r="G37" i="2" s="1"/>
  <c r="G38" i="2" s="1"/>
  <c r="H26" i="2"/>
  <c r="J24" i="4" l="1"/>
  <c r="H35" i="4"/>
  <c r="H36" i="4" s="1"/>
  <c r="H37" i="4" s="1"/>
  <c r="H38" i="4" s="1"/>
  <c r="I26" i="4"/>
  <c r="K24" i="3"/>
  <c r="H35" i="3"/>
  <c r="H36" i="3" s="1"/>
  <c r="H37" i="3" s="1"/>
  <c r="H38" i="3" s="1"/>
  <c r="I26" i="3"/>
  <c r="H35" i="2"/>
  <c r="H36" i="2" s="1"/>
  <c r="H37" i="2" s="1"/>
  <c r="H38" i="2" s="1"/>
  <c r="I26" i="2"/>
  <c r="J24" i="2"/>
  <c r="I35" i="4" l="1"/>
  <c r="I36" i="4" s="1"/>
  <c r="I37" i="4" s="1"/>
  <c r="I38" i="4" s="1"/>
  <c r="J26" i="4"/>
  <c r="K24" i="4"/>
  <c r="J26" i="3"/>
  <c r="I35" i="3"/>
  <c r="I36" i="3" s="1"/>
  <c r="I37" i="3" s="1"/>
  <c r="I38" i="3" s="1"/>
  <c r="L24" i="3"/>
  <c r="I35" i="2"/>
  <c r="I36" i="2" s="1"/>
  <c r="I37" i="2" s="1"/>
  <c r="I38" i="2" s="1"/>
  <c r="J26" i="2"/>
  <c r="K24" i="2"/>
  <c r="L24" i="4" l="1"/>
  <c r="J35" i="4"/>
  <c r="J36" i="4" s="1"/>
  <c r="J37" i="4" s="1"/>
  <c r="J38" i="4" s="1"/>
  <c r="K26" i="4"/>
  <c r="K26" i="3"/>
  <c r="J35" i="3"/>
  <c r="J36" i="3" s="1"/>
  <c r="J37" i="3" s="1"/>
  <c r="J38" i="3" s="1"/>
  <c r="L24" i="2"/>
  <c r="J35" i="2"/>
  <c r="J36" i="2" s="1"/>
  <c r="J37" i="2" s="1"/>
  <c r="J38" i="2" s="1"/>
  <c r="K26" i="2"/>
  <c r="K35" i="4" l="1"/>
  <c r="K36" i="4" s="1"/>
  <c r="K37" i="4" s="1"/>
  <c r="K38" i="4" s="1"/>
  <c r="L26" i="4"/>
  <c r="L35" i="4" s="1"/>
  <c r="L36" i="4" s="1"/>
  <c r="L37" i="4" s="1"/>
  <c r="L38" i="4" s="1"/>
  <c r="L26" i="3"/>
  <c r="L35" i="3" s="1"/>
  <c r="L36" i="3" s="1"/>
  <c r="L37" i="3" s="1"/>
  <c r="L38" i="3" s="1"/>
  <c r="B46" i="3" s="1"/>
  <c r="K35" i="3"/>
  <c r="K36" i="3" s="1"/>
  <c r="K37" i="3" s="1"/>
  <c r="K38" i="3" s="1"/>
  <c r="L26" i="2"/>
  <c r="L35" i="2" s="1"/>
  <c r="K35" i="2"/>
  <c r="K36" i="2" s="1"/>
  <c r="K37" i="2" s="1"/>
  <c r="K38" i="2" s="1"/>
  <c r="L36" i="2"/>
  <c r="L37" i="2" s="1"/>
  <c r="L38" i="2" s="1"/>
  <c r="B45" i="4" l="1"/>
  <c r="B46" i="4"/>
  <c r="B45" i="3"/>
  <c r="B47" i="2"/>
  <c r="B46" i="2"/>
</calcChain>
</file>

<file path=xl/sharedStrings.xml><?xml version="1.0" encoding="utf-8"?>
<sst xmlns="http://schemas.openxmlformats.org/spreadsheetml/2006/main" count="221" uniqueCount="61">
  <si>
    <t>Important Info</t>
  </si>
  <si>
    <t>Occupancy rate</t>
  </si>
  <si>
    <t>Annual Days open</t>
  </si>
  <si>
    <t>Cash Flows</t>
  </si>
  <si>
    <t>Period (years)</t>
  </si>
  <si>
    <t>Revenues</t>
  </si>
  <si>
    <t xml:space="preserve">Sales </t>
  </si>
  <si>
    <t>Expenses</t>
  </si>
  <si>
    <t>labor</t>
  </si>
  <si>
    <t>Initial Number of locations</t>
  </si>
  <si>
    <t>Initial investment per location</t>
  </si>
  <si>
    <t>Expected Number of locations</t>
  </si>
  <si>
    <t>Rent/Mortgage</t>
  </si>
  <si>
    <t>Supplies</t>
  </si>
  <si>
    <t>Marketing</t>
  </si>
  <si>
    <t>Insurance</t>
  </si>
  <si>
    <t>Maintenance</t>
  </si>
  <si>
    <t>miscellaneous</t>
  </si>
  <si>
    <t>Total</t>
  </si>
  <si>
    <t>Software/IT</t>
  </si>
  <si>
    <t>as a % total Expense</t>
  </si>
  <si>
    <t>Initial Investment</t>
  </si>
  <si>
    <t>Total Expenses</t>
  </si>
  <si>
    <t>NOI</t>
  </si>
  <si>
    <t>Average daily revenue</t>
  </si>
  <si>
    <t>Total Cashflows</t>
  </si>
  <si>
    <t>NPV</t>
  </si>
  <si>
    <t>IRR</t>
  </si>
  <si>
    <t>Assumptions</t>
  </si>
  <si>
    <t>AVG annual revenue</t>
  </si>
  <si>
    <t>WACC/Hurdle rate</t>
  </si>
  <si>
    <t>(according to IBIS world)</t>
  </si>
  <si>
    <t>This is all according to IBIS world Industry Data (Cost Structure Breakdown)</t>
  </si>
  <si>
    <t>Profit Margin</t>
  </si>
  <si>
    <t>Annual expenses per location</t>
  </si>
  <si>
    <t>Revenue per dog / per day</t>
  </si>
  <si>
    <t>Dogs per Location</t>
  </si>
  <si>
    <t>Professional Fees (attourneys)</t>
  </si>
  <si>
    <r>
      <t xml:space="preserve">(IBPSA, </t>
    </r>
    <r>
      <rPr>
        <i/>
        <sz val="11"/>
        <color theme="1"/>
        <rFont val="Aptos Narrow"/>
        <family val="2"/>
        <scheme val="minor"/>
      </rPr>
      <t>2019 annual Pet Services Survey</t>
    </r>
    <r>
      <rPr>
        <sz val="11"/>
        <color theme="1"/>
        <rFont val="Aptos Narrow"/>
        <family val="2"/>
        <scheme val="minor"/>
      </rPr>
      <t>)</t>
    </r>
  </si>
  <si>
    <r>
      <t>(</t>
    </r>
    <r>
      <rPr>
        <i/>
        <sz val="11"/>
        <color theme="1"/>
        <rFont val="Aptos Narrow"/>
        <family val="2"/>
        <scheme val="minor"/>
      </rPr>
      <t>Dog boarding</t>
    </r>
    <r>
      <rPr>
        <sz val="11"/>
        <color theme="1"/>
        <rFont val="Aptos Narrow"/>
        <family val="2"/>
        <scheme val="minor"/>
      </rPr>
      <t xml:space="preserve"> 2025)</t>
    </r>
  </si>
  <si>
    <t>Revenue per day</t>
  </si>
  <si>
    <t>Average Annual Projected revenue per location</t>
  </si>
  <si>
    <t>Leaseholders Improvements</t>
  </si>
  <si>
    <t>Equipment/Supplies for opening inventory</t>
  </si>
  <si>
    <t>Funds for first 12 months of Operations</t>
  </si>
  <si>
    <r>
      <t>(</t>
    </r>
    <r>
      <rPr>
        <i/>
        <sz val="11"/>
        <color theme="1"/>
        <rFont val="Aptos Narrow"/>
        <family val="2"/>
        <scheme val="minor"/>
      </rPr>
      <t>The investment: Camp bow wow franchising start up costs</t>
    </r>
    <r>
      <rPr>
        <sz val="11"/>
        <color theme="1"/>
        <rFont val="Aptos Narrow"/>
        <family val="2"/>
        <scheme val="minor"/>
      </rPr>
      <t>)</t>
    </r>
  </si>
  <si>
    <t>Miscellaneous</t>
  </si>
  <si>
    <t>Miscellaneous (Software, Plans and permit)</t>
  </si>
  <si>
    <t>Investment Per Location</t>
  </si>
  <si>
    <t>Total/location</t>
  </si>
  <si>
    <t xml:space="preserve">Capital Investment </t>
  </si>
  <si>
    <t>PayBack Period (Years)</t>
  </si>
  <si>
    <t>Total Investment:</t>
  </si>
  <si>
    <t>Unused Capital</t>
  </si>
  <si>
    <t>Project Funds</t>
  </si>
  <si>
    <t>AT NOI</t>
  </si>
  <si>
    <t>Corporate Tax rate</t>
  </si>
  <si>
    <t xml:space="preserve">Growth Rate </t>
  </si>
  <si>
    <t>Note that the First 2 years of operations are expected to be covered in part by the Initial Investment and are necessary for the NPV Function</t>
  </si>
  <si>
    <t>Column2</t>
  </si>
  <si>
    <t>Financial Benchmarks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</si>
</sst>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1"/>
      <color rgb="FFC0000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DC18B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5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164" fontId="5" fillId="0" borderId="1" xfId="0" applyNumberFormat="1" applyFont="1" applyBorder="1"/>
    <xf numFmtId="0" fontId="0" fillId="0" borderId="4" xfId="0" applyBorder="1"/>
    <xf numFmtId="9" fontId="0" fillId="0" borderId="1" xfId="0" applyNumberFormat="1" applyBorder="1"/>
    <xf numFmtId="0" fontId="0" fillId="5" borderId="0" xfId="0" applyFill="1"/>
    <xf numFmtId="164" fontId="5" fillId="5" borderId="0" xfId="0" applyNumberFormat="1" applyFont="1" applyFill="1"/>
    <xf numFmtId="0" fontId="4" fillId="5" borderId="0" xfId="0" applyFont="1" applyFill="1" applyAlignment="1">
      <alignment vertical="center"/>
    </xf>
    <xf numFmtId="164" fontId="0" fillId="5" borderId="0" xfId="0" applyNumberFormat="1" applyFill="1"/>
    <xf numFmtId="164" fontId="3" fillId="5" borderId="0" xfId="0" applyNumberFormat="1" applyFont="1" applyFill="1"/>
    <xf numFmtId="0" fontId="0" fillId="0" borderId="7" xfId="0" applyBorder="1"/>
    <xf numFmtId="0" fontId="0" fillId="0" borderId="9" xfId="0" applyBorder="1"/>
    <xf numFmtId="0" fontId="0" fillId="3" borderId="0" xfId="0" applyFill="1" applyBorder="1" applyAlignment="1">
      <alignment horizontal="center"/>
    </xf>
    <xf numFmtId="9" fontId="0" fillId="0" borderId="3" xfId="0" applyNumberFormat="1" applyFill="1" applyBorder="1"/>
    <xf numFmtId="0" fontId="0" fillId="5" borderId="0" xfId="0" applyFill="1" applyBorder="1"/>
    <xf numFmtId="164" fontId="0" fillId="5" borderId="0" xfId="0" applyNumberFormat="1" applyFill="1" applyBorder="1"/>
    <xf numFmtId="164" fontId="5" fillId="5" borderId="0" xfId="0" applyNumberFormat="1" applyFont="1" applyFill="1" applyBorder="1"/>
    <xf numFmtId="164" fontId="3" fillId="5" borderId="0" xfId="0" applyNumberFormat="1" applyFont="1" applyFill="1" applyBorder="1"/>
    <xf numFmtId="44" fontId="0" fillId="5" borderId="0" xfId="0" applyNumberFormat="1" applyFill="1" applyBorder="1"/>
    <xf numFmtId="164" fontId="3" fillId="6" borderId="12" xfId="0" applyNumberFormat="1" applyFont="1" applyFill="1" applyBorder="1"/>
    <xf numFmtId="164" fontId="0" fillId="0" borderId="1" xfId="0" applyNumberFormat="1" applyBorder="1"/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0" fillId="0" borderId="8" xfId="0" applyBorder="1"/>
    <xf numFmtId="0" fontId="0" fillId="0" borderId="7" xfId="0" applyBorder="1" applyAlignment="1">
      <alignment horizontal="left" indent="1"/>
    </xf>
    <xf numFmtId="164" fontId="0" fillId="0" borderId="8" xfId="0" applyNumberFormat="1" applyBorder="1"/>
    <xf numFmtId="164" fontId="5" fillId="0" borderId="8" xfId="0" applyNumberFormat="1" applyFont="1" applyBorder="1"/>
    <xf numFmtId="0" fontId="0" fillId="5" borderId="7" xfId="0" applyFill="1" applyBorder="1"/>
    <xf numFmtId="0" fontId="3" fillId="6" borderId="16" xfId="0" applyFont="1" applyFill="1" applyBorder="1" applyAlignment="1">
      <alignment horizontal="left" indent="1"/>
    </xf>
    <xf numFmtId="164" fontId="3" fillId="6" borderId="17" xfId="0" applyNumberFormat="1" applyFont="1" applyFill="1" applyBorder="1"/>
    <xf numFmtId="0" fontId="0" fillId="0" borderId="18" xfId="0" applyBorder="1"/>
    <xf numFmtId="0" fontId="0" fillId="0" borderId="19" xfId="0" applyBorder="1"/>
    <xf numFmtId="0" fontId="3" fillId="0" borderId="5" xfId="0" applyFont="1" applyBorder="1"/>
    <xf numFmtId="164" fontId="0" fillId="0" borderId="22" xfId="0" applyNumberFormat="1" applyBorder="1"/>
    <xf numFmtId="0" fontId="0" fillId="0" borderId="22" xfId="0" applyBorder="1"/>
    <xf numFmtId="0" fontId="0" fillId="0" borderId="6" xfId="0" applyBorder="1"/>
    <xf numFmtId="0" fontId="0" fillId="0" borderId="9" xfId="0" applyBorder="1" applyAlignment="1">
      <alignment horizontal="left" indent="1"/>
    </xf>
    <xf numFmtId="164" fontId="5" fillId="0" borderId="23" xfId="0" applyNumberFormat="1" applyFont="1" applyBorder="1"/>
    <xf numFmtId="0" fontId="0" fillId="0" borderId="23" xfId="0" applyBorder="1"/>
    <xf numFmtId="0" fontId="0" fillId="0" borderId="10" xfId="0" applyBorder="1"/>
    <xf numFmtId="0" fontId="0" fillId="0" borderId="20" xfId="0" applyBorder="1" applyAlignment="1">
      <alignment horizontal="left" indent="1"/>
    </xf>
    <xf numFmtId="164" fontId="5" fillId="0" borderId="2" xfId="0" applyNumberFormat="1" applyFont="1" applyBorder="1"/>
    <xf numFmtId="164" fontId="5" fillId="0" borderId="21" xfId="0" applyNumberFormat="1" applyFont="1" applyBorder="1"/>
    <xf numFmtId="0" fontId="3" fillId="4" borderId="24" xfId="0" applyFont="1" applyFill="1" applyBorder="1"/>
    <xf numFmtId="0" fontId="0" fillId="4" borderId="25" xfId="0" applyFill="1" applyBorder="1"/>
    <xf numFmtId="0" fontId="0" fillId="4" borderId="26" xfId="0" applyFill="1" applyBorder="1"/>
    <xf numFmtId="164" fontId="0" fillId="0" borderId="2" xfId="0" applyNumberFormat="1" applyBorder="1"/>
    <xf numFmtId="164" fontId="0" fillId="0" borderId="21" xfId="0" applyNumberFormat="1" applyBorder="1"/>
    <xf numFmtId="0" fontId="3" fillId="0" borderId="24" xfId="0" applyFont="1" applyBorder="1"/>
    <xf numFmtId="0" fontId="0" fillId="0" borderId="25" xfId="0" applyBorder="1"/>
    <xf numFmtId="0" fontId="0" fillId="0" borderId="26" xfId="0" applyBorder="1"/>
    <xf numFmtId="0" fontId="0" fillId="5" borderId="18" xfId="0" applyFill="1" applyBorder="1"/>
    <xf numFmtId="0" fontId="0" fillId="5" borderId="4" xfId="0" applyFill="1" applyBorder="1"/>
    <xf numFmtId="164" fontId="5" fillId="0" borderId="4" xfId="0" applyNumberFormat="1" applyFont="1" applyBorder="1"/>
    <xf numFmtId="164" fontId="5" fillId="0" borderId="19" xfId="0" applyNumberFormat="1" applyFont="1" applyBorder="1"/>
    <xf numFmtId="0" fontId="3" fillId="4" borderId="5" xfId="0" applyFont="1" applyFill="1" applyBorder="1" applyAlignment="1">
      <alignment horizontal="left" indent="1"/>
    </xf>
    <xf numFmtId="164" fontId="3" fillId="4" borderId="22" xfId="0" applyNumberFormat="1" applyFont="1" applyFill="1" applyBorder="1"/>
    <xf numFmtId="164" fontId="3" fillId="4" borderId="6" xfId="0" applyNumberFormat="1" applyFont="1" applyFill="1" applyBorder="1"/>
    <xf numFmtId="0" fontId="0" fillId="0" borderId="9" xfId="0" applyFill="1" applyBorder="1" applyAlignment="1">
      <alignment horizontal="left" indent="1"/>
    </xf>
    <xf numFmtId="44" fontId="0" fillId="0" borderId="23" xfId="0" applyNumberFormat="1" applyBorder="1"/>
    <xf numFmtId="44" fontId="0" fillId="0" borderId="10" xfId="0" applyNumberFormat="1" applyBorder="1"/>
    <xf numFmtId="0" fontId="0" fillId="0" borderId="7" xfId="0" applyFill="1" applyBorder="1"/>
    <xf numFmtId="6" fontId="0" fillId="0" borderId="8" xfId="0" applyNumberFormat="1" applyBorder="1"/>
    <xf numFmtId="6" fontId="0" fillId="5" borderId="8" xfId="0" applyNumberFormat="1" applyFill="1" applyBorder="1"/>
    <xf numFmtId="0" fontId="0" fillId="5" borderId="8" xfId="0" applyFill="1" applyBorder="1"/>
    <xf numFmtId="164" fontId="0" fillId="5" borderId="8" xfId="1" applyNumberFormat="1" applyFont="1" applyFill="1" applyBorder="1"/>
    <xf numFmtId="43" fontId="0" fillId="0" borderId="8" xfId="2" applyFont="1" applyBorder="1"/>
    <xf numFmtId="164" fontId="0" fillId="0" borderId="10" xfId="0" applyNumberFormat="1" applyBorder="1"/>
    <xf numFmtId="9" fontId="0" fillId="3" borderId="19" xfId="0" applyNumberFormat="1" applyFill="1" applyBorder="1"/>
    <xf numFmtId="0" fontId="0" fillId="0" borderId="20" xfId="0" applyBorder="1"/>
    <xf numFmtId="164" fontId="0" fillId="3" borderId="21" xfId="0" applyNumberFormat="1" applyFill="1" applyBorder="1"/>
    <xf numFmtId="0" fontId="0" fillId="0" borderId="24" xfId="0" applyBorder="1"/>
    <xf numFmtId="0" fontId="0" fillId="5" borderId="26" xfId="0" applyFill="1" applyBorder="1"/>
    <xf numFmtId="164" fontId="0" fillId="5" borderId="21" xfId="0" applyNumberFormat="1" applyFill="1" applyBorder="1"/>
    <xf numFmtId="9" fontId="0" fillId="5" borderId="8" xfId="0" applyNumberFormat="1" applyFill="1" applyBorder="1"/>
    <xf numFmtId="164" fontId="0" fillId="5" borderId="26" xfId="1" applyNumberFormat="1" applyFont="1" applyFill="1" applyBorder="1"/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right"/>
    </xf>
    <xf numFmtId="9" fontId="0" fillId="0" borderId="8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8" xfId="1" applyNumberFormat="1" applyFont="1" applyBorder="1" applyAlignment="1">
      <alignment horizontal="right"/>
    </xf>
    <xf numFmtId="9" fontId="0" fillId="0" borderId="8" xfId="0" applyNumberFormat="1" applyBorder="1"/>
    <xf numFmtId="0" fontId="0" fillId="0" borderId="9" xfId="0" applyFill="1" applyBorder="1"/>
    <xf numFmtId="9" fontId="0" fillId="0" borderId="10" xfId="0" applyNumberFormat="1" applyBorder="1"/>
    <xf numFmtId="0" fontId="2" fillId="2" borderId="5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64" fontId="0" fillId="0" borderId="8" xfId="1" applyNumberFormat="1" applyFont="1" applyBorder="1"/>
    <xf numFmtId="0" fontId="0" fillId="0" borderId="11" xfId="0" applyFill="1" applyBorder="1" applyAlignment="1">
      <alignment wrapText="1"/>
    </xf>
    <xf numFmtId="9" fontId="0" fillId="0" borderId="23" xfId="0" applyNumberFormat="1" applyBorder="1"/>
    <xf numFmtId="164" fontId="0" fillId="0" borderId="10" xfId="1" applyNumberFormat="1" applyFont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164" fontId="0" fillId="5" borderId="30" xfId="1" applyNumberFormat="1" applyFont="1" applyFill="1" applyBorder="1"/>
    <xf numFmtId="164" fontId="0" fillId="3" borderId="31" xfId="0" applyNumberFormat="1" applyFill="1" applyBorder="1"/>
    <xf numFmtId="9" fontId="0" fillId="3" borderId="32" xfId="0" applyNumberFormat="1" applyFill="1" applyBorder="1"/>
    <xf numFmtId="0" fontId="0" fillId="0" borderId="33" xfId="0" applyBorder="1"/>
    <xf numFmtId="164" fontId="0" fillId="5" borderId="34" xfId="1" applyNumberFormat="1" applyFont="1" applyFill="1" applyBorder="1"/>
    <xf numFmtId="0" fontId="0" fillId="0" borderId="35" xfId="0" applyBorder="1"/>
    <xf numFmtId="0" fontId="0" fillId="5" borderId="36" xfId="0" applyFill="1" applyBorder="1"/>
  </cellXfs>
  <cellStyles count="3">
    <cellStyle name="Comma" xfId="2" builtinId="3"/>
    <cellStyle name="Currency" xfId="1" builtinId="4"/>
    <cellStyle name="Normal" xfId="0" builtinId="0"/>
  </cellStyles>
  <dxfs count="2"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colors>
    <mruColors>
      <color rgb="FFBDC1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D237CB2-91D2-4054-8416-B58237134479}" name="FINANCES" displayName="FINANCES" ref="A44:B47" totalsRowShown="0" headerRowBorderDxfId="0" tableBorderDxfId="1">
  <autoFilter ref="A44:B47" xr:uid="{5D237CB2-91D2-4054-8416-B58237134479}">
    <filterColumn colId="0" hiddenButton="1"/>
    <filterColumn colId="1" hiddenButton="1"/>
  </autoFilter>
  <tableColumns count="2">
    <tableColumn id="1" xr3:uid="{75036357-117D-440E-808B-B8E2A9E578C7}" name="Financial Benchmarks"/>
    <tableColumn id="2" xr3:uid="{6C383C6D-AAEE-4C94-BDB0-E2AD91BD628E}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CD594-BAA0-4C27-A204-7A90D2256206}">
  <dimension ref="A1:W61"/>
  <sheetViews>
    <sheetView tabSelected="1" zoomScaleNormal="100" workbookViewId="0">
      <selection activeCell="B51" sqref="B51"/>
    </sheetView>
  </sheetViews>
  <sheetFormatPr defaultRowHeight="15" x14ac:dyDescent="0.25"/>
  <cols>
    <col min="1" max="1" width="44.5703125" customWidth="1"/>
    <col min="2" max="2" width="14.42578125" bestFit="1" customWidth="1"/>
    <col min="3" max="3" width="33.85546875" customWidth="1"/>
    <col min="4" max="4" width="28.28515625" bestFit="1" customWidth="1"/>
    <col min="5" max="5" width="19.42578125" bestFit="1" customWidth="1"/>
    <col min="6" max="6" width="28" bestFit="1" customWidth="1"/>
    <col min="7" max="7" width="23.42578125" bestFit="1" customWidth="1"/>
    <col min="8" max="12" width="15.28515625" bestFit="1" customWidth="1"/>
    <col min="13" max="19" width="13.42578125" bestFit="1" customWidth="1"/>
  </cols>
  <sheetData>
    <row r="1" spans="1:19" ht="15.75" x14ac:dyDescent="0.25">
      <c r="A1" s="79" t="s">
        <v>0</v>
      </c>
      <c r="B1" s="80"/>
      <c r="D1" s="88" t="s">
        <v>7</v>
      </c>
      <c r="E1" s="89" t="s">
        <v>20</v>
      </c>
      <c r="F1" s="90" t="s">
        <v>34</v>
      </c>
      <c r="G1" s="14" t="s">
        <v>32</v>
      </c>
      <c r="H1" s="14"/>
      <c r="I1" s="14"/>
      <c r="J1" s="14"/>
      <c r="K1" s="14"/>
    </row>
    <row r="2" spans="1:19" x14ac:dyDescent="0.25">
      <c r="A2" s="12" t="s">
        <v>9</v>
      </c>
      <c r="B2" s="81">
        <v>10</v>
      </c>
      <c r="D2" s="12" t="s">
        <v>8</v>
      </c>
      <c r="E2" s="6">
        <v>0.45</v>
      </c>
      <c r="F2" s="91">
        <f>$B$8*E2</f>
        <v>712023.75</v>
      </c>
    </row>
    <row r="3" spans="1:19" x14ac:dyDescent="0.25">
      <c r="A3" s="12" t="s">
        <v>11</v>
      </c>
      <c r="B3" s="81">
        <v>80</v>
      </c>
      <c r="D3" s="12" t="s">
        <v>12</v>
      </c>
      <c r="E3" s="6">
        <v>0.15</v>
      </c>
      <c r="F3" s="91">
        <f t="shared" ref="F3:F11" si="0">$B$8*E3</f>
        <v>237341.25</v>
      </c>
    </row>
    <row r="4" spans="1:19" x14ac:dyDescent="0.25">
      <c r="A4" s="12" t="s">
        <v>1</v>
      </c>
      <c r="B4" s="82">
        <v>0.75</v>
      </c>
      <c r="C4" s="1"/>
      <c r="D4" s="12" t="s">
        <v>13</v>
      </c>
      <c r="E4" s="6">
        <v>0.1</v>
      </c>
      <c r="F4" s="91">
        <f t="shared" si="0"/>
        <v>158227.5</v>
      </c>
    </row>
    <row r="5" spans="1:19" x14ac:dyDescent="0.25">
      <c r="A5" s="12" t="s">
        <v>24</v>
      </c>
      <c r="B5" s="83">
        <f>B53</f>
        <v>5100</v>
      </c>
      <c r="D5" s="12" t="s">
        <v>14</v>
      </c>
      <c r="E5" s="6">
        <v>7.0000000000000007E-2</v>
      </c>
      <c r="F5" s="91">
        <f t="shared" si="0"/>
        <v>110759.25000000001</v>
      </c>
    </row>
    <row r="6" spans="1:19" x14ac:dyDescent="0.25">
      <c r="A6" s="12" t="s">
        <v>2</v>
      </c>
      <c r="B6" s="81">
        <v>365</v>
      </c>
      <c r="D6" s="12" t="s">
        <v>15</v>
      </c>
      <c r="E6" s="6">
        <v>0.05</v>
      </c>
      <c r="F6" s="91">
        <f t="shared" si="0"/>
        <v>79113.75</v>
      </c>
    </row>
    <row r="7" spans="1:19" x14ac:dyDescent="0.25">
      <c r="A7" s="12" t="s">
        <v>41</v>
      </c>
      <c r="B7" s="84">
        <f>B5*B6</f>
        <v>1861500</v>
      </c>
      <c r="D7" s="12" t="s">
        <v>19</v>
      </c>
      <c r="E7" s="6">
        <v>0.05</v>
      </c>
      <c r="F7" s="91">
        <f t="shared" si="0"/>
        <v>79113.75</v>
      </c>
    </row>
    <row r="8" spans="1:19" x14ac:dyDescent="0.25">
      <c r="A8" s="12" t="s">
        <v>7</v>
      </c>
      <c r="B8" s="83">
        <f>B7*(1-B50)</f>
        <v>1582275</v>
      </c>
      <c r="D8" s="12" t="s">
        <v>17</v>
      </c>
      <c r="E8" s="6">
        <v>7.0000000000000007E-2</v>
      </c>
      <c r="F8" s="91">
        <f t="shared" si="0"/>
        <v>110759.25000000001</v>
      </c>
    </row>
    <row r="9" spans="1:19" x14ac:dyDescent="0.25">
      <c r="A9" s="12" t="s">
        <v>10</v>
      </c>
      <c r="B9" s="83">
        <f>B59</f>
        <v>1160000</v>
      </c>
      <c r="D9" s="12" t="s">
        <v>16</v>
      </c>
      <c r="E9" s="6">
        <v>0.04</v>
      </c>
      <c r="F9" s="91">
        <f t="shared" si="0"/>
        <v>63291</v>
      </c>
    </row>
    <row r="10" spans="1:19" ht="29.25" customHeight="1" x14ac:dyDescent="0.25">
      <c r="A10" s="12" t="s">
        <v>30</v>
      </c>
      <c r="B10" s="85">
        <v>0.2</v>
      </c>
      <c r="D10" s="92" t="s">
        <v>37</v>
      </c>
      <c r="E10" s="15">
        <v>0.02</v>
      </c>
      <c r="F10" s="91">
        <f t="shared" si="0"/>
        <v>31645.5</v>
      </c>
    </row>
    <row r="11" spans="1:19" ht="15.75" thickBot="1" x14ac:dyDescent="0.3">
      <c r="A11" s="64" t="s">
        <v>56</v>
      </c>
      <c r="B11" s="85">
        <v>0.21</v>
      </c>
      <c r="D11" s="13" t="s">
        <v>18</v>
      </c>
      <c r="E11" s="93">
        <f>SUM(E2:E10)</f>
        <v>1.0000000000000002</v>
      </c>
      <c r="F11" s="94">
        <f t="shared" si="0"/>
        <v>1582275.0000000005</v>
      </c>
    </row>
    <row r="12" spans="1:19" ht="16.5" thickBot="1" x14ac:dyDescent="0.3">
      <c r="A12" s="86" t="s">
        <v>57</v>
      </c>
      <c r="B12" s="87">
        <v>0.09</v>
      </c>
      <c r="M12" s="9"/>
      <c r="N12" s="9"/>
      <c r="Q12" s="9"/>
      <c r="R12" s="9"/>
      <c r="S12" s="9"/>
    </row>
    <row r="13" spans="1:19" ht="15.75" thickBot="1" x14ac:dyDescent="0.3">
      <c r="M13" s="7"/>
      <c r="N13" s="7"/>
      <c r="O13" s="7"/>
      <c r="P13" s="7"/>
      <c r="Q13" s="7"/>
    </row>
    <row r="14" spans="1:19" ht="15.75" x14ac:dyDescent="0.25">
      <c r="A14" s="23" t="s">
        <v>3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5"/>
      <c r="M14" s="7"/>
      <c r="N14" s="7"/>
      <c r="O14" s="7"/>
      <c r="P14" s="7"/>
      <c r="Q14" s="7"/>
    </row>
    <row r="15" spans="1:19" ht="15.75" thickBot="1" x14ac:dyDescent="0.3">
      <c r="A15" s="33" t="s">
        <v>4</v>
      </c>
      <c r="B15" s="5">
        <v>0</v>
      </c>
      <c r="C15" s="5">
        <v>1</v>
      </c>
      <c r="D15" s="5">
        <v>2</v>
      </c>
      <c r="E15" s="5">
        <v>3</v>
      </c>
      <c r="F15" s="5">
        <v>4</v>
      </c>
      <c r="G15" s="5">
        <v>5</v>
      </c>
      <c r="H15" s="5">
        <v>6</v>
      </c>
      <c r="I15" s="5">
        <v>7</v>
      </c>
      <c r="J15" s="5">
        <v>8</v>
      </c>
      <c r="K15" s="5">
        <v>9</v>
      </c>
      <c r="L15" s="34">
        <v>10</v>
      </c>
      <c r="M15" s="16"/>
      <c r="N15" s="16"/>
      <c r="O15" s="16"/>
      <c r="P15" s="16"/>
      <c r="Q15" s="16"/>
    </row>
    <row r="16" spans="1:19" x14ac:dyDescent="0.25">
      <c r="A16" s="35" t="s">
        <v>21</v>
      </c>
      <c r="B16" s="36"/>
      <c r="C16" s="37"/>
      <c r="D16" s="37"/>
      <c r="E16" s="37"/>
      <c r="F16" s="37"/>
      <c r="G16" s="37"/>
      <c r="H16" s="37"/>
      <c r="I16" s="37"/>
      <c r="J16" s="37"/>
      <c r="K16" s="37"/>
      <c r="L16" s="38"/>
      <c r="M16" s="16"/>
      <c r="N16" s="16"/>
      <c r="O16" s="16"/>
      <c r="P16" s="16"/>
      <c r="Q16" s="16"/>
    </row>
    <row r="17" spans="1:23" x14ac:dyDescent="0.25">
      <c r="A17" s="12" t="s">
        <v>42</v>
      </c>
      <c r="B17" s="22">
        <f>$B$55*B2</f>
        <v>8000000</v>
      </c>
      <c r="C17" s="22">
        <f>$B$55*B3</f>
        <v>64000000</v>
      </c>
      <c r="D17" s="2"/>
      <c r="E17" s="2"/>
      <c r="F17" s="2"/>
      <c r="G17" s="2"/>
      <c r="H17" s="2"/>
      <c r="I17" s="2"/>
      <c r="J17" s="2"/>
      <c r="K17" s="2"/>
      <c r="L17" s="26"/>
      <c r="M17" s="16"/>
      <c r="N17" s="16"/>
      <c r="O17" s="16"/>
      <c r="P17" s="16"/>
      <c r="Q17" s="16"/>
      <c r="R17" s="1"/>
      <c r="S17" s="1"/>
      <c r="T17" s="1"/>
      <c r="U17" s="1"/>
      <c r="V17" s="1"/>
      <c r="W17" s="1"/>
    </row>
    <row r="18" spans="1:23" x14ac:dyDescent="0.25">
      <c r="A18" s="12" t="s">
        <v>43</v>
      </c>
      <c r="B18" s="22">
        <f>$B$56*B2</f>
        <v>750000</v>
      </c>
      <c r="C18" s="22">
        <f>$B$56*B3</f>
        <v>6000000</v>
      </c>
      <c r="D18" s="2"/>
      <c r="E18" s="2"/>
      <c r="F18" s="2"/>
      <c r="G18" s="2"/>
      <c r="H18" s="2"/>
      <c r="I18" s="2"/>
      <c r="J18" s="2"/>
      <c r="K18" s="2"/>
      <c r="L18" s="26"/>
      <c r="M18" s="16"/>
      <c r="N18" s="16"/>
      <c r="O18" s="16"/>
      <c r="P18" s="16"/>
      <c r="Q18" s="16"/>
      <c r="R18" s="7"/>
      <c r="S18" s="7"/>
      <c r="T18" s="7"/>
      <c r="U18" s="7"/>
      <c r="V18" s="7"/>
      <c r="W18" s="7"/>
    </row>
    <row r="19" spans="1:23" x14ac:dyDescent="0.25">
      <c r="A19" s="12" t="s">
        <v>44</v>
      </c>
      <c r="B19" s="22">
        <f>$B$57*B2</f>
        <v>2000000</v>
      </c>
      <c r="C19" s="22">
        <f>$B$57*B3</f>
        <v>16000000</v>
      </c>
      <c r="D19" s="2"/>
      <c r="E19" s="2"/>
      <c r="F19" s="2"/>
      <c r="G19" s="2"/>
      <c r="H19" s="2"/>
      <c r="I19" s="2"/>
      <c r="J19" s="2"/>
      <c r="K19" s="2"/>
      <c r="L19" s="26"/>
      <c r="M19" s="16"/>
      <c r="N19" s="16"/>
      <c r="O19" s="16"/>
      <c r="P19" s="16"/>
      <c r="Q19" s="16"/>
      <c r="R19" s="8"/>
      <c r="S19" s="8"/>
      <c r="T19" s="8"/>
      <c r="U19" s="8"/>
      <c r="V19" s="8"/>
      <c r="W19" s="8"/>
    </row>
    <row r="20" spans="1:23" x14ac:dyDescent="0.25">
      <c r="A20" s="12" t="s">
        <v>46</v>
      </c>
      <c r="B20" s="22">
        <f>$B$58*B2</f>
        <v>850000</v>
      </c>
      <c r="C20" s="22">
        <f>$B$58*B3</f>
        <v>6800000</v>
      </c>
      <c r="D20" s="2"/>
      <c r="E20" s="2"/>
      <c r="F20" s="2"/>
      <c r="G20" s="2"/>
      <c r="H20" s="2"/>
      <c r="I20" s="2"/>
      <c r="J20" s="2"/>
      <c r="K20" s="2"/>
      <c r="L20" s="26"/>
      <c r="M20" s="16"/>
      <c r="N20" s="16"/>
      <c r="O20" s="16"/>
      <c r="P20" s="16"/>
      <c r="Q20" s="16"/>
      <c r="R20" s="8"/>
      <c r="S20" s="8"/>
      <c r="T20" s="8"/>
      <c r="U20" s="8"/>
      <c r="V20" s="8"/>
      <c r="W20" s="8"/>
    </row>
    <row r="21" spans="1:23" x14ac:dyDescent="0.25">
      <c r="A21" s="12" t="s">
        <v>53</v>
      </c>
      <c r="B21" s="22"/>
      <c r="C21" s="22"/>
      <c r="D21" s="2"/>
      <c r="E21" s="2"/>
      <c r="F21" s="2"/>
      <c r="G21" s="2"/>
      <c r="H21" s="2"/>
      <c r="I21" s="2"/>
      <c r="J21" s="2"/>
      <c r="K21" s="2"/>
      <c r="L21" s="26"/>
      <c r="M21" s="16"/>
      <c r="N21" s="16"/>
      <c r="O21" s="16"/>
      <c r="P21" s="16"/>
      <c r="Q21" s="16"/>
      <c r="R21" s="8"/>
      <c r="S21" s="8"/>
      <c r="T21" s="8"/>
      <c r="U21" s="8"/>
      <c r="V21" s="8"/>
      <c r="W21" s="8"/>
    </row>
    <row r="22" spans="1:23" ht="15.75" thickBot="1" x14ac:dyDescent="0.3">
      <c r="A22" s="39" t="s">
        <v>50</v>
      </c>
      <c r="B22" s="40">
        <f>-SUM(B17:B20)</f>
        <v>-11600000</v>
      </c>
      <c r="C22" s="40">
        <f>-SUM(C17:C21)</f>
        <v>-92800000</v>
      </c>
      <c r="D22" s="41"/>
      <c r="E22" s="41"/>
      <c r="F22" s="41"/>
      <c r="G22" s="41"/>
      <c r="H22" s="41"/>
      <c r="I22" s="41"/>
      <c r="J22" s="41"/>
      <c r="K22" s="41"/>
      <c r="L22" s="42"/>
      <c r="M22" s="16"/>
      <c r="N22" s="16"/>
      <c r="O22" s="16"/>
      <c r="P22" s="16"/>
      <c r="Q22" s="16"/>
      <c r="R22" s="8"/>
      <c r="S22" s="8"/>
      <c r="T22" s="8"/>
      <c r="U22" s="8"/>
      <c r="V22" s="8"/>
      <c r="W22" s="8"/>
    </row>
    <row r="23" spans="1:23" ht="15.75" thickBot="1" x14ac:dyDescent="0.3">
      <c r="A23" s="51" t="s">
        <v>5</v>
      </c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3"/>
      <c r="M23" s="16"/>
      <c r="N23" s="16"/>
      <c r="O23" s="16"/>
      <c r="P23" s="16"/>
      <c r="Q23" s="16"/>
      <c r="R23" s="8"/>
      <c r="S23" s="8"/>
      <c r="T23" s="8"/>
      <c r="U23" s="8"/>
      <c r="V23" s="8"/>
      <c r="W23" s="8"/>
    </row>
    <row r="24" spans="1:23" ht="15.75" thickBot="1" x14ac:dyDescent="0.3">
      <c r="A24" s="43" t="s">
        <v>6</v>
      </c>
      <c r="B24" s="3"/>
      <c r="C24" s="49">
        <f>$B$7*$B$2</f>
        <v>18615000</v>
      </c>
      <c r="D24" s="49">
        <f>$B$7*($B$3)</f>
        <v>148920000</v>
      </c>
      <c r="E24" s="49">
        <f>D24*(1+$B$12)</f>
        <v>162322800</v>
      </c>
      <c r="F24" s="49">
        <f t="shared" ref="F24:L24" si="1">E24*(1+$B$12)</f>
        <v>176931852</v>
      </c>
      <c r="G24" s="49">
        <f t="shared" si="1"/>
        <v>192855718.68000001</v>
      </c>
      <c r="H24" s="49">
        <f t="shared" si="1"/>
        <v>210212733.36120003</v>
      </c>
      <c r="I24" s="49">
        <f t="shared" si="1"/>
        <v>229131879.36370805</v>
      </c>
      <c r="J24" s="49">
        <f t="shared" si="1"/>
        <v>249753748.5064418</v>
      </c>
      <c r="K24" s="49">
        <f t="shared" si="1"/>
        <v>272231585.87202156</v>
      </c>
      <c r="L24" s="50">
        <f t="shared" si="1"/>
        <v>296732428.6005035</v>
      </c>
      <c r="M24" s="17"/>
      <c r="N24" s="17"/>
      <c r="O24" s="17"/>
      <c r="P24" s="17"/>
      <c r="Q24" s="17"/>
      <c r="R24" s="8"/>
      <c r="S24" s="8"/>
      <c r="T24" s="8"/>
      <c r="U24" s="8"/>
      <c r="V24" s="8"/>
      <c r="W24" s="8"/>
    </row>
    <row r="25" spans="1:23" ht="15.75" thickBot="1" x14ac:dyDescent="0.3">
      <c r="A25" s="46" t="s">
        <v>7</v>
      </c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8"/>
      <c r="M25" s="16"/>
      <c r="N25" s="16"/>
      <c r="O25" s="16"/>
      <c r="P25" s="16"/>
      <c r="Q25" s="16"/>
      <c r="R25" s="8"/>
      <c r="S25" s="8"/>
      <c r="T25" s="8"/>
      <c r="U25" s="8"/>
      <c r="V25" s="8"/>
      <c r="W25" s="8"/>
    </row>
    <row r="26" spans="1:23" x14ac:dyDescent="0.25">
      <c r="A26" s="43" t="s">
        <v>8</v>
      </c>
      <c r="B26" s="3"/>
      <c r="C26" s="44">
        <f>-$E2*$B$8*$B$2</f>
        <v>-7120237.5</v>
      </c>
      <c r="D26" s="44">
        <f>-$E2*$B$8*($B$3)</f>
        <v>-56961900</v>
      </c>
      <c r="E26" s="44">
        <f>D26*(1+$B$12)</f>
        <v>-62088471.000000007</v>
      </c>
      <c r="F26" s="44">
        <f t="shared" ref="F26:L26" si="2">E26*(1+$B$12)</f>
        <v>-67676433.390000015</v>
      </c>
      <c r="G26" s="44">
        <f t="shared" si="2"/>
        <v>-73767312.395100027</v>
      </c>
      <c r="H26" s="44">
        <f t="shared" si="2"/>
        <v>-80406370.510659039</v>
      </c>
      <c r="I26" s="44">
        <f t="shared" si="2"/>
        <v>-87642943.85661836</v>
      </c>
      <c r="J26" s="44">
        <f t="shared" si="2"/>
        <v>-95530808.803714022</v>
      </c>
      <c r="K26" s="44">
        <f t="shared" si="2"/>
        <v>-104128581.5960483</v>
      </c>
      <c r="L26" s="45">
        <f t="shared" si="2"/>
        <v>-113500153.93969265</v>
      </c>
      <c r="M26" s="18"/>
      <c r="N26" s="18"/>
      <c r="O26" s="18"/>
      <c r="P26" s="18"/>
      <c r="Q26" s="18"/>
      <c r="R26" s="11"/>
      <c r="S26" s="11"/>
      <c r="T26" s="11"/>
      <c r="U26" s="11"/>
      <c r="V26" s="11"/>
      <c r="W26" s="11"/>
    </row>
    <row r="27" spans="1:23" x14ac:dyDescent="0.25">
      <c r="A27" s="27" t="s">
        <v>12</v>
      </c>
      <c r="B27" s="2"/>
      <c r="C27" s="4">
        <f>-$E3*$B$8*$B$2</f>
        <v>-2373412.5</v>
      </c>
      <c r="D27" s="4">
        <f>-$E3*$B$8*($B$3)</f>
        <v>-18987300</v>
      </c>
      <c r="E27" s="4">
        <f t="shared" ref="E27:L33" si="3">D27*(1+$B$12)</f>
        <v>-20696157</v>
      </c>
      <c r="F27" s="4">
        <f t="shared" si="3"/>
        <v>-22558811.130000003</v>
      </c>
      <c r="G27" s="4">
        <f t="shared" si="3"/>
        <v>-24589104.131700005</v>
      </c>
      <c r="H27" s="4">
        <f t="shared" si="3"/>
        <v>-26802123.503553007</v>
      </c>
      <c r="I27" s="4">
        <f t="shared" si="3"/>
        <v>-29214314.61887278</v>
      </c>
      <c r="J27" s="4">
        <f t="shared" si="3"/>
        <v>-31843602.934571333</v>
      </c>
      <c r="K27" s="4">
        <f t="shared" si="3"/>
        <v>-34709527.198682755</v>
      </c>
      <c r="L27" s="29">
        <f t="shared" si="3"/>
        <v>-37833384.646564208</v>
      </c>
      <c r="M27" s="18"/>
      <c r="N27" s="18"/>
      <c r="O27" s="18"/>
      <c r="P27" s="18"/>
      <c r="Q27" s="18"/>
      <c r="R27" s="8"/>
      <c r="S27" s="8"/>
      <c r="T27" s="8"/>
      <c r="U27" s="8"/>
      <c r="V27" s="8"/>
      <c r="W27" s="8"/>
    </row>
    <row r="28" spans="1:23" x14ac:dyDescent="0.25">
      <c r="A28" s="27" t="s">
        <v>13</v>
      </c>
      <c r="B28" s="2"/>
      <c r="C28" s="4">
        <f>-$E4*$B$8*$B$2</f>
        <v>-1582275</v>
      </c>
      <c r="D28" s="4">
        <f>-$E4*$B$8*($B$3)</f>
        <v>-12658200</v>
      </c>
      <c r="E28" s="4">
        <f t="shared" si="3"/>
        <v>-13797438.000000002</v>
      </c>
      <c r="F28" s="4">
        <f t="shared" si="3"/>
        <v>-15039207.420000004</v>
      </c>
      <c r="G28" s="4">
        <f t="shared" si="3"/>
        <v>-16392736.087800005</v>
      </c>
      <c r="H28" s="4">
        <f t="shared" si="3"/>
        <v>-17868082.335702006</v>
      </c>
      <c r="I28" s="4">
        <f t="shared" si="3"/>
        <v>-19476209.745915189</v>
      </c>
      <c r="J28" s="4">
        <f t="shared" si="3"/>
        <v>-21229068.623047557</v>
      </c>
      <c r="K28" s="4">
        <f t="shared" si="3"/>
        <v>-23139684.799121838</v>
      </c>
      <c r="L28" s="29">
        <f t="shared" si="3"/>
        <v>-25222256.431042805</v>
      </c>
      <c r="M28" s="18"/>
      <c r="N28" s="18"/>
      <c r="O28" s="18"/>
      <c r="P28" s="18"/>
      <c r="Q28" s="18"/>
      <c r="R28" s="11"/>
      <c r="S28" s="11"/>
      <c r="T28" s="11"/>
      <c r="U28" s="11"/>
      <c r="V28" s="11"/>
      <c r="W28" s="11"/>
    </row>
    <row r="29" spans="1:23" x14ac:dyDescent="0.25">
      <c r="A29" s="27" t="s">
        <v>14</v>
      </c>
      <c r="B29" s="2"/>
      <c r="C29" s="4">
        <f>-$E5*$B$8*$B$2</f>
        <v>-1107592.5000000002</v>
      </c>
      <c r="D29" s="4">
        <f>-$E5*$B$8*($B$3)</f>
        <v>-8860740.0000000019</v>
      </c>
      <c r="E29" s="4">
        <f t="shared" si="3"/>
        <v>-9658206.6000000034</v>
      </c>
      <c r="F29" s="4">
        <f t="shared" si="3"/>
        <v>-10527445.194000004</v>
      </c>
      <c r="G29" s="4">
        <f t="shared" si="3"/>
        <v>-11474915.261460004</v>
      </c>
      <c r="H29" s="4">
        <f t="shared" si="3"/>
        <v>-12507657.634991406</v>
      </c>
      <c r="I29" s="4">
        <f t="shared" si="3"/>
        <v>-13633346.822140632</v>
      </c>
      <c r="J29" s="4">
        <f t="shared" si="3"/>
        <v>-14860348.036133289</v>
      </c>
      <c r="K29" s="4">
        <f t="shared" si="3"/>
        <v>-16197779.359385287</v>
      </c>
      <c r="L29" s="29">
        <f t="shared" si="3"/>
        <v>-17655579.501729965</v>
      </c>
      <c r="M29" s="18"/>
      <c r="N29" s="18"/>
      <c r="O29" s="18"/>
      <c r="P29" s="18"/>
      <c r="Q29" s="18"/>
    </row>
    <row r="30" spans="1:23" x14ac:dyDescent="0.25">
      <c r="A30" s="27" t="s">
        <v>15</v>
      </c>
      <c r="B30" s="2"/>
      <c r="C30" s="4">
        <f>-$E6*$B$8*$B$2</f>
        <v>-791137.5</v>
      </c>
      <c r="D30" s="4">
        <f>-$E6*$B$8*($B$3)</f>
        <v>-6329100</v>
      </c>
      <c r="E30" s="4">
        <f t="shared" si="3"/>
        <v>-6898719.0000000009</v>
      </c>
      <c r="F30" s="4">
        <f t="shared" si="3"/>
        <v>-7519603.7100000018</v>
      </c>
      <c r="G30" s="4">
        <f t="shared" si="3"/>
        <v>-8196368.0439000027</v>
      </c>
      <c r="H30" s="4">
        <f t="shared" si="3"/>
        <v>-8934041.1678510029</v>
      </c>
      <c r="I30" s="4">
        <f t="shared" si="3"/>
        <v>-9738104.8729575947</v>
      </c>
      <c r="J30" s="4">
        <f t="shared" si="3"/>
        <v>-10614534.311523778</v>
      </c>
      <c r="K30" s="4">
        <f t="shared" si="3"/>
        <v>-11569842.399560919</v>
      </c>
      <c r="L30" s="29">
        <f t="shared" si="3"/>
        <v>-12611128.215521403</v>
      </c>
      <c r="M30" s="18"/>
      <c r="N30" s="18"/>
      <c r="O30" s="18"/>
      <c r="P30" s="18"/>
      <c r="Q30" s="18"/>
    </row>
    <row r="31" spans="1:23" x14ac:dyDescent="0.25">
      <c r="A31" s="27" t="s">
        <v>19</v>
      </c>
      <c r="B31" s="2"/>
      <c r="C31" s="4">
        <f>-$E7*$B$8*$B$2</f>
        <v>-791137.5</v>
      </c>
      <c r="D31" s="4">
        <f>-$E7*$B$8*($B$3)</f>
        <v>-6329100</v>
      </c>
      <c r="E31" s="4">
        <f t="shared" si="3"/>
        <v>-6898719.0000000009</v>
      </c>
      <c r="F31" s="4">
        <f t="shared" si="3"/>
        <v>-7519603.7100000018</v>
      </c>
      <c r="G31" s="4">
        <f t="shared" si="3"/>
        <v>-8196368.0439000027</v>
      </c>
      <c r="H31" s="4">
        <f t="shared" si="3"/>
        <v>-8934041.1678510029</v>
      </c>
      <c r="I31" s="4">
        <f t="shared" si="3"/>
        <v>-9738104.8729575947</v>
      </c>
      <c r="J31" s="4">
        <f t="shared" si="3"/>
        <v>-10614534.311523778</v>
      </c>
      <c r="K31" s="4">
        <f t="shared" si="3"/>
        <v>-11569842.399560919</v>
      </c>
      <c r="L31" s="29">
        <f t="shared" si="3"/>
        <v>-12611128.215521403</v>
      </c>
      <c r="M31" s="18"/>
      <c r="N31" s="18"/>
      <c r="O31" s="18"/>
      <c r="P31" s="18"/>
      <c r="Q31" s="18"/>
    </row>
    <row r="32" spans="1:23" x14ac:dyDescent="0.25">
      <c r="A32" s="27" t="s">
        <v>16</v>
      </c>
      <c r="B32" s="2"/>
      <c r="C32" s="4">
        <f>-$E8*$B$8*$B$2</f>
        <v>-1107592.5000000002</v>
      </c>
      <c r="D32" s="4">
        <f>-$E8*$B$8*($B$3)</f>
        <v>-8860740.0000000019</v>
      </c>
      <c r="E32" s="4">
        <f t="shared" si="3"/>
        <v>-9658206.6000000034</v>
      </c>
      <c r="F32" s="4">
        <f t="shared" si="3"/>
        <v>-10527445.194000004</v>
      </c>
      <c r="G32" s="4">
        <f t="shared" si="3"/>
        <v>-11474915.261460004</v>
      </c>
      <c r="H32" s="4">
        <f t="shared" si="3"/>
        <v>-12507657.634991406</v>
      </c>
      <c r="I32" s="4">
        <f t="shared" si="3"/>
        <v>-13633346.822140632</v>
      </c>
      <c r="J32" s="4">
        <f t="shared" si="3"/>
        <v>-14860348.036133289</v>
      </c>
      <c r="K32" s="4">
        <f t="shared" si="3"/>
        <v>-16197779.359385287</v>
      </c>
      <c r="L32" s="29">
        <f t="shared" si="3"/>
        <v>-17655579.501729965</v>
      </c>
      <c r="M32" s="18"/>
      <c r="N32" s="18"/>
      <c r="O32" s="18"/>
      <c r="P32" s="18"/>
      <c r="Q32" s="18"/>
    </row>
    <row r="33" spans="1:17" x14ac:dyDescent="0.25">
      <c r="A33" s="27" t="s">
        <v>17</v>
      </c>
      <c r="B33" s="2"/>
      <c r="C33" s="4">
        <f>-$E9*$B$8*$B$2</f>
        <v>-632910</v>
      </c>
      <c r="D33" s="4">
        <f>-$E9*$B$8*($B$3)</f>
        <v>-5063280</v>
      </c>
      <c r="E33" s="4">
        <f t="shared" si="3"/>
        <v>-5518975.2000000002</v>
      </c>
      <c r="F33" s="4">
        <f t="shared" si="3"/>
        <v>-6015682.9680000003</v>
      </c>
      <c r="G33" s="4">
        <f t="shared" si="3"/>
        <v>-6557094.4351200005</v>
      </c>
      <c r="H33" s="4">
        <f t="shared" si="3"/>
        <v>-7147232.9342808006</v>
      </c>
      <c r="I33" s="4">
        <f t="shared" si="3"/>
        <v>-7790483.8983660731</v>
      </c>
      <c r="J33" s="4">
        <f t="shared" si="3"/>
        <v>-8491627.4492190201</v>
      </c>
      <c r="K33" s="4">
        <f t="shared" si="3"/>
        <v>-9255873.919648733</v>
      </c>
      <c r="L33" s="29">
        <f t="shared" si="3"/>
        <v>-10088902.57241712</v>
      </c>
      <c r="M33" s="18"/>
      <c r="N33" s="18"/>
      <c r="O33" s="18"/>
      <c r="P33" s="18"/>
      <c r="Q33" s="18"/>
    </row>
    <row r="34" spans="1:17" x14ac:dyDescent="0.25">
      <c r="A34" s="27" t="s">
        <v>44</v>
      </c>
      <c r="B34" s="2"/>
      <c r="C34" s="22">
        <f>B19</f>
        <v>2000000</v>
      </c>
      <c r="D34" s="22">
        <f>C19</f>
        <v>16000000</v>
      </c>
      <c r="E34" s="2"/>
      <c r="F34" s="2"/>
      <c r="G34" s="2"/>
      <c r="H34" s="2"/>
      <c r="I34" s="2"/>
      <c r="J34" s="2"/>
      <c r="K34" s="2"/>
      <c r="L34" s="26"/>
      <c r="M34" s="16"/>
      <c r="N34" s="16"/>
      <c r="O34" s="16"/>
      <c r="P34" s="16"/>
      <c r="Q34" s="16"/>
    </row>
    <row r="35" spans="1:17" ht="15.75" thickBot="1" x14ac:dyDescent="0.3">
      <c r="A35" s="54" t="s">
        <v>22</v>
      </c>
      <c r="B35" s="55"/>
      <c r="C35" s="56">
        <f>SUM(C26:C34)</f>
        <v>-13506295</v>
      </c>
      <c r="D35" s="56">
        <f>SUM(D26:D34)</f>
        <v>-108050360</v>
      </c>
      <c r="E35" s="56">
        <f>SUM(E26:E33)</f>
        <v>-135214892.40000001</v>
      </c>
      <c r="F35" s="56">
        <f>SUM(F26:F33)</f>
        <v>-147384232.71600002</v>
      </c>
      <c r="G35" s="56">
        <f>SUM(G26:G33)</f>
        <v>-160648813.66044006</v>
      </c>
      <c r="H35" s="56">
        <f>SUM(H26:H33)</f>
        <v>-175107206.88987967</v>
      </c>
      <c r="I35" s="56">
        <f>SUM(I26:I33)</f>
        <v>-190866855.50996885</v>
      </c>
      <c r="J35" s="56">
        <f>SUM(J26:J33)</f>
        <v>-208044872.50586605</v>
      </c>
      <c r="K35" s="56">
        <f>SUM(K26:K33)</f>
        <v>-226768911.03139403</v>
      </c>
      <c r="L35" s="57">
        <f>SUM(L26:L33)</f>
        <v>-247178113.02421948</v>
      </c>
      <c r="M35" s="18"/>
      <c r="N35" s="18"/>
      <c r="O35" s="18"/>
      <c r="P35" s="18"/>
      <c r="Q35" s="18"/>
    </row>
    <row r="36" spans="1:17" x14ac:dyDescent="0.25">
      <c r="A36" s="58" t="s">
        <v>23</v>
      </c>
      <c r="B36" s="59">
        <f>SUM(B24,B35)</f>
        <v>0</v>
      </c>
      <c r="C36" s="59">
        <f>SUM(C24,C35)</f>
        <v>5108705</v>
      </c>
      <c r="D36" s="59">
        <f>SUM(D24,D35)</f>
        <v>40869640</v>
      </c>
      <c r="E36" s="59">
        <f>SUM(E24,E35)</f>
        <v>27107907.599999994</v>
      </c>
      <c r="F36" s="59">
        <f>SUM(F24,F35)</f>
        <v>29547619.283999979</v>
      </c>
      <c r="G36" s="59">
        <f>SUM(G24,G35)</f>
        <v>32206905.01955995</v>
      </c>
      <c r="H36" s="59">
        <f>SUM(H24,H35)</f>
        <v>35105526.471320361</v>
      </c>
      <c r="I36" s="59">
        <f>SUM(I24,I35)</f>
        <v>38265023.853739202</v>
      </c>
      <c r="J36" s="59">
        <f>SUM(J24,J35)</f>
        <v>41708876.000575751</v>
      </c>
      <c r="K36" s="59">
        <f>SUM(K24,K35)</f>
        <v>45462674.840627521</v>
      </c>
      <c r="L36" s="60">
        <f>SUM(L24,L35)</f>
        <v>49554315.576284021</v>
      </c>
      <c r="M36" s="19"/>
      <c r="N36" s="19"/>
      <c r="O36" s="19"/>
      <c r="P36" s="19"/>
      <c r="Q36" s="19"/>
    </row>
    <row r="37" spans="1:17" ht="15.75" thickBot="1" x14ac:dyDescent="0.3">
      <c r="A37" s="61" t="s">
        <v>55</v>
      </c>
      <c r="B37" s="41"/>
      <c r="C37" s="62">
        <f>C36*(1-$B$11)</f>
        <v>4035876.95</v>
      </c>
      <c r="D37" s="62">
        <f t="shared" ref="D37:L37" si="4">D36*(1-$B$11)</f>
        <v>32287015.600000001</v>
      </c>
      <c r="E37" s="62">
        <f t="shared" si="4"/>
        <v>21415247.003999997</v>
      </c>
      <c r="F37" s="62">
        <f t="shared" si="4"/>
        <v>23342619.234359983</v>
      </c>
      <c r="G37" s="62">
        <f t="shared" si="4"/>
        <v>25443454.965452362</v>
      </c>
      <c r="H37" s="62">
        <f t="shared" si="4"/>
        <v>27733365.912343085</v>
      </c>
      <c r="I37" s="62">
        <f t="shared" si="4"/>
        <v>30229368.844453972</v>
      </c>
      <c r="J37" s="62">
        <f t="shared" si="4"/>
        <v>32950012.040454846</v>
      </c>
      <c r="K37" s="62">
        <f t="shared" si="4"/>
        <v>35915513.124095745</v>
      </c>
      <c r="L37" s="63">
        <f t="shared" si="4"/>
        <v>39147909.305264376</v>
      </c>
      <c r="M37" s="20"/>
      <c r="N37" s="20"/>
      <c r="O37" s="20"/>
      <c r="P37" s="20"/>
      <c r="Q37" s="20"/>
    </row>
    <row r="38" spans="1:17" ht="15.75" thickBot="1" x14ac:dyDescent="0.3">
      <c r="A38" s="31" t="s">
        <v>25</v>
      </c>
      <c r="B38" s="21">
        <f>SUM(B22,B37)</f>
        <v>-11600000</v>
      </c>
      <c r="C38" s="21">
        <f>SUM(C22,C37)</f>
        <v>-88764123.049999997</v>
      </c>
      <c r="D38" s="21">
        <f>SUM(D22,D37)</f>
        <v>32287015.600000001</v>
      </c>
      <c r="E38" s="21">
        <f>SUM(E22,E37)</f>
        <v>21415247.003999997</v>
      </c>
      <c r="F38" s="21">
        <f>SUM(F22,F37)</f>
        <v>23342619.234359983</v>
      </c>
      <c r="G38" s="21">
        <f>SUM(G22,G37)</f>
        <v>25443454.965452362</v>
      </c>
      <c r="H38" s="21">
        <f>SUM(H22,H37)</f>
        <v>27733365.912343085</v>
      </c>
      <c r="I38" s="21">
        <f>SUM(I22,I37)</f>
        <v>30229368.844453972</v>
      </c>
      <c r="J38" s="21">
        <f>SUM(J22,J37)</f>
        <v>32950012.040454846</v>
      </c>
      <c r="K38" s="21">
        <f>SUM(K22,K37)</f>
        <v>35915513.124095745</v>
      </c>
      <c r="L38" s="32">
        <f>SUM(L22,L37)</f>
        <v>39147909.305264376</v>
      </c>
      <c r="M38" s="19"/>
      <c r="N38" s="19"/>
      <c r="O38" s="19"/>
      <c r="P38" s="19"/>
      <c r="Q38" s="19"/>
    </row>
    <row r="42" spans="1:17" x14ac:dyDescent="0.25">
      <c r="A42" t="s">
        <v>58</v>
      </c>
      <c r="C42" s="1"/>
    </row>
    <row r="44" spans="1:17" ht="15.75" thickBot="1" x14ac:dyDescent="0.3">
      <c r="A44" s="101" t="s">
        <v>60</v>
      </c>
      <c r="B44" s="102" t="s">
        <v>59</v>
      </c>
    </row>
    <row r="45" spans="1:17" ht="15.75" thickBot="1" x14ac:dyDescent="0.3">
      <c r="A45" s="95" t="s">
        <v>54</v>
      </c>
      <c r="B45" s="98">
        <v>150000000</v>
      </c>
    </row>
    <row r="46" spans="1:17" x14ac:dyDescent="0.25">
      <c r="A46" s="96" t="s">
        <v>26</v>
      </c>
      <c r="B46" s="99">
        <f xml:space="preserve"> B38 + NPV(B10,C38:L38)</f>
        <v>9397425.7517524809</v>
      </c>
    </row>
    <row r="47" spans="1:17" x14ac:dyDescent="0.25">
      <c r="A47" s="97" t="s">
        <v>27</v>
      </c>
      <c r="B47" s="100">
        <f>IRR(B38:L38)</f>
        <v>0.23082960609773395</v>
      </c>
    </row>
    <row r="48" spans="1:17" ht="15.75" thickBot="1" x14ac:dyDescent="0.3">
      <c r="A48" s="103" t="s">
        <v>28</v>
      </c>
      <c r="B48" s="104"/>
    </row>
    <row r="49" spans="1:5" x14ac:dyDescent="0.25">
      <c r="A49" s="72" t="s">
        <v>29</v>
      </c>
      <c r="B49" s="76">
        <f>B7</f>
        <v>1861500</v>
      </c>
      <c r="C49" t="s">
        <v>31</v>
      </c>
    </row>
    <row r="50" spans="1:5" x14ac:dyDescent="0.25">
      <c r="A50" s="12" t="s">
        <v>33</v>
      </c>
      <c r="B50" s="77">
        <v>0.15</v>
      </c>
      <c r="C50" t="s">
        <v>39</v>
      </c>
    </row>
    <row r="51" spans="1:5" x14ac:dyDescent="0.25">
      <c r="A51" s="64" t="s">
        <v>35</v>
      </c>
      <c r="B51" s="65">
        <v>85</v>
      </c>
      <c r="C51" t="s">
        <v>38</v>
      </c>
      <c r="D51" s="8"/>
      <c r="E51" s="8"/>
    </row>
    <row r="52" spans="1:5" x14ac:dyDescent="0.25">
      <c r="A52" s="64" t="s">
        <v>36</v>
      </c>
      <c r="B52" s="26">
        <v>80</v>
      </c>
      <c r="C52" s="8"/>
      <c r="D52" s="8"/>
      <c r="E52" s="8"/>
    </row>
    <row r="53" spans="1:5" x14ac:dyDescent="0.25">
      <c r="A53" s="30" t="s">
        <v>40</v>
      </c>
      <c r="B53" s="66">
        <f>B51*(B52*B4)</f>
        <v>5100</v>
      </c>
      <c r="C53" t="s">
        <v>45</v>
      </c>
      <c r="D53" s="8"/>
      <c r="E53" s="8"/>
    </row>
    <row r="54" spans="1:5" x14ac:dyDescent="0.25">
      <c r="A54" s="30" t="s">
        <v>48</v>
      </c>
      <c r="B54" s="67"/>
      <c r="C54" s="8"/>
      <c r="D54" s="7"/>
      <c r="E54" s="7"/>
    </row>
    <row r="55" spans="1:5" x14ac:dyDescent="0.25">
      <c r="A55" s="12" t="s">
        <v>42</v>
      </c>
      <c r="B55" s="68">
        <v>800000</v>
      </c>
      <c r="C55" s="10"/>
      <c r="D55" s="10"/>
      <c r="E55" s="10"/>
    </row>
    <row r="56" spans="1:5" x14ac:dyDescent="0.25">
      <c r="A56" s="12" t="s">
        <v>43</v>
      </c>
      <c r="B56" s="68">
        <v>75000</v>
      </c>
      <c r="C56" s="10"/>
    </row>
    <row r="57" spans="1:5" x14ac:dyDescent="0.25">
      <c r="A57" s="12" t="s">
        <v>44</v>
      </c>
      <c r="B57" s="68">
        <v>200000</v>
      </c>
    </row>
    <row r="58" spans="1:5" x14ac:dyDescent="0.25">
      <c r="A58" s="12" t="s">
        <v>47</v>
      </c>
      <c r="B58" s="68">
        <v>85000</v>
      </c>
    </row>
    <row r="59" spans="1:5" x14ac:dyDescent="0.25">
      <c r="A59" s="12" t="s">
        <v>49</v>
      </c>
      <c r="B59" s="28">
        <f>SUM(B55:B58)</f>
        <v>1160000</v>
      </c>
    </row>
    <row r="60" spans="1:5" x14ac:dyDescent="0.25">
      <c r="A60" s="12" t="s">
        <v>51</v>
      </c>
      <c r="B60" s="69">
        <f>-SUM(B22:C22)/F38</f>
        <v>4.4725058037328038</v>
      </c>
    </row>
    <row r="61" spans="1:5" ht="15.75" thickBot="1" x14ac:dyDescent="0.3">
      <c r="A61" s="13" t="s">
        <v>52</v>
      </c>
      <c r="B61" s="70">
        <f>SUM(B22:C22)</f>
        <v>-104400000</v>
      </c>
    </row>
  </sheetData>
  <mergeCells count="3">
    <mergeCell ref="A1:B1"/>
    <mergeCell ref="G1:K1"/>
    <mergeCell ref="A14:L14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72958-EED8-41AA-AD85-8209D8405C41}">
  <dimension ref="A1:W60"/>
  <sheetViews>
    <sheetView workbookViewId="0">
      <selection activeCell="B51" sqref="B51"/>
    </sheetView>
  </sheetViews>
  <sheetFormatPr defaultRowHeight="15" x14ac:dyDescent="0.25"/>
  <cols>
    <col min="1" max="1" width="44.5703125" customWidth="1"/>
    <col min="2" max="2" width="14.42578125" bestFit="1" customWidth="1"/>
    <col min="3" max="3" width="33.85546875" customWidth="1"/>
    <col min="4" max="4" width="28.28515625" bestFit="1" customWidth="1"/>
    <col min="5" max="5" width="19.42578125" bestFit="1" customWidth="1"/>
    <col min="6" max="6" width="28" bestFit="1" customWidth="1"/>
    <col min="7" max="7" width="23.42578125" bestFit="1" customWidth="1"/>
    <col min="8" max="12" width="15.28515625" bestFit="1" customWidth="1"/>
    <col min="13" max="19" width="13.42578125" bestFit="1" customWidth="1"/>
  </cols>
  <sheetData>
    <row r="1" spans="1:19" ht="15.75" x14ac:dyDescent="0.25">
      <c r="A1" s="79" t="s">
        <v>0</v>
      </c>
      <c r="B1" s="80"/>
      <c r="D1" s="88" t="s">
        <v>7</v>
      </c>
      <c r="E1" s="89" t="s">
        <v>20</v>
      </c>
      <c r="F1" s="90" t="s">
        <v>34</v>
      </c>
      <c r="G1" s="14" t="s">
        <v>32</v>
      </c>
      <c r="H1" s="14"/>
      <c r="I1" s="14"/>
      <c r="J1" s="14"/>
      <c r="K1" s="14"/>
    </row>
    <row r="2" spans="1:19" x14ac:dyDescent="0.25">
      <c r="A2" s="12" t="s">
        <v>9</v>
      </c>
      <c r="B2" s="81">
        <v>10</v>
      </c>
      <c r="D2" s="12" t="s">
        <v>8</v>
      </c>
      <c r="E2" s="6">
        <v>0.45</v>
      </c>
      <c r="F2" s="91">
        <f>$B$8*E2</f>
        <v>854428.5</v>
      </c>
    </row>
    <row r="3" spans="1:19" x14ac:dyDescent="0.25">
      <c r="A3" s="12" t="s">
        <v>11</v>
      </c>
      <c r="B3" s="81">
        <v>80</v>
      </c>
      <c r="D3" s="12" t="s">
        <v>12</v>
      </c>
      <c r="E3" s="6">
        <v>0.15</v>
      </c>
      <c r="F3" s="91">
        <f t="shared" ref="F3:F11" si="0">$B$8*E3</f>
        <v>284809.5</v>
      </c>
    </row>
    <row r="4" spans="1:19" x14ac:dyDescent="0.25">
      <c r="A4" s="12" t="s">
        <v>1</v>
      </c>
      <c r="B4" s="82">
        <v>0.9</v>
      </c>
      <c r="C4" s="1"/>
      <c r="D4" s="12" t="s">
        <v>13</v>
      </c>
      <c r="E4" s="6">
        <v>0.1</v>
      </c>
      <c r="F4" s="91">
        <f t="shared" si="0"/>
        <v>189873</v>
      </c>
    </row>
    <row r="5" spans="1:19" x14ac:dyDescent="0.25">
      <c r="A5" s="12" t="s">
        <v>24</v>
      </c>
      <c r="B5" s="83">
        <f>B52</f>
        <v>6120</v>
      </c>
      <c r="D5" s="12" t="s">
        <v>14</v>
      </c>
      <c r="E5" s="6">
        <v>7.0000000000000007E-2</v>
      </c>
      <c r="F5" s="91">
        <f t="shared" si="0"/>
        <v>132911.1</v>
      </c>
    </row>
    <row r="6" spans="1:19" x14ac:dyDescent="0.25">
      <c r="A6" s="12" t="s">
        <v>2</v>
      </c>
      <c r="B6" s="81">
        <v>365</v>
      </c>
      <c r="D6" s="12" t="s">
        <v>15</v>
      </c>
      <c r="E6" s="6">
        <v>0.05</v>
      </c>
      <c r="F6" s="91">
        <f t="shared" si="0"/>
        <v>94936.5</v>
      </c>
    </row>
    <row r="7" spans="1:19" x14ac:dyDescent="0.25">
      <c r="A7" s="12" t="s">
        <v>41</v>
      </c>
      <c r="B7" s="84">
        <f>B5*B6</f>
        <v>2233800</v>
      </c>
      <c r="D7" s="12" t="s">
        <v>19</v>
      </c>
      <c r="E7" s="6">
        <v>0.05</v>
      </c>
      <c r="F7" s="91">
        <f t="shared" si="0"/>
        <v>94936.5</v>
      </c>
    </row>
    <row r="8" spans="1:19" x14ac:dyDescent="0.25">
      <c r="A8" s="12" t="s">
        <v>7</v>
      </c>
      <c r="B8" s="83">
        <f>B7*(1-B49)</f>
        <v>1898730</v>
      </c>
      <c r="D8" s="12" t="s">
        <v>17</v>
      </c>
      <c r="E8" s="6">
        <v>7.0000000000000007E-2</v>
      </c>
      <c r="F8" s="91">
        <f t="shared" si="0"/>
        <v>132911.1</v>
      </c>
    </row>
    <row r="9" spans="1:19" x14ac:dyDescent="0.25">
      <c r="A9" s="12" t="s">
        <v>10</v>
      </c>
      <c r="B9" s="83">
        <f>B58</f>
        <v>1160000</v>
      </c>
      <c r="D9" s="12" t="s">
        <v>16</v>
      </c>
      <c r="E9" s="6">
        <v>0.04</v>
      </c>
      <c r="F9" s="91">
        <f t="shared" si="0"/>
        <v>75949.2</v>
      </c>
    </row>
    <row r="10" spans="1:19" ht="29.25" customHeight="1" x14ac:dyDescent="0.25">
      <c r="A10" s="12" t="s">
        <v>30</v>
      </c>
      <c r="B10" s="85">
        <v>0.2</v>
      </c>
      <c r="D10" s="92" t="s">
        <v>37</v>
      </c>
      <c r="E10" s="15">
        <v>0.02</v>
      </c>
      <c r="F10" s="91">
        <f t="shared" si="0"/>
        <v>37974.6</v>
      </c>
    </row>
    <row r="11" spans="1:19" ht="15.75" thickBot="1" x14ac:dyDescent="0.3">
      <c r="A11" s="64" t="s">
        <v>56</v>
      </c>
      <c r="B11" s="85">
        <v>0.21</v>
      </c>
      <c r="D11" s="13" t="s">
        <v>18</v>
      </c>
      <c r="E11" s="93">
        <f>SUM(E2:E10)</f>
        <v>1.0000000000000002</v>
      </c>
      <c r="F11" s="94">
        <f t="shared" si="0"/>
        <v>1898730.0000000005</v>
      </c>
    </row>
    <row r="12" spans="1:19" ht="16.5" thickBot="1" x14ac:dyDescent="0.3">
      <c r="A12" s="86" t="s">
        <v>57</v>
      </c>
      <c r="B12" s="87">
        <v>0.09</v>
      </c>
      <c r="M12" s="9"/>
      <c r="N12" s="9"/>
      <c r="Q12" s="9"/>
      <c r="R12" s="9"/>
      <c r="S12" s="9"/>
    </row>
    <row r="13" spans="1:19" ht="15.75" thickBot="1" x14ac:dyDescent="0.3">
      <c r="M13" s="7"/>
      <c r="N13" s="7"/>
      <c r="O13" s="7"/>
      <c r="P13" s="7"/>
      <c r="Q13" s="7"/>
    </row>
    <row r="14" spans="1:19" ht="15.75" x14ac:dyDescent="0.25">
      <c r="A14" s="23" t="s">
        <v>3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5"/>
      <c r="M14" s="7"/>
      <c r="N14" s="7"/>
      <c r="O14" s="7"/>
      <c r="P14" s="7"/>
      <c r="Q14" s="7"/>
    </row>
    <row r="15" spans="1:19" ht="15.75" thickBot="1" x14ac:dyDescent="0.3">
      <c r="A15" s="33" t="s">
        <v>4</v>
      </c>
      <c r="B15" s="5">
        <v>0</v>
      </c>
      <c r="C15" s="5">
        <v>1</v>
      </c>
      <c r="D15" s="5">
        <v>2</v>
      </c>
      <c r="E15" s="5">
        <v>3</v>
      </c>
      <c r="F15" s="5">
        <v>4</v>
      </c>
      <c r="G15" s="5">
        <v>5</v>
      </c>
      <c r="H15" s="5">
        <v>6</v>
      </c>
      <c r="I15" s="5">
        <v>7</v>
      </c>
      <c r="J15" s="5">
        <v>8</v>
      </c>
      <c r="K15" s="5">
        <v>9</v>
      </c>
      <c r="L15" s="34">
        <v>10</v>
      </c>
      <c r="M15" s="16"/>
      <c r="N15" s="16"/>
      <c r="O15" s="16"/>
      <c r="P15" s="16"/>
      <c r="Q15" s="16"/>
    </row>
    <row r="16" spans="1:19" x14ac:dyDescent="0.25">
      <c r="A16" s="35" t="s">
        <v>21</v>
      </c>
      <c r="B16" s="36"/>
      <c r="C16" s="37"/>
      <c r="D16" s="37"/>
      <c r="E16" s="37"/>
      <c r="F16" s="37"/>
      <c r="G16" s="37"/>
      <c r="H16" s="37"/>
      <c r="I16" s="37"/>
      <c r="J16" s="37"/>
      <c r="K16" s="37"/>
      <c r="L16" s="38"/>
      <c r="M16" s="16"/>
      <c r="N16" s="16"/>
      <c r="O16" s="16"/>
      <c r="P16" s="16"/>
      <c r="Q16" s="16"/>
    </row>
    <row r="17" spans="1:23" x14ac:dyDescent="0.25">
      <c r="A17" s="12" t="s">
        <v>42</v>
      </c>
      <c r="B17" s="22">
        <f>$B$54*B2</f>
        <v>8000000</v>
      </c>
      <c r="C17" s="22">
        <f>$B$54*B3</f>
        <v>64000000</v>
      </c>
      <c r="D17" s="2"/>
      <c r="E17" s="2"/>
      <c r="F17" s="2"/>
      <c r="G17" s="2"/>
      <c r="H17" s="2"/>
      <c r="I17" s="2"/>
      <c r="J17" s="2"/>
      <c r="K17" s="2"/>
      <c r="L17" s="26"/>
      <c r="M17" s="16"/>
      <c r="N17" s="16"/>
      <c r="O17" s="16"/>
      <c r="P17" s="16"/>
      <c r="Q17" s="16"/>
      <c r="R17" s="1"/>
      <c r="S17" s="1"/>
      <c r="T17" s="1"/>
      <c r="U17" s="1"/>
      <c r="V17" s="1"/>
      <c r="W17" s="1"/>
    </row>
    <row r="18" spans="1:23" x14ac:dyDescent="0.25">
      <c r="A18" s="12" t="s">
        <v>43</v>
      </c>
      <c r="B18" s="22">
        <f>$B$55*B2</f>
        <v>750000</v>
      </c>
      <c r="C18" s="22">
        <f>$B$55*B3</f>
        <v>6000000</v>
      </c>
      <c r="D18" s="2"/>
      <c r="E18" s="2"/>
      <c r="F18" s="2"/>
      <c r="G18" s="2"/>
      <c r="H18" s="2"/>
      <c r="I18" s="2"/>
      <c r="J18" s="2"/>
      <c r="K18" s="2"/>
      <c r="L18" s="26"/>
      <c r="M18" s="16"/>
      <c r="N18" s="16"/>
      <c r="O18" s="16"/>
      <c r="P18" s="16"/>
      <c r="Q18" s="16"/>
      <c r="R18" s="7"/>
      <c r="S18" s="7"/>
      <c r="T18" s="7"/>
      <c r="U18" s="7"/>
      <c r="V18" s="7"/>
      <c r="W18" s="7"/>
    </row>
    <row r="19" spans="1:23" x14ac:dyDescent="0.25">
      <c r="A19" s="12" t="s">
        <v>44</v>
      </c>
      <c r="B19" s="22">
        <f>$B$56*B2</f>
        <v>2000000</v>
      </c>
      <c r="C19" s="22">
        <f>$B$56*B3</f>
        <v>16000000</v>
      </c>
      <c r="D19" s="2"/>
      <c r="E19" s="2"/>
      <c r="F19" s="2"/>
      <c r="G19" s="2"/>
      <c r="H19" s="2"/>
      <c r="I19" s="2"/>
      <c r="J19" s="2"/>
      <c r="K19" s="2"/>
      <c r="L19" s="26"/>
      <c r="M19" s="16"/>
      <c r="N19" s="16"/>
      <c r="O19" s="16"/>
      <c r="P19" s="16"/>
      <c r="Q19" s="16"/>
      <c r="R19" s="8"/>
      <c r="S19" s="8"/>
      <c r="T19" s="8"/>
      <c r="U19" s="8"/>
      <c r="V19" s="8"/>
      <c r="W19" s="8"/>
    </row>
    <row r="20" spans="1:23" x14ac:dyDescent="0.25">
      <c r="A20" s="12" t="s">
        <v>46</v>
      </c>
      <c r="B20" s="22">
        <f>$B$57*B2</f>
        <v>850000</v>
      </c>
      <c r="C20" s="22">
        <f>$B$57*B3</f>
        <v>6800000</v>
      </c>
      <c r="D20" s="2"/>
      <c r="E20" s="2"/>
      <c r="F20" s="2"/>
      <c r="G20" s="2"/>
      <c r="H20" s="2"/>
      <c r="I20" s="2"/>
      <c r="J20" s="2"/>
      <c r="K20" s="2"/>
      <c r="L20" s="26"/>
      <c r="M20" s="16"/>
      <c r="N20" s="16"/>
      <c r="O20" s="16"/>
      <c r="P20" s="16"/>
      <c r="Q20" s="16"/>
      <c r="R20" s="8"/>
      <c r="S20" s="8"/>
      <c r="T20" s="8"/>
      <c r="U20" s="8"/>
      <c r="V20" s="8"/>
      <c r="W20" s="8"/>
    </row>
    <row r="21" spans="1:23" x14ac:dyDescent="0.25">
      <c r="A21" s="12" t="s">
        <v>53</v>
      </c>
      <c r="B21" s="22"/>
      <c r="C21" s="22"/>
      <c r="D21" s="2"/>
      <c r="E21" s="2"/>
      <c r="F21" s="2"/>
      <c r="G21" s="2"/>
      <c r="H21" s="2"/>
      <c r="I21" s="2"/>
      <c r="J21" s="2"/>
      <c r="K21" s="2"/>
      <c r="L21" s="26"/>
      <c r="M21" s="16"/>
      <c r="N21" s="16"/>
      <c r="O21" s="16"/>
      <c r="P21" s="16"/>
      <c r="Q21" s="16"/>
      <c r="R21" s="8"/>
      <c r="S21" s="8"/>
      <c r="T21" s="8"/>
      <c r="U21" s="8"/>
      <c r="V21" s="8"/>
      <c r="W21" s="8"/>
    </row>
    <row r="22" spans="1:23" ht="15.75" thickBot="1" x14ac:dyDescent="0.3">
      <c r="A22" s="39" t="s">
        <v>50</v>
      </c>
      <c r="B22" s="40">
        <f>-SUM(B17:B20)</f>
        <v>-11600000</v>
      </c>
      <c r="C22" s="40">
        <f>-SUM(C17:C21)</f>
        <v>-92800000</v>
      </c>
      <c r="D22" s="41"/>
      <c r="E22" s="41"/>
      <c r="F22" s="41"/>
      <c r="G22" s="41"/>
      <c r="H22" s="41"/>
      <c r="I22" s="41"/>
      <c r="J22" s="41"/>
      <c r="K22" s="41"/>
      <c r="L22" s="42"/>
      <c r="M22" s="16"/>
      <c r="N22" s="16"/>
      <c r="O22" s="16"/>
      <c r="P22" s="16"/>
      <c r="Q22" s="16"/>
      <c r="R22" s="8"/>
      <c r="S22" s="8"/>
      <c r="T22" s="8"/>
      <c r="U22" s="8"/>
      <c r="V22" s="8"/>
      <c r="W22" s="8"/>
    </row>
    <row r="23" spans="1:23" ht="15.75" thickBot="1" x14ac:dyDescent="0.3">
      <c r="A23" s="51" t="s">
        <v>5</v>
      </c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3"/>
      <c r="M23" s="16"/>
      <c r="N23" s="16"/>
      <c r="O23" s="16"/>
      <c r="P23" s="16"/>
      <c r="Q23" s="16"/>
      <c r="R23" s="8"/>
      <c r="S23" s="8"/>
      <c r="T23" s="8"/>
      <c r="U23" s="8"/>
      <c r="V23" s="8"/>
      <c r="W23" s="8"/>
    </row>
    <row r="24" spans="1:23" ht="15.75" thickBot="1" x14ac:dyDescent="0.3">
      <c r="A24" s="43" t="s">
        <v>6</v>
      </c>
      <c r="B24" s="3"/>
      <c r="C24" s="49">
        <f>$B$7*$B$2</f>
        <v>22338000</v>
      </c>
      <c r="D24" s="49">
        <f>$B$7*($B$3)</f>
        <v>178704000</v>
      </c>
      <c r="E24" s="49">
        <f>D24*(1+$B$12)</f>
        <v>194787360</v>
      </c>
      <c r="F24" s="49">
        <f t="shared" ref="F24:L24" si="1">E24*(1+$B$12)</f>
        <v>212318222.40000001</v>
      </c>
      <c r="G24" s="49">
        <f t="shared" si="1"/>
        <v>231426862.41600001</v>
      </c>
      <c r="H24" s="49">
        <f t="shared" si="1"/>
        <v>252255280.03344002</v>
      </c>
      <c r="I24" s="49">
        <f t="shared" si="1"/>
        <v>274958255.23644966</v>
      </c>
      <c r="J24" s="49">
        <f t="shared" si="1"/>
        <v>299704498.20773017</v>
      </c>
      <c r="K24" s="49">
        <f t="shared" si="1"/>
        <v>326677903.04642594</v>
      </c>
      <c r="L24" s="50">
        <f t="shared" si="1"/>
        <v>356078914.32060432</v>
      </c>
      <c r="M24" s="17"/>
      <c r="N24" s="17"/>
      <c r="O24" s="17"/>
      <c r="P24" s="17"/>
      <c r="Q24" s="17"/>
      <c r="R24" s="8"/>
      <c r="S24" s="8"/>
      <c r="T24" s="8"/>
      <c r="U24" s="8"/>
      <c r="V24" s="8"/>
      <c r="W24" s="8"/>
    </row>
    <row r="25" spans="1:23" ht="15.75" thickBot="1" x14ac:dyDescent="0.3">
      <c r="A25" s="46" t="s">
        <v>7</v>
      </c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8"/>
      <c r="M25" s="16"/>
      <c r="N25" s="16"/>
      <c r="O25" s="16"/>
      <c r="P25" s="16"/>
      <c r="Q25" s="16"/>
      <c r="R25" s="8"/>
      <c r="S25" s="8"/>
      <c r="T25" s="8"/>
      <c r="U25" s="8"/>
      <c r="V25" s="8"/>
      <c r="W25" s="8"/>
    </row>
    <row r="26" spans="1:23" x14ac:dyDescent="0.25">
      <c r="A26" s="43" t="s">
        <v>8</v>
      </c>
      <c r="B26" s="3"/>
      <c r="C26" s="44">
        <f>-$E2*$B$8*$B$2</f>
        <v>-8544285</v>
      </c>
      <c r="D26" s="44">
        <f>-$E2*$B$8*($B$3)</f>
        <v>-68354280</v>
      </c>
      <c r="E26" s="44">
        <f>D26*(1+$B$12)</f>
        <v>-74506165.200000003</v>
      </c>
      <c r="F26" s="44">
        <f t="shared" ref="F26:L26" si="2">E26*(1+$B$12)</f>
        <v>-81211720.068000004</v>
      </c>
      <c r="G26" s="44">
        <f t="shared" si="2"/>
        <v>-88520774.874120012</v>
      </c>
      <c r="H26" s="44">
        <f t="shared" si="2"/>
        <v>-96487644.612790823</v>
      </c>
      <c r="I26" s="44">
        <f t="shared" si="2"/>
        <v>-105171532.62794201</v>
      </c>
      <c r="J26" s="44">
        <f t="shared" si="2"/>
        <v>-114636970.56445681</v>
      </c>
      <c r="K26" s="44">
        <f t="shared" si="2"/>
        <v>-124954297.91525793</v>
      </c>
      <c r="L26" s="45">
        <f t="shared" si="2"/>
        <v>-136200184.72763115</v>
      </c>
      <c r="M26" s="18"/>
      <c r="N26" s="18"/>
      <c r="O26" s="18"/>
      <c r="P26" s="18"/>
      <c r="Q26" s="18"/>
      <c r="R26" s="11"/>
      <c r="S26" s="11"/>
      <c r="T26" s="11"/>
      <c r="U26" s="11"/>
      <c r="V26" s="11"/>
      <c r="W26" s="11"/>
    </row>
    <row r="27" spans="1:23" x14ac:dyDescent="0.25">
      <c r="A27" s="27" t="s">
        <v>12</v>
      </c>
      <c r="B27" s="2"/>
      <c r="C27" s="4">
        <f>-$E3*$B$8*$B$2</f>
        <v>-2848095</v>
      </c>
      <c r="D27" s="4">
        <f>-$E3*$B$8*($B$3)</f>
        <v>-22784760</v>
      </c>
      <c r="E27" s="4">
        <f t="shared" ref="E27:L33" si="3">D27*(1+$B$12)</f>
        <v>-24835388.400000002</v>
      </c>
      <c r="F27" s="4">
        <f t="shared" si="3"/>
        <v>-27070573.356000006</v>
      </c>
      <c r="G27" s="4">
        <f t="shared" si="3"/>
        <v>-29506924.95804001</v>
      </c>
      <c r="H27" s="4">
        <f t="shared" si="3"/>
        <v>-32162548.204263613</v>
      </c>
      <c r="I27" s="4">
        <f t="shared" si="3"/>
        <v>-35057177.542647339</v>
      </c>
      <c r="J27" s="4">
        <f t="shared" si="3"/>
        <v>-38212323.521485604</v>
      </c>
      <c r="K27" s="4">
        <f t="shared" si="3"/>
        <v>-41651432.638419315</v>
      </c>
      <c r="L27" s="29">
        <f t="shared" si="3"/>
        <v>-45400061.575877056</v>
      </c>
      <c r="M27" s="18"/>
      <c r="N27" s="18"/>
      <c r="O27" s="18"/>
      <c r="P27" s="18"/>
      <c r="Q27" s="18"/>
      <c r="R27" s="8"/>
      <c r="S27" s="8"/>
      <c r="T27" s="8"/>
      <c r="U27" s="8"/>
      <c r="V27" s="8"/>
      <c r="W27" s="8"/>
    </row>
    <row r="28" spans="1:23" x14ac:dyDescent="0.25">
      <c r="A28" s="27" t="s">
        <v>13</v>
      </c>
      <c r="B28" s="2"/>
      <c r="C28" s="4">
        <f>-$E4*$B$8*$B$2</f>
        <v>-1898730</v>
      </c>
      <c r="D28" s="4">
        <f>-$E4*$B$8*($B$3)</f>
        <v>-15189840</v>
      </c>
      <c r="E28" s="4">
        <f t="shared" si="3"/>
        <v>-16556925.600000001</v>
      </c>
      <c r="F28" s="4">
        <f t="shared" si="3"/>
        <v>-18047048.904000003</v>
      </c>
      <c r="G28" s="4">
        <f t="shared" si="3"/>
        <v>-19671283.305360004</v>
      </c>
      <c r="H28" s="4">
        <f t="shared" si="3"/>
        <v>-21441698.802842405</v>
      </c>
      <c r="I28" s="4">
        <f t="shared" si="3"/>
        <v>-23371451.695098221</v>
      </c>
      <c r="J28" s="4">
        <f t="shared" si="3"/>
        <v>-25474882.347657062</v>
      </c>
      <c r="K28" s="4">
        <f t="shared" si="3"/>
        <v>-27767621.758946199</v>
      </c>
      <c r="L28" s="29">
        <f t="shared" si="3"/>
        <v>-30266707.71725136</v>
      </c>
      <c r="M28" s="18"/>
      <c r="N28" s="18"/>
      <c r="O28" s="18"/>
      <c r="P28" s="18"/>
      <c r="Q28" s="18"/>
      <c r="R28" s="11"/>
      <c r="S28" s="11"/>
      <c r="T28" s="11"/>
      <c r="U28" s="11"/>
      <c r="V28" s="11"/>
      <c r="W28" s="11"/>
    </row>
    <row r="29" spans="1:23" x14ac:dyDescent="0.25">
      <c r="A29" s="27" t="s">
        <v>14</v>
      </c>
      <c r="B29" s="2"/>
      <c r="C29" s="4">
        <f>-$E5*$B$8*$B$2</f>
        <v>-1329111</v>
      </c>
      <c r="D29" s="4">
        <f>-$E5*$B$8*($B$3)</f>
        <v>-10632888</v>
      </c>
      <c r="E29" s="4">
        <f t="shared" si="3"/>
        <v>-11589847.92</v>
      </c>
      <c r="F29" s="4">
        <f t="shared" si="3"/>
        <v>-12632934.232800001</v>
      </c>
      <c r="G29" s="4">
        <f t="shared" si="3"/>
        <v>-13769898.313752003</v>
      </c>
      <c r="H29" s="4">
        <f t="shared" si="3"/>
        <v>-15009189.161989685</v>
      </c>
      <c r="I29" s="4">
        <f t="shared" si="3"/>
        <v>-16360016.186568758</v>
      </c>
      <c r="J29" s="4">
        <f t="shared" si="3"/>
        <v>-17832417.643359948</v>
      </c>
      <c r="K29" s="4">
        <f t="shared" si="3"/>
        <v>-19437335.231262345</v>
      </c>
      <c r="L29" s="29">
        <f t="shared" si="3"/>
        <v>-21186695.402075958</v>
      </c>
      <c r="M29" s="18"/>
      <c r="N29" s="18"/>
      <c r="O29" s="18"/>
      <c r="P29" s="18"/>
      <c r="Q29" s="18"/>
    </row>
    <row r="30" spans="1:23" x14ac:dyDescent="0.25">
      <c r="A30" s="27" t="s">
        <v>15</v>
      </c>
      <c r="B30" s="2"/>
      <c r="C30" s="4">
        <f>-$E6*$B$8*$B$2</f>
        <v>-949365</v>
      </c>
      <c r="D30" s="4">
        <f>-$E6*$B$8*($B$3)</f>
        <v>-7594920</v>
      </c>
      <c r="E30" s="4">
        <f t="shared" si="3"/>
        <v>-8278462.8000000007</v>
      </c>
      <c r="F30" s="4">
        <f t="shared" si="3"/>
        <v>-9023524.4520000014</v>
      </c>
      <c r="G30" s="4">
        <f t="shared" si="3"/>
        <v>-9835641.6526800022</v>
      </c>
      <c r="H30" s="4">
        <f t="shared" si="3"/>
        <v>-10720849.401421202</v>
      </c>
      <c r="I30" s="4">
        <f t="shared" si="3"/>
        <v>-11685725.847549111</v>
      </c>
      <c r="J30" s="4">
        <f t="shared" si="3"/>
        <v>-12737441.173828531</v>
      </c>
      <c r="K30" s="4">
        <f t="shared" si="3"/>
        <v>-13883810.879473099</v>
      </c>
      <c r="L30" s="29">
        <f t="shared" si="3"/>
        <v>-15133353.85862568</v>
      </c>
      <c r="M30" s="18"/>
      <c r="N30" s="18"/>
      <c r="O30" s="18"/>
      <c r="P30" s="18"/>
      <c r="Q30" s="18"/>
    </row>
    <row r="31" spans="1:23" x14ac:dyDescent="0.25">
      <c r="A31" s="27" t="s">
        <v>19</v>
      </c>
      <c r="B31" s="2"/>
      <c r="C31" s="4">
        <f>-$E7*$B$8*$B$2</f>
        <v>-949365</v>
      </c>
      <c r="D31" s="4">
        <f>-$E7*$B$8*($B$3)</f>
        <v>-7594920</v>
      </c>
      <c r="E31" s="4">
        <f t="shared" si="3"/>
        <v>-8278462.8000000007</v>
      </c>
      <c r="F31" s="4">
        <f t="shared" si="3"/>
        <v>-9023524.4520000014</v>
      </c>
      <c r="G31" s="4">
        <f t="shared" si="3"/>
        <v>-9835641.6526800022</v>
      </c>
      <c r="H31" s="4">
        <f t="shared" si="3"/>
        <v>-10720849.401421202</v>
      </c>
      <c r="I31" s="4">
        <f t="shared" si="3"/>
        <v>-11685725.847549111</v>
      </c>
      <c r="J31" s="4">
        <f t="shared" si="3"/>
        <v>-12737441.173828531</v>
      </c>
      <c r="K31" s="4">
        <f t="shared" si="3"/>
        <v>-13883810.879473099</v>
      </c>
      <c r="L31" s="29">
        <f t="shared" si="3"/>
        <v>-15133353.85862568</v>
      </c>
      <c r="M31" s="18"/>
      <c r="N31" s="18"/>
      <c r="O31" s="18"/>
      <c r="P31" s="18"/>
      <c r="Q31" s="18"/>
    </row>
    <row r="32" spans="1:23" x14ac:dyDescent="0.25">
      <c r="A32" s="27" t="s">
        <v>16</v>
      </c>
      <c r="B32" s="2"/>
      <c r="C32" s="4">
        <f>-$E8*$B$8*$B$2</f>
        <v>-1329111</v>
      </c>
      <c r="D32" s="4">
        <f>-$E8*$B$8*($B$3)</f>
        <v>-10632888</v>
      </c>
      <c r="E32" s="4">
        <f t="shared" si="3"/>
        <v>-11589847.92</v>
      </c>
      <c r="F32" s="4">
        <f t="shared" si="3"/>
        <v>-12632934.232800001</v>
      </c>
      <c r="G32" s="4">
        <f t="shared" si="3"/>
        <v>-13769898.313752003</v>
      </c>
      <c r="H32" s="4">
        <f t="shared" si="3"/>
        <v>-15009189.161989685</v>
      </c>
      <c r="I32" s="4">
        <f t="shared" si="3"/>
        <v>-16360016.186568758</v>
      </c>
      <c r="J32" s="4">
        <f t="shared" si="3"/>
        <v>-17832417.643359948</v>
      </c>
      <c r="K32" s="4">
        <f t="shared" si="3"/>
        <v>-19437335.231262345</v>
      </c>
      <c r="L32" s="29">
        <f t="shared" si="3"/>
        <v>-21186695.402075958</v>
      </c>
      <c r="M32" s="18"/>
      <c r="N32" s="18"/>
      <c r="O32" s="18"/>
      <c r="P32" s="18"/>
      <c r="Q32" s="18"/>
    </row>
    <row r="33" spans="1:17" x14ac:dyDescent="0.25">
      <c r="A33" s="27" t="s">
        <v>17</v>
      </c>
      <c r="B33" s="2"/>
      <c r="C33" s="4">
        <f>-$E9*$B$8*$B$2</f>
        <v>-759492</v>
      </c>
      <c r="D33" s="4">
        <f>-$E9*$B$8*($B$3)</f>
        <v>-6075936</v>
      </c>
      <c r="E33" s="4">
        <f t="shared" si="3"/>
        <v>-6622770.2400000002</v>
      </c>
      <c r="F33" s="4">
        <f t="shared" si="3"/>
        <v>-7218819.5616000006</v>
      </c>
      <c r="G33" s="4">
        <f t="shared" si="3"/>
        <v>-7868513.3221440008</v>
      </c>
      <c r="H33" s="4">
        <f t="shared" si="3"/>
        <v>-8576679.5211369619</v>
      </c>
      <c r="I33" s="4">
        <f t="shared" si="3"/>
        <v>-9348580.67803929</v>
      </c>
      <c r="J33" s="4">
        <f t="shared" si="3"/>
        <v>-10189952.939062826</v>
      </c>
      <c r="K33" s="4">
        <f t="shared" si="3"/>
        <v>-11107048.703578481</v>
      </c>
      <c r="L33" s="29">
        <f t="shared" si="3"/>
        <v>-12106683.086900545</v>
      </c>
      <c r="M33" s="18"/>
      <c r="N33" s="18"/>
      <c r="O33" s="18"/>
      <c r="P33" s="18"/>
      <c r="Q33" s="18"/>
    </row>
    <row r="34" spans="1:17" x14ac:dyDescent="0.25">
      <c r="A34" s="27" t="s">
        <v>44</v>
      </c>
      <c r="B34" s="2"/>
      <c r="C34" s="22">
        <f>B19</f>
        <v>2000000</v>
      </c>
      <c r="D34" s="22">
        <f>C19</f>
        <v>16000000</v>
      </c>
      <c r="E34" s="2"/>
      <c r="F34" s="2"/>
      <c r="G34" s="2"/>
      <c r="H34" s="2"/>
      <c r="I34" s="2"/>
      <c r="J34" s="2"/>
      <c r="K34" s="2"/>
      <c r="L34" s="26"/>
      <c r="M34" s="16"/>
      <c r="N34" s="16"/>
      <c r="O34" s="16"/>
      <c r="P34" s="16"/>
      <c r="Q34" s="16"/>
    </row>
    <row r="35" spans="1:17" ht="15.75" thickBot="1" x14ac:dyDescent="0.3">
      <c r="A35" s="54" t="s">
        <v>22</v>
      </c>
      <c r="B35" s="55"/>
      <c r="C35" s="56">
        <f>SUM(C26:C34)</f>
        <v>-16607554</v>
      </c>
      <c r="D35" s="56">
        <f>SUM(D26:D34)</f>
        <v>-132860432</v>
      </c>
      <c r="E35" s="56">
        <f>SUM(E26:E33)</f>
        <v>-162257870.88000003</v>
      </c>
      <c r="F35" s="56">
        <f>SUM(F26:F33)</f>
        <v>-176861079.25920001</v>
      </c>
      <c r="G35" s="56">
        <f>SUM(G26:G33)</f>
        <v>-192778576.39252803</v>
      </c>
      <c r="H35" s="56">
        <f>SUM(H26:H33)</f>
        <v>-210128648.26785555</v>
      </c>
      <c r="I35" s="56">
        <f>SUM(I26:I33)</f>
        <v>-229040226.61196262</v>
      </c>
      <c r="J35" s="56">
        <f>SUM(J26:J33)</f>
        <v>-249653847.00703931</v>
      </c>
      <c r="K35" s="56">
        <f>SUM(K26:K33)</f>
        <v>-272122693.23767287</v>
      </c>
      <c r="L35" s="57">
        <f>SUM(L26:L33)</f>
        <v>-296613735.62906337</v>
      </c>
      <c r="M35" s="18"/>
      <c r="N35" s="18"/>
      <c r="O35" s="18"/>
      <c r="P35" s="18"/>
      <c r="Q35" s="18"/>
    </row>
    <row r="36" spans="1:17" x14ac:dyDescent="0.25">
      <c r="A36" s="58" t="s">
        <v>23</v>
      </c>
      <c r="B36" s="59">
        <f>SUM(B24,B35)</f>
        <v>0</v>
      </c>
      <c r="C36" s="59">
        <f>SUM(C24,C35)</f>
        <v>5730446</v>
      </c>
      <c r="D36" s="59">
        <f>SUM(D24,D35)</f>
        <v>45843568</v>
      </c>
      <c r="E36" s="59">
        <f>SUM(E24,E35)</f>
        <v>32529489.119999975</v>
      </c>
      <c r="F36" s="59">
        <f>SUM(F24,F35)</f>
        <v>35457143.140799999</v>
      </c>
      <c r="G36" s="59">
        <f>SUM(G24,G35)</f>
        <v>38648286.023471981</v>
      </c>
      <c r="H36" s="59">
        <f>SUM(H24,H35)</f>
        <v>42126631.765584469</v>
      </c>
      <c r="I36" s="59">
        <f>SUM(I24,I35)</f>
        <v>45918028.624487042</v>
      </c>
      <c r="J36" s="59">
        <f>SUM(J24,J35)</f>
        <v>50050651.200690866</v>
      </c>
      <c r="K36" s="59">
        <f>SUM(K24,K35)</f>
        <v>54555209.808753073</v>
      </c>
      <c r="L36" s="60">
        <f>SUM(L24,L35)</f>
        <v>59465178.691540956</v>
      </c>
      <c r="M36" s="19"/>
      <c r="N36" s="19"/>
      <c r="O36" s="19"/>
      <c r="P36" s="19"/>
      <c r="Q36" s="19"/>
    </row>
    <row r="37" spans="1:17" ht="15.75" thickBot="1" x14ac:dyDescent="0.3">
      <c r="A37" s="61" t="s">
        <v>55</v>
      </c>
      <c r="B37" s="41"/>
      <c r="C37" s="62">
        <f>C36*(1-$B$11)</f>
        <v>4527052.34</v>
      </c>
      <c r="D37" s="62">
        <f t="shared" ref="D37:L37" si="4">D36*(1-$B$11)</f>
        <v>36216418.719999999</v>
      </c>
      <c r="E37" s="62">
        <f t="shared" si="4"/>
        <v>25698296.404799983</v>
      </c>
      <c r="F37" s="62">
        <f t="shared" si="4"/>
        <v>28011143.081232</v>
      </c>
      <c r="G37" s="62">
        <f t="shared" si="4"/>
        <v>30532145.958542865</v>
      </c>
      <c r="H37" s="62">
        <f t="shared" si="4"/>
        <v>33280039.09481173</v>
      </c>
      <c r="I37" s="62">
        <f t="shared" si="4"/>
        <v>36275242.613344766</v>
      </c>
      <c r="J37" s="62">
        <f t="shared" si="4"/>
        <v>39540014.448545784</v>
      </c>
      <c r="K37" s="62">
        <f t="shared" si="4"/>
        <v>43098615.748914927</v>
      </c>
      <c r="L37" s="63">
        <f t="shared" si="4"/>
        <v>46977491.166317359</v>
      </c>
      <c r="M37" s="20"/>
      <c r="N37" s="20"/>
      <c r="O37" s="20"/>
      <c r="P37" s="20"/>
      <c r="Q37" s="20"/>
    </row>
    <row r="38" spans="1:17" ht="15.75" thickBot="1" x14ac:dyDescent="0.3">
      <c r="A38" s="31" t="s">
        <v>25</v>
      </c>
      <c r="B38" s="21">
        <f>SUM(B22,B37)</f>
        <v>-11600000</v>
      </c>
      <c r="C38" s="21">
        <f>SUM(C22,C37)</f>
        <v>-88272947.659999996</v>
      </c>
      <c r="D38" s="21">
        <f>SUM(D22,D37)</f>
        <v>36216418.719999999</v>
      </c>
      <c r="E38" s="21">
        <f>SUM(E22,E37)</f>
        <v>25698296.404799983</v>
      </c>
      <c r="F38" s="21">
        <f>SUM(F22,F37)</f>
        <v>28011143.081232</v>
      </c>
      <c r="G38" s="21">
        <f>SUM(G22,G37)</f>
        <v>30532145.958542865</v>
      </c>
      <c r="H38" s="21">
        <f>SUM(H22,H37)</f>
        <v>33280039.09481173</v>
      </c>
      <c r="I38" s="21">
        <f>SUM(I22,I37)</f>
        <v>36275242.613344766</v>
      </c>
      <c r="J38" s="21">
        <f>SUM(J22,J37)</f>
        <v>39540014.448545784</v>
      </c>
      <c r="K38" s="21">
        <f>SUM(K22,K37)</f>
        <v>43098615.748914927</v>
      </c>
      <c r="L38" s="32">
        <f>SUM(L22,L37)</f>
        <v>46977491.166317359</v>
      </c>
      <c r="M38" s="19"/>
      <c r="N38" s="19"/>
      <c r="O38" s="19"/>
      <c r="P38" s="19"/>
      <c r="Q38" s="19"/>
    </row>
    <row r="42" spans="1:17" x14ac:dyDescent="0.25">
      <c r="A42" t="s">
        <v>58</v>
      </c>
      <c r="C42" s="1"/>
    </row>
    <row r="43" spans="1:17" ht="15.75" thickBot="1" x14ac:dyDescent="0.3"/>
    <row r="44" spans="1:17" ht="15.75" thickBot="1" x14ac:dyDescent="0.3">
      <c r="A44" s="74" t="s">
        <v>54</v>
      </c>
      <c r="B44" s="78">
        <v>150000000</v>
      </c>
    </row>
    <row r="45" spans="1:17" x14ac:dyDescent="0.25">
      <c r="A45" s="72" t="s">
        <v>26</v>
      </c>
      <c r="B45" s="73">
        <f xml:space="preserve"> B38 + NPV(B10,C38:L38)</f>
        <v>27044688.67988079</v>
      </c>
    </row>
    <row r="46" spans="1:17" ht="15.75" thickBot="1" x14ac:dyDescent="0.3">
      <c r="A46" s="33" t="s">
        <v>27</v>
      </c>
      <c r="B46" s="71">
        <f>IRR(B38:L38)</f>
        <v>0.28524109363249628</v>
      </c>
    </row>
    <row r="47" spans="1:17" ht="15.75" thickBot="1" x14ac:dyDescent="0.3">
      <c r="A47" s="74" t="s">
        <v>28</v>
      </c>
      <c r="B47" s="75"/>
    </row>
    <row r="48" spans="1:17" x14ac:dyDescent="0.25">
      <c r="A48" s="72" t="s">
        <v>29</v>
      </c>
      <c r="B48" s="76">
        <f>B7</f>
        <v>2233800</v>
      </c>
    </row>
    <row r="49" spans="1:5" x14ac:dyDescent="0.25">
      <c r="A49" s="12" t="s">
        <v>33</v>
      </c>
      <c r="B49" s="77">
        <v>0.15</v>
      </c>
      <c r="C49" t="s">
        <v>31</v>
      </c>
    </row>
    <row r="50" spans="1:5" x14ac:dyDescent="0.25">
      <c r="A50" s="64" t="s">
        <v>35</v>
      </c>
      <c r="B50" s="65">
        <v>85</v>
      </c>
      <c r="C50" t="s">
        <v>39</v>
      </c>
    </row>
    <row r="51" spans="1:5" x14ac:dyDescent="0.25">
      <c r="A51" s="64" t="s">
        <v>36</v>
      </c>
      <c r="B51" s="26">
        <v>80</v>
      </c>
      <c r="C51" t="s">
        <v>38</v>
      </c>
      <c r="D51" s="8"/>
      <c r="E51" s="8"/>
    </row>
    <row r="52" spans="1:5" x14ac:dyDescent="0.25">
      <c r="A52" s="30" t="s">
        <v>40</v>
      </c>
      <c r="B52" s="66">
        <f>B50*(B51*B4)</f>
        <v>6120</v>
      </c>
      <c r="C52" s="8"/>
      <c r="D52" s="8"/>
      <c r="E52" s="8"/>
    </row>
    <row r="53" spans="1:5" x14ac:dyDescent="0.25">
      <c r="A53" s="30" t="s">
        <v>48</v>
      </c>
      <c r="B53" s="67"/>
      <c r="C53" t="s">
        <v>45</v>
      </c>
      <c r="D53" s="8"/>
      <c r="E53" s="8"/>
    </row>
    <row r="54" spans="1:5" x14ac:dyDescent="0.25">
      <c r="A54" s="12" t="s">
        <v>42</v>
      </c>
      <c r="B54" s="68">
        <v>800000</v>
      </c>
      <c r="C54" s="8"/>
      <c r="D54" s="7"/>
      <c r="E54" s="7"/>
    </row>
    <row r="55" spans="1:5" x14ac:dyDescent="0.25">
      <c r="A55" s="12" t="s">
        <v>43</v>
      </c>
      <c r="B55" s="68">
        <v>75000</v>
      </c>
      <c r="C55" s="10"/>
      <c r="D55" s="10"/>
      <c r="E55" s="10"/>
    </row>
    <row r="56" spans="1:5" x14ac:dyDescent="0.25">
      <c r="A56" s="12" t="s">
        <v>44</v>
      </c>
      <c r="B56" s="68">
        <v>200000</v>
      </c>
      <c r="C56" s="10"/>
    </row>
    <row r="57" spans="1:5" x14ac:dyDescent="0.25">
      <c r="A57" s="12" t="s">
        <v>47</v>
      </c>
      <c r="B57" s="68">
        <v>85000</v>
      </c>
    </row>
    <row r="58" spans="1:5" x14ac:dyDescent="0.25">
      <c r="A58" s="12" t="s">
        <v>49</v>
      </c>
      <c r="B58" s="28">
        <f>SUM(B54:B57)</f>
        <v>1160000</v>
      </c>
    </row>
    <row r="59" spans="1:5" x14ac:dyDescent="0.25">
      <c r="A59" s="12" t="s">
        <v>51</v>
      </c>
      <c r="B59" s="69">
        <f>-SUM(B22:C22)/F38</f>
        <v>3.7270881697773337</v>
      </c>
    </row>
    <row r="60" spans="1:5" ht="15.75" thickBot="1" x14ac:dyDescent="0.3">
      <c r="A60" s="13" t="s">
        <v>52</v>
      </c>
      <c r="B60" s="70">
        <f>SUM(B22:C22)</f>
        <v>-104400000</v>
      </c>
    </row>
  </sheetData>
  <mergeCells count="3">
    <mergeCell ref="A1:B1"/>
    <mergeCell ref="A14:L14"/>
    <mergeCell ref="G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76928-1A50-4495-8885-71FD0E621CAB}">
  <dimension ref="A1:W60"/>
  <sheetViews>
    <sheetView topLeftCell="A3" workbookViewId="0">
      <selection activeCell="B51" sqref="B51"/>
    </sheetView>
  </sheetViews>
  <sheetFormatPr defaultRowHeight="15" x14ac:dyDescent="0.25"/>
  <cols>
    <col min="1" max="1" width="44.5703125" customWidth="1"/>
    <col min="2" max="2" width="14.42578125" bestFit="1" customWidth="1"/>
    <col min="3" max="3" width="33.85546875" customWidth="1"/>
    <col min="4" max="4" width="28.28515625" bestFit="1" customWidth="1"/>
    <col min="5" max="5" width="19.42578125" bestFit="1" customWidth="1"/>
    <col min="6" max="6" width="28" bestFit="1" customWidth="1"/>
    <col min="7" max="7" width="23.42578125" bestFit="1" customWidth="1"/>
    <col min="8" max="12" width="15.28515625" bestFit="1" customWidth="1"/>
    <col min="13" max="19" width="13.42578125" bestFit="1" customWidth="1"/>
  </cols>
  <sheetData>
    <row r="1" spans="1:19" ht="15.75" x14ac:dyDescent="0.25">
      <c r="A1" s="79" t="s">
        <v>0</v>
      </c>
      <c r="B1" s="80"/>
      <c r="D1" s="88" t="s">
        <v>7</v>
      </c>
      <c r="E1" s="89" t="s">
        <v>20</v>
      </c>
      <c r="F1" s="90" t="s">
        <v>34</v>
      </c>
      <c r="G1" s="14" t="s">
        <v>32</v>
      </c>
      <c r="H1" s="14"/>
      <c r="I1" s="14"/>
      <c r="J1" s="14"/>
      <c r="K1" s="14"/>
    </row>
    <row r="2" spans="1:19" x14ac:dyDescent="0.25">
      <c r="A2" s="12" t="s">
        <v>9</v>
      </c>
      <c r="B2" s="81">
        <v>10</v>
      </c>
      <c r="D2" s="12" t="s">
        <v>8</v>
      </c>
      <c r="E2" s="6">
        <v>0.45</v>
      </c>
      <c r="F2" s="91">
        <f>$B$8*E2</f>
        <v>569619</v>
      </c>
    </row>
    <row r="3" spans="1:19" x14ac:dyDescent="0.25">
      <c r="A3" s="12" t="s">
        <v>11</v>
      </c>
      <c r="B3" s="81">
        <v>80</v>
      </c>
      <c r="D3" s="12" t="s">
        <v>12</v>
      </c>
      <c r="E3" s="6">
        <v>0.15</v>
      </c>
      <c r="F3" s="91">
        <f t="shared" ref="F3:F11" si="0">$B$8*E3</f>
        <v>189873</v>
      </c>
    </row>
    <row r="4" spans="1:19" x14ac:dyDescent="0.25">
      <c r="A4" s="12" t="s">
        <v>1</v>
      </c>
      <c r="B4" s="82">
        <v>0.6</v>
      </c>
      <c r="C4" s="1"/>
      <c r="D4" s="12" t="s">
        <v>13</v>
      </c>
      <c r="E4" s="6">
        <v>0.1</v>
      </c>
      <c r="F4" s="91">
        <f t="shared" si="0"/>
        <v>126582</v>
      </c>
    </row>
    <row r="5" spans="1:19" x14ac:dyDescent="0.25">
      <c r="A5" s="12" t="s">
        <v>24</v>
      </c>
      <c r="B5" s="83">
        <f>B52</f>
        <v>4080</v>
      </c>
      <c r="D5" s="12" t="s">
        <v>14</v>
      </c>
      <c r="E5" s="6">
        <v>7.0000000000000007E-2</v>
      </c>
      <c r="F5" s="91">
        <f t="shared" si="0"/>
        <v>88607.400000000009</v>
      </c>
    </row>
    <row r="6" spans="1:19" x14ac:dyDescent="0.25">
      <c r="A6" s="12" t="s">
        <v>2</v>
      </c>
      <c r="B6" s="81">
        <v>365</v>
      </c>
      <c r="D6" s="12" t="s">
        <v>15</v>
      </c>
      <c r="E6" s="6">
        <v>0.05</v>
      </c>
      <c r="F6" s="91">
        <f t="shared" si="0"/>
        <v>63291</v>
      </c>
    </row>
    <row r="7" spans="1:19" x14ac:dyDescent="0.25">
      <c r="A7" s="12" t="s">
        <v>41</v>
      </c>
      <c r="B7" s="84">
        <f>B5*B6</f>
        <v>1489200</v>
      </c>
      <c r="D7" s="12" t="s">
        <v>19</v>
      </c>
      <c r="E7" s="6">
        <v>0.05</v>
      </c>
      <c r="F7" s="91">
        <f t="shared" si="0"/>
        <v>63291</v>
      </c>
    </row>
    <row r="8" spans="1:19" x14ac:dyDescent="0.25">
      <c r="A8" s="12" t="s">
        <v>7</v>
      </c>
      <c r="B8" s="83">
        <f>B7*(1-B49)</f>
        <v>1265820</v>
      </c>
      <c r="D8" s="12" t="s">
        <v>17</v>
      </c>
      <c r="E8" s="6">
        <v>7.0000000000000007E-2</v>
      </c>
      <c r="F8" s="91">
        <f t="shared" si="0"/>
        <v>88607.400000000009</v>
      </c>
    </row>
    <row r="9" spans="1:19" x14ac:dyDescent="0.25">
      <c r="A9" s="12" t="s">
        <v>10</v>
      </c>
      <c r="B9" s="83">
        <f>B58</f>
        <v>1160000</v>
      </c>
      <c r="D9" s="12" t="s">
        <v>16</v>
      </c>
      <c r="E9" s="6">
        <v>0.04</v>
      </c>
      <c r="F9" s="91">
        <f t="shared" si="0"/>
        <v>50632.800000000003</v>
      </c>
    </row>
    <row r="10" spans="1:19" ht="29.25" customHeight="1" x14ac:dyDescent="0.25">
      <c r="A10" s="12" t="s">
        <v>30</v>
      </c>
      <c r="B10" s="85">
        <v>0.2</v>
      </c>
      <c r="D10" s="92" t="s">
        <v>37</v>
      </c>
      <c r="E10" s="15">
        <v>0.02</v>
      </c>
      <c r="F10" s="91">
        <f t="shared" si="0"/>
        <v>25316.400000000001</v>
      </c>
    </row>
    <row r="11" spans="1:19" ht="15.75" thickBot="1" x14ac:dyDescent="0.3">
      <c r="A11" s="64" t="s">
        <v>56</v>
      </c>
      <c r="B11" s="85">
        <v>0.21</v>
      </c>
      <c r="D11" s="13" t="s">
        <v>18</v>
      </c>
      <c r="E11" s="93">
        <f>SUM(E2:E10)</f>
        <v>1.0000000000000002</v>
      </c>
      <c r="F11" s="94">
        <f t="shared" si="0"/>
        <v>1265820.0000000002</v>
      </c>
    </row>
    <row r="12" spans="1:19" ht="16.5" thickBot="1" x14ac:dyDescent="0.3">
      <c r="A12" s="86" t="s">
        <v>57</v>
      </c>
      <c r="B12" s="87">
        <v>0.09</v>
      </c>
      <c r="M12" s="9"/>
      <c r="N12" s="9"/>
      <c r="Q12" s="9"/>
      <c r="R12" s="9"/>
      <c r="S12" s="9"/>
    </row>
    <row r="13" spans="1:19" ht="15.75" thickBot="1" x14ac:dyDescent="0.3">
      <c r="M13" s="7"/>
      <c r="N13" s="7"/>
      <c r="O13" s="7"/>
      <c r="P13" s="7"/>
      <c r="Q13" s="7"/>
    </row>
    <row r="14" spans="1:19" ht="15.75" x14ac:dyDescent="0.25">
      <c r="A14" s="23" t="s">
        <v>3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5"/>
      <c r="M14" s="7"/>
      <c r="N14" s="7"/>
      <c r="O14" s="7"/>
      <c r="P14" s="7"/>
      <c r="Q14" s="7"/>
    </row>
    <row r="15" spans="1:19" ht="15.75" thickBot="1" x14ac:dyDescent="0.3">
      <c r="A15" s="33" t="s">
        <v>4</v>
      </c>
      <c r="B15" s="5">
        <v>0</v>
      </c>
      <c r="C15" s="5">
        <v>1</v>
      </c>
      <c r="D15" s="5">
        <v>2</v>
      </c>
      <c r="E15" s="5">
        <v>3</v>
      </c>
      <c r="F15" s="5">
        <v>4</v>
      </c>
      <c r="G15" s="5">
        <v>5</v>
      </c>
      <c r="H15" s="5">
        <v>6</v>
      </c>
      <c r="I15" s="5">
        <v>7</v>
      </c>
      <c r="J15" s="5">
        <v>8</v>
      </c>
      <c r="K15" s="5">
        <v>9</v>
      </c>
      <c r="L15" s="34">
        <v>10</v>
      </c>
      <c r="M15" s="16"/>
      <c r="N15" s="16"/>
      <c r="O15" s="16"/>
      <c r="P15" s="16"/>
      <c r="Q15" s="16"/>
    </row>
    <row r="16" spans="1:19" x14ac:dyDescent="0.25">
      <c r="A16" s="35" t="s">
        <v>21</v>
      </c>
      <c r="B16" s="36"/>
      <c r="C16" s="37"/>
      <c r="D16" s="37"/>
      <c r="E16" s="37"/>
      <c r="F16" s="37"/>
      <c r="G16" s="37"/>
      <c r="H16" s="37"/>
      <c r="I16" s="37"/>
      <c r="J16" s="37"/>
      <c r="K16" s="37"/>
      <c r="L16" s="38"/>
      <c r="M16" s="16"/>
      <c r="N16" s="16"/>
      <c r="O16" s="16"/>
      <c r="P16" s="16"/>
      <c r="Q16" s="16"/>
    </row>
    <row r="17" spans="1:23" x14ac:dyDescent="0.25">
      <c r="A17" s="12" t="s">
        <v>42</v>
      </c>
      <c r="B17" s="22">
        <f>$B$54*B2</f>
        <v>8000000</v>
      </c>
      <c r="C17" s="22">
        <f>$B$54*B3</f>
        <v>64000000</v>
      </c>
      <c r="D17" s="2"/>
      <c r="E17" s="2"/>
      <c r="F17" s="2"/>
      <c r="G17" s="2"/>
      <c r="H17" s="2"/>
      <c r="I17" s="2"/>
      <c r="J17" s="2"/>
      <c r="K17" s="2"/>
      <c r="L17" s="26"/>
      <c r="M17" s="16"/>
      <c r="N17" s="16"/>
      <c r="O17" s="16"/>
      <c r="P17" s="16"/>
      <c r="Q17" s="16"/>
      <c r="R17" s="1"/>
      <c r="S17" s="1"/>
      <c r="T17" s="1"/>
      <c r="U17" s="1"/>
      <c r="V17" s="1"/>
      <c r="W17" s="1"/>
    </row>
    <row r="18" spans="1:23" x14ac:dyDescent="0.25">
      <c r="A18" s="12" t="s">
        <v>43</v>
      </c>
      <c r="B18" s="22">
        <f>$B$55*B2</f>
        <v>750000</v>
      </c>
      <c r="C18" s="22">
        <f>$B$55*B3</f>
        <v>6000000</v>
      </c>
      <c r="D18" s="2"/>
      <c r="E18" s="2"/>
      <c r="F18" s="2"/>
      <c r="G18" s="2"/>
      <c r="H18" s="2"/>
      <c r="I18" s="2"/>
      <c r="J18" s="2"/>
      <c r="K18" s="2"/>
      <c r="L18" s="26"/>
      <c r="M18" s="16"/>
      <c r="N18" s="16"/>
      <c r="O18" s="16"/>
      <c r="P18" s="16"/>
      <c r="Q18" s="16"/>
      <c r="R18" s="7"/>
      <c r="S18" s="7"/>
      <c r="T18" s="7"/>
      <c r="U18" s="7"/>
      <c r="V18" s="7"/>
      <c r="W18" s="7"/>
    </row>
    <row r="19" spans="1:23" x14ac:dyDescent="0.25">
      <c r="A19" s="12" t="s">
        <v>44</v>
      </c>
      <c r="B19" s="22">
        <f>$B$56*B2</f>
        <v>2000000</v>
      </c>
      <c r="C19" s="22">
        <f>$B$56*B3</f>
        <v>16000000</v>
      </c>
      <c r="D19" s="2"/>
      <c r="E19" s="2"/>
      <c r="F19" s="2"/>
      <c r="G19" s="2"/>
      <c r="H19" s="2"/>
      <c r="I19" s="2"/>
      <c r="J19" s="2"/>
      <c r="K19" s="2"/>
      <c r="L19" s="26"/>
      <c r="M19" s="16"/>
      <c r="N19" s="16"/>
      <c r="O19" s="16"/>
      <c r="P19" s="16"/>
      <c r="Q19" s="16"/>
      <c r="R19" s="8"/>
      <c r="S19" s="8"/>
      <c r="T19" s="8"/>
      <c r="U19" s="8"/>
      <c r="V19" s="8"/>
      <c r="W19" s="8"/>
    </row>
    <row r="20" spans="1:23" x14ac:dyDescent="0.25">
      <c r="A20" s="12" t="s">
        <v>46</v>
      </c>
      <c r="B20" s="22">
        <f>$B$57*B2</f>
        <v>850000</v>
      </c>
      <c r="C20" s="22">
        <f>$B$57*B3</f>
        <v>6800000</v>
      </c>
      <c r="D20" s="2"/>
      <c r="E20" s="2"/>
      <c r="F20" s="2"/>
      <c r="G20" s="2"/>
      <c r="H20" s="2"/>
      <c r="I20" s="2"/>
      <c r="J20" s="2"/>
      <c r="K20" s="2"/>
      <c r="L20" s="26"/>
      <c r="M20" s="16"/>
      <c r="N20" s="16"/>
      <c r="O20" s="16"/>
      <c r="P20" s="16"/>
      <c r="Q20" s="16"/>
      <c r="R20" s="8"/>
      <c r="S20" s="8"/>
      <c r="T20" s="8"/>
      <c r="U20" s="8"/>
      <c r="V20" s="8"/>
      <c r="W20" s="8"/>
    </row>
    <row r="21" spans="1:23" x14ac:dyDescent="0.25">
      <c r="A21" s="12" t="s">
        <v>53</v>
      </c>
      <c r="B21" s="22"/>
      <c r="C21" s="22"/>
      <c r="D21" s="2"/>
      <c r="E21" s="2"/>
      <c r="F21" s="2"/>
      <c r="G21" s="2"/>
      <c r="H21" s="2"/>
      <c r="I21" s="2"/>
      <c r="J21" s="2"/>
      <c r="K21" s="2"/>
      <c r="L21" s="26"/>
      <c r="M21" s="16"/>
      <c r="N21" s="16"/>
      <c r="O21" s="16"/>
      <c r="P21" s="16"/>
      <c r="Q21" s="16"/>
      <c r="R21" s="8"/>
      <c r="S21" s="8"/>
      <c r="T21" s="8"/>
      <c r="U21" s="8"/>
      <c r="V21" s="8"/>
      <c r="W21" s="8"/>
    </row>
    <row r="22" spans="1:23" ht="15.75" thickBot="1" x14ac:dyDescent="0.3">
      <c r="A22" s="39" t="s">
        <v>50</v>
      </c>
      <c r="B22" s="40">
        <f>-SUM(B17:B20)</f>
        <v>-11600000</v>
      </c>
      <c r="C22" s="40">
        <f>-SUM(C17:C21)</f>
        <v>-92800000</v>
      </c>
      <c r="D22" s="41"/>
      <c r="E22" s="41"/>
      <c r="F22" s="41"/>
      <c r="G22" s="41"/>
      <c r="H22" s="41"/>
      <c r="I22" s="41"/>
      <c r="J22" s="41"/>
      <c r="K22" s="41"/>
      <c r="L22" s="42"/>
      <c r="M22" s="16"/>
      <c r="N22" s="16"/>
      <c r="O22" s="16"/>
      <c r="P22" s="16"/>
      <c r="Q22" s="16"/>
      <c r="R22" s="8"/>
      <c r="S22" s="8"/>
      <c r="T22" s="8"/>
      <c r="U22" s="8"/>
      <c r="V22" s="8"/>
      <c r="W22" s="8"/>
    </row>
    <row r="23" spans="1:23" ht="15.75" thickBot="1" x14ac:dyDescent="0.3">
      <c r="A23" s="51" t="s">
        <v>5</v>
      </c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3"/>
      <c r="M23" s="16"/>
      <c r="N23" s="16"/>
      <c r="O23" s="16"/>
      <c r="P23" s="16"/>
      <c r="Q23" s="16"/>
      <c r="R23" s="8"/>
      <c r="S23" s="8"/>
      <c r="T23" s="8"/>
      <c r="U23" s="8"/>
      <c r="V23" s="8"/>
      <c r="W23" s="8"/>
    </row>
    <row r="24" spans="1:23" ht="15.75" thickBot="1" x14ac:dyDescent="0.3">
      <c r="A24" s="43" t="s">
        <v>6</v>
      </c>
      <c r="B24" s="3"/>
      <c r="C24" s="49">
        <f>$B$7*$B$2</f>
        <v>14892000</v>
      </c>
      <c r="D24" s="49">
        <f>$B$7*($B$3)</f>
        <v>119136000</v>
      </c>
      <c r="E24" s="49">
        <f>D24*(1+$B$12)</f>
        <v>129858240.00000001</v>
      </c>
      <c r="F24" s="49">
        <f t="shared" ref="F24:L24" si="1">E24*(1+$B$12)</f>
        <v>141545481.60000002</v>
      </c>
      <c r="G24" s="49">
        <f t="shared" si="1"/>
        <v>154284574.94400004</v>
      </c>
      <c r="H24" s="49">
        <f t="shared" si="1"/>
        <v>168170186.68896005</v>
      </c>
      <c r="I24" s="49">
        <f t="shared" si="1"/>
        <v>183305503.49096647</v>
      </c>
      <c r="J24" s="49">
        <f t="shared" si="1"/>
        <v>199802998.80515346</v>
      </c>
      <c r="K24" s="49">
        <f t="shared" si="1"/>
        <v>217785268.69761729</v>
      </c>
      <c r="L24" s="50">
        <f t="shared" si="1"/>
        <v>237385942.88040286</v>
      </c>
      <c r="M24" s="17"/>
      <c r="N24" s="17"/>
      <c r="O24" s="17"/>
      <c r="P24" s="17"/>
      <c r="Q24" s="17"/>
      <c r="R24" s="8"/>
      <c r="S24" s="8"/>
      <c r="T24" s="8"/>
      <c r="U24" s="8"/>
      <c r="V24" s="8"/>
      <c r="W24" s="8"/>
    </row>
    <row r="25" spans="1:23" ht="15.75" thickBot="1" x14ac:dyDescent="0.3">
      <c r="A25" s="46" t="s">
        <v>7</v>
      </c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8"/>
      <c r="M25" s="16"/>
      <c r="N25" s="16"/>
      <c r="O25" s="16"/>
      <c r="P25" s="16"/>
      <c r="Q25" s="16"/>
      <c r="R25" s="8"/>
      <c r="S25" s="8"/>
      <c r="T25" s="8"/>
      <c r="U25" s="8"/>
      <c r="V25" s="8"/>
      <c r="W25" s="8"/>
    </row>
    <row r="26" spans="1:23" x14ac:dyDescent="0.25">
      <c r="A26" s="43" t="s">
        <v>8</v>
      </c>
      <c r="B26" s="3"/>
      <c r="C26" s="44">
        <f>-$E2*$B$8*$B$2</f>
        <v>-5696190</v>
      </c>
      <c r="D26" s="44">
        <f>-$E2*$B$8*($B$3)</f>
        <v>-45569520</v>
      </c>
      <c r="E26" s="44">
        <f>D26*(1+$B$12)</f>
        <v>-49670776.800000004</v>
      </c>
      <c r="F26" s="44">
        <f t="shared" ref="F26:L26" si="2">E26*(1+$B$12)</f>
        <v>-54141146.712000012</v>
      </c>
      <c r="G26" s="44">
        <f t="shared" si="2"/>
        <v>-59013849.91608002</v>
      </c>
      <c r="H26" s="44">
        <f t="shared" si="2"/>
        <v>-64325096.408527225</v>
      </c>
      <c r="I26" s="44">
        <f t="shared" si="2"/>
        <v>-70114355.085294679</v>
      </c>
      <c r="J26" s="44">
        <f t="shared" si="2"/>
        <v>-76424647.042971209</v>
      </c>
      <c r="K26" s="44">
        <f t="shared" si="2"/>
        <v>-83302865.27683863</v>
      </c>
      <c r="L26" s="45">
        <f t="shared" si="2"/>
        <v>-90800123.151754111</v>
      </c>
      <c r="M26" s="18"/>
      <c r="N26" s="18"/>
      <c r="O26" s="18"/>
      <c r="P26" s="18"/>
      <c r="Q26" s="18"/>
      <c r="R26" s="11"/>
      <c r="S26" s="11"/>
      <c r="T26" s="11"/>
      <c r="U26" s="11"/>
      <c r="V26" s="11"/>
      <c r="W26" s="11"/>
    </row>
    <row r="27" spans="1:23" x14ac:dyDescent="0.25">
      <c r="A27" s="27" t="s">
        <v>12</v>
      </c>
      <c r="B27" s="2"/>
      <c r="C27" s="4">
        <f>-$E3*$B$8*$B$2</f>
        <v>-1898730</v>
      </c>
      <c r="D27" s="4">
        <f>-$E3*$B$8*($B$3)</f>
        <v>-15189840</v>
      </c>
      <c r="E27" s="4">
        <f t="shared" ref="E27:L33" si="3">D27*(1+$B$12)</f>
        <v>-16556925.600000001</v>
      </c>
      <c r="F27" s="4">
        <f t="shared" si="3"/>
        <v>-18047048.904000003</v>
      </c>
      <c r="G27" s="4">
        <f t="shared" si="3"/>
        <v>-19671283.305360004</v>
      </c>
      <c r="H27" s="4">
        <f t="shared" si="3"/>
        <v>-21441698.802842405</v>
      </c>
      <c r="I27" s="4">
        <f t="shared" si="3"/>
        <v>-23371451.695098221</v>
      </c>
      <c r="J27" s="4">
        <f t="shared" si="3"/>
        <v>-25474882.347657062</v>
      </c>
      <c r="K27" s="4">
        <f t="shared" si="3"/>
        <v>-27767621.758946199</v>
      </c>
      <c r="L27" s="29">
        <f t="shared" si="3"/>
        <v>-30266707.71725136</v>
      </c>
      <c r="M27" s="18"/>
      <c r="N27" s="18"/>
      <c r="O27" s="18"/>
      <c r="P27" s="18"/>
      <c r="Q27" s="18"/>
      <c r="R27" s="8"/>
      <c r="S27" s="8"/>
      <c r="T27" s="8"/>
      <c r="U27" s="8"/>
      <c r="V27" s="8"/>
      <c r="W27" s="8"/>
    </row>
    <row r="28" spans="1:23" x14ac:dyDescent="0.25">
      <c r="A28" s="27" t="s">
        <v>13</v>
      </c>
      <c r="B28" s="2"/>
      <c r="C28" s="4">
        <f>-$E4*$B$8*$B$2</f>
        <v>-1265820</v>
      </c>
      <c r="D28" s="4">
        <f>-$E4*$B$8*($B$3)</f>
        <v>-10126560</v>
      </c>
      <c r="E28" s="4">
        <f t="shared" si="3"/>
        <v>-11037950.4</v>
      </c>
      <c r="F28" s="4">
        <f t="shared" si="3"/>
        <v>-12031365.936000001</v>
      </c>
      <c r="G28" s="4">
        <f t="shared" si="3"/>
        <v>-13114188.870240001</v>
      </c>
      <c r="H28" s="4">
        <f t="shared" si="3"/>
        <v>-14294465.868561601</v>
      </c>
      <c r="I28" s="4">
        <f t="shared" si="3"/>
        <v>-15580967.796732146</v>
      </c>
      <c r="J28" s="4">
        <f t="shared" si="3"/>
        <v>-16983254.89843804</v>
      </c>
      <c r="K28" s="4">
        <f t="shared" si="3"/>
        <v>-18511747.839297466</v>
      </c>
      <c r="L28" s="29">
        <f t="shared" si="3"/>
        <v>-20177805.144834239</v>
      </c>
      <c r="M28" s="18"/>
      <c r="N28" s="18"/>
      <c r="O28" s="18"/>
      <c r="P28" s="18"/>
      <c r="Q28" s="18"/>
      <c r="R28" s="11"/>
      <c r="S28" s="11"/>
      <c r="T28" s="11"/>
      <c r="U28" s="11"/>
      <c r="V28" s="11"/>
      <c r="W28" s="11"/>
    </row>
    <row r="29" spans="1:23" x14ac:dyDescent="0.25">
      <c r="A29" s="27" t="s">
        <v>14</v>
      </c>
      <c r="B29" s="2"/>
      <c r="C29" s="4">
        <f>-$E5*$B$8*$B$2</f>
        <v>-886074.00000000012</v>
      </c>
      <c r="D29" s="4">
        <f>-$E5*$B$8*($B$3)</f>
        <v>-7088592.0000000009</v>
      </c>
      <c r="E29" s="4">
        <f t="shared" si="3"/>
        <v>-7726565.2800000012</v>
      </c>
      <c r="F29" s="4">
        <f t="shared" si="3"/>
        <v>-8421956.1552000027</v>
      </c>
      <c r="G29" s="4">
        <f t="shared" si="3"/>
        <v>-9179932.2091680039</v>
      </c>
      <c r="H29" s="4">
        <f t="shared" si="3"/>
        <v>-10006126.107993124</v>
      </c>
      <c r="I29" s="4">
        <f t="shared" si="3"/>
        <v>-10906677.457712507</v>
      </c>
      <c r="J29" s="4">
        <f t="shared" si="3"/>
        <v>-11888278.428906633</v>
      </c>
      <c r="K29" s="4">
        <f t="shared" si="3"/>
        <v>-12958223.48750823</v>
      </c>
      <c r="L29" s="29">
        <f t="shared" si="3"/>
        <v>-14124463.601383971</v>
      </c>
      <c r="M29" s="18"/>
      <c r="N29" s="18"/>
      <c r="O29" s="18"/>
      <c r="P29" s="18"/>
      <c r="Q29" s="18"/>
    </row>
    <row r="30" spans="1:23" x14ac:dyDescent="0.25">
      <c r="A30" s="27" t="s">
        <v>15</v>
      </c>
      <c r="B30" s="2"/>
      <c r="C30" s="4">
        <f>-$E6*$B$8*$B$2</f>
        <v>-632910</v>
      </c>
      <c r="D30" s="4">
        <f>-$E6*$B$8*($B$3)</f>
        <v>-5063280</v>
      </c>
      <c r="E30" s="4">
        <f t="shared" si="3"/>
        <v>-5518975.2000000002</v>
      </c>
      <c r="F30" s="4">
        <f t="shared" si="3"/>
        <v>-6015682.9680000003</v>
      </c>
      <c r="G30" s="4">
        <f t="shared" si="3"/>
        <v>-6557094.4351200005</v>
      </c>
      <c r="H30" s="4">
        <f t="shared" si="3"/>
        <v>-7147232.9342808006</v>
      </c>
      <c r="I30" s="4">
        <f t="shared" si="3"/>
        <v>-7790483.8983660731</v>
      </c>
      <c r="J30" s="4">
        <f t="shared" si="3"/>
        <v>-8491627.4492190201</v>
      </c>
      <c r="K30" s="4">
        <f t="shared" si="3"/>
        <v>-9255873.919648733</v>
      </c>
      <c r="L30" s="29">
        <f t="shared" si="3"/>
        <v>-10088902.57241712</v>
      </c>
      <c r="M30" s="18"/>
      <c r="N30" s="18"/>
      <c r="O30" s="18"/>
      <c r="P30" s="18"/>
      <c r="Q30" s="18"/>
    </row>
    <row r="31" spans="1:23" x14ac:dyDescent="0.25">
      <c r="A31" s="27" t="s">
        <v>19</v>
      </c>
      <c r="B31" s="2"/>
      <c r="C31" s="4">
        <f>-$E7*$B$8*$B$2</f>
        <v>-632910</v>
      </c>
      <c r="D31" s="4">
        <f>-$E7*$B$8*($B$3)</f>
        <v>-5063280</v>
      </c>
      <c r="E31" s="4">
        <f t="shared" si="3"/>
        <v>-5518975.2000000002</v>
      </c>
      <c r="F31" s="4">
        <f t="shared" si="3"/>
        <v>-6015682.9680000003</v>
      </c>
      <c r="G31" s="4">
        <f t="shared" si="3"/>
        <v>-6557094.4351200005</v>
      </c>
      <c r="H31" s="4">
        <f t="shared" si="3"/>
        <v>-7147232.9342808006</v>
      </c>
      <c r="I31" s="4">
        <f t="shared" si="3"/>
        <v>-7790483.8983660731</v>
      </c>
      <c r="J31" s="4">
        <f t="shared" si="3"/>
        <v>-8491627.4492190201</v>
      </c>
      <c r="K31" s="4">
        <f t="shared" si="3"/>
        <v>-9255873.919648733</v>
      </c>
      <c r="L31" s="29">
        <f t="shared" si="3"/>
        <v>-10088902.57241712</v>
      </c>
      <c r="M31" s="18"/>
      <c r="N31" s="18"/>
      <c r="O31" s="18"/>
      <c r="P31" s="18"/>
      <c r="Q31" s="18"/>
    </row>
    <row r="32" spans="1:23" x14ac:dyDescent="0.25">
      <c r="A32" s="27" t="s">
        <v>16</v>
      </c>
      <c r="B32" s="2"/>
      <c r="C32" s="4">
        <f>-$E8*$B$8*$B$2</f>
        <v>-886074.00000000012</v>
      </c>
      <c r="D32" s="4">
        <f>-$E8*$B$8*($B$3)</f>
        <v>-7088592.0000000009</v>
      </c>
      <c r="E32" s="4">
        <f t="shared" si="3"/>
        <v>-7726565.2800000012</v>
      </c>
      <c r="F32" s="4">
        <f t="shared" si="3"/>
        <v>-8421956.1552000027</v>
      </c>
      <c r="G32" s="4">
        <f t="shared" si="3"/>
        <v>-9179932.2091680039</v>
      </c>
      <c r="H32" s="4">
        <f t="shared" si="3"/>
        <v>-10006126.107993124</v>
      </c>
      <c r="I32" s="4">
        <f t="shared" si="3"/>
        <v>-10906677.457712507</v>
      </c>
      <c r="J32" s="4">
        <f t="shared" si="3"/>
        <v>-11888278.428906633</v>
      </c>
      <c r="K32" s="4">
        <f t="shared" si="3"/>
        <v>-12958223.48750823</v>
      </c>
      <c r="L32" s="29">
        <f t="shared" si="3"/>
        <v>-14124463.601383971</v>
      </c>
      <c r="M32" s="18"/>
      <c r="N32" s="18"/>
      <c r="O32" s="18"/>
      <c r="P32" s="18"/>
      <c r="Q32" s="18"/>
    </row>
    <row r="33" spans="1:17" x14ac:dyDescent="0.25">
      <c r="A33" s="27" t="s">
        <v>17</v>
      </c>
      <c r="B33" s="2"/>
      <c r="C33" s="4">
        <f>-$E9*$B$8*$B$2</f>
        <v>-506328</v>
      </c>
      <c r="D33" s="4">
        <f>-$E9*$B$8*($B$3)</f>
        <v>-4050624</v>
      </c>
      <c r="E33" s="4">
        <f t="shared" si="3"/>
        <v>-4415180.16</v>
      </c>
      <c r="F33" s="4">
        <f t="shared" si="3"/>
        <v>-4812546.3744000001</v>
      </c>
      <c r="G33" s="4">
        <f t="shared" si="3"/>
        <v>-5245675.5480960002</v>
      </c>
      <c r="H33" s="4">
        <f t="shared" si="3"/>
        <v>-5717786.3474246403</v>
      </c>
      <c r="I33" s="4">
        <f t="shared" si="3"/>
        <v>-6232387.1186928581</v>
      </c>
      <c r="J33" s="4">
        <f t="shared" si="3"/>
        <v>-6793301.9593752157</v>
      </c>
      <c r="K33" s="4">
        <f t="shared" si="3"/>
        <v>-7404699.1357189855</v>
      </c>
      <c r="L33" s="29">
        <f t="shared" si="3"/>
        <v>-8071122.0579336947</v>
      </c>
      <c r="M33" s="18"/>
      <c r="N33" s="18"/>
      <c r="O33" s="18"/>
      <c r="P33" s="18"/>
      <c r="Q33" s="18"/>
    </row>
    <row r="34" spans="1:17" x14ac:dyDescent="0.25">
      <c r="A34" s="27" t="s">
        <v>44</v>
      </c>
      <c r="B34" s="2"/>
      <c r="C34" s="22">
        <f>B19</f>
        <v>2000000</v>
      </c>
      <c r="D34" s="22">
        <f>C19</f>
        <v>16000000</v>
      </c>
      <c r="E34" s="2"/>
      <c r="F34" s="2"/>
      <c r="G34" s="2"/>
      <c r="H34" s="2"/>
      <c r="I34" s="2"/>
      <c r="J34" s="2"/>
      <c r="K34" s="2"/>
      <c r="L34" s="26"/>
      <c r="M34" s="16"/>
      <c r="N34" s="16"/>
      <c r="O34" s="16"/>
      <c r="P34" s="16"/>
      <c r="Q34" s="16"/>
    </row>
    <row r="35" spans="1:17" ht="15.75" thickBot="1" x14ac:dyDescent="0.3">
      <c r="A35" s="54" t="s">
        <v>22</v>
      </c>
      <c r="B35" s="55"/>
      <c r="C35" s="56">
        <f>SUM(C26:C34)</f>
        <v>-10405036</v>
      </c>
      <c r="D35" s="56">
        <f>SUM(D26:D34)</f>
        <v>-83240288</v>
      </c>
      <c r="E35" s="56">
        <f>SUM(E26:E33)</f>
        <v>-108171913.92000002</v>
      </c>
      <c r="F35" s="56">
        <f>SUM(F26:F33)</f>
        <v>-117907386.17280002</v>
      </c>
      <c r="G35" s="56">
        <f>SUM(G26:G33)</f>
        <v>-128519050.92835203</v>
      </c>
      <c r="H35" s="56">
        <f>SUM(H26:H33)</f>
        <v>-140085765.5119037</v>
      </c>
      <c r="I35" s="56">
        <f>SUM(I26:I33)</f>
        <v>-152693484.40797505</v>
      </c>
      <c r="J35" s="56">
        <f>SUM(J26:J33)</f>
        <v>-166435898.00469282</v>
      </c>
      <c r="K35" s="56">
        <f>SUM(K26:K33)</f>
        <v>-181415128.8251152</v>
      </c>
      <c r="L35" s="57">
        <f>SUM(L26:L33)</f>
        <v>-197742490.4193756</v>
      </c>
      <c r="M35" s="18"/>
      <c r="N35" s="18"/>
      <c r="O35" s="18"/>
      <c r="P35" s="18"/>
      <c r="Q35" s="18"/>
    </row>
    <row r="36" spans="1:17" x14ac:dyDescent="0.25">
      <c r="A36" s="58" t="s">
        <v>23</v>
      </c>
      <c r="B36" s="59">
        <f>SUM(B24,B35)</f>
        <v>0</v>
      </c>
      <c r="C36" s="59">
        <f>SUM(C24,C35)</f>
        <v>4486964</v>
      </c>
      <c r="D36" s="59">
        <f>SUM(D24,D35)</f>
        <v>35895712</v>
      </c>
      <c r="E36" s="59">
        <f>SUM(E24,E35)</f>
        <v>21686326.079999998</v>
      </c>
      <c r="F36" s="59">
        <f>SUM(F24,F35)</f>
        <v>23638095.427200004</v>
      </c>
      <c r="G36" s="59">
        <f>SUM(G24,G35)</f>
        <v>25765524.015648007</v>
      </c>
      <c r="H36" s="59">
        <f>SUM(H24,H35)</f>
        <v>28084421.177056342</v>
      </c>
      <c r="I36" s="59">
        <f>SUM(I24,I35)</f>
        <v>30612019.082991421</v>
      </c>
      <c r="J36" s="59">
        <f>SUM(J24,J35)</f>
        <v>33367100.800460637</v>
      </c>
      <c r="K36" s="59">
        <f>SUM(K24,K35)</f>
        <v>36370139.872502089</v>
      </c>
      <c r="L36" s="60">
        <f>SUM(L24,L35)</f>
        <v>39643452.461027265</v>
      </c>
      <c r="M36" s="19"/>
      <c r="N36" s="19"/>
      <c r="O36" s="19"/>
      <c r="P36" s="19"/>
      <c r="Q36" s="19"/>
    </row>
    <row r="37" spans="1:17" ht="15.75" thickBot="1" x14ac:dyDescent="0.3">
      <c r="A37" s="61" t="s">
        <v>55</v>
      </c>
      <c r="B37" s="41"/>
      <c r="C37" s="62">
        <f>C36*(1-$B$11)</f>
        <v>3544701.56</v>
      </c>
      <c r="D37" s="62">
        <f t="shared" ref="D37:L37" si="4">D36*(1-$B$11)</f>
        <v>28357612.48</v>
      </c>
      <c r="E37" s="62">
        <f t="shared" si="4"/>
        <v>17132197.6032</v>
      </c>
      <c r="F37" s="62">
        <f t="shared" si="4"/>
        <v>18674095.387488004</v>
      </c>
      <c r="G37" s="62">
        <f t="shared" si="4"/>
        <v>20354763.972361926</v>
      </c>
      <c r="H37" s="62">
        <f t="shared" si="4"/>
        <v>22186692.72987451</v>
      </c>
      <c r="I37" s="62">
        <f t="shared" si="4"/>
        <v>24183495.075563222</v>
      </c>
      <c r="J37" s="62">
        <f t="shared" si="4"/>
        <v>26360009.632363904</v>
      </c>
      <c r="K37" s="62">
        <f t="shared" si="4"/>
        <v>28732410.499276653</v>
      </c>
      <c r="L37" s="63">
        <f t="shared" si="4"/>
        <v>31318327.444211539</v>
      </c>
      <c r="M37" s="20"/>
      <c r="N37" s="20"/>
      <c r="O37" s="20"/>
      <c r="P37" s="20"/>
      <c r="Q37" s="20"/>
    </row>
    <row r="38" spans="1:17" ht="15.75" thickBot="1" x14ac:dyDescent="0.3">
      <c r="A38" s="31" t="s">
        <v>25</v>
      </c>
      <c r="B38" s="21">
        <f>SUM(B22,B37)</f>
        <v>-11600000</v>
      </c>
      <c r="C38" s="21">
        <f>SUM(C22,C37)</f>
        <v>-89255298.439999998</v>
      </c>
      <c r="D38" s="21">
        <f>SUM(D22,D37)</f>
        <v>28357612.48</v>
      </c>
      <c r="E38" s="21">
        <f>SUM(E22,E37)</f>
        <v>17132197.6032</v>
      </c>
      <c r="F38" s="21">
        <f>SUM(F22,F37)</f>
        <v>18674095.387488004</v>
      </c>
      <c r="G38" s="21">
        <f>SUM(G22,G37)</f>
        <v>20354763.972361926</v>
      </c>
      <c r="H38" s="21">
        <f>SUM(H22,H37)</f>
        <v>22186692.72987451</v>
      </c>
      <c r="I38" s="21">
        <f>SUM(I22,I37)</f>
        <v>24183495.075563222</v>
      </c>
      <c r="J38" s="21">
        <f>SUM(J22,J37)</f>
        <v>26360009.632363904</v>
      </c>
      <c r="K38" s="21">
        <f>SUM(K22,K37)</f>
        <v>28732410.499276653</v>
      </c>
      <c r="L38" s="32">
        <f>SUM(L22,L37)</f>
        <v>31318327.444211539</v>
      </c>
      <c r="M38" s="19"/>
      <c r="N38" s="19"/>
      <c r="O38" s="19"/>
      <c r="P38" s="19"/>
      <c r="Q38" s="19"/>
    </row>
    <row r="42" spans="1:17" x14ac:dyDescent="0.25">
      <c r="A42" t="s">
        <v>58</v>
      </c>
      <c r="C42" s="1"/>
    </row>
    <row r="43" spans="1:17" ht="15.75" thickBot="1" x14ac:dyDescent="0.3"/>
    <row r="44" spans="1:17" ht="15.75" thickBot="1" x14ac:dyDescent="0.3">
      <c r="A44" s="74" t="s">
        <v>54</v>
      </c>
      <c r="B44" s="78">
        <v>150000000</v>
      </c>
    </row>
    <row r="45" spans="1:17" x14ac:dyDescent="0.25">
      <c r="A45" s="72" t="s">
        <v>26</v>
      </c>
      <c r="B45" s="73">
        <f xml:space="preserve"> B38 + NPV(B10,C38:L38)</f>
        <v>-8249837.1763757225</v>
      </c>
    </row>
    <row r="46" spans="1:17" ht="15.75" thickBot="1" x14ac:dyDescent="0.3">
      <c r="A46" s="33" t="s">
        <v>27</v>
      </c>
      <c r="B46" s="71">
        <f>IRR(B38:L38)</f>
        <v>0.17154289368313336</v>
      </c>
    </row>
    <row r="47" spans="1:17" ht="15.75" thickBot="1" x14ac:dyDescent="0.3">
      <c r="A47" s="74" t="s">
        <v>28</v>
      </c>
      <c r="B47" s="75"/>
    </row>
    <row r="48" spans="1:17" x14ac:dyDescent="0.25">
      <c r="A48" s="72" t="s">
        <v>29</v>
      </c>
      <c r="B48" s="76">
        <f>B7</f>
        <v>1489200</v>
      </c>
    </row>
    <row r="49" spans="1:5" x14ac:dyDescent="0.25">
      <c r="A49" s="12" t="s">
        <v>33</v>
      </c>
      <c r="B49" s="77">
        <v>0.15</v>
      </c>
      <c r="C49" t="s">
        <v>31</v>
      </c>
    </row>
    <row r="50" spans="1:5" x14ac:dyDescent="0.25">
      <c r="A50" s="64" t="s">
        <v>35</v>
      </c>
      <c r="B50" s="65">
        <v>85</v>
      </c>
      <c r="C50" t="s">
        <v>39</v>
      </c>
    </row>
    <row r="51" spans="1:5" x14ac:dyDescent="0.25">
      <c r="A51" s="64" t="s">
        <v>36</v>
      </c>
      <c r="B51" s="26">
        <v>80</v>
      </c>
      <c r="C51" t="s">
        <v>38</v>
      </c>
      <c r="D51" s="8"/>
      <c r="E51" s="8"/>
    </row>
    <row r="52" spans="1:5" x14ac:dyDescent="0.25">
      <c r="A52" s="30" t="s">
        <v>40</v>
      </c>
      <c r="B52" s="66">
        <f>B50*(B51*B4)</f>
        <v>4080</v>
      </c>
      <c r="C52" s="8"/>
      <c r="D52" s="8"/>
      <c r="E52" s="8"/>
    </row>
    <row r="53" spans="1:5" x14ac:dyDescent="0.25">
      <c r="A53" s="30" t="s">
        <v>48</v>
      </c>
      <c r="B53" s="67"/>
      <c r="C53" t="s">
        <v>45</v>
      </c>
      <c r="D53" s="8"/>
      <c r="E53" s="8"/>
    </row>
    <row r="54" spans="1:5" x14ac:dyDescent="0.25">
      <c r="A54" s="12" t="s">
        <v>42</v>
      </c>
      <c r="B54" s="68">
        <v>800000</v>
      </c>
      <c r="C54" s="8"/>
      <c r="D54" s="7"/>
      <c r="E54" s="7"/>
    </row>
    <row r="55" spans="1:5" x14ac:dyDescent="0.25">
      <c r="A55" s="12" t="s">
        <v>43</v>
      </c>
      <c r="B55" s="68">
        <v>75000</v>
      </c>
      <c r="C55" s="10"/>
      <c r="D55" s="10"/>
      <c r="E55" s="10"/>
    </row>
    <row r="56" spans="1:5" x14ac:dyDescent="0.25">
      <c r="A56" s="12" t="s">
        <v>44</v>
      </c>
      <c r="B56" s="68">
        <v>200000</v>
      </c>
      <c r="C56" s="10"/>
    </row>
    <row r="57" spans="1:5" x14ac:dyDescent="0.25">
      <c r="A57" s="12" t="s">
        <v>47</v>
      </c>
      <c r="B57" s="68">
        <v>85000</v>
      </c>
    </row>
    <row r="58" spans="1:5" x14ac:dyDescent="0.25">
      <c r="A58" s="12" t="s">
        <v>49</v>
      </c>
      <c r="B58" s="28">
        <f>SUM(B54:B57)</f>
        <v>1160000</v>
      </c>
    </row>
    <row r="59" spans="1:5" x14ac:dyDescent="0.25">
      <c r="A59" s="12" t="s">
        <v>51</v>
      </c>
      <c r="B59" s="69">
        <f>-SUM(B22:C22)/F38</f>
        <v>5.5906322546659997</v>
      </c>
    </row>
    <row r="60" spans="1:5" ht="15.75" thickBot="1" x14ac:dyDescent="0.3">
      <c r="A60" s="13" t="s">
        <v>52</v>
      </c>
      <c r="B60" s="70">
        <f>SUM(B22:C22)</f>
        <v>-104400000</v>
      </c>
    </row>
  </sheetData>
  <scenarios current="1" show="1">
    <scenario name="Short Project" locked="1" count="2" user="Matis Dameme" comment="Created by Matis Dameme on 4/8/2025_x000a_Modified by Matis Dameme on 4/8/2025">
      <inputCells r="B36" val="-6255470.03129485"/>
      <inputCells r="B37" val="0.175260567944856"/>
    </scenario>
    <scenario name="Long Project" locked="1" count="2" user="Matis Dameme" comment="Created by Matis Dameme on 4/8/2025_x000a_Modified by Matis Dameme on 4/8/2025">
      <inputCells r="B36" val="92414.1680140607"/>
      <inputCells r="B37" val="#NUM!"/>
    </scenario>
  </scenarios>
  <mergeCells count="3">
    <mergeCell ref="A1:B1"/>
    <mergeCell ref="G1:K1"/>
    <mergeCell ref="A14:L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6b066c0-a39d-4b1f-8ec4-2062b193e9a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8700F161A02746B11533630EE8171E" ma:contentTypeVersion="9" ma:contentTypeDescription="Create a new document." ma:contentTypeScope="" ma:versionID="0adc17b3dae6a90f97d7ee2d11bca553">
  <xsd:schema xmlns:xsd="http://www.w3.org/2001/XMLSchema" xmlns:xs="http://www.w3.org/2001/XMLSchema" xmlns:p="http://schemas.microsoft.com/office/2006/metadata/properties" xmlns:ns3="26b066c0-a39d-4b1f-8ec4-2062b193e9a2" xmlns:ns4="89155c36-d563-4071-955a-56c9500bee6e" targetNamespace="http://schemas.microsoft.com/office/2006/metadata/properties" ma:root="true" ma:fieldsID="e0030fe82c131b0780f396d4b3445945" ns3:_="" ns4:_="">
    <xsd:import namespace="26b066c0-a39d-4b1f-8ec4-2062b193e9a2"/>
    <xsd:import namespace="89155c36-d563-4071-955a-56c9500bee6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b066c0-a39d-4b1f-8ec4-2062b193e9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155c36-d563-4071-955a-56c9500bee6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05EDE71-BA7F-4078-A330-23F81B439EDC}">
  <ds:schemaRefs>
    <ds:schemaRef ds:uri="http://www.w3.org/XML/1998/namespace"/>
    <ds:schemaRef ds:uri="http://purl.org/dc/dcmitype/"/>
    <ds:schemaRef ds:uri="http://purl.org/dc/terms/"/>
    <ds:schemaRef ds:uri="http://schemas.openxmlformats.org/package/2006/metadata/core-properties"/>
    <ds:schemaRef ds:uri="89155c36-d563-4071-955a-56c9500bee6e"/>
    <ds:schemaRef ds:uri="http://schemas.microsoft.com/office/2006/documentManagement/types"/>
    <ds:schemaRef ds:uri="26b066c0-a39d-4b1f-8ec4-2062b193e9a2"/>
    <ds:schemaRef ds:uri="http://schemas.microsoft.com/office/infopath/2007/PartnerControls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B1BF9A2-DF4D-4FF7-9777-8342EF889E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D6CEC69-DDC6-43B3-9FA1-4A3B2EB156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b066c0-a39d-4b1f-8ec4-2062b193e9a2"/>
    <ds:schemaRef ds:uri="89155c36-d563-4071-955a-56c9500bee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Most Likely</vt:lpstr>
      <vt:lpstr>Best Case</vt:lpstr>
      <vt:lpstr>Worst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Matis-Antonin Dameme</dc:creator>
  <cp:lastModifiedBy>Matis-Antonin Dameme</cp:lastModifiedBy>
  <dcterms:created xsi:type="dcterms:W3CDTF">2025-04-08T16:44:05Z</dcterms:created>
  <dcterms:modified xsi:type="dcterms:W3CDTF">2025-04-10T16:50:31Z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0x010100A78700F161A02746B11533630EE8171E</vt:lpwstr>
  </property>
</Properties>
</file>