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C:\Users\matis\Downloads\"/>
    </mc:Choice>
  </mc:AlternateContent>
  <xr:revisionPtr revIDLastSave="0" documentId="13_ncr:1_{04F0CE95-ADD7-4F16-ABDE-CB262EE04239}" xr6:coauthVersionLast="47" xr6:coauthVersionMax="47" xr10:uidLastSave="{00000000-0000-0000-0000-000000000000}"/>
  <bookViews>
    <workbookView xWindow="-108" yWindow="-108" windowWidth="23256" windowHeight="12456" firstSheet="2" activeTab="2" xr2:uid="{00000000-000D-0000-FFFF-FFFF00000000}"/>
  </bookViews>
  <sheets>
    <sheet name="Analysis" sheetId="1" state="hidden" r:id="rId1"/>
    <sheet name="Excel Instruction" sheetId="12" r:id="rId2"/>
    <sheet name="SMR (Main)" sheetId="7" r:id="rId3"/>
    <sheet name="Geopolitical Barriers" sheetId="20" r:id="rId4"/>
    <sheet name="Economic Lifetime" sheetId="15" r:id="rId5"/>
    <sheet name="Production Efficiency" sheetId="17" r:id="rId6"/>
    <sheet name="Ecological Impact " sheetId="22" r:id="rId7"/>
    <sheet name="ELECTROLYZER (Main)" sheetId="14" state="hidden" r:id="rId8"/>
    <sheet name="CAPEX" sheetId="10" r:id="rId9"/>
    <sheet name="Safety" sheetId="9" r:id="rId10"/>
    <sheet name="Scalability" sheetId="21" r:id="rId11"/>
    <sheet name="Technology Readiness" sheetId="8" r:id="rId12"/>
    <sheet name="Availability " sheetId="23" r:id="rId13"/>
    <sheet name="Footprint" sheetId="18" r:id="rId14"/>
    <sheet name="Profitability" sheetId="19" r:id="rId15"/>
    <sheet name="Electrolysis Technology" sheetId="2" state="hidden" r:id="rId16"/>
    <sheet name="Sources" sheetId="5" r:id="rId17"/>
    <sheet name="NRT (Old Not use)" sheetId="3" state="hidden" r:id="rId18"/>
    <sheet name="Excel Coupling Beta" sheetId="16" r:id="rId19"/>
  </sheets>
  <definedNames>
    <definedName name="_xlnm._FilterDatabase" localSheetId="6" hidden="1">'Ecological Impact '!$A$2:$I$2</definedName>
    <definedName name="_xlnm._FilterDatabase" localSheetId="5" hidden="1">'Production Efficiency'!$A$2:$L$2</definedName>
    <definedName name="_xlnm._FilterDatabase" localSheetId="2" hidden="1">'SMR (Main)'!$A$2:$AF$64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4" i="7" l="1"/>
  <c r="R5" i="7"/>
  <c r="R6" i="7"/>
  <c r="R7" i="7"/>
  <c r="R8" i="7"/>
  <c r="R9" i="7"/>
  <c r="R10" i="7"/>
  <c r="R11" i="7"/>
  <c r="R12" i="7"/>
  <c r="R13" i="7"/>
  <c r="R14" i="7"/>
  <c r="R15" i="7"/>
  <c r="R16" i="7"/>
  <c r="R17" i="7"/>
  <c r="R18" i="7"/>
  <c r="R19" i="7"/>
  <c r="R20" i="7"/>
  <c r="R21" i="7"/>
  <c r="R22" i="7"/>
  <c r="R23" i="7"/>
  <c r="R24" i="7"/>
  <c r="R25" i="7"/>
  <c r="R26" i="7"/>
  <c r="R27" i="7"/>
  <c r="R28" i="7"/>
  <c r="R29" i="7"/>
  <c r="R30" i="7"/>
  <c r="R31" i="7"/>
  <c r="R32" i="7"/>
  <c r="R33" i="7"/>
  <c r="R34" i="7"/>
  <c r="R35" i="7"/>
  <c r="R36" i="7"/>
  <c r="R37" i="7"/>
  <c r="R38" i="7"/>
  <c r="R39" i="7"/>
  <c r="R40" i="7"/>
  <c r="R41" i="7"/>
  <c r="R42" i="7"/>
  <c r="R43" i="7"/>
  <c r="R44" i="7"/>
  <c r="R45" i="7"/>
  <c r="R46" i="7"/>
  <c r="R47" i="7"/>
  <c r="R48" i="7"/>
  <c r="R49" i="7"/>
  <c r="R50" i="7"/>
  <c r="R51" i="7"/>
  <c r="R52" i="7"/>
  <c r="R53" i="7"/>
  <c r="R54" i="7"/>
  <c r="R55" i="7"/>
  <c r="R56" i="7"/>
  <c r="R57" i="7"/>
  <c r="R58" i="7"/>
  <c r="R59" i="7"/>
  <c r="R60" i="7"/>
  <c r="R61" i="7"/>
  <c r="R62" i="7"/>
  <c r="R63" i="7"/>
  <c r="R64" i="7"/>
  <c r="R65" i="7"/>
  <c r="R3" i="7"/>
  <c r="S13" i="20"/>
  <c r="G13" i="20" s="1"/>
  <c r="G26" i="20"/>
  <c r="G25" i="20"/>
  <c r="G24" i="20"/>
  <c r="G23" i="20"/>
  <c r="G22" i="20"/>
  <c r="G21" i="20"/>
  <c r="G20" i="20"/>
  <c r="G19" i="20"/>
  <c r="G18" i="20"/>
  <c r="G17" i="20"/>
  <c r="G16" i="20"/>
  <c r="G15" i="20"/>
  <c r="G14" i="20"/>
  <c r="G12" i="20"/>
  <c r="G11" i="20"/>
  <c r="G10" i="20"/>
  <c r="G9" i="20"/>
  <c r="G8" i="20"/>
  <c r="G7" i="20"/>
  <c r="G52" i="20" a="1"/>
  <c r="G52" i="20" s="1"/>
  <c r="AB53" i="20"/>
  <c r="B7" i="20"/>
  <c r="G65" i="23"/>
  <c r="F65" i="23"/>
  <c r="F64" i="23"/>
  <c r="G64" i="23" s="1"/>
  <c r="C64" i="23"/>
  <c r="F63" i="23"/>
  <c r="G63" i="23" s="1"/>
  <c r="F62" i="23"/>
  <c r="G62" i="23" s="1"/>
  <c r="G61" i="23"/>
  <c r="F61" i="23"/>
  <c r="G60" i="23"/>
  <c r="F60" i="23"/>
  <c r="G59" i="23"/>
  <c r="F59" i="23"/>
  <c r="G58" i="23"/>
  <c r="F58" i="23"/>
  <c r="F57" i="23"/>
  <c r="G57" i="23" s="1"/>
  <c r="F56" i="23"/>
  <c r="G56" i="23" s="1"/>
  <c r="G55" i="23"/>
  <c r="F55" i="23"/>
  <c r="F54" i="23"/>
  <c r="G54" i="23" s="1"/>
  <c r="G53" i="23"/>
  <c r="F53" i="23"/>
  <c r="G52" i="23"/>
  <c r="F52" i="23"/>
  <c r="F51" i="23"/>
  <c r="G51" i="23" s="1"/>
  <c r="F50" i="23"/>
  <c r="G50" i="23" s="1"/>
  <c r="G49" i="23"/>
  <c r="F49" i="23"/>
  <c r="F48" i="23"/>
  <c r="G48" i="23" s="1"/>
  <c r="G47" i="23"/>
  <c r="F47" i="23"/>
  <c r="G46" i="23"/>
  <c r="F46" i="23"/>
  <c r="F45" i="23"/>
  <c r="G45" i="23" s="1"/>
  <c r="F44" i="23"/>
  <c r="G44" i="23" s="1"/>
  <c r="G43" i="23"/>
  <c r="F43" i="23"/>
  <c r="F42" i="23"/>
  <c r="G42" i="23" s="1"/>
  <c r="G41" i="23"/>
  <c r="F41" i="23"/>
  <c r="G40" i="23"/>
  <c r="F40" i="23"/>
  <c r="E40" i="23"/>
  <c r="F39" i="23"/>
  <c r="G39" i="23" s="1"/>
  <c r="F38" i="23"/>
  <c r="G38" i="23" s="1"/>
  <c r="F37" i="23"/>
  <c r="G37" i="23" s="1"/>
  <c r="F36" i="23"/>
  <c r="G36" i="23" s="1"/>
  <c r="F35" i="23"/>
  <c r="G35" i="23" s="1"/>
  <c r="F34" i="23"/>
  <c r="G34" i="23" s="1"/>
  <c r="F33" i="23"/>
  <c r="G33" i="23" s="1"/>
  <c r="F32" i="23"/>
  <c r="G32" i="23" s="1"/>
  <c r="F31" i="23"/>
  <c r="G31" i="23" s="1"/>
  <c r="F30" i="23"/>
  <c r="G30" i="23" s="1"/>
  <c r="F29" i="23"/>
  <c r="G29" i="23" s="1"/>
  <c r="F28" i="23"/>
  <c r="G28" i="23" s="1"/>
  <c r="F27" i="23"/>
  <c r="G27" i="23" s="1"/>
  <c r="F26" i="23"/>
  <c r="G26" i="23" s="1"/>
  <c r="F25" i="23"/>
  <c r="G25" i="23" s="1"/>
  <c r="E25" i="23"/>
  <c r="G24" i="23"/>
  <c r="F24" i="23"/>
  <c r="G23" i="23"/>
  <c r="F23" i="23"/>
  <c r="F22" i="23"/>
  <c r="G22" i="23" s="1"/>
  <c r="E22" i="23"/>
  <c r="F21" i="23"/>
  <c r="G21" i="23" s="1"/>
  <c r="F20" i="23"/>
  <c r="G20" i="23" s="1"/>
  <c r="F19" i="23"/>
  <c r="G19" i="23" s="1"/>
  <c r="F18" i="23"/>
  <c r="G18" i="23" s="1"/>
  <c r="F17" i="23"/>
  <c r="G17" i="23" s="1"/>
  <c r="F16" i="23"/>
  <c r="G16" i="23" s="1"/>
  <c r="F15" i="23"/>
  <c r="G15" i="23" s="1"/>
  <c r="F14" i="23"/>
  <c r="G14" i="23" s="1"/>
  <c r="E14" i="23"/>
  <c r="G13" i="23"/>
  <c r="F13" i="23"/>
  <c r="E13" i="23"/>
  <c r="D13" i="23"/>
  <c r="F12" i="23"/>
  <c r="G12" i="23" s="1"/>
  <c r="E12" i="23"/>
  <c r="F11" i="23"/>
  <c r="G11" i="23" s="1"/>
  <c r="F10" i="23"/>
  <c r="G10" i="23" s="1"/>
  <c r="F9" i="23"/>
  <c r="G9" i="23" s="1"/>
  <c r="E9" i="23"/>
  <c r="G8" i="23"/>
  <c r="F8" i="23"/>
  <c r="D8" i="23"/>
  <c r="F7" i="23"/>
  <c r="G7" i="23" s="1"/>
  <c r="F6" i="23"/>
  <c r="G6" i="23" s="1"/>
  <c r="F5" i="23"/>
  <c r="G5" i="23" s="1"/>
  <c r="E5" i="23"/>
  <c r="F4" i="23"/>
  <c r="G4" i="23" s="1"/>
  <c r="G3" i="23"/>
  <c r="F3" i="23"/>
  <c r="H3" i="8"/>
  <c r="H4" i="8"/>
  <c r="H5" i="8"/>
  <c r="H6" i="8"/>
  <c r="H7" i="8"/>
  <c r="H8" i="8"/>
  <c r="H9" i="8"/>
  <c r="H10" i="8"/>
  <c r="H11" i="8"/>
  <c r="H12" i="8"/>
  <c r="H13" i="8"/>
  <c r="H14" i="8"/>
  <c r="H15" i="8"/>
  <c r="H16" i="8"/>
  <c r="H17" i="8"/>
  <c r="H18" i="8"/>
  <c r="H19" i="8"/>
  <c r="H20" i="8"/>
  <c r="H21" i="8"/>
  <c r="H22" i="8"/>
  <c r="H23" i="8"/>
  <c r="H24" i="8"/>
  <c r="H25" i="8"/>
  <c r="H26" i="8"/>
  <c r="H27" i="8"/>
  <c r="H28" i="8"/>
  <c r="H29" i="8"/>
  <c r="H30" i="8"/>
  <c r="H31" i="8"/>
  <c r="H32" i="8"/>
  <c r="H33" i="8"/>
  <c r="H34" i="8"/>
  <c r="H35" i="8"/>
  <c r="H36" i="8"/>
  <c r="H37" i="8"/>
  <c r="H38" i="8"/>
  <c r="H39" i="8"/>
  <c r="H40" i="8"/>
  <c r="H41" i="8"/>
  <c r="H42" i="8"/>
  <c r="H43" i="8"/>
  <c r="H44" i="8"/>
  <c r="H45" i="8"/>
  <c r="H46" i="8"/>
  <c r="H47" i="8"/>
  <c r="H48" i="8"/>
  <c r="H49" i="8"/>
  <c r="H50" i="8"/>
  <c r="H51" i="8"/>
  <c r="H52" i="8"/>
  <c r="H53" i="8"/>
  <c r="H54" i="8"/>
  <c r="H55" i="8"/>
  <c r="H56" i="8"/>
  <c r="H57" i="8"/>
  <c r="H58" i="8"/>
  <c r="H59" i="8"/>
  <c r="H60" i="8"/>
  <c r="H61" i="8"/>
  <c r="H62" i="8"/>
  <c r="H63" i="8"/>
  <c r="H64" i="8"/>
  <c r="H2" i="8"/>
  <c r="I1" i="8"/>
  <c r="X11" i="7"/>
  <c r="X51" i="7"/>
  <c r="X62" i="7"/>
  <c r="X45" i="7"/>
  <c r="X20" i="7"/>
  <c r="X8" i="7"/>
  <c r="X46" i="7"/>
  <c r="X61" i="7"/>
  <c r="X50" i="7"/>
  <c r="X42" i="7"/>
  <c r="X64" i="7"/>
  <c r="X25" i="7"/>
  <c r="X58" i="7"/>
  <c r="X47" i="7"/>
  <c r="X30" i="7"/>
  <c r="X41" i="7"/>
  <c r="X9" i="7"/>
  <c r="X39" i="7"/>
  <c r="X27" i="7"/>
  <c r="X29" i="7"/>
  <c r="X14" i="7"/>
  <c r="X40" i="7"/>
  <c r="X10" i="7"/>
  <c r="X55" i="7"/>
  <c r="X56" i="7"/>
  <c r="X23" i="7"/>
  <c r="X34" i="7"/>
  <c r="X60" i="7"/>
  <c r="X28" i="7"/>
  <c r="X18" i="7"/>
  <c r="X36" i="7"/>
  <c r="X48" i="7"/>
  <c r="X19" i="7"/>
  <c r="X59" i="7"/>
  <c r="X15" i="7"/>
  <c r="X17" i="7"/>
  <c r="X26" i="7"/>
  <c r="X43" i="7"/>
  <c r="X52" i="7"/>
  <c r="X38" i="7"/>
  <c r="X35" i="7"/>
  <c r="X63" i="7"/>
  <c r="X6" i="7"/>
  <c r="X3" i="7"/>
  <c r="X37" i="7"/>
  <c r="X7" i="7"/>
  <c r="X32" i="7"/>
  <c r="X57" i="7"/>
  <c r="X49" i="7"/>
  <c r="X65" i="7"/>
  <c r="X5" i="7"/>
  <c r="X21" i="7"/>
  <c r="X16" i="7"/>
  <c r="X54" i="7"/>
  <c r="X33" i="7"/>
  <c r="X13" i="7"/>
  <c r="X44" i="7"/>
  <c r="X53" i="7"/>
  <c r="X31" i="7"/>
  <c r="X12" i="7"/>
  <c r="X24" i="7"/>
  <c r="X22" i="7"/>
  <c r="X4" i="7"/>
  <c r="T11" i="7"/>
  <c r="T51" i="7"/>
  <c r="T62" i="7"/>
  <c r="T45" i="7"/>
  <c r="T20" i="7"/>
  <c r="T8" i="7"/>
  <c r="T46" i="7"/>
  <c r="T61" i="7"/>
  <c r="T50" i="7"/>
  <c r="T42" i="7"/>
  <c r="T64" i="7"/>
  <c r="T25" i="7"/>
  <c r="T58" i="7"/>
  <c r="T47" i="7"/>
  <c r="T30" i="7"/>
  <c r="T41" i="7"/>
  <c r="T9" i="7"/>
  <c r="T39" i="7"/>
  <c r="T27" i="7"/>
  <c r="T29" i="7"/>
  <c r="T14" i="7"/>
  <c r="T40" i="7"/>
  <c r="T10" i="7"/>
  <c r="T55" i="7"/>
  <c r="T56" i="7"/>
  <c r="T23" i="7"/>
  <c r="T34" i="7"/>
  <c r="T60" i="7"/>
  <c r="T28" i="7"/>
  <c r="T18" i="7"/>
  <c r="T36" i="7"/>
  <c r="T48" i="7"/>
  <c r="T19" i="7"/>
  <c r="T59" i="7"/>
  <c r="T15" i="7"/>
  <c r="T17" i="7"/>
  <c r="T26" i="7"/>
  <c r="T43" i="7"/>
  <c r="T52" i="7"/>
  <c r="T38" i="7"/>
  <c r="T35" i="7"/>
  <c r="T63" i="7"/>
  <c r="T6" i="7"/>
  <c r="T3" i="7"/>
  <c r="T37" i="7"/>
  <c r="T7" i="7"/>
  <c r="T32" i="7"/>
  <c r="T57" i="7"/>
  <c r="T49" i="7"/>
  <c r="T65" i="7"/>
  <c r="T5" i="7"/>
  <c r="T21" i="7"/>
  <c r="T16" i="7"/>
  <c r="T54" i="7"/>
  <c r="T33" i="7"/>
  <c r="T13" i="7"/>
  <c r="T44" i="7"/>
  <c r="T53" i="7"/>
  <c r="T31" i="7"/>
  <c r="T12" i="7"/>
  <c r="T24" i="7"/>
  <c r="T22" i="7"/>
  <c r="T4" i="7"/>
  <c r="C4" i="18"/>
  <c r="C5" i="18"/>
  <c r="C7" i="18"/>
  <c r="C10" i="18"/>
  <c r="C11" i="18"/>
  <c r="C20" i="18"/>
  <c r="C23" i="18"/>
  <c r="C27" i="18"/>
  <c r="C38" i="18"/>
  <c r="C39" i="18"/>
  <c r="C40" i="18"/>
  <c r="C42" i="18"/>
  <c r="C43" i="18"/>
  <c r="C45" i="18"/>
  <c r="C46" i="18"/>
  <c r="C52" i="18"/>
  <c r="C53" i="18"/>
  <c r="C57" i="18"/>
  <c r="C60" i="18"/>
  <c r="C64" i="18"/>
  <c r="Z42" i="7"/>
  <c r="Z25" i="7"/>
  <c r="Z58" i="7"/>
  <c r="Z30" i="7"/>
  <c r="Z41" i="7"/>
  <c r="Z27" i="7"/>
  <c r="Z40" i="7"/>
  <c r="Z10" i="7"/>
  <c r="Z34" i="7"/>
  <c r="Z60" i="7"/>
  <c r="Z28" i="7"/>
  <c r="Z36" i="7"/>
  <c r="Z48" i="7"/>
  <c r="Z19" i="7"/>
  <c r="Z59" i="7"/>
  <c r="Z17" i="7"/>
  <c r="Z43" i="7"/>
  <c r="Z35" i="7"/>
  <c r="Z37" i="7"/>
  <c r="Z7" i="7"/>
  <c r="Z32" i="7"/>
  <c r="Z5" i="7"/>
  <c r="Z21" i="7"/>
  <c r="Z16" i="7"/>
  <c r="Z33" i="7"/>
  <c r="Z13" i="7"/>
  <c r="Z53" i="7"/>
  <c r="Z31" i="7"/>
  <c r="Z20" i="7"/>
  <c r="Z8" i="7"/>
  <c r="S21" i="20"/>
  <c r="P21" i="20"/>
  <c r="S11" i="20"/>
  <c r="P11" i="20"/>
  <c r="L8" i="20"/>
  <c r="L9" i="20"/>
  <c r="L10" i="20"/>
  <c r="L11" i="20"/>
  <c r="L12" i="20"/>
  <c r="L13" i="20"/>
  <c r="L14" i="20"/>
  <c r="L15" i="20"/>
  <c r="L16" i="20"/>
  <c r="L17" i="20"/>
  <c r="L18" i="20"/>
  <c r="L19" i="20"/>
  <c r="L20" i="20"/>
  <c r="L21" i="20"/>
  <c r="L22" i="20"/>
  <c r="L23" i="20"/>
  <c r="L24" i="20"/>
  <c r="L25" i="20"/>
  <c r="L26" i="20"/>
  <c r="L7" i="20"/>
  <c r="AB54" i="20"/>
  <c r="AB55" i="20"/>
  <c r="AB56" i="20"/>
  <c r="AB57" i="20"/>
  <c r="AB58" i="20"/>
  <c r="AB59" i="20"/>
  <c r="AB60" i="20"/>
  <c r="AB61" i="20"/>
  <c r="AB62" i="20"/>
  <c r="AB63" i="20"/>
  <c r="AB64" i="20"/>
  <c r="AB65" i="20"/>
  <c r="AB66" i="20"/>
  <c r="AB67" i="20"/>
  <c r="AB68" i="20"/>
  <c r="AB69" i="20"/>
  <c r="AB70" i="20"/>
  <c r="AB71" i="20"/>
  <c r="AB72" i="20"/>
  <c r="B10" i="20"/>
  <c r="B2" i="20"/>
  <c r="B3" i="20"/>
  <c r="B4" i="20"/>
  <c r="B5" i="20"/>
  <c r="B6" i="20"/>
  <c r="B8" i="20"/>
  <c r="B9" i="20"/>
  <c r="B11" i="20"/>
  <c r="B12" i="20"/>
  <c r="B13" i="20"/>
  <c r="B14" i="20"/>
  <c r="B15" i="20"/>
  <c r="B16" i="20"/>
  <c r="B17" i="20"/>
  <c r="B18" i="20"/>
  <c r="B19" i="20"/>
  <c r="B20" i="20"/>
  <c r="B21" i="20"/>
  <c r="B22" i="20"/>
  <c r="B23" i="20"/>
  <c r="B24" i="20"/>
  <c r="B25" i="20"/>
  <c r="B26" i="20"/>
  <c r="B27" i="20"/>
  <c r="B28" i="20"/>
  <c r="B29" i="20"/>
  <c r="B30" i="20"/>
  <c r="B31" i="20"/>
  <c r="B32" i="20"/>
  <c r="B33" i="20"/>
  <c r="B34" i="20"/>
  <c r="B35" i="20"/>
  <c r="B36" i="20"/>
  <c r="B37" i="20"/>
  <c r="B38" i="20"/>
  <c r="B39" i="20"/>
  <c r="B40" i="20"/>
  <c r="B41" i="20"/>
  <c r="B42" i="20"/>
  <c r="B43" i="20"/>
  <c r="B44" i="20"/>
  <c r="B45" i="20"/>
  <c r="B46" i="20"/>
  <c r="B47" i="20"/>
  <c r="B48" i="20"/>
  <c r="B49" i="20"/>
  <c r="B50" i="20"/>
  <c r="B51" i="20"/>
  <c r="B52" i="20"/>
  <c r="B53" i="20"/>
  <c r="B54" i="20"/>
  <c r="B55" i="20"/>
  <c r="B56" i="20"/>
  <c r="B57" i="20"/>
  <c r="B58" i="20"/>
  <c r="B59" i="20"/>
  <c r="B60" i="20"/>
  <c r="B61" i="20"/>
  <c r="B62" i="20"/>
  <c r="B63" i="20"/>
  <c r="B64" i="20"/>
  <c r="B65" i="20"/>
  <c r="B1" i="20"/>
  <c r="A17" i="20"/>
  <c r="A18" i="20"/>
  <c r="A19" i="20"/>
  <c r="A20" i="20"/>
  <c r="A21" i="20"/>
  <c r="A22" i="20"/>
  <c r="A23" i="20"/>
  <c r="A24" i="20"/>
  <c r="A25" i="20"/>
  <c r="A26" i="20"/>
  <c r="A27" i="20"/>
  <c r="A28" i="20"/>
  <c r="A29" i="20"/>
  <c r="A30" i="20"/>
  <c r="A31" i="20"/>
  <c r="A32" i="20"/>
  <c r="A33" i="20"/>
  <c r="A34" i="20"/>
  <c r="A35" i="20"/>
  <c r="A36" i="20"/>
  <c r="A37" i="20"/>
  <c r="A38" i="20"/>
  <c r="A39" i="20"/>
  <c r="A40" i="20"/>
  <c r="A41" i="20"/>
  <c r="A42" i="20"/>
  <c r="A43" i="20"/>
  <c r="A44" i="20"/>
  <c r="A45" i="20"/>
  <c r="A46" i="20"/>
  <c r="A47" i="20"/>
  <c r="A48" i="20"/>
  <c r="A49" i="20"/>
  <c r="A50" i="20"/>
  <c r="A51" i="20"/>
  <c r="A52" i="20"/>
  <c r="A53" i="20"/>
  <c r="A54" i="20"/>
  <c r="A55" i="20"/>
  <c r="A56" i="20"/>
  <c r="A57" i="20"/>
  <c r="A58" i="20"/>
  <c r="A59" i="20"/>
  <c r="A60" i="20"/>
  <c r="A61" i="20"/>
  <c r="A62" i="20"/>
  <c r="A63" i="20"/>
  <c r="A64" i="20"/>
  <c r="A65" i="20"/>
  <c r="A2" i="20"/>
  <c r="A3" i="20"/>
  <c r="A4" i="20"/>
  <c r="A5" i="20"/>
  <c r="A6" i="20"/>
  <c r="A7" i="20"/>
  <c r="A8" i="20"/>
  <c r="A9" i="20"/>
  <c r="A10" i="20"/>
  <c r="A11" i="20"/>
  <c r="A12" i="20"/>
  <c r="A13" i="20"/>
  <c r="A14" i="20"/>
  <c r="A15" i="20"/>
  <c r="A16" i="20"/>
  <c r="A1" i="20"/>
  <c r="E7" i="20" l="1" a="1"/>
  <c r="E7" i="20" s="1"/>
  <c r="C3" i="20" s="1"/>
  <c r="AC4" i="7" s="1"/>
  <c r="AB74" i="20"/>
  <c r="E53" i="20" a="1"/>
  <c r="C12" i="20" l="1"/>
  <c r="AC50" i="7" s="1"/>
  <c r="C7" i="20"/>
  <c r="AC45" i="7" s="1"/>
  <c r="C58" i="20"/>
  <c r="AC33" i="7" s="1"/>
  <c r="C54" i="20"/>
  <c r="AC5" i="7" s="1"/>
  <c r="C26" i="20"/>
  <c r="AC10" i="7" s="1"/>
  <c r="C47" i="20"/>
  <c r="AC3" i="7" s="1"/>
  <c r="C62" i="20"/>
  <c r="AC31" i="7" s="1"/>
  <c r="C28" i="20"/>
  <c r="AC56" i="7" s="1"/>
  <c r="C45" i="20"/>
  <c r="AC63" i="7" s="1"/>
  <c r="C42" i="20"/>
  <c r="AC52" i="7" s="1"/>
  <c r="C38" i="20"/>
  <c r="AC15" i="7" s="1"/>
  <c r="C21" i="20"/>
  <c r="AC39" i="7" s="1"/>
  <c r="C31" i="20"/>
  <c r="AC60" i="7" s="1"/>
  <c r="C33" i="20"/>
  <c r="AC18" i="7" s="1"/>
  <c r="C25" i="20"/>
  <c r="AC40" i="7" s="1"/>
  <c r="C20" i="20"/>
  <c r="AC9" i="7" s="1"/>
  <c r="C14" i="20"/>
  <c r="AC64" i="7" s="1"/>
  <c r="C11" i="20"/>
  <c r="AC61" i="7" s="1"/>
  <c r="C6" i="20"/>
  <c r="AC62" i="7" s="1"/>
  <c r="C56" i="20"/>
  <c r="AC16" i="7" s="1"/>
  <c r="C53" i="20"/>
  <c r="AC65" i="7" s="1"/>
  <c r="C30" i="20"/>
  <c r="AC34" i="7" s="1"/>
  <c r="C48" i="20"/>
  <c r="AC37" i="7" s="1"/>
  <c r="C27" i="20"/>
  <c r="AC55" i="7" s="1"/>
  <c r="C44" i="20"/>
  <c r="AC35" i="7" s="1"/>
  <c r="C41" i="20"/>
  <c r="AC43" i="7" s="1"/>
  <c r="C36" i="20"/>
  <c r="AC19" i="7" s="1"/>
  <c r="C9" i="20"/>
  <c r="AC8" i="7" s="1"/>
  <c r="C29" i="20"/>
  <c r="AC23" i="7" s="1"/>
  <c r="C24" i="20"/>
  <c r="AC14" i="7" s="1"/>
  <c r="C5" i="20"/>
  <c r="AC51" i="7" s="1"/>
  <c r="C22" i="20"/>
  <c r="AC27" i="7" s="1"/>
  <c r="C15" i="20"/>
  <c r="AC25" i="7" s="1"/>
  <c r="C61" i="20"/>
  <c r="AC53" i="7" s="1"/>
  <c r="C10" i="20"/>
  <c r="AC46" i="7" s="1"/>
  <c r="C13" i="20"/>
  <c r="AC42" i="7" s="1"/>
  <c r="C8" i="20"/>
  <c r="AC20" i="7" s="1"/>
  <c r="C32" i="20"/>
  <c r="AC28" i="7" s="1"/>
  <c r="C46" i="20"/>
  <c r="AC6" i="7" s="1"/>
  <c r="C40" i="20"/>
  <c r="AC26" i="7" s="1"/>
  <c r="C63" i="20"/>
  <c r="AC12" i="7" s="1"/>
  <c r="C59" i="20"/>
  <c r="AC13" i="7" s="1"/>
  <c r="C55" i="20"/>
  <c r="AC21" i="7" s="1"/>
  <c r="C51" i="20"/>
  <c r="AC57" i="7" s="1"/>
  <c r="C23" i="20"/>
  <c r="AC29" i="7" s="1"/>
  <c r="C57" i="20"/>
  <c r="AC54" i="7" s="1"/>
  <c r="C49" i="20"/>
  <c r="AC7" i="7" s="1"/>
  <c r="C43" i="20"/>
  <c r="AC38" i="7" s="1"/>
  <c r="C39" i="20"/>
  <c r="AC17" i="7" s="1"/>
  <c r="C35" i="20"/>
  <c r="AC48" i="7" s="1"/>
  <c r="C34" i="20"/>
  <c r="AC36" i="7" s="1"/>
  <c r="C37" i="20"/>
  <c r="AC59" i="7" s="1"/>
  <c r="C50" i="20"/>
  <c r="AC32" i="7" s="1"/>
  <c r="C60" i="20"/>
  <c r="AC44" i="7" s="1"/>
  <c r="C52" i="20"/>
  <c r="AC49" i="7" s="1"/>
  <c r="C64" i="20"/>
  <c r="AC24" i="7" s="1"/>
  <c r="C65" i="20"/>
  <c r="AC22" i="7" s="1"/>
  <c r="C19" i="20"/>
  <c r="AC41" i="7" s="1"/>
  <c r="C18" i="20"/>
  <c r="AC30" i="7" s="1"/>
  <c r="C17" i="20"/>
  <c r="AC47" i="7" s="1"/>
  <c r="C16" i="20"/>
  <c r="AC58" i="7" s="1"/>
  <c r="C4" i="20"/>
  <c r="AC11" i="7" s="1"/>
  <c r="E53" i="20"/>
  <c r="D21" i="19"/>
  <c r="J4" i="19"/>
  <c r="J5" i="19"/>
  <c r="J6" i="19"/>
  <c r="D4" i="19"/>
  <c r="D5" i="19"/>
  <c r="D6" i="19"/>
  <c r="D7" i="19"/>
  <c r="D8" i="19"/>
  <c r="D9" i="19"/>
  <c r="D10" i="19"/>
  <c r="D11" i="19"/>
  <c r="D12" i="19"/>
  <c r="D13" i="19"/>
  <c r="D14" i="19"/>
  <c r="D15" i="19"/>
  <c r="D16" i="19"/>
  <c r="D17" i="19"/>
  <c r="D18" i="19"/>
  <c r="D20" i="19"/>
  <c r="D22" i="19"/>
  <c r="D23" i="19"/>
  <c r="D24" i="19"/>
  <c r="D25" i="19"/>
  <c r="D26" i="19"/>
  <c r="D27" i="19"/>
  <c r="D28" i="19"/>
  <c r="D29" i="19"/>
  <c r="D30" i="19"/>
  <c r="D31" i="19"/>
  <c r="D32" i="19"/>
  <c r="D33" i="19"/>
  <c r="D34" i="19"/>
  <c r="D35" i="19"/>
  <c r="D36" i="19"/>
  <c r="D37" i="19"/>
  <c r="D38" i="19"/>
  <c r="D39" i="19"/>
  <c r="D40" i="19"/>
  <c r="D41" i="19"/>
  <c r="D42" i="19"/>
  <c r="D43" i="19"/>
  <c r="D44" i="19"/>
  <c r="D45" i="19"/>
  <c r="D46" i="19"/>
  <c r="D47" i="19"/>
  <c r="D48" i="19"/>
  <c r="D49" i="19"/>
  <c r="D50" i="19"/>
  <c r="D51" i="19"/>
  <c r="D52" i="19"/>
  <c r="D53" i="19"/>
  <c r="D54" i="19"/>
  <c r="D55" i="19"/>
  <c r="D56" i="19"/>
  <c r="D57" i="19"/>
  <c r="D58" i="19"/>
  <c r="D59" i="19"/>
  <c r="D60" i="19"/>
  <c r="D61" i="19"/>
  <c r="D62" i="19"/>
  <c r="D63" i="19"/>
  <c r="D64" i="19"/>
  <c r="D65" i="19"/>
  <c r="D66" i="19"/>
  <c r="J61" i="19"/>
  <c r="J9" i="19"/>
  <c r="J10" i="19"/>
  <c r="J11" i="19"/>
  <c r="J12" i="19"/>
  <c r="J13" i="19"/>
  <c r="J14" i="19"/>
  <c r="J15" i="19"/>
  <c r="J18" i="19"/>
  <c r="J20" i="19"/>
  <c r="J21" i="19"/>
  <c r="J22" i="19"/>
  <c r="J23" i="19"/>
  <c r="J26" i="19"/>
  <c r="J28" i="19"/>
  <c r="J29" i="19"/>
  <c r="J30" i="19"/>
  <c r="J33" i="19"/>
  <c r="J34" i="19"/>
  <c r="J35" i="19"/>
  <c r="J36" i="19"/>
  <c r="J37" i="19"/>
  <c r="J38" i="19"/>
  <c r="J42" i="19"/>
  <c r="J43" i="19"/>
  <c r="J45" i="19"/>
  <c r="J46" i="19"/>
  <c r="J47" i="19"/>
  <c r="J48" i="19"/>
  <c r="J49" i="19"/>
  <c r="J50" i="19"/>
  <c r="J51" i="19"/>
  <c r="J52" i="19"/>
  <c r="J53" i="19"/>
  <c r="J54" i="19"/>
  <c r="J55" i="19"/>
  <c r="J56" i="19"/>
  <c r="J57" i="19"/>
  <c r="J66" i="19"/>
  <c r="J3" i="19"/>
  <c r="I30" i="19"/>
  <c r="I4" i="19"/>
  <c r="I5" i="19"/>
  <c r="I6" i="19"/>
  <c r="I7" i="19"/>
  <c r="I8" i="19"/>
  <c r="I9" i="19"/>
  <c r="I10" i="19"/>
  <c r="I11" i="19"/>
  <c r="I12" i="19"/>
  <c r="I13" i="19"/>
  <c r="I14" i="19"/>
  <c r="I15" i="19"/>
  <c r="I16" i="19"/>
  <c r="I17" i="19"/>
  <c r="I18" i="19"/>
  <c r="I20" i="19"/>
  <c r="I21" i="19"/>
  <c r="I22" i="19"/>
  <c r="I23" i="19"/>
  <c r="I24" i="19"/>
  <c r="I25" i="19"/>
  <c r="I26" i="19"/>
  <c r="I27" i="19"/>
  <c r="I28" i="19"/>
  <c r="I29" i="19"/>
  <c r="I31" i="19"/>
  <c r="I32" i="19"/>
  <c r="I33" i="19"/>
  <c r="I34" i="19"/>
  <c r="I35" i="19"/>
  <c r="I36" i="19"/>
  <c r="I37" i="19"/>
  <c r="I38" i="19"/>
  <c r="I39" i="19"/>
  <c r="I40" i="19"/>
  <c r="I41" i="19"/>
  <c r="I42" i="19"/>
  <c r="I43" i="19"/>
  <c r="I44" i="19"/>
  <c r="I45" i="19"/>
  <c r="I46" i="19"/>
  <c r="I47" i="19"/>
  <c r="I48" i="19"/>
  <c r="I49" i="19"/>
  <c r="I50" i="19"/>
  <c r="I51" i="19"/>
  <c r="I52" i="19"/>
  <c r="I53" i="19"/>
  <c r="I54" i="19"/>
  <c r="I55" i="19"/>
  <c r="I56" i="19"/>
  <c r="I57" i="19"/>
  <c r="I58" i="19"/>
  <c r="I59" i="19"/>
  <c r="I60" i="19"/>
  <c r="I61" i="19"/>
  <c r="I62" i="19"/>
  <c r="I63" i="19"/>
  <c r="I64" i="19"/>
  <c r="I65" i="19"/>
  <c r="I3" i="19"/>
  <c r="D3" i="19"/>
  <c r="E66" i="19"/>
  <c r="E65" i="19"/>
  <c r="E64" i="19"/>
  <c r="E63" i="19"/>
  <c r="E62" i="19"/>
  <c r="E61" i="19"/>
  <c r="E60" i="19"/>
  <c r="E59" i="19"/>
  <c r="E58" i="19"/>
  <c r="E57" i="19"/>
  <c r="E56" i="19"/>
  <c r="E55" i="19"/>
  <c r="E54" i="19"/>
  <c r="E53" i="19"/>
  <c r="E52" i="19"/>
  <c r="E51" i="19"/>
  <c r="E50" i="19"/>
  <c r="E49" i="19"/>
  <c r="E48" i="19"/>
  <c r="E47" i="19"/>
  <c r="E46" i="19"/>
  <c r="E45" i="19"/>
  <c r="E44" i="19"/>
  <c r="E43" i="19"/>
  <c r="E42" i="19"/>
  <c r="E41" i="19"/>
  <c r="E40" i="19"/>
  <c r="E39" i="19"/>
  <c r="E38" i="19"/>
  <c r="E37" i="19"/>
  <c r="E36" i="19"/>
  <c r="E35" i="19"/>
  <c r="E34" i="19"/>
  <c r="E33" i="19"/>
  <c r="E32" i="19"/>
  <c r="E31" i="19"/>
  <c r="E30" i="19"/>
  <c r="E29" i="19"/>
  <c r="E28" i="19"/>
  <c r="E27" i="19"/>
  <c r="E26" i="19"/>
  <c r="E25" i="19"/>
  <c r="E24" i="19"/>
  <c r="E23" i="19"/>
  <c r="E22" i="19"/>
  <c r="E21" i="19"/>
  <c r="E20" i="19"/>
  <c r="E19" i="19"/>
  <c r="I19" i="19" s="1"/>
  <c r="M21" i="19" s="1"/>
  <c r="E18" i="19"/>
  <c r="E17" i="19"/>
  <c r="E16" i="19"/>
  <c r="E15" i="19"/>
  <c r="E14" i="19"/>
  <c r="E13" i="19"/>
  <c r="E12" i="19"/>
  <c r="E11" i="19"/>
  <c r="E10" i="19"/>
  <c r="E9" i="19"/>
  <c r="E8" i="19"/>
  <c r="E7" i="19"/>
  <c r="E6" i="19"/>
  <c r="E5" i="19"/>
  <c r="E4" i="19"/>
  <c r="E3" i="19"/>
  <c r="C4" i="19"/>
  <c r="C5" i="19"/>
  <c r="C6" i="19"/>
  <c r="C7" i="19"/>
  <c r="C8" i="19"/>
  <c r="C9" i="19"/>
  <c r="C10" i="19"/>
  <c r="C11" i="19"/>
  <c r="C12" i="19"/>
  <c r="C13" i="19"/>
  <c r="C14" i="19"/>
  <c r="C15" i="19"/>
  <c r="C16" i="19"/>
  <c r="C17" i="19"/>
  <c r="C18" i="19"/>
  <c r="C19" i="19"/>
  <c r="D19" i="19" s="1"/>
  <c r="C20" i="19"/>
  <c r="C21" i="19"/>
  <c r="C22" i="19"/>
  <c r="C23" i="19"/>
  <c r="C24" i="19"/>
  <c r="C25" i="19"/>
  <c r="C26" i="19"/>
  <c r="C27" i="19"/>
  <c r="C28" i="19"/>
  <c r="C29" i="19"/>
  <c r="C30" i="19"/>
  <c r="C31" i="19"/>
  <c r="C32" i="19"/>
  <c r="C33" i="19"/>
  <c r="C34" i="19"/>
  <c r="C35" i="19"/>
  <c r="C36" i="19"/>
  <c r="C37" i="19"/>
  <c r="C38" i="19"/>
  <c r="C39" i="19"/>
  <c r="C40" i="19"/>
  <c r="C41" i="19"/>
  <c r="C42" i="19"/>
  <c r="C43" i="19"/>
  <c r="C44" i="19"/>
  <c r="C45" i="19"/>
  <c r="C46" i="19"/>
  <c r="C47" i="19"/>
  <c r="C48" i="19"/>
  <c r="C49" i="19"/>
  <c r="C50" i="19"/>
  <c r="C51" i="19"/>
  <c r="C52" i="19"/>
  <c r="C53" i="19"/>
  <c r="C54" i="19"/>
  <c r="C55" i="19"/>
  <c r="C56" i="19"/>
  <c r="C57" i="19"/>
  <c r="C58" i="19"/>
  <c r="C59" i="19"/>
  <c r="C60" i="19"/>
  <c r="C61" i="19"/>
  <c r="C62" i="19"/>
  <c r="C63" i="19"/>
  <c r="C64" i="19"/>
  <c r="C65" i="19"/>
  <c r="C66" i="19"/>
  <c r="C3" i="19"/>
  <c r="G4" i="19"/>
  <c r="H4" i="19" s="1"/>
  <c r="G5" i="19"/>
  <c r="H5" i="19" s="1"/>
  <c r="G6" i="19"/>
  <c r="H6" i="19" s="1"/>
  <c r="G7" i="19"/>
  <c r="H7" i="19" s="1"/>
  <c r="G8" i="19"/>
  <c r="H8" i="19" s="1"/>
  <c r="G9" i="19"/>
  <c r="H9" i="19" s="1"/>
  <c r="G10" i="19"/>
  <c r="H10" i="19" s="1"/>
  <c r="G11" i="19"/>
  <c r="H11" i="19" s="1"/>
  <c r="G12" i="19"/>
  <c r="H12" i="19" s="1"/>
  <c r="G13" i="19"/>
  <c r="H13" i="19" s="1"/>
  <c r="G14" i="19"/>
  <c r="H14" i="19" s="1"/>
  <c r="G15" i="19"/>
  <c r="H15" i="19" s="1"/>
  <c r="G16" i="19"/>
  <c r="H16" i="19" s="1"/>
  <c r="G17" i="19"/>
  <c r="H17" i="19" s="1"/>
  <c r="G18" i="19"/>
  <c r="H18" i="19" s="1"/>
  <c r="G19" i="19"/>
  <c r="H19" i="19" s="1"/>
  <c r="G20" i="19"/>
  <c r="H20" i="19" s="1"/>
  <c r="G21" i="19"/>
  <c r="H21" i="19" s="1"/>
  <c r="G22" i="19"/>
  <c r="H22" i="19" s="1"/>
  <c r="G23" i="19"/>
  <c r="H23" i="19" s="1"/>
  <c r="G24" i="19"/>
  <c r="H24" i="19" s="1"/>
  <c r="G25" i="19"/>
  <c r="H25" i="19" s="1"/>
  <c r="G26" i="19"/>
  <c r="H26" i="19" s="1"/>
  <c r="G27" i="19"/>
  <c r="H27" i="19" s="1"/>
  <c r="G28" i="19"/>
  <c r="H28" i="19" s="1"/>
  <c r="G29" i="19"/>
  <c r="H29" i="19" s="1"/>
  <c r="G30" i="19"/>
  <c r="H30" i="19" s="1"/>
  <c r="G31" i="19"/>
  <c r="H31" i="19" s="1"/>
  <c r="G32" i="19"/>
  <c r="H32" i="19" s="1"/>
  <c r="G33" i="19"/>
  <c r="H33" i="19" s="1"/>
  <c r="G34" i="19"/>
  <c r="H34" i="19" s="1"/>
  <c r="G35" i="19"/>
  <c r="H35" i="19" s="1"/>
  <c r="G36" i="19"/>
  <c r="H36" i="19" s="1"/>
  <c r="G37" i="19"/>
  <c r="H37" i="19" s="1"/>
  <c r="G38" i="19"/>
  <c r="H38" i="19" s="1"/>
  <c r="G39" i="19"/>
  <c r="H39" i="19" s="1"/>
  <c r="G40" i="19"/>
  <c r="H40" i="19" s="1"/>
  <c r="G41" i="19"/>
  <c r="H41" i="19" s="1"/>
  <c r="G42" i="19"/>
  <c r="H42" i="19" s="1"/>
  <c r="G43" i="19"/>
  <c r="H43" i="19" s="1"/>
  <c r="G44" i="19"/>
  <c r="H44" i="19" s="1"/>
  <c r="G45" i="19"/>
  <c r="H45" i="19" s="1"/>
  <c r="G46" i="19"/>
  <c r="H46" i="19" s="1"/>
  <c r="G47" i="19"/>
  <c r="H47" i="19" s="1"/>
  <c r="G48" i="19"/>
  <c r="H48" i="19" s="1"/>
  <c r="G49" i="19"/>
  <c r="H49" i="19" s="1"/>
  <c r="G50" i="19"/>
  <c r="H50" i="19" s="1"/>
  <c r="G51" i="19"/>
  <c r="H51" i="19" s="1"/>
  <c r="G52" i="19"/>
  <c r="H52" i="19" s="1"/>
  <c r="G53" i="19"/>
  <c r="H53" i="19" s="1"/>
  <c r="G54" i="19"/>
  <c r="H54" i="19" s="1"/>
  <c r="G55" i="19"/>
  <c r="H55" i="19" s="1"/>
  <c r="G56" i="19"/>
  <c r="H56" i="19" s="1"/>
  <c r="G57" i="19"/>
  <c r="H57" i="19" s="1"/>
  <c r="G58" i="19"/>
  <c r="H58" i="19" s="1"/>
  <c r="G59" i="19"/>
  <c r="H59" i="19" s="1"/>
  <c r="G60" i="19"/>
  <c r="H60" i="19" s="1"/>
  <c r="G61" i="19"/>
  <c r="H61" i="19" s="1"/>
  <c r="G62" i="19"/>
  <c r="H62" i="19" s="1"/>
  <c r="G63" i="19"/>
  <c r="H63" i="19" s="1"/>
  <c r="G64" i="19"/>
  <c r="H64" i="19" s="1"/>
  <c r="G65" i="19"/>
  <c r="H65" i="19" s="1"/>
  <c r="I66" i="19"/>
  <c r="G3" i="19"/>
  <c r="H3" i="19" s="1"/>
  <c r="Z11" i="7"/>
  <c r="Z51" i="7"/>
  <c r="Z62" i="7"/>
  <c r="Z46" i="7"/>
  <c r="Z61" i="7"/>
  <c r="Z50" i="7"/>
  <c r="Z64" i="7"/>
  <c r="Z47" i="7"/>
  <c r="Z9" i="7"/>
  <c r="Z39" i="7"/>
  <c r="Z4" i="7"/>
  <c r="Z12" i="7"/>
  <c r="Z24" i="7"/>
  <c r="Z22" i="7"/>
  <c r="Z29" i="7"/>
  <c r="Z14" i="7"/>
  <c r="Z55" i="7"/>
  <c r="Z56" i="7"/>
  <c r="Z23" i="7"/>
  <c r="Z26" i="7"/>
  <c r="Z52" i="7"/>
  <c r="Z38" i="7"/>
  <c r="Z63" i="7"/>
  <c r="Z6" i="7"/>
  <c r="Z3" i="7"/>
  <c r="Z57" i="7"/>
  <c r="Z49" i="7"/>
  <c r="Z65" i="7"/>
  <c r="Z54" i="7"/>
  <c r="Z44" i="7"/>
  <c r="B56" i="18"/>
  <c r="B38" i="18"/>
  <c r="Z15" i="7" s="1"/>
  <c r="B33" i="18"/>
  <c r="Z18" i="7" s="1"/>
  <c r="B7" i="18"/>
  <c r="Z45" i="7" s="1"/>
  <c r="AD11" i="7"/>
  <c r="AD51" i="7"/>
  <c r="AD62" i="7"/>
  <c r="AD45" i="7"/>
  <c r="AD20" i="7"/>
  <c r="AD8" i="7"/>
  <c r="AD46" i="7"/>
  <c r="AD61" i="7"/>
  <c r="AD50" i="7"/>
  <c r="AD42" i="7"/>
  <c r="AD64" i="7"/>
  <c r="AD25" i="7"/>
  <c r="AD58" i="7"/>
  <c r="AD47" i="7"/>
  <c r="AD30" i="7"/>
  <c r="AD41" i="7"/>
  <c r="AD9" i="7"/>
  <c r="AD39" i="7"/>
  <c r="AD27" i="7"/>
  <c r="AD29" i="7"/>
  <c r="AD14" i="7"/>
  <c r="AD40" i="7"/>
  <c r="AD10" i="7"/>
  <c r="AD55" i="7"/>
  <c r="AD56" i="7"/>
  <c r="AD23" i="7"/>
  <c r="AD34" i="7"/>
  <c r="AD60" i="7"/>
  <c r="AD28" i="7"/>
  <c r="AD18" i="7"/>
  <c r="AD36" i="7"/>
  <c r="AD48" i="7"/>
  <c r="AD19" i="7"/>
  <c r="AD59" i="7"/>
  <c r="AD15" i="7"/>
  <c r="AD17" i="7"/>
  <c r="AD26" i="7"/>
  <c r="AD43" i="7"/>
  <c r="AD52" i="7"/>
  <c r="AD38" i="7"/>
  <c r="AD35" i="7"/>
  <c r="AD63" i="7"/>
  <c r="AD6" i="7"/>
  <c r="AD3" i="7"/>
  <c r="AD37" i="7"/>
  <c r="AD7" i="7"/>
  <c r="AD32" i="7"/>
  <c r="AD57" i="7"/>
  <c r="AD49" i="7"/>
  <c r="AD65" i="7"/>
  <c r="AD5" i="7"/>
  <c r="AD21" i="7"/>
  <c r="AD16" i="7"/>
  <c r="AD54" i="7"/>
  <c r="AD33" i="7"/>
  <c r="AD13" i="7"/>
  <c r="AD44" i="7"/>
  <c r="AD53" i="7"/>
  <c r="AD31" i="7"/>
  <c r="AD12" i="7"/>
  <c r="AD24" i="7"/>
  <c r="AD22" i="7"/>
  <c r="AD4" i="7"/>
  <c r="B70" i="15"/>
  <c r="B69" i="15"/>
  <c r="M17" i="19" l="1"/>
  <c r="M26" i="19" s="1"/>
  <c r="F11" i="15"/>
  <c r="F12" i="15"/>
  <c r="F13" i="15"/>
  <c r="F14" i="15"/>
  <c r="F15" i="15"/>
  <c r="F16" i="15"/>
  <c r="F17" i="15"/>
  <c r="F18" i="15"/>
  <c r="F19" i="15"/>
  <c r="F20" i="15"/>
  <c r="F21" i="15"/>
  <c r="F22" i="15"/>
  <c r="F23" i="15"/>
  <c r="F24" i="15"/>
  <c r="F25" i="15"/>
  <c r="F26" i="15"/>
  <c r="F27" i="15"/>
  <c r="F28" i="15"/>
  <c r="F29" i="15"/>
  <c r="F30" i="15"/>
  <c r="F31" i="15"/>
  <c r="F32" i="15"/>
  <c r="F33" i="15"/>
  <c r="F34" i="15"/>
  <c r="F35" i="15"/>
  <c r="F36" i="15"/>
  <c r="F37" i="15"/>
  <c r="F38" i="15"/>
  <c r="F39" i="15"/>
  <c r="F40" i="15"/>
  <c r="F41" i="15"/>
  <c r="F42" i="15"/>
  <c r="F43" i="15"/>
  <c r="F44" i="15"/>
  <c r="F45" i="15"/>
  <c r="F46" i="15"/>
  <c r="F47" i="15"/>
  <c r="F48" i="15"/>
  <c r="F49" i="15"/>
  <c r="F50" i="15"/>
  <c r="F51" i="15"/>
  <c r="F52" i="15"/>
  <c r="F53" i="15"/>
  <c r="F54" i="15"/>
  <c r="F55" i="15"/>
  <c r="F56" i="15"/>
  <c r="F57" i="15"/>
  <c r="F58" i="15"/>
  <c r="F59" i="15"/>
  <c r="F60" i="15"/>
  <c r="F61" i="15"/>
  <c r="F62" i="15"/>
  <c r="F63" i="15"/>
  <c r="F64" i="15"/>
  <c r="F65" i="15"/>
  <c r="F5" i="15"/>
  <c r="F6" i="15"/>
  <c r="F7" i="15"/>
  <c r="F8" i="15"/>
  <c r="F9" i="15"/>
  <c r="F10" i="15"/>
  <c r="F3" i="15"/>
  <c r="F4" i="15"/>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<sst xmlns="http://schemas.openxmlformats.org/spreadsheetml/2006/main" count="4226" uniqueCount="928">
  <si>
    <t>Welcome on the Main Excel for our VTT Group work for the SMR technologies comparison</t>
  </si>
  <si>
    <t>Only the SMR (Main) sheet is planned to be read by the Excel. In this Sheet the technology are sorted and the final values are put in</t>
  </si>
  <si>
    <t xml:space="preserve">In case of calculation need please use another excel sheet. For example Safety calculation grade will be done on another excel sheet and the values will be liked to the main sheet </t>
  </si>
  <si>
    <t>You can add some rows freely in the main Excel</t>
  </si>
  <si>
    <r>
      <rPr>
        <sz val="11"/>
        <color rgb="FFFF0000"/>
        <rFont val="Aptos Narrow"/>
        <family val="2"/>
        <scheme val="minor"/>
      </rPr>
      <t xml:space="preserve">If you add some columns please inform everyone working on the script </t>
    </r>
    <r>
      <rPr>
        <sz val="11"/>
        <color theme="1"/>
        <rFont val="Aptos Narrow"/>
        <family val="2"/>
        <scheme val="minor"/>
      </rPr>
      <t>(Rule starting from 11.10)</t>
    </r>
  </si>
  <si>
    <r>
      <t>We have a lot of data so please simplify the writing, for numerical Data only numerical values allowed,</t>
    </r>
    <r>
      <rPr>
        <sz val="11"/>
        <color rgb="FFFF0000"/>
        <rFont val="Aptos Narrow"/>
        <family val="2"/>
        <scheme val="minor"/>
      </rPr>
      <t xml:space="preserve"> interpretation and rewriting is needed for those cases</t>
    </r>
    <r>
      <rPr>
        <sz val="11"/>
        <color theme="1"/>
        <rFont val="Aptos Narrow"/>
        <family val="2"/>
        <scheme val="minor"/>
      </rPr>
      <t>:</t>
    </r>
  </si>
  <si>
    <r>
      <t xml:space="preserve">If you add new Data please </t>
    </r>
    <r>
      <rPr>
        <sz val="11"/>
        <color rgb="FFFF0000"/>
        <rFont val="Aptos Narrow"/>
        <family val="2"/>
        <scheme val="minor"/>
      </rPr>
      <t>add the source in the source Sheet</t>
    </r>
    <r>
      <rPr>
        <sz val="11"/>
        <color theme="1"/>
        <rFont val="Aptos Narrow"/>
        <family val="2"/>
        <scheme val="minor"/>
      </rPr>
      <t xml:space="preserve"> so we can track our Data </t>
    </r>
  </si>
  <si>
    <t>Project Name</t>
  </si>
  <si>
    <t>Technology</t>
  </si>
  <si>
    <t>Reactor Type</t>
  </si>
  <si>
    <t>Short Description</t>
  </si>
  <si>
    <t>Country</t>
  </si>
  <si>
    <t>Status</t>
  </si>
  <si>
    <t>Production Start</t>
  </si>
  <si>
    <t>Coolant</t>
  </si>
  <si>
    <t>Fuel</t>
  </si>
  <si>
    <t>Fuel cycle</t>
  </si>
  <si>
    <t>Electricity Power Output</t>
  </si>
  <si>
    <t>Thermal Output</t>
  </si>
  <si>
    <t>Operating Pressure</t>
  </si>
  <si>
    <t>Core inlet</t>
  </si>
  <si>
    <t>Outlet Coolant</t>
  </si>
  <si>
    <t>Thermal efficiency</t>
  </si>
  <si>
    <t>Design life</t>
  </si>
  <si>
    <t>Capex</t>
  </si>
  <si>
    <t>Safety</t>
  </si>
  <si>
    <t>Rentability</t>
  </si>
  <si>
    <t>Opex</t>
  </si>
  <si>
    <t>Ecological impact</t>
  </si>
  <si>
    <t>Startup time</t>
  </si>
  <si>
    <t>Scalability</t>
  </si>
  <si>
    <t>Availability (h/year)</t>
  </si>
  <si>
    <t>Plant Area/Footprint</t>
  </si>
  <si>
    <t>Technology readiness</t>
  </si>
  <si>
    <t>Connection flexibility</t>
  </si>
  <si>
    <t>Geopolitical barriers</t>
  </si>
  <si>
    <t>Economic lifetime</t>
  </si>
  <si>
    <t>Production efficiency</t>
  </si>
  <si>
    <t>Waste and decomissioning</t>
  </si>
  <si>
    <t>Units</t>
  </si>
  <si>
    <t>MW</t>
  </si>
  <si>
    <t>(MW(t))</t>
  </si>
  <si>
    <t>Mpa</t>
  </si>
  <si>
    <t>°C</t>
  </si>
  <si>
    <t>%</t>
  </si>
  <si>
    <t>years</t>
  </si>
  <si>
    <t>/10</t>
  </si>
  <si>
    <t xml:space="preserve">4S </t>
  </si>
  <si>
    <t>Liquid Metal cooled</t>
  </si>
  <si>
    <t>LMFR (pool type)</t>
  </si>
  <si>
    <t xml:space="preserve">Core lifetime of ~30 years without on-site refuelling, passive walkaway safety </t>
  </si>
  <si>
    <t>Japan</t>
  </si>
  <si>
    <t xml:space="preserve">Detailed Design </t>
  </si>
  <si>
    <t>?</t>
  </si>
  <si>
    <t>Sodium</t>
  </si>
  <si>
    <t>Uranium</t>
  </si>
  <si>
    <t>ACP100</t>
  </si>
  <si>
    <t>Water Cooled SMR</t>
  </si>
  <si>
    <t>Integral PWR</t>
  </si>
  <si>
    <t>Integrated reactor with tube-in-tube once through steam generator, nuclear island underground</t>
  </si>
  <si>
    <t>China</t>
  </si>
  <si>
    <t>Under Construction</t>
  </si>
  <si>
    <t>2026 (commercial)</t>
  </si>
  <si>
    <t>Light Water</t>
  </si>
  <si>
    <t>AHTR-100</t>
  </si>
  <si>
    <t>High Temp Gas cooled SMR</t>
  </si>
  <si>
    <t>HTGR (pebble bed)</t>
  </si>
  <si>
    <t>A multipurpose reactor for cogenerations of electricity, heat and hydrogen; high-temperature heat supply to oil refinery plant</t>
  </si>
  <si>
    <t>South Africa</t>
  </si>
  <si>
    <t>Conceptual Design Completed</t>
  </si>
  <si>
    <t>2019 (Hold due to Funding)</t>
  </si>
  <si>
    <t>Helium/Graphite</t>
  </si>
  <si>
    <t xml:space="preserve">ARC-100 </t>
  </si>
  <si>
    <t xml:space="preserve">Inherent safety with passive, diverse and redundant decay heat removal. Core lifetime of 20 years without refueling. </t>
  </si>
  <si>
    <t>Canada</t>
  </si>
  <si>
    <t xml:space="preserve">Preliminary Design </t>
  </si>
  <si>
    <t>2029 (License to Operate First Unit)</t>
  </si>
  <si>
    <t xml:space="preserve">BREST-OD-300 </t>
  </si>
  <si>
    <t>High level of inherent safety due to natural properties of the lead, fuel, core and cooling design</t>
  </si>
  <si>
    <t>Russia</t>
  </si>
  <si>
    <t xml:space="preserve">Under Construction </t>
  </si>
  <si>
    <t xml:space="preserve">2026 (Start operation of pilot plant) </t>
  </si>
  <si>
    <t>Lead</t>
  </si>
  <si>
    <t>BWRX-300</t>
  </si>
  <si>
    <t>BWR</t>
  </si>
  <si>
    <t>Natural circulation BWR, integral RPV isolation valves, isolation condenser</t>
  </si>
  <si>
    <t>USA &amp; Japan</t>
  </si>
  <si>
    <t>Detailed Design</t>
  </si>
  <si>
    <t>2028 (Commercial)</t>
  </si>
  <si>
    <t>CANDU SMR</t>
  </si>
  <si>
    <t>PHWR</t>
  </si>
  <si>
    <t>Natural Uranium fuel (no enrichment); high degree of localization</t>
  </si>
  <si>
    <t>Conceptual Design</t>
  </si>
  <si>
    <t>2028 (In service)</t>
  </si>
  <si>
    <t>Heavy Water (D2O)</t>
  </si>
  <si>
    <t>CAP200</t>
  </si>
  <si>
    <t>PWR</t>
  </si>
  <si>
    <t>Compact layout; Passive safety; Underground containmen</t>
  </si>
  <si>
    <t>Basic Design</t>
  </si>
  <si>
    <t>2022 (Basic Design Started)</t>
  </si>
  <si>
    <t>CAREM</t>
  </si>
  <si>
    <t>Core heat removal by natural circulation, pressure suppression containment</t>
  </si>
  <si>
    <t>Argentina</t>
  </si>
  <si>
    <t>2026 (first criticality)</t>
  </si>
  <si>
    <t xml:space="preserve">CMSR </t>
  </si>
  <si>
    <t>Molten Salt SMR</t>
  </si>
  <si>
    <t xml:space="preserve"> MSR </t>
  </si>
  <si>
    <t>CMSR integrated into a floating non- self-propelled Power Barge; new CMSR units installed after 12 years. CMSR Power Barge operates for 24 years. Moduar Nature provides output from 200-800 MWe Liquid fuel which is the primary coolant, and a liquid moderator.</t>
  </si>
  <si>
    <t>Denmark</t>
  </si>
  <si>
    <t xml:space="preserve"> Conceptual Design </t>
  </si>
  <si>
    <t>2028 (1srt barge delivery)</t>
  </si>
  <si>
    <t xml:space="preserve">Fluoride fuel salt / NaOH salt (patented moderator) </t>
  </si>
  <si>
    <t xml:space="preserve">Copenhagen Atomics Waste Burner </t>
  </si>
  <si>
    <t xml:space="preserve">MSR </t>
  </si>
  <si>
    <t>Liquid moderator, Low fissile inventory, and Potential for breeding</t>
  </si>
  <si>
    <t xml:space="preserve">2028 (test of commercial 100 MW reactor) </t>
  </si>
  <si>
    <t xml:space="preserve">Fuel salt/heavy water </t>
  </si>
  <si>
    <t>DHR400</t>
  </si>
  <si>
    <t>PWR (pool type)</t>
  </si>
  <si>
    <t>Inherent safety features / Economical / Heat load tracking capability</t>
  </si>
  <si>
    <t>2023 (Commercial Operation)</t>
  </si>
  <si>
    <t>EM^2</t>
  </si>
  <si>
    <t>GFR</t>
  </si>
  <si>
    <t>No core meltdown, no active engineered safety systems</t>
  </si>
  <si>
    <t>USA</t>
  </si>
  <si>
    <t>Phase 3 (Proto Dev)</t>
  </si>
  <si>
    <t>Helium</t>
  </si>
  <si>
    <t>FMR</t>
  </si>
  <si>
    <t>Convert-and-burn/Silicon carbide composite cladding/ Fission gas collection</t>
  </si>
  <si>
    <t>2035 (Commercialization)</t>
  </si>
  <si>
    <t xml:space="preserve">FUJI </t>
  </si>
  <si>
    <t xml:space="preserve"> Self-sustaining at FUJI-U3. Spent fuel salt is reprocessed at off-site facility.</t>
  </si>
  <si>
    <t xml:space="preserve"> Preliminary Design Completed </t>
  </si>
  <si>
    <t>? Recent</t>
  </si>
  <si>
    <t xml:space="preserve">Molten fluoride/graphite </t>
  </si>
  <si>
    <t>GTHTR300</t>
  </si>
  <si>
    <t>HTGR (prismatic)</t>
  </si>
  <si>
    <t>Compact, low-weight design; simplicity of manufacturing, flexibility of operation; intrinsic passive safet</t>
  </si>
  <si>
    <t>2040 (Operation &amp; Demo)</t>
  </si>
  <si>
    <t>GT-MHR</t>
  </si>
  <si>
    <t>Multiple applications of power generation, cogeneration of hydrogen, process heat, steelmaking, desalination, district heating</t>
  </si>
  <si>
    <t>Preliminary Design Completed</t>
  </si>
  <si>
    <t>Since 2014 (Use for basis of MHR-T)</t>
  </si>
  <si>
    <t>HAPPY200</t>
  </si>
  <si>
    <t>Pool-loop combined type reactor, heat generator</t>
  </si>
  <si>
    <t>2027 (Commissioning &amp; commercial)</t>
  </si>
  <si>
    <t>HTMR100</t>
  </si>
  <si>
    <t>Inherent safety characteristics; no core melt; high efficiency; small number of safety systems Design status Preliminary desi</t>
  </si>
  <si>
    <t>2022 (Basic design started)</t>
  </si>
  <si>
    <t>HTR-10</t>
  </si>
  <si>
    <t>Inherent safety, no need for offsite emergency measures</t>
  </si>
  <si>
    <t>Operable</t>
  </si>
  <si>
    <t>2018 (Restart, test temp distribution)</t>
  </si>
  <si>
    <t>HTR-PM</t>
  </si>
  <si>
    <t>In operation</t>
  </si>
  <si>
    <t>HTTR</t>
  </si>
  <si>
    <t>To verify and demonstrate the technical and safety features; and to establish an experimental base for process heat applications</t>
  </si>
  <si>
    <t>2021 (Operation started)</t>
  </si>
  <si>
    <t>IMR</t>
  </si>
  <si>
    <t>Integral PWR with natural circulation; employs two types of in-vessel steam generator</t>
  </si>
  <si>
    <t>2019 (Development)</t>
  </si>
  <si>
    <t xml:space="preserve">IMSR400 </t>
  </si>
  <si>
    <t>Core-unit replaced completely as a single unit every 7 years; Fuel salt is reused from one Core-unit to the next</t>
  </si>
  <si>
    <t xml:space="preserve"> Detailed Design </t>
  </si>
  <si>
    <t>2031 (planned in service)</t>
  </si>
  <si>
    <t xml:space="preserve">Fluoride Fuel Salt/graphite </t>
  </si>
  <si>
    <t>i-SMR</t>
  </si>
  <si>
    <t>At least 72 hours for core cooling without AC/DC power</t>
  </si>
  <si>
    <t>Rep. of Korea</t>
  </si>
  <si>
    <t>2028 (Design Approval)</t>
  </si>
  <si>
    <t>Jimmy</t>
  </si>
  <si>
    <t>hardened silos</t>
  </si>
  <si>
    <t>France</t>
  </si>
  <si>
    <t>2026 (Fuel Loading &amp; Test)</t>
  </si>
  <si>
    <t>KARAT-100</t>
  </si>
  <si>
    <t>Multi-purpose reactor: cogeneration of electricity and heat</t>
  </si>
  <si>
    <t>T0+11 (First Start)</t>
  </si>
  <si>
    <t>KARAT-45</t>
  </si>
  <si>
    <t>Designed for extreme arctic and northern area conditions</t>
  </si>
  <si>
    <t xml:space="preserve">KP-FHR </t>
  </si>
  <si>
    <t xml:space="preserve"> FHR </t>
  </si>
  <si>
    <t>longer than 72-hours coping time for core cooling without AC/DC power or operation action</t>
  </si>
  <si>
    <t>2022 (ETU commissioning)</t>
  </si>
  <si>
    <t xml:space="preserve">Li2BeF4 / graphite </t>
  </si>
  <si>
    <t xml:space="preserve">LFR-AS-200 </t>
  </si>
  <si>
    <t>Active + passive walkaway safety; No intermediate loops; Simple, compact primary system: ≤ 1 m3/MWe; Compact reactor building.</t>
  </si>
  <si>
    <t>Italy</t>
  </si>
  <si>
    <t xml:space="preserve">Conceptual Design </t>
  </si>
  <si>
    <t xml:space="preserve">LFTR </t>
  </si>
  <si>
    <t xml:space="preserve"> Complete consumption of thorium resource for energy generation  </t>
  </si>
  <si>
    <t>LiF-BeF2-UF4 fuel salt / Graphite</t>
  </si>
  <si>
    <t xml:space="preserve">MCSFR </t>
  </si>
  <si>
    <t xml:space="preserve">MSR (fast spectrum) </t>
  </si>
  <si>
    <t>Fast spectrum, no in-core structure, 60 years fuel life</t>
  </si>
  <si>
    <t xml:space="preserve">2030 (Licensing/building commercially) </t>
  </si>
  <si>
    <t>NaCl-XClv-YClz-UCl3/4-PuCl3-FPClx fuel salt / None</t>
  </si>
  <si>
    <t>MHR-100</t>
  </si>
  <si>
    <t>HTGR</t>
  </si>
  <si>
    <t>Multi-module HTGR dedicated to hydrogen production / high temperature process heat application.</t>
  </si>
  <si>
    <t>2020 (Basis for non elec nuclear)</t>
  </si>
  <si>
    <t>MHR-T</t>
  </si>
  <si>
    <t>Inherent safety characteristics; no core melt; high temperature process heat capabilities; small number of safety systems</t>
  </si>
  <si>
    <t>2020 (Dev of basic Design sol)</t>
  </si>
  <si>
    <t xml:space="preserve">MicroURANUS </t>
  </si>
  <si>
    <t xml:space="preserve">LBE-cooled Reactor </t>
  </si>
  <si>
    <t xml:space="preserve">Ex-vessel emergency water cooling system </t>
  </si>
  <si>
    <t>2030 (construction permit for prototype reactor)</t>
  </si>
  <si>
    <t>Pb-Bi (45-55% Wt.%) eutectic alloy</t>
  </si>
  <si>
    <t xml:space="preserve">Mk1 PB-FHR </t>
  </si>
  <si>
    <t>FHR</t>
  </si>
  <si>
    <t xml:space="preserve">Large fuel and coolant thermal margin, high temperature operation </t>
  </si>
  <si>
    <t xml:space="preserve"> Pre-Conceptual Design </t>
  </si>
  <si>
    <t>? 2018 (demo)</t>
  </si>
  <si>
    <t>mPower</t>
  </si>
  <si>
    <t>In-vessel control rod drives mechanism</t>
  </si>
  <si>
    <t>NHR200-II</t>
  </si>
  <si>
    <t>Natural Circulation, Passive Safety</t>
  </si>
  <si>
    <t>2022 (Demo Project)</t>
  </si>
  <si>
    <t>NUWARD</t>
  </si>
  <si>
    <t>Integrated NSSS with pool submerged containment, boron-free in normal operation and in all Design Basis Conditions (DBC), semi-buried nuclear island</t>
  </si>
  <si>
    <t>2030 (First Concrete)</t>
  </si>
  <si>
    <t>OPEN20</t>
  </si>
  <si>
    <t>Fully-modular construction, underground nuclear island, digital controls, closed tertiary loop using air cooling</t>
  </si>
  <si>
    <t>2027 (Assembly line start)</t>
  </si>
  <si>
    <t>PBMR-400</t>
  </si>
  <si>
    <t>Inherent safety characteristics; no core melt; high efficiency; small number of safety systems</t>
  </si>
  <si>
    <t>2018 (Project in care &amp; maintancê</t>
  </si>
  <si>
    <t>PeLUIt / RDE</t>
  </si>
  <si>
    <t>Coated particle fuel; passive decay heat removal; passive safety; high temperature process steam; vented reactor building; 400m EPZ (emergency planning zone); underground construction; modular construction; available in a range of stationary (s) and mobile (m) power levels: 315(s), 180(s), 54(s), 10(s) and 7m (MWth)</t>
  </si>
  <si>
    <t>Indonesia</t>
  </si>
  <si>
    <t>2022 (Concept Design for hydrogen)</t>
  </si>
  <si>
    <t>RITM-200N</t>
  </si>
  <si>
    <t>Modular design; integral reactor; in-vessel corium retention in severe accidents</t>
  </si>
  <si>
    <t>Detailed Design Completed</t>
  </si>
  <si>
    <t>2027 (First Electricity)</t>
  </si>
  <si>
    <t>Water</t>
  </si>
  <si>
    <t>RR SMR</t>
  </si>
  <si>
    <t>Modular approach facilitating rapid and cost-effective build.</t>
  </si>
  <si>
    <t>UK</t>
  </si>
  <si>
    <t>2030 (Commercial Operation)</t>
  </si>
  <si>
    <t>RUTA-70</t>
  </si>
  <si>
    <t>Design capable for radioisotopes production for medical, neutron beams for neutron therapy and industrial purposes</t>
  </si>
  <si>
    <t>2003 (Tech &amp; econ assesment)</t>
  </si>
  <si>
    <t>SC-HTGR</t>
  </si>
  <si>
    <t>Online refuelling, core cannot melt and fuel damage minimized by design, independent radionuclide barriers, potential for advanced fuel cycles</t>
  </si>
  <si>
    <t>Preliminary Design</t>
  </si>
  <si>
    <t>2033 (Commercial Operation)</t>
  </si>
  <si>
    <t xml:space="preserve">SEALER-55 </t>
  </si>
  <si>
    <t xml:space="preserve">LMFR </t>
  </si>
  <si>
    <t xml:space="preserve">Nuclear battery </t>
  </si>
  <si>
    <t>Sweden</t>
  </si>
  <si>
    <t>2030 (operation of nuclear demonstration unit)</t>
  </si>
  <si>
    <t>SMART</t>
  </si>
  <si>
    <t>Coupling with desalination and process heat application, integrated primary system</t>
  </si>
  <si>
    <t>Rep. of Korea &amp; Saudi Arabia</t>
  </si>
  <si>
    <t>2020 (Design Approval)</t>
  </si>
  <si>
    <t>SMR-160</t>
  </si>
  <si>
    <t>Passive safety cooling systems and active non-safety systems; critical components below grade. Integrated dry spent fuel storage and transportation system</t>
  </si>
  <si>
    <t>2023 (Commercial)</t>
  </si>
  <si>
    <t xml:space="preserve">smTMSR-400 </t>
  </si>
  <si>
    <t>Replaceable Reactor module (~10 years); Passive safety Near 40% power contributed by thorium</t>
  </si>
  <si>
    <t xml:space="preserve">&gt; 2028 (construction start) </t>
  </si>
  <si>
    <t xml:space="preserve"> LiF-BeF2-ZrF4-ThF4-UF4 fuel salt / Graphite</t>
  </si>
  <si>
    <t xml:space="preserve">SSR-U </t>
  </si>
  <si>
    <t xml:space="preserve">FHR </t>
  </si>
  <si>
    <t xml:space="preserve">Low pressure molten salt reactor system; ~20 years fuel cycle; ~700°C heat output; Thermal </t>
  </si>
  <si>
    <t xml:space="preserve"> Basic Design </t>
  </si>
  <si>
    <t>? 2023 (preliminary report completed)</t>
  </si>
  <si>
    <t xml:space="preserve">Molten eutectic fluoride coolant salt / solid commercial grade graphite moderator </t>
  </si>
  <si>
    <t xml:space="preserve">SSR-W </t>
  </si>
  <si>
    <t xml:space="preserve"> MSR (static fuelled) </t>
  </si>
  <si>
    <t xml:space="preserve">Molten salt fuel in conventional fuel Assemblies. Thermal energy storage. </t>
  </si>
  <si>
    <t>? 2021 (phase 1 ompleted)</t>
  </si>
  <si>
    <t xml:space="preserve"> Coolant is molten salt MgCl/NaCl  No moderator</t>
  </si>
  <si>
    <t>STAR</t>
  </si>
  <si>
    <t>LWR (pressure tube)</t>
  </si>
  <si>
    <t>Compact, low-weight design without a pressure vessel; flexibility of operation; intrinsic passive safety</t>
  </si>
  <si>
    <t>Switzerland</t>
  </si>
  <si>
    <t>2027 (Pilot Unit)</t>
  </si>
  <si>
    <t>Starcore</t>
  </si>
  <si>
    <t>3 blocks in design + RPV 30 Metres below grade in</t>
  </si>
  <si>
    <t>Pre-Conceptual design</t>
  </si>
  <si>
    <t>2026 (Deployment/start of construction)</t>
  </si>
  <si>
    <t xml:space="preserve">SVBR </t>
  </si>
  <si>
    <t>Integral monoblock primary circuit where reactor, steam generators, pumps are installed in one vessel</t>
  </si>
  <si>
    <t>2032 (Serial production and supply of packaged equipment)</t>
  </si>
  <si>
    <t xml:space="preserve">Lead-bismuth eutectic alloy </t>
  </si>
  <si>
    <t>TEPLATOR</t>
  </si>
  <si>
    <t>HWR</t>
  </si>
  <si>
    <t>District heating zero CO2 source with zero fuel cost, heatstorage for decay heat removal.</t>
  </si>
  <si>
    <t>Czech Rep.</t>
  </si>
  <si>
    <t>2028+ (First Unit)</t>
  </si>
  <si>
    <t xml:space="preserve">ThorCon </t>
  </si>
  <si>
    <t xml:space="preserve">Full passive safety, short construction time, low cost </t>
  </si>
  <si>
    <t>USA and Indonesia</t>
  </si>
  <si>
    <t>2028 (commercial construction start)</t>
  </si>
  <si>
    <t xml:space="preserve">Molten salts / graphite </t>
  </si>
  <si>
    <t xml:space="preserve">THORIZON </t>
  </si>
  <si>
    <t>Nuclear safe core material replacement strategy, with external core module series production, continuous improvement by module updates, and fuel cycle flexibility</t>
  </si>
  <si>
    <t>Netherlands</t>
  </si>
  <si>
    <t>2035 (initial operation)</t>
  </si>
  <si>
    <t>Molten salt/graphite (no salt-graphite contact)</t>
  </si>
  <si>
    <t>VK-300</t>
  </si>
  <si>
    <t>Innovative passive BWR based on operating prototype and welldeveloped equipment</t>
  </si>
  <si>
    <t>2013 (Design Validation)</t>
  </si>
  <si>
    <t>VOYGR</t>
  </si>
  <si>
    <t>Unlimited time for core cooling without AC or DC power, or water addition, or operator action</t>
  </si>
  <si>
    <t>Equipment Manifacturing</t>
  </si>
  <si>
    <t>2029 (Commercial)</t>
  </si>
  <si>
    <t xml:space="preserve">Westinghouse LFR </t>
  </si>
  <si>
    <t>Safety demonstration test</t>
  </si>
  <si>
    <t>Beyond 2030s (liscensed and deployed)</t>
  </si>
  <si>
    <t xml:space="preserve">Lead / fast spectrum </t>
  </si>
  <si>
    <t>Westinghouse SMR</t>
  </si>
  <si>
    <t>Incorporates passive safety systems and proven components of the AP1000 plant and earlier Westinghouse designs</t>
  </si>
  <si>
    <t>2015 (Conceptual Design Complete)</t>
  </si>
  <si>
    <t>Xe-100</t>
  </si>
  <si>
    <t>Silicon carbide composite cladding</t>
  </si>
  <si>
    <t>2025 (Start of Construction)</t>
  </si>
  <si>
    <t>Final Mark</t>
  </si>
  <si>
    <t xml:space="preserve">Previous activity in Nuclear 
Plant Import/Export </t>
  </si>
  <si>
    <t>Worldwide Political 
Stability Indicator  (-2.5 to +2.5)</t>
  </si>
  <si>
    <t>Global Peace 
Index</t>
  </si>
  <si>
    <t>OECD Members or
 close partners (2-0)</t>
  </si>
  <si>
    <t xml:space="preserve">RCEP Trade 
agreement </t>
  </si>
  <si>
    <t>EAR Sanctions</t>
  </si>
  <si>
    <t>Already
 Exporter</t>
  </si>
  <si>
    <t xml:space="preserve">Grading </t>
  </si>
  <si>
    <t>NP1</t>
  </si>
  <si>
    <t>NP2</t>
  </si>
  <si>
    <t>Rep. Of Korea</t>
  </si>
  <si>
    <t>Sum</t>
  </si>
  <si>
    <t xml:space="preserve">For Sum &gt;7 =&gt;Grade =5
For Sum 6-7 =&gt;Grade =4
For Sum 5 -4=&gt; Grade =3
For Sum 3-2 =&gt; Grade=2
For Sum 1 =&gt; Grade =1
</t>
  </si>
  <si>
    <t>Max</t>
  </si>
  <si>
    <t>USAJApan</t>
  </si>
  <si>
    <t>USA &amp; Indonesia</t>
  </si>
  <si>
    <t>Se-100</t>
  </si>
  <si>
    <t>Grade</t>
  </si>
  <si>
    <t xml:space="preserve">the expected lifetime duration has been defined as the time over which a hydrogen production plant can operate effectively and profitably, considering factors like maintenance costs, operational efficiency, and revenue generation.
It encompasses the total period during which the reactor remains economically viable, allowing for a return on investment.
This Criteria as defined is difficult to grade because most of the project are still in conception phase. No economical lifetime can be calculated because it depends on a lot of different factors like the installation country, the costs of materials, the cost of fuels, the OPEX costs, the hydrogen cost... 
The estimates we can make for projects starting decades from now, with lifetimes of up to 80 years, are virtually impossible. Since many economic criteria such as CAPEX or OPEX are already considered in the multi-criteria analysis, the focus will be set on the design lifetime of the projects and technologies.
The different companies can estimate the lifetime of their project regarding the technical end-of-life limits, especially for materials (C Stoiber, 2010).
The projected design lifetime transmitted from the companies to the IEA are used to define a grade. The maximal lifetime for all the SMR projects is 80 years. We will take this as a reference to calculate the grades of all the projects (80 years is 10/10).
The missing data for some projects have been handled by taking the average lifetime value of the technology group. </t>
  </si>
  <si>
    <t>Min</t>
  </si>
  <si>
    <t>Thermal Efficiency</t>
  </si>
  <si>
    <t>Value Production Efficiency (Thermal)</t>
  </si>
  <si>
    <t>Production Efficiency ALK</t>
  </si>
  <si>
    <t>Value ALK</t>
  </si>
  <si>
    <t>Production Efficiency PEM</t>
  </si>
  <si>
    <t>Value PEM</t>
  </si>
  <si>
    <t>Production Efficiency SOEC</t>
  </si>
  <si>
    <t>Value SOEC</t>
  </si>
  <si>
    <t>MWe</t>
  </si>
  <si>
    <t>MWt</t>
  </si>
  <si>
    <t>0,0%</t>
  </si>
  <si>
    <t> </t>
  </si>
  <si>
    <t>2,5</t>
  </si>
  <si>
    <t>25,0%</t>
  </si>
  <si>
    <t>17,5%</t>
  </si>
  <si>
    <t>15,0%</t>
  </si>
  <si>
    <t>20,3%</t>
  </si>
  <si>
    <t>27,8%</t>
  </si>
  <si>
    <t>19,4%</t>
  </si>
  <si>
    <t>16,7%</t>
  </si>
  <si>
    <t>22,5%</t>
  </si>
  <si>
    <t>28,1%</t>
  </si>
  <si>
    <t>19,7%</t>
  </si>
  <si>
    <t>16,9%</t>
  </si>
  <si>
    <t>22,8%</t>
  </si>
  <si>
    <t>28,9%</t>
  </si>
  <si>
    <t>17,4%</t>
  </si>
  <si>
    <t>23,4%</t>
  </si>
  <si>
    <t>29,3%</t>
  </si>
  <si>
    <t>20,5%</t>
  </si>
  <si>
    <t>17,6%</t>
  </si>
  <si>
    <t>23,7%</t>
  </si>
  <si>
    <t>30,0%</t>
  </si>
  <si>
    <t>21,0%</t>
  </si>
  <si>
    <t>18,0%</t>
  </si>
  <si>
    <t>24,3%</t>
  </si>
  <si>
    <t>30,1%</t>
  </si>
  <si>
    <t>21,1%</t>
  </si>
  <si>
    <t>18,1%</t>
  </si>
  <si>
    <t>24,4%</t>
  </si>
  <si>
    <t>30,3%</t>
  </si>
  <si>
    <t>21,2%</t>
  </si>
  <si>
    <t>18,2%</t>
  </si>
  <si>
    <t>24,5%</t>
  </si>
  <si>
    <t>30,5%</t>
  </si>
  <si>
    <t>21,3%</t>
  </si>
  <si>
    <t>18,3%</t>
  </si>
  <si>
    <t>24,7%</t>
  </si>
  <si>
    <t>30,8%</t>
  </si>
  <si>
    <t>21,6%</t>
  </si>
  <si>
    <t>18,5%</t>
  </si>
  <si>
    <t>24,9%</t>
  </si>
  <si>
    <t>31,3%</t>
  </si>
  <si>
    <t>21,9%</t>
  </si>
  <si>
    <t>18,8%</t>
  </si>
  <si>
    <t>25,3%</t>
  </si>
  <si>
    <t>31,5%</t>
  </si>
  <si>
    <t>22,0%</t>
  </si>
  <si>
    <t>18,9%</t>
  </si>
  <si>
    <t>25,5%</t>
  </si>
  <si>
    <t>32,2%</t>
  </si>
  <si>
    <t>19,3%</t>
  </si>
  <si>
    <t>26,1%</t>
  </si>
  <si>
    <t>32,5%</t>
  </si>
  <si>
    <t>22,7%</t>
  </si>
  <si>
    <t>19,5%</t>
  </si>
  <si>
    <t>26,3%</t>
  </si>
  <si>
    <t>33,3%</t>
  </si>
  <si>
    <t>23,3%</t>
  </si>
  <si>
    <t>20,0%</t>
  </si>
  <si>
    <t>27,0%</t>
  </si>
  <si>
    <t>33,9%</t>
  </si>
  <si>
    <t>27,5%</t>
  </si>
  <si>
    <t>34,3%</t>
  </si>
  <si>
    <t>24,0%</t>
  </si>
  <si>
    <t>20,6%</t>
  </si>
  <si>
    <t>27,7%</t>
  </si>
  <si>
    <t>34,6%</t>
  </si>
  <si>
    <t>24,2%</t>
  </si>
  <si>
    <t>20,8%</t>
  </si>
  <si>
    <t>28,0%</t>
  </si>
  <si>
    <t>35,0%</t>
  </si>
  <si>
    <t>28,3%</t>
  </si>
  <si>
    <t>28,4%</t>
  </si>
  <si>
    <t>35,7%</t>
  </si>
  <si>
    <t>21,4%</t>
  </si>
  <si>
    <t>39,3%</t>
  </si>
  <si>
    <t>23,6%</t>
  </si>
  <si>
    <t>31,8%</t>
  </si>
  <si>
    <t>40,0%</t>
  </si>
  <si>
    <t>32,4%</t>
  </si>
  <si>
    <t>40,5%</t>
  </si>
  <si>
    <t>32,8%</t>
  </si>
  <si>
    <t>41,3%</t>
  </si>
  <si>
    <t>24,8%</t>
  </si>
  <si>
    <t>33,4%</t>
  </si>
  <si>
    <t>82,5</t>
  </si>
  <si>
    <t>41,7%</t>
  </si>
  <si>
    <t>29,2%</t>
  </si>
  <si>
    <t>33,8%</t>
  </si>
  <si>
    <t>42,0%</t>
  </si>
  <si>
    <t>29,4%</t>
  </si>
  <si>
    <t>25,2%</t>
  </si>
  <si>
    <t>34,0%</t>
  </si>
  <si>
    <t>42,4%</t>
  </si>
  <si>
    <t>29,7%</t>
  </si>
  <si>
    <t>25,4%</t>
  </si>
  <si>
    <t>42,9%</t>
  </si>
  <si>
    <t>25,7%</t>
  </si>
  <si>
    <t>34,7%</t>
  </si>
  <si>
    <t>43,5%</t>
  </si>
  <si>
    <t>35,3%</t>
  </si>
  <si>
    <t>43,8%</t>
  </si>
  <si>
    <t>30,6%</t>
  </si>
  <si>
    <t>35,4%</t>
  </si>
  <si>
    <t>44,4%</t>
  </si>
  <si>
    <t>31,1%</t>
  </si>
  <si>
    <t>26,7%</t>
  </si>
  <si>
    <t>36,0%</t>
  </si>
  <si>
    <t>44,9%</t>
  </si>
  <si>
    <t>31,4%</t>
  </si>
  <si>
    <t>26,9%</t>
  </si>
  <si>
    <t>36,4%</t>
  </si>
  <si>
    <t>47,4%</t>
  </si>
  <si>
    <t>33,2%</t>
  </si>
  <si>
    <t>38,4%</t>
  </si>
  <si>
    <t>48,0%</t>
  </si>
  <si>
    <t>33,6%</t>
  </si>
  <si>
    <t>28,8%</t>
  </si>
  <si>
    <t>38,9%</t>
  </si>
  <si>
    <t>50,0%</t>
  </si>
  <si>
    <t>53,0%</t>
  </si>
  <si>
    <t>37,1%</t>
  </si>
  <si>
    <t>88,6%</t>
  </si>
  <si>
    <t>62,0%</t>
  </si>
  <si>
    <t>53,2%</t>
  </si>
  <si>
    <t>71,8%</t>
  </si>
  <si>
    <t>Coolant Type</t>
  </si>
  <si>
    <t>0,333</t>
  </si>
  <si>
    <t>319,5</t>
  </si>
  <si>
    <t>0,325</t>
  </si>
  <si>
    <t>0,5</t>
  </si>
  <si>
    <t>0,35</t>
  </si>
  <si>
    <t>0,429</t>
  </si>
  <si>
    <t>0,322</t>
  </si>
  <si>
    <t>0,313</t>
  </si>
  <si>
    <t>0,303</t>
  </si>
  <si>
    <t>0,3</t>
  </si>
  <si>
    <t>0,4</t>
  </si>
  <si>
    <t>0,53</t>
  </si>
  <si>
    <t>0,444</t>
  </si>
  <si>
    <t>0,48</t>
  </si>
  <si>
    <t>0,25</t>
  </si>
  <si>
    <t>0,42</t>
  </si>
  <si>
    <t>0,886</t>
  </si>
  <si>
    <t>320,9</t>
  </si>
  <si>
    <t>0,315</t>
  </si>
  <si>
    <t>0,278</t>
  </si>
  <si>
    <t xml:space="preserve">Li2BeF4 (Molten salt) / graphite </t>
  </si>
  <si>
    <t>0,438</t>
  </si>
  <si>
    <t>0,417</t>
  </si>
  <si>
    <t>0,405</t>
  </si>
  <si>
    <t>0,343</t>
  </si>
  <si>
    <t>Lead-bismuth Pb-Bi (45-55% Wt.%) eutectic alloy</t>
  </si>
  <si>
    <t>0,424</t>
  </si>
  <si>
    <t>318,9</t>
  </si>
  <si>
    <t>0,339</t>
  </si>
  <si>
    <t>0,301</t>
  </si>
  <si>
    <t>0,413</t>
  </si>
  <si>
    <t>0,289</t>
  </si>
  <si>
    <t>0,346</t>
  </si>
  <si>
    <t>0,435</t>
  </si>
  <si>
    <t>0,393</t>
  </si>
  <si>
    <t>0,293</t>
  </si>
  <si>
    <t>0,305</t>
  </si>
  <si>
    <t>LiF-BeF2-ZrF4-ThF4-UF4 fuel salt / Graphite</t>
  </si>
  <si>
    <t xml:space="preserve">MSR (static fuelled) </t>
  </si>
  <si>
    <t>0,357</t>
  </si>
  <si>
    <t>0,449</t>
  </si>
  <si>
    <t>0,308</t>
  </si>
  <si>
    <t>0,474</t>
  </si>
  <si>
    <t>0,281</t>
  </si>
  <si>
    <t>Grading according to plant size</t>
  </si>
  <si>
    <t>Grading according to Technology</t>
  </si>
  <si>
    <t>Grading according to Inflation</t>
  </si>
  <si>
    <t>Final Grade</t>
  </si>
  <si>
    <t>M$</t>
  </si>
  <si>
    <t>Technology Type</t>
  </si>
  <si>
    <t>CAPEX Range (USD/kW)</t>
  </si>
  <si>
    <t>Mean</t>
  </si>
  <si>
    <t>Light-Water Reactors (LWRs)</t>
  </si>
  <si>
    <t>$3,000 - $6,000</t>
  </si>
  <si>
    <t>High-Temperature Gas Reactors (HTGRs)</t>
  </si>
  <si>
    <t>$4,000 - $7,000</t>
  </si>
  <si>
    <t>Molten Salt Reactors (MSRs)</t>
  </si>
  <si>
    <t>$5,000 - $8,000</t>
  </si>
  <si>
    <t>Fast Neutron Reactors</t>
  </si>
  <si>
    <t>$4,000 - $10,000</t>
  </si>
  <si>
    <t>Inflation Index</t>
  </si>
  <si>
    <r>
      <t xml:space="preserve">Here will be described the Safety and graded for each project
 which will be linked to the Main Sheet. </t>
    </r>
    <r>
      <rPr>
        <sz val="11"/>
        <color rgb="FFFF0000"/>
        <rFont val="Aptos Narrow"/>
        <family val="2"/>
        <scheme val="minor"/>
      </rPr>
      <t>This Sheet will NOT be read by the script</t>
    </r>
  </si>
  <si>
    <t>Project created with multiple hearts in mind for plant?</t>
  </si>
  <si>
    <t>To calculate the Capital Expenditures (CapEx) for a Small Modular Reactor (SMR) project, costs involved in its development, construction, and setup phase are required. Most of these costs are subjected to the location where the project is commisioned as the economic factors are also depend on political, social, environmental and local economic conditions. Due to the fact that existing projects are used in the analysis, lots of economical data are not publicly available. Therefore, for the analysis an average Capex value is used to rank the projects. Accordingto IEA, Capex of a SMR project is in the range of USD 900–1 600/kW. This is of capex value is independent of the location and totally depends on power of the plant. A study done by Korean Atomic energy agency reveils that capex of SMR project is in between 3000 -5000 usd/kWe for Korean context. Therefore, for ranking the criteria an average value of 2000 usd/kWe is taken for the analysis. The projects are ranked from 1 to 10, 1 represents the project has a low capex value and 10 represents the project with highest capex value.</t>
  </si>
  <si>
    <t>0 or 1</t>
  </si>
  <si>
    <t>Reference scale</t>
  </si>
  <si>
    <t>TRL 1-9</t>
  </si>
  <si>
    <t>Remark/Reason</t>
  </si>
  <si>
    <t>Scale out of 10</t>
  </si>
  <si>
    <t>Tech</t>
  </si>
  <si>
    <t>Paper</t>
  </si>
  <si>
    <t>Data</t>
  </si>
  <si>
    <t>2026 (commercial operation)</t>
  </si>
  <si>
    <t>Design Status</t>
  </si>
  <si>
    <t>TRL</t>
  </si>
  <si>
    <t>TRL 7-9</t>
  </si>
  <si>
    <t>TRL 5-7</t>
  </si>
  <si>
    <t>2023  (Ready for commercialization)</t>
  </si>
  <si>
    <t>4,5</t>
  </si>
  <si>
    <r>
      <t xml:space="preserve">PSAR for Commercial Project by 2023: </t>
    </r>
    <r>
      <rPr>
        <i/>
        <sz val="11"/>
        <color theme="1"/>
        <rFont val="Aptos Narrow"/>
        <family val="2"/>
        <scheme val="minor"/>
      </rPr>
      <t>Preliminary Safety Analysis Report (PSAR)</t>
    </r>
  </si>
  <si>
    <t>TRL 3-5</t>
  </si>
  <si>
    <t>2029 (Commercial operational)</t>
  </si>
  <si>
    <t>construction start 2025</t>
  </si>
  <si>
    <t>TRL 4-6</t>
  </si>
  <si>
    <t>2027 (First Electricity to be generated)</t>
  </si>
  <si>
    <t>6,7</t>
  </si>
  <si>
    <t xml:space="preserve">2026 Operation license to be issued </t>
  </si>
  <si>
    <t>Basic &amp; Preliminary Design</t>
  </si>
  <si>
    <t xml:space="preserve">2025 To start construction of a proto-type NPP in China </t>
  </si>
  <si>
    <t>2022 Planned OPG submittal of License to Construct for DNNP-1</t>
  </si>
  <si>
    <t>2026 Projected start of first of a kind construction</t>
  </si>
  <si>
    <t>2013 (R&amp;D for Design Validation)</t>
  </si>
  <si>
    <r>
      <t xml:space="preserve">Ongoing R&amp;D for </t>
    </r>
    <r>
      <rPr>
        <i/>
        <sz val="11"/>
        <color theme="1"/>
        <rFont val="Aptos Narrow"/>
        <family val="2"/>
        <scheme val="minor"/>
      </rPr>
      <t>validation and actualization</t>
    </r>
    <r>
      <rPr>
        <sz val="11"/>
        <color theme="1"/>
        <rFont val="Aptos Narrow"/>
        <family val="2"/>
        <scheme val="minor"/>
      </rPr>
      <t xml:space="preserve"> of a design</t>
    </r>
  </si>
  <si>
    <t>Under Construction &amp; Equipment Manufacturing</t>
  </si>
  <si>
    <t>2019 pre project completed. Without future plans.</t>
  </si>
  <si>
    <t>In Operation</t>
  </si>
  <si>
    <t>Detailed Design and Construction-Ready Drawings</t>
  </si>
  <si>
    <t>Without future plans.</t>
  </si>
  <si>
    <t>2019 (SMR development based on the IMR experiences)</t>
  </si>
  <si>
    <t>2,3</t>
  </si>
  <si>
    <t>Start of DEMO unit construction</t>
  </si>
  <si>
    <t>conformity with Russian laws. No designated schedule.</t>
  </si>
  <si>
    <t>preparing for pre-licensing</t>
  </si>
  <si>
    <t>based on Contract Effective Date</t>
  </si>
  <si>
    <t>NAN</t>
  </si>
  <si>
    <t>mid-2020s Design Certification and site-specific licensing, without future plans</t>
  </si>
  <si>
    <t>2023 Basic design completed</t>
  </si>
  <si>
    <t>waiting upon commercial request. Without future plans.</t>
  </si>
  <si>
    <t>Seeking for construction license in 2023.</t>
  </si>
  <si>
    <t>2022 Plan to complete the preliminary work</t>
  </si>
  <si>
    <t xml:space="preserve">2022 Basic design started </t>
  </si>
  <si>
    <t>Site permit to be developed</t>
  </si>
  <si>
    <t>2022 operation</t>
  </si>
  <si>
    <t>MCSFR</t>
  </si>
  <si>
    <t xml:space="preserve">conceptual design of pilot fuel production and reactor are in progress. </t>
  </si>
  <si>
    <t>Interaction with Nuclear Safety Authority has started</t>
  </si>
  <si>
    <t>2026 (Commissioning, Fuel Loading &amp; Test)</t>
  </si>
  <si>
    <t>2026 Commissioning</t>
  </si>
  <si>
    <t>The design is developed at pre-licensing basic design stage.</t>
  </si>
  <si>
    <t>2020 ( Development of basic design solutions)</t>
  </si>
  <si>
    <t>Feasibility study of plant application for large-scale hydrogen production completed</t>
  </si>
  <si>
    <t>pre-license application is underway.</t>
  </si>
  <si>
    <t>Completion of demonstration, no future plans</t>
  </si>
  <si>
    <t xml:space="preserve">Preliminary Design Completed </t>
  </si>
  <si>
    <t>2028 Start of commercial operation</t>
  </si>
  <si>
    <t>licensing for commercial unit</t>
  </si>
  <si>
    <t xml:space="preserve">2022( experimental demo) </t>
  </si>
  <si>
    <t>experimental MSRs were built. Detailed design not started</t>
  </si>
  <si>
    <t>2018 (Project in care &amp; maintance)</t>
  </si>
  <si>
    <t>project was terminated in 2010</t>
  </si>
  <si>
    <t>smTMSR-400</t>
  </si>
  <si>
    <t xml:space="preserve">Pre-Conceptual Design </t>
  </si>
  <si>
    <t>facilities demonstration</t>
  </si>
  <si>
    <t>Mk1 PB-FHR</t>
  </si>
  <si>
    <t>feasibility study for for large-scale hydrogen production</t>
  </si>
  <si>
    <t>2026 start of demo</t>
  </si>
  <si>
    <t>2026 License to Prepare Site</t>
  </si>
  <si>
    <t>2013 (submitting technical report)</t>
  </si>
  <si>
    <t>Without future plans</t>
  </si>
  <si>
    <t xml:space="preserve">2028 construction permit of the prototype </t>
  </si>
  <si>
    <t>Design restarted after an idle phase. Licensing process has not started.</t>
  </si>
  <si>
    <t xml:space="preserve">construction in 2025 </t>
  </si>
  <si>
    <t>2032 (operation of nuclear demonstration unit)</t>
  </si>
  <si>
    <t xml:space="preserve">2030 nuclear demonstration unit is taken into operation </t>
  </si>
  <si>
    <t>2025 Start of Construction. Commission pre-licensing phase</t>
  </si>
  <si>
    <t xml:space="preserve">The licensing framework for the proof of concept is complete </t>
  </si>
  <si>
    <t xml:space="preserve">2022 Basic design started. </t>
  </si>
  <si>
    <t xml:space="preserve">pre-application licensing engagement </t>
  </si>
  <si>
    <t>2021 (phase 1 completed)</t>
  </si>
  <si>
    <t>Phase 2 review. Without future plans</t>
  </si>
  <si>
    <t>design is in an early stage of development</t>
  </si>
  <si>
    <t>Test of demo reactor</t>
  </si>
  <si>
    <t>hydrogen production system, without future plans</t>
  </si>
  <si>
    <t>SSR-U</t>
  </si>
  <si>
    <t xml:space="preserve">Basic Design </t>
  </si>
  <si>
    <t>2023 (preliminary report completed)</t>
  </si>
  <si>
    <t xml:space="preserve">Preliminary Safety Report (PSR) Complete </t>
  </si>
  <si>
    <t>2022 (ETU (engineering test unit) commissioning)</t>
  </si>
  <si>
    <t>2026 end of design</t>
  </si>
  <si>
    <t>2021 operation</t>
  </si>
  <si>
    <t>2018 operation</t>
  </si>
  <si>
    <t>refueling cycle</t>
  </si>
  <si>
    <t>Outage for refueling</t>
  </si>
  <si>
    <t>Core Damage Frequency (CDF)</t>
  </si>
  <si>
    <t>Outages cycle per year</t>
  </si>
  <si>
    <t>refueling downtime per year</t>
  </si>
  <si>
    <t>maintenance</t>
  </si>
  <si>
    <t>months</t>
  </si>
  <si>
    <t>days</t>
  </si>
  <si>
    <t>per year</t>
  </si>
  <si>
    <t>hours</t>
  </si>
  <si>
    <t>Availability (h/year)=T−(SD+UD)</t>
  </si>
  <si>
    <t>-</t>
  </si>
  <si>
    <t xml:space="preserve">Total Hours in a Year (T): </t>
  </si>
  <si>
    <t>60 – 72</t>
  </si>
  <si>
    <t xml:space="preserve">The reactor should be shutdown for six months each year. </t>
  </si>
  <si>
    <t xml:space="preserve"> 12 - 24 </t>
  </si>
  <si>
    <t xml:space="preserve"> 10 - 20 </t>
  </si>
  <si>
    <t>Scheduled Downtime (SD): Time planned for maintenance, inspections, or refueling.</t>
  </si>
  <si>
    <r>
      <t>Unscheduled Downtime (UD):</t>
    </r>
    <r>
      <rPr>
        <sz val="11"/>
        <color theme="1"/>
        <rFont val="Aptos Narrow"/>
        <family val="2"/>
        <scheme val="minor"/>
      </rPr>
      <t xml:space="preserve"> Time lost due to unexpected issues, such as equipment failures or emergency shutdowns.</t>
    </r>
  </si>
  <si>
    <r>
      <t>Operational Hours (OH):</t>
    </r>
    <r>
      <rPr>
        <sz val="11"/>
        <color theme="1"/>
        <rFont val="Aptos Narrow"/>
        <family val="2"/>
        <scheme val="minor"/>
      </rPr>
      <t xml:space="preserve"> Total hours the SMR is producing energy or hydrogen in a given year.</t>
    </r>
  </si>
  <si>
    <t>Outages cycle per year = 12 / refueling cycle</t>
  </si>
  <si>
    <t>refueling downtime per year = Outages cycle per year*outage days * 24</t>
  </si>
  <si>
    <t>on-line</t>
  </si>
  <si>
    <t xml:space="preserve"> 480 - 720 </t>
  </si>
  <si>
    <t xml:space="preserve"> 120 - 240 </t>
  </si>
  <si>
    <t xml:space="preserve">5-10years </t>
  </si>
  <si>
    <t xml:space="preserve">No refuelling </t>
  </si>
  <si>
    <t>after 10 years  the entire vessel is extracted from the generator and replaced.</t>
  </si>
  <si>
    <t>12 months to adding fuel, 48 months to Can changeover</t>
  </si>
  <si>
    <t xml:space="preserve">Continuous operation possible </t>
  </si>
  <si>
    <t xml:space="preserve">On-line refuelling </t>
  </si>
  <si>
    <t xml:space="preserve">96 – 180 </t>
  </si>
  <si>
    <t>8-15 years</t>
  </si>
  <si>
    <t xml:space="preserve">N/A </t>
  </si>
  <si>
    <t xml:space="preserve">36 – 78 </t>
  </si>
  <si>
    <t xml:space="preserve">84 – 96 </t>
  </si>
  <si>
    <t>7-8 years</t>
  </si>
  <si>
    <t xml:space="preserve">Online fuel loading </t>
  </si>
  <si>
    <t>on-load refuelling</t>
  </si>
  <si>
    <t>Continuous refuelling</t>
  </si>
  <si>
    <t>NaN</t>
  </si>
  <si>
    <t>Footprint</t>
  </si>
  <si>
    <t>Comment</t>
  </si>
  <si>
    <t>Grade Adapdation</t>
  </si>
  <si>
    <t>m^2</t>
  </si>
  <si>
    <t>/</t>
  </si>
  <si>
    <t>Base for 10/10 is the reactor being less than 20000 m^2</t>
  </si>
  <si>
    <t>Highest Grade 7.5/10 lowest 2.5/10</t>
  </si>
  <si>
    <t>~ 60 000, for NPP with 2 reactors ~ 90 000, for NPP with 4reactors</t>
  </si>
  <si>
    <t>nuclear island including fuel storage pool</t>
  </si>
  <si>
    <t>1/3 size of LWR</t>
  </si>
  <si>
    <t>1 Reactor of a 4 reactor plant</t>
  </si>
  <si>
    <t>one out of 4 reactor category</t>
  </si>
  <si>
    <t>Main Structure only</t>
  </si>
  <si>
    <t>Depends on Configuration</t>
  </si>
  <si>
    <t>with air-cooled condensers</t>
  </si>
  <si>
    <t>nuclear island with fuel storage</t>
  </si>
  <si>
    <t>with fence, 600 just unit</t>
  </si>
  <si>
    <t>one out of fore reactor+turbines</t>
  </si>
  <si>
    <t>To be comfirmed</t>
  </si>
  <si>
    <t>Buildings Only</t>
  </si>
  <si>
    <t>one out of fore modules</t>
  </si>
  <si>
    <t>32units (0.5 GW(e)) ~ 10,000</t>
  </si>
  <si>
    <t>200 - 800 MWe – 5 000 – 14 000 m2 Depending on the Power Barge model.</t>
  </si>
  <si>
    <t>Core Discharge Burnup (GWd/ton)</t>
  </si>
  <si>
    <t>GWd/ton to MWh/ton</t>
  </si>
  <si>
    <t>Yearly Uranium use</t>
  </si>
  <si>
    <t>Price Uranium 99274.89€</t>
  </si>
  <si>
    <t>MW to MWh</t>
  </si>
  <si>
    <t>Electricity Revenue (56.5 €/MWh)</t>
  </si>
  <si>
    <t>Profit</t>
  </si>
  <si>
    <t>MWh</t>
  </si>
  <si>
    <t>Ton</t>
  </si>
  <si>
    <t>€</t>
  </si>
  <si>
    <t>Assumption that the plant is on full power for the year</t>
  </si>
  <si>
    <t>Price of electricity based on average price of elec for 2023 in finland</t>
  </si>
  <si>
    <t>https://energia.fi/wp-content/uploads/2024/01/Electricity-price-statistics-2023.pdf</t>
  </si>
  <si>
    <t>Price of Uranium based of average price of 2023 in $ per pound</t>
  </si>
  <si>
    <t>https://www.statista.com/statistics/260005/monthly-uranium-price/</t>
  </si>
  <si>
    <t>Exchange rate in euros used is: 1$=0.92€</t>
  </si>
  <si>
    <t>1pnd=0.454kg</t>
  </si>
  <si>
    <t>So price used is: 99274.88987 €/ton of uranium</t>
  </si>
  <si>
    <t>Uranium quantity use checks out compared to other nuclear station</t>
  </si>
  <si>
    <t>https://www.kernenergie.ch/fr/faq-detail-682.html</t>
  </si>
  <si>
    <t>Alkaline</t>
  </si>
  <si>
    <t>PEM</t>
  </si>
  <si>
    <t>AEM</t>
  </si>
  <si>
    <t>SOEC</t>
  </si>
  <si>
    <t>System energy consumption (kWh/kg H2)</t>
  </si>
  <si>
    <t>50-78</t>
  </si>
  <si>
    <t>50-83</t>
  </si>
  <si>
    <t>57-69</t>
  </si>
  <si>
    <t>38 (With steam import)</t>
  </si>
  <si>
    <t>48 (without steam import)</t>
  </si>
  <si>
    <t>Stack cost (2020 $/kW)</t>
  </si>
  <si>
    <t>270-450</t>
  </si>
  <si>
    <t>400 - 870</t>
  </si>
  <si>
    <t>250-2,000</t>
  </si>
  <si>
    <t>Electrolyzer system cost with BOP (2020 $/kW)</t>
  </si>
  <si>
    <t>800 -1,500</t>
  </si>
  <si>
    <t>1,400-2,100</t>
  </si>
  <si>
    <t>917 - 4,000</t>
  </si>
  <si>
    <t>Stack lifetime (full load hours)</t>
  </si>
  <si>
    <t>60,000 — I000000</t>
  </si>
  <si>
    <t>50,000 — 90000</t>
  </si>
  <si>
    <t>5,000 - 40,000</t>
  </si>
  <si>
    <t>20,000 — 50000</t>
  </si>
  <si>
    <t>Degradation (% 1000 hours)</t>
  </si>
  <si>
    <t xml:space="preserve">Ramp up time hot idle to nominal power </t>
  </si>
  <si>
    <t xml:space="preserve">60s </t>
  </si>
  <si>
    <t>I0s</t>
  </si>
  <si>
    <t xml:space="preserve">30 minutes </t>
  </si>
  <si>
    <t xml:space="preserve">10 minutes </t>
  </si>
  <si>
    <t>Cold ramp up time</t>
  </si>
  <si>
    <t>minutes</t>
  </si>
  <si>
    <t>30 — 60</t>
  </si>
  <si>
    <t>Minimum load</t>
  </si>
  <si>
    <t>10 — 40</t>
  </si>
  <si>
    <t>5— 10</t>
  </si>
  <si>
    <t>10—20</t>
  </si>
  <si>
    <t>Development stage Electrolyte</t>
  </si>
  <si>
    <t>&gt;1GW deployed</t>
  </si>
  <si>
    <t>&gt;100 MW deployed</t>
  </si>
  <si>
    <t>&lt;10 MW deployed</t>
  </si>
  <si>
    <t>&gt;1GW deployed (fuel cell)</t>
  </si>
  <si>
    <t>&lt;10 MW deployed (electrolyser)</t>
  </si>
  <si>
    <t>Electrolyte</t>
  </si>
  <si>
    <t>Liquid: 25-40% KOH</t>
  </si>
  <si>
    <t>Solid: proton exchange membrane (Nafion)</t>
  </si>
  <si>
    <t>Liquid - solid hybrid: 1%KOH/anion exchange membrane</t>
  </si>
  <si>
    <t>Solid: ceramic - zirconia or ceria based</t>
  </si>
  <si>
    <t>Operating temperature (•C)</t>
  </si>
  <si>
    <t>70-90</t>
  </si>
  <si>
    <t>50-80</t>
  </si>
  <si>
    <t>40-80</t>
  </si>
  <si>
    <t>500-900</t>
  </si>
  <si>
    <t>Operating  pressure (bar)</t>
  </si>
  <si>
    <t>Conventional: atmospheric Modem: up to 30 bar (50 among startups)</t>
  </si>
  <si>
    <t>Up to 80 (350 among startups)</t>
  </si>
  <si>
    <t>Up to 35 with potential for much higher in the future</t>
  </si>
  <si>
    <t>0 -2 bar</t>
  </si>
  <si>
    <t>Typical current today (A/Cm.2)</t>
  </si>
  <si>
    <t>0.4-1.0</t>
  </si>
  <si>
    <t>0,2-4,0</t>
  </si>
  <si>
    <t>0.2 -2,0</t>
  </si>
  <si>
    <t>0.5 -1.5</t>
  </si>
  <si>
    <t>Inputs</t>
  </si>
  <si>
    <t xml:space="preserve">Water (H₂O) for reaction </t>
  </si>
  <si>
    <t xml:space="preserve">Water (H₂O) for reaction   </t>
  </si>
  <si>
    <t>Water (H₂O) for reaction</t>
  </si>
  <si>
    <t>Steam</t>
  </si>
  <si>
    <t>T°C?? it is defined as the operating temperature of the stack and there is no pre heating needed for the water</t>
  </si>
  <si>
    <t>Alkaline electrolyte (KOH or NaOH)</t>
  </si>
  <si>
    <t>Pressure</t>
  </si>
  <si>
    <t>Anion exchange membrane/ 1%KOH additive</t>
  </si>
  <si>
    <t>Heat</t>
  </si>
  <si>
    <t>Electrical energy (DC power)</t>
  </si>
  <si>
    <t xml:space="preserve">Electrical energy (DC power) </t>
  </si>
  <si>
    <t>Cooling water</t>
  </si>
  <si>
    <t xml:space="preserve">Cooling water </t>
  </si>
  <si>
    <t xml:space="preserve">Electricity Power Output </t>
  </si>
  <si>
    <t xml:space="preserve">Thermal </t>
  </si>
  <si>
    <t xml:space="preserve">Safety </t>
  </si>
  <si>
    <t xml:space="preserve">Ecological impact </t>
  </si>
  <si>
    <t xml:space="preserve">https://www.iaea.org/newscenter/news/what-are-small-modular-reactors-smrs
</t>
  </si>
  <si>
    <t>https://aris.iaea.org/Publications/SMR_booklet_2022.pdf</t>
  </si>
  <si>
    <t>PeluIt / RDE</t>
  </si>
  <si>
    <t xml:space="preserve">Project </t>
  </si>
  <si>
    <t>AMR</t>
  </si>
  <si>
    <t>SMR</t>
  </si>
  <si>
    <t>Name of Technology</t>
  </si>
  <si>
    <t>High/Very high temperature gas reactors  
(HTG/VTG)</t>
  </si>
  <si>
    <t>Sodium- cooled fast reactors (SFR)</t>
  </si>
  <si>
    <t>Supercritical water-cooled reactors (SCWR)</t>
  </si>
  <si>
    <t>Gas-cooled fast reactors (GFR)</t>
  </si>
  <si>
    <t>Lead-cooled fast reactors (LFR)</t>
  </si>
  <si>
    <t>Molten salt fast reactors (MSR)</t>
  </si>
  <si>
    <t>Boiling water reactor (BWR)​</t>
  </si>
  <si>
    <t>Fast Breeder Reactor (FBR)​</t>
  </si>
  <si>
    <t>Heatpipe microeactor​</t>
  </si>
  <si>
    <t>Pressurized water reactor (PWR)​</t>
  </si>
  <si>
    <t xml:space="preserve"> </t>
  </si>
  <si>
    <t>Lead or lead- bismuth</t>
  </si>
  <si>
    <t>Fluoride salts</t>
  </si>
  <si>
    <t>Readiness</t>
  </si>
  <si>
    <t xml:space="preserve">7 / 5 </t>
  </si>
  <si>
    <t>4 thermal 
3 fast</t>
  </si>
  <si>
    <t>Temperature at outlet</t>
  </si>
  <si>
    <t>900–1,000</t>
  </si>
  <si>
    <t>500-550</t>
  </si>
  <si>
    <t>510–625</t>
  </si>
  <si>
    <t>480–800</t>
  </si>
  <si>
    <t>700–800</t>
  </si>
  <si>
    <t>UO2 prism or pebbles</t>
  </si>
  <si>
    <t>U-238 &amp; MOX</t>
  </si>
  <si>
    <t>UO2</t>
  </si>
  <si>
    <t>U-238†</t>
  </si>
  <si>
    <t>UF in salt</t>
  </si>
  <si>
    <t>Fuel Cycle</t>
  </si>
  <si>
    <t>Open</t>
  </si>
  <si>
    <t>Closed</t>
  </si>
  <si>
    <t>Open (thermal)
Closed (fast)</t>
  </si>
  <si>
    <t>Closed, on site</t>
  </si>
  <si>
    <t>Closed, regional</t>
  </si>
  <si>
    <t>Economic Analysis</t>
  </si>
  <si>
    <t xml:space="preserve">Risk </t>
  </si>
  <si>
    <t>Toxic</t>
  </si>
  <si>
    <t>CAPEX</t>
  </si>
  <si>
    <t>OPEX</t>
  </si>
  <si>
    <t>317°C </t>
  </si>
  <si>
    <t>303°C </t>
  </si>
  <si>
    <t>308°C </t>
  </si>
  <si>
    <t>375°C </t>
  </si>
  <si>
    <t>387°C </t>
  </si>
  <si>
    <t>277°C </t>
  </si>
  <si>
    <t>320°C </t>
  </si>
  <si>
    <t>261°C </t>
  </si>
  <si>
    <t>H2 density</t>
  </si>
  <si>
    <t>0,083</t>
  </si>
  <si>
    <t>kg/m³</t>
  </si>
  <si>
    <t>Parameter/Electrolyzer Type</t>
  </si>
  <si>
    <t>Alkaline (ALK)</t>
  </si>
  <si>
    <t>Proton exchange membrane (PEM)</t>
  </si>
  <si>
    <t>Solid oxide electrolyzer cell (SOEC)</t>
  </si>
  <si>
    <t>1KW=1J/s</t>
  </si>
  <si>
    <t>Water T°C</t>
  </si>
  <si>
    <t>minimum T°C values</t>
  </si>
  <si>
    <t>1 MWh= 1 3,6 x 10^9 J</t>
  </si>
  <si>
    <t>Electricity input (MWh)</t>
  </si>
  <si>
    <t>0,050</t>
  </si>
  <si>
    <t>0,051</t>
  </si>
  <si>
    <t>0,060</t>
  </si>
  <si>
    <t>0,055</t>
  </si>
  <si>
    <t>0,041</t>
  </si>
  <si>
    <t>1 MWh= x MJ / 3600</t>
  </si>
  <si>
    <t>Thermal input (MWh)</t>
  </si>
  <si>
    <t>0,007</t>
  </si>
  <si>
    <t>0,008</t>
  </si>
  <si>
    <t>0,009</t>
  </si>
  <si>
    <t>H2 Generation (kgH2)</t>
  </si>
  <si>
    <t>Reactor type</t>
  </si>
  <si>
    <t>Outlet temp (◦C)</t>
  </si>
  <si>
    <t>Temp min</t>
  </si>
  <si>
    <t>Temp max</t>
  </si>
  <si>
    <t>Thermal power (MWt)</t>
  </si>
  <si>
    <t>Avg MWe</t>
  </si>
  <si>
    <t>Avg MWt</t>
  </si>
  <si>
    <t>Electrical output (MWe)</t>
  </si>
  <si>
    <t>LWR</t>
  </si>
  <si>
    <t>Light Water Reactor</t>
  </si>
  <si>
    <t xml:space="preserve">Low (&lt;300 ◦C) </t>
  </si>
  <si>
    <t>AGR</t>
  </si>
  <si>
    <t xml:space="preserve">Advanced Gas Reactor </t>
  </si>
  <si>
    <t>Medium (&lt;750 ◦C)</t>
  </si>
  <si>
    <t>SFR</t>
  </si>
  <si>
    <t>Sodium Cooled Fast Reactor</t>
  </si>
  <si>
    <t>LCR</t>
  </si>
  <si>
    <t>Lead Cooled Fast Reactor</t>
  </si>
  <si>
    <t>SCWR</t>
  </si>
  <si>
    <t>Super Critical Water Reactor</t>
  </si>
  <si>
    <t>MSFR</t>
  </si>
  <si>
    <t>Molten Salt Fast Reactor</t>
  </si>
  <si>
    <t>VHTR</t>
  </si>
  <si>
    <t>Very High Temperature Reactor</t>
  </si>
  <si>
    <t>High (&lt;950 ◦C)</t>
  </si>
  <si>
    <t>Gas Cooled Fast Reactor</t>
  </si>
  <si>
    <t>MSR</t>
  </si>
  <si>
    <t>Molten Salt Reactor</t>
  </si>
  <si>
    <t>CAPACITY FACTOR EFFICIENCY</t>
  </si>
  <si>
    <t>0,93</t>
  </si>
  <si>
    <t>HEAT TO ELECTRICITY CONVERSION</t>
  </si>
  <si>
    <t>COUPLING - STEP 1</t>
  </si>
  <si>
    <t>Reactor type/Electrolyzer Type</t>
  </si>
  <si>
    <t>Parameters defined per SMR</t>
  </si>
  <si>
    <t>ALK (min T°C)</t>
  </si>
  <si>
    <t>PEM (min T°C)</t>
  </si>
  <si>
    <t>SOEC (min T°C)</t>
  </si>
  <si>
    <t>Electrical power (MWe) INPUT</t>
  </si>
  <si>
    <t>New H2 Generation (kgH2)</t>
  </si>
  <si>
    <t>Thermal power (MWt) INPUT</t>
  </si>
  <si>
    <t>135,4</t>
  </si>
  <si>
    <t>Coupling</t>
  </si>
  <si>
    <t>YES</t>
  </si>
  <si>
    <t>NO</t>
  </si>
  <si>
    <t>Electrical power (MWe) OUTPUT</t>
  </si>
  <si>
    <t>COUPLING - STEP 2</t>
  </si>
  <si>
    <t>Criteria</t>
  </si>
  <si>
    <t>Value</t>
  </si>
  <si>
    <t>Weight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</si>
</sst>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_);[Red]\(&quot;$&quot;#,##0\)"/>
    <numFmt numFmtId="165" formatCode="0.0"/>
  </numFmts>
  <fonts count="32" x14ac:knownFonts="1">
    <font>
      <sz val="11"/>
      <color theme="1"/>
      <name val="Aptos Narrow"/>
      <family val="2"/>
      <scheme val="minor"/>
    </font>
    <font>
      <b/>
      <sz val="11"/>
      <color rgb="FF000000"/>
      <name val="Aptos Narrow"/>
      <family val="2"/>
    </font>
    <font>
      <sz val="11"/>
      <color rgb="FF000000"/>
      <name val="Aptos Narrow"/>
      <family val="2"/>
    </font>
    <font>
      <sz val="11"/>
      <color rgb="FF000000"/>
      <name val="Aptos Narrow"/>
      <family val="2"/>
      <scheme val="minor"/>
    </font>
    <font>
      <sz val="11"/>
      <color rgb="FF000000"/>
      <name val="Calibri"/>
      <family val="2"/>
    </font>
    <font>
      <sz val="11"/>
      <color rgb="FFFF0000"/>
      <name val="Aptos Narrow"/>
      <family val="2"/>
      <scheme val="minor"/>
    </font>
    <font>
      <b/>
      <sz val="11"/>
      <color theme="1"/>
      <name val="Aptos Narrow"/>
      <family val="2"/>
      <scheme val="minor"/>
    </font>
    <font>
      <b/>
      <sz val="11"/>
      <color rgb="FF000000"/>
      <name val="Calibri"/>
      <family val="2"/>
    </font>
    <font>
      <u/>
      <sz val="11"/>
      <color theme="10"/>
      <name val="Aptos Narrow"/>
      <family val="2"/>
      <scheme val="minor"/>
    </font>
    <font>
      <sz val="12"/>
      <name val="Arial"/>
      <family val="2"/>
    </font>
    <font>
      <sz val="8"/>
      <color theme="1"/>
      <name val="Aptos Narrow"/>
      <family val="2"/>
      <scheme val="minor"/>
    </font>
    <font>
      <sz val="11"/>
      <color rgb="FF000000"/>
      <name val="Arial"/>
      <family val="2"/>
    </font>
    <font>
      <b/>
      <sz val="11"/>
      <color rgb="FF000000"/>
      <name val="Arial"/>
      <family val="2"/>
    </font>
    <font>
      <sz val="11"/>
      <color rgb="FFFF0000"/>
      <name val="Arial"/>
      <family val="2"/>
    </font>
    <font>
      <sz val="11"/>
      <name val="Arial"/>
      <family val="2"/>
    </font>
    <font>
      <sz val="11"/>
      <color rgb="FF242424"/>
      <name val="Arial"/>
      <family val="2"/>
    </font>
    <font>
      <b/>
      <sz val="11"/>
      <color rgb="FFFF0000"/>
      <name val="Arial"/>
      <family val="2"/>
    </font>
    <font>
      <sz val="11"/>
      <color rgb="FFFF0000"/>
      <name val="Aptos Narrow"/>
      <family val="2"/>
    </font>
    <font>
      <sz val="11"/>
      <color rgb="FFFFFFFF"/>
      <name val="Aptos Narrow"/>
      <family val="2"/>
    </font>
    <font>
      <sz val="12"/>
      <color rgb="FF000000"/>
      <name val="Aptos"/>
      <family val="2"/>
    </font>
    <font>
      <sz val="11"/>
      <color rgb="FF000000"/>
      <name val="Aptos"/>
      <family val="2"/>
    </font>
    <font>
      <b/>
      <u/>
      <sz val="11"/>
      <color theme="1"/>
      <name val="Aptos Narrow"/>
      <family val="2"/>
      <scheme val="minor"/>
    </font>
    <font>
      <sz val="10"/>
      <color rgb="FF5D5D5D"/>
      <name val="Arial"/>
      <family val="2"/>
    </font>
    <font>
      <i/>
      <sz val="11"/>
      <color theme="1"/>
      <name val="Aptos Narrow"/>
      <family val="2"/>
      <scheme val="minor"/>
    </font>
    <font>
      <sz val="11"/>
      <name val="Aptos Narrow"/>
      <family val="2"/>
      <scheme val="minor"/>
    </font>
    <font>
      <b/>
      <sz val="11"/>
      <color rgb="FFFF0000"/>
      <name val="Aptos Narrow"/>
      <family val="2"/>
    </font>
    <font>
      <b/>
      <sz val="11"/>
      <color rgb="FFFFFFFF"/>
      <name val="Aptos Narrow"/>
      <family val="2"/>
    </font>
    <font>
      <i/>
      <sz val="11"/>
      <color rgb="FF000000"/>
      <name val="Aptos Narrow"/>
      <family val="2"/>
    </font>
    <font>
      <sz val="8"/>
      <color rgb="FF000000"/>
      <name val="Aptos Narrow"/>
      <family val="2"/>
    </font>
    <font>
      <u/>
      <sz val="11"/>
      <color theme="1"/>
      <name val="Aptos Narrow"/>
      <family val="2"/>
      <scheme val="minor"/>
    </font>
    <font>
      <sz val="11"/>
      <color rgb="FF50595E"/>
      <name val="Arial"/>
      <family val="2"/>
    </font>
    <font>
      <sz val="11"/>
      <color rgb="FF9C0006"/>
      <name val="Aptos Narrow"/>
      <family val="2"/>
    </font>
  </fonts>
  <fills count="23">
    <fill>
      <patternFill patternType="none"/>
    </fill>
    <fill>
      <patternFill patternType="gray125"/>
    </fill>
    <fill>
      <patternFill patternType="solid">
        <fgColor theme="2" tint="-9.9978637043366805E-2"/>
        <bgColor indexed="64"/>
      </patternFill>
    </fill>
    <fill>
      <patternFill patternType="solid">
        <fgColor theme="0"/>
        <bgColor indexed="64"/>
      </patternFill>
    </fill>
    <fill>
      <patternFill patternType="solid">
        <fgColor rgb="FFFFFF00"/>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FC000"/>
        <bgColor indexed="64"/>
      </patternFill>
    </fill>
    <fill>
      <patternFill patternType="solid">
        <fgColor rgb="FFFBE2D5"/>
        <bgColor rgb="FF000000"/>
      </patternFill>
    </fill>
    <fill>
      <patternFill patternType="solid">
        <fgColor rgb="FFFFFF00"/>
        <bgColor rgb="FF000000"/>
      </patternFill>
    </fill>
    <fill>
      <patternFill patternType="solid">
        <fgColor rgb="FFD9D9D9"/>
        <bgColor rgb="FF000000"/>
      </patternFill>
    </fill>
    <fill>
      <patternFill patternType="solid">
        <fgColor rgb="FFDAF2D0"/>
        <bgColor rgb="FF000000"/>
      </patternFill>
    </fill>
    <fill>
      <patternFill patternType="solid">
        <fgColor rgb="FFF2F2F2"/>
        <bgColor rgb="FF000000"/>
      </patternFill>
    </fill>
    <fill>
      <patternFill patternType="solid">
        <fgColor rgb="FFFF0000"/>
        <bgColor rgb="FF000000"/>
      </patternFill>
    </fill>
    <fill>
      <patternFill patternType="solid">
        <fgColor theme="0" tint="-0.249977111117893"/>
        <bgColor indexed="64"/>
      </patternFill>
    </fill>
    <fill>
      <patternFill patternType="solid">
        <fgColor theme="5" tint="-0.249977111117893"/>
        <bgColor indexed="64"/>
      </patternFill>
    </fill>
    <fill>
      <patternFill patternType="solid">
        <fgColor theme="1"/>
        <bgColor indexed="64"/>
      </patternFill>
    </fill>
    <fill>
      <patternFill patternType="solid">
        <fgColor rgb="FF00B0F0"/>
        <bgColor indexed="64"/>
      </patternFill>
    </fill>
    <fill>
      <patternFill patternType="solid">
        <fgColor rgb="FF92D050"/>
        <bgColor indexed="64"/>
      </patternFill>
    </fill>
    <fill>
      <patternFill patternType="solid">
        <fgColor rgb="FFE8E8E8"/>
        <bgColor rgb="FF000000"/>
      </patternFill>
    </fill>
    <fill>
      <patternFill patternType="solid">
        <fgColor rgb="FFFFC7CE"/>
        <bgColor rgb="FF000000"/>
      </patternFill>
    </fill>
  </fills>
  <borders count="47">
    <border>
      <left/>
      <right/>
      <top/>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indexed="64"/>
      </left>
      <right/>
      <top style="thin">
        <color indexed="64"/>
      </top>
      <bottom style="thin">
        <color rgb="FF000000"/>
      </bottom>
      <diagonal/>
    </border>
    <border>
      <left/>
      <right/>
      <top style="thin">
        <color indexed="64"/>
      </top>
      <bottom style="thin">
        <color rgb="FF000000"/>
      </bottom>
      <diagonal/>
    </border>
    <border>
      <left/>
      <right style="thin">
        <color indexed="64"/>
      </right>
      <top style="thin">
        <color indexed="64"/>
      </top>
      <bottom style="thin">
        <color rgb="FF000000"/>
      </bottom>
      <diagonal/>
    </border>
    <border>
      <left style="medium">
        <color rgb="FF000000"/>
      </left>
      <right style="medium">
        <color rgb="FF000000"/>
      </right>
      <top style="medium">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thin">
        <color rgb="FF000000"/>
      </top>
      <bottom style="medium">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style="medium">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medium">
        <color rgb="FF000000"/>
      </right>
      <top style="medium">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indexed="64"/>
      </left>
      <right style="thin">
        <color indexed="64"/>
      </right>
      <top style="thin">
        <color indexed="64"/>
      </top>
      <bottom style="double">
        <color indexed="64"/>
      </bottom>
      <diagonal/>
    </border>
    <border>
      <left/>
      <right/>
      <top/>
      <bottom style="thin">
        <color rgb="FF000000"/>
      </bottom>
      <diagonal/>
    </border>
    <border>
      <left/>
      <right style="thin">
        <color rgb="FF000000"/>
      </right>
      <top/>
      <bottom/>
      <diagonal/>
    </border>
    <border>
      <left/>
      <right style="thin">
        <color rgb="FF000000"/>
      </right>
      <top/>
      <bottom style="thin">
        <color rgb="FF000000"/>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bottom style="thin">
        <color indexed="64"/>
      </bottom>
      <diagonal/>
    </border>
    <border>
      <left/>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indexed="64"/>
      </right>
      <top/>
      <bottom style="thin">
        <color rgb="FF000000"/>
      </bottom>
      <diagonal/>
    </border>
    <border>
      <left style="thin">
        <color rgb="FF000000"/>
      </left>
      <right style="thin">
        <color indexed="64"/>
      </right>
      <top/>
      <bottom/>
      <diagonal/>
    </border>
    <border>
      <left style="thin">
        <color indexed="64"/>
      </left>
      <right style="thin">
        <color indexed="64"/>
      </right>
      <top/>
      <bottom style="thin">
        <color rgb="FF000000"/>
      </bottom>
      <diagonal/>
    </border>
    <border>
      <left style="thin">
        <color indexed="64"/>
      </left>
      <right style="thin">
        <color indexed="64"/>
      </right>
      <top/>
      <bottom/>
      <diagonal/>
    </border>
    <border>
      <left style="thin">
        <color indexed="64"/>
      </left>
      <right style="thin">
        <color indexed="64"/>
      </right>
      <top/>
      <bottom style="medium">
        <color rgb="FF000000"/>
      </bottom>
      <diagonal/>
    </border>
    <border>
      <left/>
      <right style="thin">
        <color indexed="64"/>
      </right>
      <top/>
      <bottom style="thin">
        <color rgb="FF000000"/>
      </bottom>
      <diagonal/>
    </border>
    <border>
      <left/>
      <right style="thin">
        <color indexed="64"/>
      </right>
      <top/>
      <bottom/>
      <diagonal/>
    </border>
    <border>
      <left/>
      <right style="thin">
        <color indexed="64"/>
      </right>
      <top style="thin">
        <color indexed="64"/>
      </top>
      <bottom style="medium">
        <color indexed="64"/>
      </bottom>
      <diagonal/>
    </border>
    <border>
      <left/>
      <right style="thin">
        <color indexed="64"/>
      </right>
      <top style="medium">
        <color indexed="64"/>
      </top>
      <bottom/>
      <diagonal/>
    </border>
    <border>
      <left/>
      <right style="thin">
        <color indexed="64"/>
      </right>
      <top/>
      <bottom style="medium">
        <color indexed="64"/>
      </bottom>
      <diagonal/>
    </border>
    <border>
      <left/>
      <right style="thin">
        <color indexed="64"/>
      </right>
      <top/>
      <bottom style="medium">
        <color rgb="FF000000"/>
      </bottom>
      <diagonal/>
    </border>
    <border>
      <left/>
      <right style="thin">
        <color indexed="64"/>
      </right>
      <top style="thin">
        <color indexed="64"/>
      </top>
      <bottom style="double">
        <color indexed="64"/>
      </bottom>
      <diagonal/>
    </border>
    <border>
      <left/>
      <right style="thin">
        <color indexed="64"/>
      </right>
      <top style="thin">
        <color indexed="64"/>
      </top>
      <bottom/>
      <diagonal/>
    </border>
    <border>
      <left/>
      <right style="thin">
        <color rgb="FF000000"/>
      </right>
      <top style="thin">
        <color indexed="64"/>
      </top>
      <bottom/>
      <diagonal/>
    </border>
    <border>
      <left/>
      <right style="thin">
        <color rgb="FF000000"/>
      </right>
      <top style="thin">
        <color indexed="64"/>
      </top>
      <bottom style="double">
        <color indexed="64"/>
      </bottom>
      <diagonal/>
    </border>
    <border>
      <left style="thin">
        <color indexed="64"/>
      </left>
      <right style="thin">
        <color indexed="64"/>
      </right>
      <top/>
      <bottom style="double">
        <color indexed="64"/>
      </bottom>
      <diagonal/>
    </border>
    <border>
      <left/>
      <right style="thin">
        <color indexed="64"/>
      </right>
      <top/>
      <bottom style="double">
        <color indexed="64"/>
      </bottom>
      <diagonal/>
    </border>
  </borders>
  <cellStyleXfs count="2">
    <xf numFmtId="0" fontId="0" fillId="0" borderId="0"/>
    <xf numFmtId="0" fontId="8" fillId="0" borderId="0" applyNumberFormat="0" applyFill="0" applyBorder="0" applyAlignment="0" applyProtection="0"/>
  </cellStyleXfs>
  <cellXfs count="238">
    <xf numFmtId="0" fontId="0" fillId="0" borderId="0" xfId="0"/>
    <xf numFmtId="0" fontId="1" fillId="0" borderId="2" xfId="0" applyFont="1" applyBorder="1" applyAlignment="1">
      <alignment horizontal="center" vertical="center" wrapText="1"/>
    </xf>
    <xf numFmtId="0" fontId="2" fillId="0" borderId="2" xfId="0" applyFont="1" applyBorder="1" applyAlignment="1">
      <alignment horizontal="center" vertical="center" wrapText="1"/>
    </xf>
    <xf numFmtId="3" fontId="2" fillId="0" borderId="2" xfId="0" applyNumberFormat="1" applyFont="1" applyBorder="1" applyAlignment="1">
      <alignment horizontal="center" vertical="center" wrapText="1"/>
    </xf>
    <xf numFmtId="0" fontId="0" fillId="2" borderId="0" xfId="0" applyFill="1"/>
    <xf numFmtId="0" fontId="0" fillId="0" borderId="0" xfId="0" applyAlignment="1">
      <alignment vertical="center"/>
    </xf>
    <xf numFmtId="0" fontId="0" fillId="0" borderId="1" xfId="0" applyBorder="1" applyAlignment="1">
      <alignment horizontal="center" vertical="center"/>
    </xf>
    <xf numFmtId="0" fontId="0" fillId="3" borderId="2" xfId="0" applyFill="1" applyBorder="1" applyAlignment="1">
      <alignment horizontal="center" vertical="center" wrapText="1"/>
    </xf>
    <xf numFmtId="0" fontId="4" fillId="3" borderId="2" xfId="0" applyFont="1" applyFill="1" applyBorder="1" applyAlignment="1">
      <alignment horizontal="center" vertical="center" wrapText="1"/>
    </xf>
    <xf numFmtId="49" fontId="0" fillId="3" borderId="2" xfId="0" applyNumberFormat="1" applyFill="1" applyBorder="1" applyAlignment="1">
      <alignment horizontal="center" vertical="center" wrapText="1"/>
    </xf>
    <xf numFmtId="0" fontId="0" fillId="0" borderId="1" xfId="0" applyBorder="1" applyAlignment="1">
      <alignment horizontal="left" vertical="center"/>
    </xf>
    <xf numFmtId="0" fontId="0" fillId="2" borderId="4" xfId="0" applyFill="1" applyBorder="1" applyAlignment="1">
      <alignment horizontal="left"/>
    </xf>
    <xf numFmtId="0" fontId="0" fillId="2" borderId="1" xfId="0" applyFill="1" applyBorder="1" applyAlignment="1">
      <alignment horizontal="left"/>
    </xf>
    <xf numFmtId="0" fontId="0" fillId="0" borderId="0" xfId="0" applyAlignment="1">
      <alignment horizontal="left"/>
    </xf>
    <xf numFmtId="0" fontId="2" fillId="0" borderId="5" xfId="0" applyFont="1" applyBorder="1" applyAlignment="1">
      <alignment horizontal="center" vertical="center" wrapText="1"/>
    </xf>
    <xf numFmtId="0" fontId="3" fillId="0" borderId="2" xfId="0" applyFont="1" applyBorder="1" applyAlignment="1">
      <alignment horizontal="center" vertical="center" wrapText="1"/>
    </xf>
    <xf numFmtId="0" fontId="3" fillId="0" borderId="7" xfId="0" applyFont="1" applyBorder="1" applyAlignment="1">
      <alignment horizontal="center" vertical="center" wrapText="1"/>
    </xf>
    <xf numFmtId="0" fontId="0" fillId="0" borderId="7" xfId="0" applyBorder="1" applyAlignment="1">
      <alignment horizontal="center" vertical="center" wrapText="1"/>
    </xf>
    <xf numFmtId="0" fontId="0" fillId="0" borderId="2" xfId="0" applyBorder="1" applyAlignment="1">
      <alignment horizontal="center" vertical="center" wrapText="1"/>
    </xf>
    <xf numFmtId="0" fontId="0" fillId="4" borderId="2" xfId="0" applyFill="1" applyBorder="1" applyAlignment="1">
      <alignment horizontal="center" vertical="center" wrapText="1"/>
    </xf>
    <xf numFmtId="0" fontId="3" fillId="0" borderId="6" xfId="0" applyFont="1" applyBorder="1" applyAlignment="1">
      <alignment horizontal="center" vertical="center" wrapText="1"/>
    </xf>
    <xf numFmtId="0" fontId="0" fillId="0" borderId="2" xfId="0" applyBorder="1" applyAlignment="1">
      <alignment horizontal="center" vertical="center"/>
    </xf>
    <xf numFmtId="0" fontId="0" fillId="0" borderId="6" xfId="0" applyBorder="1" applyAlignment="1">
      <alignment horizontal="center" vertical="center"/>
    </xf>
    <xf numFmtId="0" fontId="5" fillId="4" borderId="2" xfId="0" applyFont="1" applyFill="1" applyBorder="1" applyAlignment="1">
      <alignment horizontal="left" vertical="center" wrapText="1"/>
    </xf>
    <xf numFmtId="0" fontId="4" fillId="5" borderId="2" xfId="0" applyFont="1" applyFill="1" applyBorder="1" applyAlignment="1">
      <alignment horizontal="center" vertical="center" wrapText="1"/>
    </xf>
    <xf numFmtId="0" fontId="6" fillId="3" borderId="3" xfId="0" applyFont="1" applyFill="1" applyBorder="1" applyAlignment="1">
      <alignment horizontal="left" vertical="center"/>
    </xf>
    <xf numFmtId="0" fontId="6" fillId="3" borderId="3" xfId="0" applyFont="1" applyFill="1" applyBorder="1" applyAlignment="1">
      <alignment horizontal="center" vertical="center"/>
    </xf>
    <xf numFmtId="0" fontId="6" fillId="0" borderId="1" xfId="0" applyFont="1" applyBorder="1" applyAlignment="1">
      <alignment horizontal="center" vertical="center"/>
    </xf>
    <xf numFmtId="0" fontId="6" fillId="3" borderId="2" xfId="0" applyFont="1" applyFill="1" applyBorder="1" applyAlignment="1">
      <alignment horizontal="left" vertical="center" wrapText="1"/>
    </xf>
    <xf numFmtId="0" fontId="6" fillId="4" borderId="2" xfId="0" applyFont="1" applyFill="1" applyBorder="1" applyAlignment="1">
      <alignment horizontal="left" vertical="center" wrapText="1"/>
    </xf>
    <xf numFmtId="0" fontId="7" fillId="3" borderId="2" xfId="0" applyFont="1" applyFill="1" applyBorder="1" applyAlignment="1">
      <alignment horizontal="left" vertical="center" wrapText="1"/>
    </xf>
    <xf numFmtId="0" fontId="8" fillId="0" borderId="0" xfId="1"/>
    <xf numFmtId="0" fontId="9" fillId="0" borderId="11" xfId="0" applyFont="1" applyBorder="1" applyAlignment="1">
      <alignment horizontal="left" vertical="center" wrapText="1"/>
    </xf>
    <xf numFmtId="0" fontId="9" fillId="0" borderId="12" xfId="0" applyFont="1" applyBorder="1" applyAlignment="1">
      <alignment horizontal="left" vertical="center" wrapText="1"/>
    </xf>
    <xf numFmtId="0" fontId="9" fillId="0" borderId="13" xfId="0" applyFont="1" applyBorder="1" applyAlignment="1">
      <alignment horizontal="left" vertical="center" wrapText="1"/>
    </xf>
    <xf numFmtId="0" fontId="9" fillId="0" borderId="14" xfId="0" applyFont="1" applyBorder="1" applyAlignment="1">
      <alignment horizontal="left" vertical="center" wrapText="1"/>
    </xf>
    <xf numFmtId="0" fontId="9" fillId="0" borderId="15" xfId="0" applyFont="1" applyBorder="1" applyAlignment="1">
      <alignment horizontal="left" vertical="center" wrapText="1"/>
    </xf>
    <xf numFmtId="0" fontId="9" fillId="0" borderId="16" xfId="0" applyFont="1" applyBorder="1" applyAlignment="1">
      <alignment horizontal="left" vertical="center" wrapText="1"/>
    </xf>
    <xf numFmtId="0" fontId="9" fillId="0" borderId="17" xfId="0" applyFont="1" applyBorder="1" applyAlignment="1">
      <alignment horizontal="left" vertical="center" wrapText="1"/>
    </xf>
    <xf numFmtId="0" fontId="9" fillId="0" borderId="18" xfId="0" applyFont="1" applyBorder="1" applyAlignment="1">
      <alignment horizontal="left" vertical="center" wrapText="1"/>
    </xf>
    <xf numFmtId="0" fontId="9" fillId="0" borderId="19" xfId="0" applyFont="1" applyBorder="1" applyAlignment="1">
      <alignment horizontal="left" vertical="center" wrapText="1"/>
    </xf>
    <xf numFmtId="0" fontId="9" fillId="0" borderId="0" xfId="0" applyFont="1" applyAlignment="1">
      <alignment horizontal="justify" vertical="center" wrapText="1"/>
    </xf>
    <xf numFmtId="0" fontId="0" fillId="7" borderId="1" xfId="0" applyFill="1" applyBorder="1"/>
    <xf numFmtId="0" fontId="0" fillId="7" borderId="1" xfId="0" applyFill="1" applyBorder="1" applyAlignment="1">
      <alignment vertical="top"/>
    </xf>
    <xf numFmtId="0" fontId="0" fillId="7" borderId="1" xfId="0" applyFill="1" applyBorder="1" applyAlignment="1">
      <alignment vertical="top" wrapText="1"/>
    </xf>
    <xf numFmtId="0" fontId="0" fillId="8" borderId="20" xfId="0" applyFill="1" applyBorder="1" applyAlignment="1">
      <alignment horizontal="center"/>
    </xf>
    <xf numFmtId="0" fontId="3" fillId="0" borderId="0" xfId="0" applyFont="1"/>
    <xf numFmtId="0" fontId="3" fillId="0" borderId="0" xfId="0" applyFont="1" applyAlignment="1">
      <alignment horizontal="left"/>
    </xf>
    <xf numFmtId="0" fontId="8" fillId="0" borderId="0" xfId="1" applyBorder="1"/>
    <xf numFmtId="0" fontId="8" fillId="0" borderId="0" xfId="1" applyBorder="1" applyAlignment="1">
      <alignment wrapText="1"/>
    </xf>
    <xf numFmtId="0" fontId="10" fillId="0" borderId="0" xfId="0" applyFont="1"/>
    <xf numFmtId="0" fontId="0" fillId="9" borderId="0" xfId="0" applyFill="1"/>
    <xf numFmtId="0" fontId="0" fillId="4" borderId="0" xfId="0" applyFill="1"/>
    <xf numFmtId="0" fontId="11" fillId="0" borderId="0" xfId="0" applyFont="1"/>
    <xf numFmtId="0" fontId="12" fillId="0" borderId="1" xfId="0" applyFont="1" applyBorder="1"/>
    <xf numFmtId="0" fontId="12" fillId="0" borderId="24" xfId="0" applyFont="1" applyBorder="1"/>
    <xf numFmtId="0" fontId="11" fillId="0" borderId="4" xfId="0" applyFont="1" applyBorder="1"/>
    <xf numFmtId="0" fontId="13" fillId="0" borderId="26" xfId="0" applyFont="1" applyBorder="1"/>
    <xf numFmtId="0" fontId="14" fillId="0" borderId="26" xfId="0" applyFont="1" applyBorder="1"/>
    <xf numFmtId="0" fontId="13" fillId="0" borderId="0" xfId="0" applyFont="1"/>
    <xf numFmtId="0" fontId="12" fillId="0" borderId="0" xfId="0" applyFont="1"/>
    <xf numFmtId="0" fontId="12" fillId="0" borderId="7" xfId="0" applyFont="1" applyBorder="1"/>
    <xf numFmtId="0" fontId="12" fillId="10" borderId="7" xfId="0" applyFont="1" applyFill="1" applyBorder="1"/>
    <xf numFmtId="0" fontId="12" fillId="0" borderId="27" xfId="0" applyFont="1" applyBorder="1"/>
    <xf numFmtId="0" fontId="12" fillId="11" borderId="1" xfId="0" applyFont="1" applyFill="1" applyBorder="1"/>
    <xf numFmtId="0" fontId="12" fillId="0" borderId="28" xfId="0" applyFont="1" applyBorder="1"/>
    <xf numFmtId="0" fontId="12" fillId="0" borderId="23" xfId="0" applyFont="1" applyBorder="1"/>
    <xf numFmtId="0" fontId="11" fillId="0" borderId="23" xfId="0" applyFont="1" applyBorder="1"/>
    <xf numFmtId="0" fontId="11" fillId="0" borderId="23" xfId="0" quotePrefix="1" applyFont="1" applyBorder="1"/>
    <xf numFmtId="0" fontId="11" fillId="10" borderId="23" xfId="0" applyFont="1" applyFill="1" applyBorder="1"/>
    <xf numFmtId="0" fontId="11" fillId="0" borderId="21" xfId="0" applyFont="1" applyBorder="1"/>
    <xf numFmtId="0" fontId="11" fillId="11" borderId="4" xfId="0" applyFont="1" applyFill="1" applyBorder="1"/>
    <xf numFmtId="0" fontId="15" fillId="0" borderId="23" xfId="0" applyFont="1" applyBorder="1"/>
    <xf numFmtId="0" fontId="11" fillId="11" borderId="26" xfId="0" applyFont="1" applyFill="1" applyBorder="1"/>
    <xf numFmtId="0" fontId="15" fillId="10" borderId="23" xfId="0" applyFont="1" applyFill="1" applyBorder="1"/>
    <xf numFmtId="0" fontId="15" fillId="0" borderId="21" xfId="0" applyFont="1" applyBorder="1"/>
    <xf numFmtId="0" fontId="15" fillId="10" borderId="22" xfId="0" applyFont="1" applyFill="1" applyBorder="1"/>
    <xf numFmtId="0" fontId="12" fillId="0" borderId="29" xfId="0" applyFont="1" applyBorder="1"/>
    <xf numFmtId="0" fontId="12" fillId="0" borderId="22" xfId="0" applyFont="1" applyBorder="1"/>
    <xf numFmtId="0" fontId="15" fillId="10" borderId="1" xfId="0" applyFont="1" applyFill="1" applyBorder="1"/>
    <xf numFmtId="0" fontId="12" fillId="0" borderId="4" xfId="0" applyFont="1" applyBorder="1"/>
    <xf numFmtId="0" fontId="12" fillId="0" borderId="26" xfId="0" applyFont="1" applyBorder="1"/>
    <xf numFmtId="0" fontId="11" fillId="0" borderId="26" xfId="0" applyFont="1" applyBorder="1"/>
    <xf numFmtId="0" fontId="11" fillId="0" borderId="36" xfId="0" applyFont="1" applyBorder="1"/>
    <xf numFmtId="0" fontId="11" fillId="0" borderId="37" xfId="0" applyFont="1" applyBorder="1"/>
    <xf numFmtId="0" fontId="13" fillId="0" borderId="37" xfId="0" applyFont="1" applyBorder="1"/>
    <xf numFmtId="0" fontId="11" fillId="0" borderId="39" xfId="0" applyFont="1" applyBorder="1"/>
    <xf numFmtId="0" fontId="13" fillId="0" borderId="39" xfId="0" applyFont="1" applyBorder="1"/>
    <xf numFmtId="0" fontId="11" fillId="0" borderId="1" xfId="0" applyFont="1" applyBorder="1"/>
    <xf numFmtId="0" fontId="11" fillId="0" borderId="24" xfId="0" applyFont="1" applyBorder="1"/>
    <xf numFmtId="0" fontId="17" fillId="0" borderId="0" xfId="0" applyFont="1"/>
    <xf numFmtId="0" fontId="19" fillId="0" borderId="0" xfId="0" applyFont="1"/>
    <xf numFmtId="0" fontId="20" fillId="0" borderId="0" xfId="0" applyFont="1"/>
    <xf numFmtId="0" fontId="18" fillId="15" borderId="0" xfId="0" applyFont="1" applyFill="1"/>
    <xf numFmtId="0" fontId="0" fillId="0" borderId="0" xfId="0" applyAlignment="1">
      <alignment horizontal="center"/>
    </xf>
    <xf numFmtId="0" fontId="0" fillId="0" borderId="0" xfId="0" applyAlignment="1">
      <alignment wrapText="1"/>
    </xf>
    <xf numFmtId="0" fontId="0" fillId="7" borderId="1" xfId="0" applyFill="1" applyBorder="1" applyAlignment="1">
      <alignment horizontal="center" vertical="top" wrapText="1"/>
    </xf>
    <xf numFmtId="0" fontId="0" fillId="4" borderId="1" xfId="0" applyFill="1" applyBorder="1" applyAlignment="1">
      <alignment horizontal="center" vertical="top" wrapText="1"/>
    </xf>
    <xf numFmtId="0" fontId="2" fillId="0" borderId="0" xfId="0" applyFont="1"/>
    <xf numFmtId="4" fontId="0" fillId="7" borderId="1" xfId="0" applyNumberFormat="1" applyFill="1" applyBorder="1" applyAlignment="1">
      <alignment vertical="top"/>
    </xf>
    <xf numFmtId="4" fontId="0" fillId="0" borderId="0" xfId="0" applyNumberFormat="1"/>
    <xf numFmtId="3" fontId="0" fillId="7" borderId="1" xfId="0" applyNumberFormat="1" applyFill="1" applyBorder="1" applyAlignment="1">
      <alignment vertical="top"/>
    </xf>
    <xf numFmtId="3" fontId="0" fillId="0" borderId="0" xfId="0" applyNumberFormat="1"/>
    <xf numFmtId="0" fontId="0" fillId="8" borderId="1" xfId="0" applyFill="1" applyBorder="1" applyAlignment="1">
      <alignment horizontal="center"/>
    </xf>
    <xf numFmtId="3" fontId="0" fillId="8" borderId="1" xfId="0" applyNumberFormat="1" applyFill="1" applyBorder="1" applyAlignment="1">
      <alignment horizontal="center" wrapText="1"/>
    </xf>
    <xf numFmtId="0" fontId="3" fillId="0" borderId="1" xfId="0" applyFont="1" applyBorder="1"/>
    <xf numFmtId="3" fontId="0" fillId="0" borderId="1" xfId="0" applyNumberFormat="1" applyBorder="1"/>
    <xf numFmtId="0" fontId="0" fillId="0" borderId="1" xfId="0" applyBorder="1"/>
    <xf numFmtId="3" fontId="0" fillId="4" borderId="1" xfId="0" applyNumberFormat="1" applyFill="1" applyBorder="1"/>
    <xf numFmtId="0" fontId="3" fillId="0" borderId="1" xfId="0" applyFont="1" applyBorder="1" applyAlignment="1">
      <alignment horizontal="left"/>
    </xf>
    <xf numFmtId="0" fontId="0" fillId="7" borderId="1" xfId="0" applyFill="1" applyBorder="1" applyAlignment="1">
      <alignment horizontal="center" vertical="top"/>
    </xf>
    <xf numFmtId="165" fontId="0" fillId="0" borderId="1" xfId="0" applyNumberFormat="1" applyBorder="1" applyAlignment="1">
      <alignment horizontal="center"/>
    </xf>
    <xf numFmtId="0" fontId="21" fillId="0" borderId="0" xfId="0" applyFont="1"/>
    <xf numFmtId="165" fontId="0" fillId="0" borderId="0" xfId="0" applyNumberFormat="1" applyAlignment="1">
      <alignment horizontal="center"/>
    </xf>
    <xf numFmtId="4" fontId="0" fillId="7" borderId="1" xfId="0" applyNumberFormat="1" applyFill="1" applyBorder="1" applyAlignment="1">
      <alignment horizontal="center" vertical="top" wrapText="1"/>
    </xf>
    <xf numFmtId="4" fontId="0" fillId="7" borderId="1" xfId="0" applyNumberFormat="1" applyFill="1" applyBorder="1" applyAlignment="1">
      <alignment vertical="top" wrapText="1"/>
    </xf>
    <xf numFmtId="4" fontId="0" fillId="7" borderId="1" xfId="0" applyNumberFormat="1" applyFill="1" applyBorder="1" applyAlignment="1">
      <alignment horizontal="center" vertical="top"/>
    </xf>
    <xf numFmtId="4" fontId="0" fillId="8" borderId="3" xfId="0" applyNumberFormat="1" applyFill="1" applyBorder="1" applyAlignment="1">
      <alignment horizontal="center"/>
    </xf>
    <xf numFmtId="4" fontId="0" fillId="8" borderId="20" xfId="0" applyNumberFormat="1" applyFill="1" applyBorder="1" applyAlignment="1">
      <alignment horizontal="center"/>
    </xf>
    <xf numFmtId="4" fontId="3" fillId="0" borderId="1" xfId="0" applyNumberFormat="1" applyFont="1" applyBorder="1"/>
    <xf numFmtId="4" fontId="3" fillId="0" borderId="1" xfId="0" applyNumberFormat="1" applyFont="1" applyBorder="1" applyAlignment="1">
      <alignment horizontal="center"/>
    </xf>
    <xf numFmtId="4" fontId="0" fillId="0" borderId="0" xfId="0" applyNumberFormat="1" applyAlignment="1">
      <alignment horizontal="center"/>
    </xf>
    <xf numFmtId="4" fontId="3" fillId="0" borderId="0" xfId="0" applyNumberFormat="1" applyFont="1" applyAlignment="1">
      <alignment horizontal="center"/>
    </xf>
    <xf numFmtId="4" fontId="3" fillId="4" borderId="1" xfId="0" applyNumberFormat="1" applyFont="1" applyFill="1" applyBorder="1" applyAlignment="1">
      <alignment horizontal="center"/>
    </xf>
    <xf numFmtId="4" fontId="0" fillId="0" borderId="1" xfId="0" applyNumberFormat="1" applyBorder="1" applyAlignment="1">
      <alignment horizontal="center"/>
    </xf>
    <xf numFmtId="4" fontId="0" fillId="4" borderId="1" xfId="0" applyNumberFormat="1" applyFill="1" applyBorder="1" applyAlignment="1">
      <alignment horizontal="center"/>
    </xf>
    <xf numFmtId="4" fontId="3" fillId="0" borderId="1" xfId="0" applyNumberFormat="1" applyFont="1" applyBorder="1" applyAlignment="1">
      <alignment horizontal="left"/>
    </xf>
    <xf numFmtId="4" fontId="0" fillId="0" borderId="2" xfId="0" applyNumberFormat="1" applyBorder="1" applyAlignment="1">
      <alignment horizontal="center"/>
    </xf>
    <xf numFmtId="0" fontId="0" fillId="16" borderId="1" xfId="0" applyFill="1" applyBorder="1"/>
    <xf numFmtId="0" fontId="0" fillId="17" borderId="1" xfId="0" applyFill="1" applyBorder="1"/>
    <xf numFmtId="0" fontId="0" fillId="0" borderId="0" xfId="0" applyAlignment="1">
      <alignment textRotation="90"/>
    </xf>
    <xf numFmtId="0" fontId="22" fillId="0" borderId="0" xfId="0" applyFont="1"/>
    <xf numFmtId="0" fontId="0" fillId="18" borderId="0" xfId="0" applyFill="1"/>
    <xf numFmtId="0" fontId="1" fillId="12" borderId="3" xfId="0" applyFont="1" applyFill="1" applyBorder="1" applyAlignment="1">
      <alignment horizontal="center" vertical="center"/>
    </xf>
    <xf numFmtId="0" fontId="1" fillId="12" borderId="42" xfId="0" applyFont="1" applyFill="1" applyBorder="1" applyAlignment="1">
      <alignment horizontal="center" vertical="center"/>
    </xf>
    <xf numFmtId="0" fontId="1" fillId="12" borderId="42" xfId="0" applyFont="1" applyFill="1" applyBorder="1" applyAlignment="1">
      <alignment horizontal="center" vertical="center" wrapText="1"/>
    </xf>
    <xf numFmtId="0" fontId="1" fillId="13" borderId="42" xfId="0" applyFont="1" applyFill="1" applyBorder="1" applyAlignment="1">
      <alignment horizontal="center" vertical="center" wrapText="1"/>
    </xf>
    <xf numFmtId="0" fontId="1" fillId="10" borderId="42" xfId="0" applyFont="1" applyFill="1" applyBorder="1" applyAlignment="1">
      <alignment horizontal="center" vertical="center" wrapText="1"/>
    </xf>
    <xf numFmtId="0" fontId="1" fillId="10" borderId="43" xfId="0" applyFont="1" applyFill="1" applyBorder="1" applyAlignment="1">
      <alignment horizontal="center" vertical="center" wrapText="1"/>
    </xf>
    <xf numFmtId="0" fontId="2" fillId="14" borderId="20" xfId="0" applyFont="1" applyFill="1" applyBorder="1" applyAlignment="1">
      <alignment horizontal="center"/>
    </xf>
    <xf numFmtId="0" fontId="2" fillId="14" borderId="41" xfId="0" applyFont="1" applyFill="1" applyBorder="1" applyAlignment="1">
      <alignment horizontal="center"/>
    </xf>
    <xf numFmtId="0" fontId="2" fillId="14" borderId="44" xfId="0" applyFont="1" applyFill="1" applyBorder="1" applyAlignment="1">
      <alignment horizontal="center"/>
    </xf>
    <xf numFmtId="0" fontId="2" fillId="0" borderId="0" xfId="0" applyFont="1" applyAlignment="1">
      <alignment horizontal="right"/>
    </xf>
    <xf numFmtId="0" fontId="2" fillId="0" borderId="7" xfId="0" applyFont="1" applyBorder="1" applyAlignment="1">
      <alignment horizontal="center" vertical="center" wrapText="1"/>
    </xf>
    <xf numFmtId="0" fontId="4" fillId="6" borderId="2" xfId="0" applyFont="1" applyFill="1" applyBorder="1" applyAlignment="1">
      <alignment horizontal="center" vertical="center" wrapText="1"/>
    </xf>
    <xf numFmtId="0" fontId="0" fillId="0" borderId="0" xfId="0" applyAlignment="1">
      <alignment horizontal="center" vertical="center"/>
    </xf>
    <xf numFmtId="0" fontId="0" fillId="0" borderId="0" xfId="0" applyAlignment="1">
      <alignment horizontal="center" vertical="top" wrapText="1"/>
    </xf>
    <xf numFmtId="0" fontId="3" fillId="0" borderId="0" xfId="0" applyFont="1" applyAlignment="1">
      <alignment horizontal="center"/>
    </xf>
    <xf numFmtId="0" fontId="0" fillId="0" borderId="0" xfId="0" applyAlignment="1">
      <alignment horizontal="center" wrapText="1"/>
    </xf>
    <xf numFmtId="0" fontId="0" fillId="7" borderId="1" xfId="0" applyFill="1" applyBorder="1" applyAlignment="1">
      <alignment horizontal="left" vertical="top"/>
    </xf>
    <xf numFmtId="0" fontId="3" fillId="4" borderId="0" xfId="0" applyFont="1" applyFill="1"/>
    <xf numFmtId="0" fontId="3" fillId="4" borderId="0" xfId="0" applyFont="1" applyFill="1" applyAlignment="1">
      <alignment horizontal="left"/>
    </xf>
    <xf numFmtId="0" fontId="3" fillId="19" borderId="0" xfId="0" applyFont="1" applyFill="1" applyAlignment="1">
      <alignment horizontal="left"/>
    </xf>
    <xf numFmtId="0" fontId="0" fillId="4" borderId="0" xfId="0" applyFill="1" applyAlignment="1">
      <alignment horizontal="center" vertical="center"/>
    </xf>
    <xf numFmtId="0" fontId="24" fillId="4" borderId="0" xfId="0" applyFont="1" applyFill="1" applyAlignment="1">
      <alignment horizontal="center" vertical="center"/>
    </xf>
    <xf numFmtId="0" fontId="6" fillId="0" borderId="0" xfId="0" applyFont="1"/>
    <xf numFmtId="0" fontId="0" fillId="0" borderId="0" xfId="0" applyAlignment="1">
      <alignment horizontal="left" vertical="center" indent="1"/>
    </xf>
    <xf numFmtId="0" fontId="23" fillId="0" borderId="0" xfId="0" applyFont="1" applyAlignment="1">
      <alignment horizontal="left" vertical="center" indent="1"/>
    </xf>
    <xf numFmtId="0" fontId="0" fillId="7" borderId="1" xfId="0" applyFill="1" applyBorder="1" applyAlignment="1">
      <alignment horizontal="center" vertical="center"/>
    </xf>
    <xf numFmtId="165" fontId="0" fillId="0" borderId="0" xfId="0" applyNumberFormat="1" applyAlignment="1">
      <alignment horizontal="center" vertical="center"/>
    </xf>
    <xf numFmtId="165" fontId="0" fillId="0" borderId="0" xfId="0" applyNumberFormat="1"/>
    <xf numFmtId="0" fontId="1" fillId="14" borderId="41" xfId="0" applyFont="1" applyFill="1" applyBorder="1" applyAlignment="1">
      <alignment horizontal="center"/>
    </xf>
    <xf numFmtId="0" fontId="1" fillId="0" borderId="0" xfId="0" applyFont="1"/>
    <xf numFmtId="0" fontId="25" fillId="0" borderId="0" xfId="0" applyFont="1"/>
    <xf numFmtId="0" fontId="26" fillId="15" borderId="0" xfId="0" applyFont="1" applyFill="1"/>
    <xf numFmtId="0" fontId="27" fillId="0" borderId="0" xfId="0" applyFont="1"/>
    <xf numFmtId="0" fontId="28" fillId="0" borderId="0" xfId="0" applyFont="1"/>
    <xf numFmtId="0" fontId="1" fillId="12" borderId="3" xfId="0" applyFont="1" applyFill="1" applyBorder="1" applyAlignment="1">
      <alignment horizontal="center" vertical="center" wrapText="1"/>
    </xf>
    <xf numFmtId="0" fontId="1" fillId="4" borderId="3" xfId="0" applyFont="1" applyFill="1" applyBorder="1" applyAlignment="1">
      <alignment horizontal="center" vertical="center" wrapText="1"/>
    </xf>
    <xf numFmtId="0" fontId="27" fillId="14" borderId="41" xfId="0" applyFont="1" applyFill="1" applyBorder="1" applyAlignment="1">
      <alignment horizontal="center"/>
    </xf>
    <xf numFmtId="0" fontId="2" fillId="0" borderId="0" xfId="0" applyFont="1" applyAlignment="1">
      <alignment horizontal="center"/>
    </xf>
    <xf numFmtId="0" fontId="1" fillId="5" borderId="42" xfId="0" applyFont="1" applyFill="1" applyBorder="1" applyAlignment="1">
      <alignment horizontal="center" vertical="center" wrapText="1"/>
    </xf>
    <xf numFmtId="0" fontId="0" fillId="0" borderId="0" xfId="0" applyAlignment="1">
      <alignment horizontal="right"/>
    </xf>
    <xf numFmtId="0" fontId="1" fillId="0" borderId="0" xfId="0" applyFont="1" applyAlignment="1">
      <alignment horizontal="center"/>
    </xf>
    <xf numFmtId="0" fontId="0" fillId="4" borderId="1" xfId="0" applyFill="1" applyBorder="1" applyAlignment="1">
      <alignment vertical="top"/>
    </xf>
    <xf numFmtId="1" fontId="0" fillId="7" borderId="33" xfId="0" applyNumberFormat="1" applyFill="1" applyBorder="1" applyAlignment="1">
      <alignment horizontal="center" vertical="top"/>
    </xf>
    <xf numFmtId="0" fontId="0" fillId="7" borderId="33" xfId="0" applyFill="1" applyBorder="1" applyAlignment="1">
      <alignment vertical="top"/>
    </xf>
    <xf numFmtId="0" fontId="0" fillId="7" borderId="0" xfId="0" applyFill="1" applyAlignment="1">
      <alignment vertical="top"/>
    </xf>
    <xf numFmtId="0" fontId="0" fillId="8" borderId="20" xfId="0" applyFill="1" applyBorder="1" applyAlignment="1">
      <alignment horizontal="center" vertical="center"/>
    </xf>
    <xf numFmtId="1" fontId="0" fillId="8" borderId="20" xfId="0" applyNumberFormat="1" applyFill="1" applyBorder="1" applyAlignment="1">
      <alignment horizontal="center"/>
    </xf>
    <xf numFmtId="0" fontId="0" fillId="8" borderId="0" xfId="0" applyFill="1" applyAlignment="1">
      <alignment horizontal="center"/>
    </xf>
    <xf numFmtId="1" fontId="0" fillId="0" borderId="0" xfId="0" applyNumberFormat="1" applyAlignment="1">
      <alignment horizontal="center"/>
    </xf>
    <xf numFmtId="16" fontId="0" fillId="0" borderId="0" xfId="0" applyNumberFormat="1" applyAlignment="1">
      <alignment horizontal="center" vertical="center"/>
    </xf>
    <xf numFmtId="16" fontId="0" fillId="0" borderId="0" xfId="0" applyNumberFormat="1" applyAlignment="1">
      <alignment horizontal="center"/>
    </xf>
    <xf numFmtId="0" fontId="0" fillId="0" borderId="0" xfId="0" applyAlignment="1">
      <alignment horizontal="left" vertical="top"/>
    </xf>
    <xf numFmtId="0" fontId="5" fillId="0" borderId="0" xfId="0" applyFont="1" applyAlignment="1">
      <alignment horizontal="center" vertical="center"/>
    </xf>
    <xf numFmtId="0" fontId="29" fillId="0" borderId="0" xfId="0" applyFont="1"/>
    <xf numFmtId="0" fontId="2" fillId="0" borderId="2" xfId="0" applyFont="1" applyBorder="1"/>
    <xf numFmtId="0" fontId="2" fillId="21" borderId="1" xfId="0" applyFont="1" applyFill="1" applyBorder="1" applyAlignment="1">
      <alignment horizontal="center" vertical="center" wrapText="1"/>
    </xf>
    <xf numFmtId="0" fontId="2" fillId="21" borderId="45" xfId="0" applyFont="1" applyFill="1" applyBorder="1" applyAlignment="1">
      <alignment horizontal="center" vertical="center"/>
    </xf>
    <xf numFmtId="0" fontId="1" fillId="0" borderId="1" xfId="0" applyFont="1" applyBorder="1" applyAlignment="1">
      <alignment horizontal="center" vertical="center" wrapText="1"/>
    </xf>
    <xf numFmtId="0" fontId="1" fillId="0" borderId="2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26" xfId="0" applyFont="1" applyBorder="1" applyAlignment="1">
      <alignment horizontal="center" vertical="center" wrapText="1"/>
    </xf>
    <xf numFmtId="164" fontId="2" fillId="0" borderId="26" xfId="0" applyNumberFormat="1" applyFont="1" applyBorder="1" applyAlignment="1">
      <alignment horizontal="center" vertical="center" wrapText="1"/>
    </xf>
    <xf numFmtId="0" fontId="2" fillId="0" borderId="26" xfId="0" applyFont="1" applyBorder="1" applyAlignment="1">
      <alignment horizontal="center" vertical="center"/>
    </xf>
    <xf numFmtId="0" fontId="2" fillId="0" borderId="0" xfId="0" applyFont="1" applyAlignment="1">
      <alignment horizontal="center" vertical="center"/>
    </xf>
    <xf numFmtId="0" fontId="2" fillId="0" borderId="0" xfId="0" applyFont="1" applyAlignment="1">
      <alignment horizontal="center" vertical="center" wrapText="1"/>
    </xf>
    <xf numFmtId="0" fontId="2" fillId="0" borderId="4" xfId="0" applyFont="1" applyBorder="1" applyAlignment="1">
      <alignment horizontal="center" vertical="center"/>
    </xf>
    <xf numFmtId="0" fontId="30" fillId="0" borderId="26" xfId="0" applyFont="1" applyBorder="1" applyAlignment="1">
      <alignment horizontal="center" vertical="center"/>
    </xf>
    <xf numFmtId="0" fontId="31" fillId="22" borderId="1" xfId="0" applyFont="1" applyFill="1" applyBorder="1" applyAlignment="1">
      <alignment horizontal="center" vertical="center"/>
    </xf>
    <xf numFmtId="0" fontId="2" fillId="21" borderId="24" xfId="0" applyFont="1" applyFill="1" applyBorder="1" applyAlignment="1">
      <alignment horizontal="center" vertical="center" wrapText="1"/>
    </xf>
    <xf numFmtId="0" fontId="2" fillId="21" borderId="46" xfId="0" applyFont="1" applyFill="1" applyBorder="1" applyAlignment="1">
      <alignment horizontal="center" vertical="center"/>
    </xf>
    <xf numFmtId="0" fontId="2" fillId="21" borderId="46" xfId="0" applyFont="1" applyFill="1" applyBorder="1" applyAlignment="1">
      <alignment horizontal="center" vertical="center" wrapText="1"/>
    </xf>
    <xf numFmtId="0" fontId="6" fillId="20" borderId="0" xfId="0" applyFont="1" applyFill="1" applyAlignment="1">
      <alignment horizontal="center" vertical="center"/>
    </xf>
    <xf numFmtId="0" fontId="0" fillId="0" borderId="0" xfId="0" applyAlignment="1">
      <alignment horizontal="center"/>
    </xf>
    <xf numFmtId="0" fontId="0" fillId="0" borderId="0" xfId="0" applyAlignment="1">
      <alignment horizontal="center" wrapText="1"/>
    </xf>
    <xf numFmtId="0" fontId="0" fillId="0" borderId="0" xfId="0" applyAlignment="1">
      <alignment horizontal="center" vertical="center" wrapText="1"/>
    </xf>
    <xf numFmtId="0" fontId="0" fillId="0" borderId="0" xfId="0" applyAlignment="1">
      <alignment horizontal="center" vertical="center"/>
    </xf>
    <xf numFmtId="0" fontId="0" fillId="0" borderId="0" xfId="0" applyAlignment="1">
      <alignment horizontal="center" vertical="top" wrapText="1"/>
    </xf>
    <xf numFmtId="0" fontId="0" fillId="0" borderId="0" xfId="0" applyAlignment="1">
      <alignment horizontal="center" vertical="top"/>
    </xf>
    <xf numFmtId="0" fontId="2" fillId="0" borderId="0" xfId="0" applyFont="1" applyAlignment="1">
      <alignment horizontal="left" vertical="center" wrapText="1"/>
    </xf>
    <xf numFmtId="0" fontId="2" fillId="0" borderId="2" xfId="0" applyFont="1" applyBorder="1" applyAlignment="1">
      <alignment horizontal="center" vertical="center" wrapText="1"/>
    </xf>
    <xf numFmtId="0" fontId="0" fillId="0" borderId="6" xfId="0" applyBorder="1" applyAlignment="1">
      <alignment horizontal="center" vertical="center"/>
    </xf>
    <xf numFmtId="0" fontId="6" fillId="5" borderId="8" xfId="0" applyFont="1" applyFill="1" applyBorder="1" applyAlignment="1">
      <alignment horizontal="center" vertical="center"/>
    </xf>
    <xf numFmtId="0" fontId="6" fillId="5" borderId="9" xfId="0" applyFont="1" applyFill="1" applyBorder="1" applyAlignment="1">
      <alignment horizontal="center" vertical="center"/>
    </xf>
    <xf numFmtId="0" fontId="6" fillId="5" borderId="10" xfId="0" applyFont="1" applyFill="1" applyBorder="1" applyAlignment="1">
      <alignment horizontal="center" vertical="center"/>
    </xf>
    <xf numFmtId="0" fontId="6" fillId="6" borderId="2" xfId="0" applyFont="1" applyFill="1" applyBorder="1" applyAlignment="1">
      <alignment horizontal="center" vertical="center"/>
    </xf>
    <xf numFmtId="0" fontId="12" fillId="0" borderId="25" xfId="0" applyFont="1" applyBorder="1"/>
    <xf numFmtId="0" fontId="12" fillId="0" borderId="24" xfId="0" applyFont="1" applyBorder="1"/>
    <xf numFmtId="0" fontId="12" fillId="0" borderId="6" xfId="0" applyFont="1" applyBorder="1"/>
    <xf numFmtId="0" fontId="12" fillId="0" borderId="7" xfId="0" applyFont="1" applyBorder="1"/>
    <xf numFmtId="0" fontId="11" fillId="0" borderId="29" xfId="0" applyFont="1" applyBorder="1"/>
    <xf numFmtId="0" fontId="11" fillId="0" borderId="28" xfId="0" applyFont="1" applyBorder="1"/>
    <xf numFmtId="0" fontId="11" fillId="0" borderId="31" xfId="0" applyFont="1" applyBorder="1"/>
    <xf numFmtId="0" fontId="11" fillId="0" borderId="30" xfId="0" applyFont="1" applyBorder="1"/>
    <xf numFmtId="0" fontId="15" fillId="0" borderId="0" xfId="0" applyFont="1"/>
    <xf numFmtId="0" fontId="15" fillId="0" borderId="21" xfId="0" applyFont="1" applyBorder="1"/>
    <xf numFmtId="0" fontId="15" fillId="0" borderId="33" xfId="0" applyFont="1" applyBorder="1"/>
    <xf numFmtId="0" fontId="15" fillId="0" borderId="32" xfId="0" applyFont="1" applyBorder="1"/>
    <xf numFmtId="0" fontId="12" fillId="0" borderId="3" xfId="0" applyFont="1" applyBorder="1"/>
    <xf numFmtId="0" fontId="12" fillId="0" borderId="34" xfId="0" applyFont="1" applyBorder="1"/>
    <xf numFmtId="0" fontId="16" fillId="0" borderId="3" xfId="0" applyFont="1" applyBorder="1"/>
    <xf numFmtId="0" fontId="16" fillId="0" borderId="34" xfId="0" applyFont="1" applyBorder="1"/>
    <xf numFmtId="0" fontId="12" fillId="0" borderId="38" xfId="0" applyFont="1" applyBorder="1"/>
    <xf numFmtId="0" fontId="12" fillId="0" borderId="36" xfId="0" applyFont="1" applyBorder="1"/>
    <xf numFmtId="0" fontId="12" fillId="0" borderId="35" xfId="0" applyFont="1" applyBorder="1"/>
    <xf numFmtId="0" fontId="12" fillId="0" borderId="40" xfId="0" applyFont="1" applyBorder="1"/>
  </cellXfs>
  <cellStyles count="2">
    <cellStyle name="Lien hypertexte" xfId="1"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 Id="rId27"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0</xdr:col>
      <xdr:colOff>15240</xdr:colOff>
      <xdr:row>7</xdr:row>
      <xdr:rowOff>121920</xdr:rowOff>
    </xdr:from>
    <xdr:to>
      <xdr:col>6</xdr:col>
      <xdr:colOff>229031</xdr:colOff>
      <xdr:row>16</xdr:row>
      <xdr:rowOff>91580</xdr:rowOff>
    </xdr:to>
    <xdr:pic>
      <xdr:nvPicPr>
        <xdr:cNvPr id="2" name="Image 1">
          <a:extLst>
            <a:ext uri="{FF2B5EF4-FFF2-40B4-BE49-F238E27FC236}">
              <a16:creationId xmlns:a16="http://schemas.microsoft.com/office/drawing/2014/main" id="{DF2968B6-BE7B-E2EE-CB77-6755D4AAAF95}"/>
            </a:ext>
          </a:extLst>
        </xdr:cNvPr>
        <xdr:cNvPicPr>
          <a:picLocks noChangeAspect="1"/>
        </xdr:cNvPicPr>
      </xdr:nvPicPr>
      <xdr:blipFill>
        <a:blip xmlns:r="http://schemas.openxmlformats.org/officeDocument/2006/relationships" r:embed="rId1"/>
        <a:stretch>
          <a:fillRect/>
        </a:stretch>
      </xdr:blipFill>
      <xdr:spPr>
        <a:xfrm>
          <a:off x="15240" y="1402080"/>
          <a:ext cx="4968671" cy="161558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277956</xdr:colOff>
      <xdr:row>22</xdr:row>
      <xdr:rowOff>134216</xdr:rowOff>
    </xdr:from>
    <xdr:to>
      <xdr:col>27</xdr:col>
      <xdr:colOff>230331</xdr:colOff>
      <xdr:row>29</xdr:row>
      <xdr:rowOff>108239</xdr:rowOff>
    </xdr:to>
    <xdr:pic>
      <xdr:nvPicPr>
        <xdr:cNvPr id="3" name="Picture 2">
          <a:extLst>
            <a:ext uri="{FF2B5EF4-FFF2-40B4-BE49-F238E27FC236}">
              <a16:creationId xmlns:a16="http://schemas.microsoft.com/office/drawing/2014/main" id="{B234101D-48BE-7B57-B7C8-F715D2C6B4C1}"/>
            </a:ext>
            <a:ext uri="{147F2762-F138-4A5C-976F-8EAC2B608ADB}">
              <a16:predDERef xmlns:a16="http://schemas.microsoft.com/office/drawing/2014/main" pred="{6BAAE250-8AD7-D5B9-F697-98C880F205B3}"/>
            </a:ext>
          </a:extLst>
        </xdr:cNvPr>
        <xdr:cNvPicPr>
          <a:picLocks noChangeAspect="1"/>
        </xdr:cNvPicPr>
      </xdr:nvPicPr>
      <xdr:blipFill>
        <a:blip xmlns:r="http://schemas.openxmlformats.org/officeDocument/2006/relationships" r:embed="rId1"/>
        <a:stretch>
          <a:fillRect/>
        </a:stretch>
      </xdr:blipFill>
      <xdr:spPr>
        <a:xfrm>
          <a:off x="12508056" y="4658591"/>
          <a:ext cx="7629525" cy="1307523"/>
        </a:xfrm>
        <a:prstGeom prst="rect">
          <a:avLst/>
        </a:prstGeom>
      </xdr:spPr>
    </xdr:pic>
    <xdr:clientData/>
  </xdr:twoCellAnchor>
  <xdr:twoCellAnchor editAs="oneCell">
    <xdr:from>
      <xdr:col>14</xdr:col>
      <xdr:colOff>329911</xdr:colOff>
      <xdr:row>11</xdr:row>
      <xdr:rowOff>179244</xdr:rowOff>
    </xdr:from>
    <xdr:to>
      <xdr:col>22</xdr:col>
      <xdr:colOff>44161</xdr:colOff>
      <xdr:row>20</xdr:row>
      <xdr:rowOff>55419</xdr:rowOff>
    </xdr:to>
    <xdr:pic>
      <xdr:nvPicPr>
        <xdr:cNvPr id="4" name="Picture 3">
          <a:extLst>
            <a:ext uri="{FF2B5EF4-FFF2-40B4-BE49-F238E27FC236}">
              <a16:creationId xmlns:a16="http://schemas.microsoft.com/office/drawing/2014/main" id="{E290B2B2-3191-46C9-83BB-3EE90DBDFE9A}"/>
            </a:ext>
            <a:ext uri="{147F2762-F138-4A5C-976F-8EAC2B608ADB}">
              <a16:predDERef xmlns:a16="http://schemas.microsoft.com/office/drawing/2014/main" pred="{B234101D-48BE-7B57-B7C8-F715D2C6B4C1}"/>
            </a:ext>
          </a:extLst>
        </xdr:cNvPr>
        <xdr:cNvPicPr>
          <a:picLocks noChangeAspect="1"/>
        </xdr:cNvPicPr>
      </xdr:nvPicPr>
      <xdr:blipFill>
        <a:blip xmlns:r="http://schemas.openxmlformats.org/officeDocument/2006/relationships" r:embed="rId2"/>
        <a:stretch>
          <a:fillRect/>
        </a:stretch>
      </xdr:blipFill>
      <xdr:spPr>
        <a:xfrm>
          <a:off x="12560011" y="2598594"/>
          <a:ext cx="4438650" cy="1590675"/>
        </a:xfrm>
        <a:prstGeom prst="rect">
          <a:avLst/>
        </a:prstGeom>
      </xdr:spPr>
    </xdr:pic>
    <xdr:clientData/>
  </xdr:twoCellAnchor>
  <xdr:twoCellAnchor editAs="oneCell">
    <xdr:from>
      <xdr:col>14</xdr:col>
      <xdr:colOff>333375</xdr:colOff>
      <xdr:row>30</xdr:row>
      <xdr:rowOff>130753</xdr:rowOff>
    </xdr:from>
    <xdr:to>
      <xdr:col>22</xdr:col>
      <xdr:colOff>47625</xdr:colOff>
      <xdr:row>42</xdr:row>
      <xdr:rowOff>77932</xdr:rowOff>
    </xdr:to>
    <xdr:pic>
      <xdr:nvPicPr>
        <xdr:cNvPr id="5" name="Picture 4">
          <a:extLst>
            <a:ext uri="{FF2B5EF4-FFF2-40B4-BE49-F238E27FC236}">
              <a16:creationId xmlns:a16="http://schemas.microsoft.com/office/drawing/2014/main" id="{EE796608-AD3C-EE8A-F636-2065D8A0F09A}"/>
            </a:ext>
            <a:ext uri="{147F2762-F138-4A5C-976F-8EAC2B608ADB}">
              <a16:predDERef xmlns:a16="http://schemas.microsoft.com/office/drawing/2014/main" pred="{E290B2B2-3191-46C9-83BB-3EE90DBDFE9A}"/>
            </a:ext>
          </a:extLst>
        </xdr:cNvPr>
        <xdr:cNvPicPr>
          <a:picLocks noChangeAspect="1"/>
        </xdr:cNvPicPr>
      </xdr:nvPicPr>
      <xdr:blipFill>
        <a:blip xmlns:r="http://schemas.openxmlformats.org/officeDocument/2006/relationships" r:embed="rId3"/>
        <a:stretch>
          <a:fillRect/>
        </a:stretch>
      </xdr:blipFill>
      <xdr:spPr>
        <a:xfrm>
          <a:off x="12563475" y="6179128"/>
          <a:ext cx="4438650" cy="2233179"/>
        </a:xfrm>
        <a:prstGeom prst="rect">
          <a:avLst/>
        </a:prstGeom>
      </xdr:spPr>
    </xdr:pic>
    <xdr:clientData/>
  </xdr:twoCellAnchor>
  <xdr:twoCellAnchor editAs="oneCell">
    <xdr:from>
      <xdr:col>14</xdr:col>
      <xdr:colOff>276225</xdr:colOff>
      <xdr:row>1</xdr:row>
      <xdr:rowOff>76200</xdr:rowOff>
    </xdr:from>
    <xdr:to>
      <xdr:col>22</xdr:col>
      <xdr:colOff>123825</xdr:colOff>
      <xdr:row>10</xdr:row>
      <xdr:rowOff>85725</xdr:rowOff>
    </xdr:to>
    <xdr:pic>
      <xdr:nvPicPr>
        <xdr:cNvPr id="2" name="Picture 1">
          <a:extLst>
            <a:ext uri="{FF2B5EF4-FFF2-40B4-BE49-F238E27FC236}">
              <a16:creationId xmlns:a16="http://schemas.microsoft.com/office/drawing/2014/main" id="{9892F916-E201-41F7-C590-1CE7520BB4D5}"/>
            </a:ext>
            <a:ext uri="{147F2762-F138-4A5C-976F-8EAC2B608ADB}">
              <a16:predDERef xmlns:a16="http://schemas.microsoft.com/office/drawing/2014/main" pred="{EE796608-AD3C-EE8A-F636-2065D8A0F09A}"/>
            </a:ext>
          </a:extLst>
        </xdr:cNvPr>
        <xdr:cNvPicPr>
          <a:picLocks noChangeAspect="1"/>
        </xdr:cNvPicPr>
      </xdr:nvPicPr>
      <xdr:blipFill>
        <a:blip xmlns:r="http://schemas.openxmlformats.org/officeDocument/2006/relationships" r:embed="rId4"/>
        <a:stretch>
          <a:fillRect/>
        </a:stretch>
      </xdr:blipFill>
      <xdr:spPr>
        <a:xfrm>
          <a:off x="12506325" y="600075"/>
          <a:ext cx="4572000" cy="17335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11</xdr:col>
      <xdr:colOff>371475</xdr:colOff>
      <xdr:row>3</xdr:row>
      <xdr:rowOff>28575</xdr:rowOff>
    </xdr:from>
    <xdr:to>
      <xdr:col>21</xdr:col>
      <xdr:colOff>28575</xdr:colOff>
      <xdr:row>14</xdr:row>
      <xdr:rowOff>19050</xdr:rowOff>
    </xdr:to>
    <xdr:pic>
      <xdr:nvPicPr>
        <xdr:cNvPr id="2" name="Picture 1">
          <a:extLst>
            <a:ext uri="{FF2B5EF4-FFF2-40B4-BE49-F238E27FC236}">
              <a16:creationId xmlns:a16="http://schemas.microsoft.com/office/drawing/2014/main" id="{CA3B4106-EF0A-AB9F-6883-9DA125BC51E4}"/>
            </a:ext>
          </a:extLst>
        </xdr:cNvPr>
        <xdr:cNvPicPr>
          <a:picLocks noChangeAspect="1"/>
        </xdr:cNvPicPr>
      </xdr:nvPicPr>
      <xdr:blipFill>
        <a:blip xmlns:r="http://schemas.openxmlformats.org/officeDocument/2006/relationships" r:embed="rId1"/>
        <a:stretch>
          <a:fillRect/>
        </a:stretch>
      </xdr:blipFill>
      <xdr:spPr>
        <a:xfrm>
          <a:off x="18583275" y="781050"/>
          <a:ext cx="5753100" cy="2085975"/>
        </a:xfrm>
        <a:prstGeom prst="rect">
          <a:avLst/>
        </a:prstGeom>
      </xdr:spPr>
    </xdr:pic>
    <xdr:clientData/>
  </xdr:twoCellAnchor>
  <xdr:twoCellAnchor editAs="oneCell">
    <xdr:from>
      <xdr:col>11</xdr:col>
      <xdr:colOff>390525</xdr:colOff>
      <xdr:row>15</xdr:row>
      <xdr:rowOff>9525</xdr:rowOff>
    </xdr:from>
    <xdr:to>
      <xdr:col>15</xdr:col>
      <xdr:colOff>0</xdr:colOff>
      <xdr:row>18</xdr:row>
      <xdr:rowOff>57150</xdr:rowOff>
    </xdr:to>
    <xdr:pic>
      <xdr:nvPicPr>
        <xdr:cNvPr id="3" name="Picture 2">
          <a:extLst>
            <a:ext uri="{FF2B5EF4-FFF2-40B4-BE49-F238E27FC236}">
              <a16:creationId xmlns:a16="http://schemas.microsoft.com/office/drawing/2014/main" id="{1A01F01A-5EC6-890A-94D8-445BD931D55A}"/>
            </a:ext>
            <a:ext uri="{147F2762-F138-4A5C-976F-8EAC2B608ADB}">
              <a16:predDERef xmlns:a16="http://schemas.microsoft.com/office/drawing/2014/main" pred="{CA3B4106-EF0A-AB9F-6883-9DA125BC51E4}"/>
            </a:ext>
          </a:extLst>
        </xdr:cNvPr>
        <xdr:cNvPicPr>
          <a:picLocks noChangeAspect="1"/>
        </xdr:cNvPicPr>
      </xdr:nvPicPr>
      <xdr:blipFill>
        <a:blip xmlns:r="http://schemas.openxmlformats.org/officeDocument/2006/relationships" r:embed="rId2"/>
        <a:stretch>
          <a:fillRect/>
        </a:stretch>
      </xdr:blipFill>
      <xdr:spPr>
        <a:xfrm>
          <a:off x="18602325" y="3048000"/>
          <a:ext cx="2038350" cy="619125"/>
        </a:xfrm>
        <a:prstGeom prst="rect">
          <a:avLst/>
        </a:prstGeom>
      </xdr:spPr>
    </xdr:pic>
    <xdr:clientData/>
  </xdr:twoCellAnchor>
  <xdr:twoCellAnchor editAs="oneCell">
    <xdr:from>
      <xdr:col>11</xdr:col>
      <xdr:colOff>409575</xdr:colOff>
      <xdr:row>19</xdr:row>
      <xdr:rowOff>28575</xdr:rowOff>
    </xdr:from>
    <xdr:to>
      <xdr:col>22</xdr:col>
      <xdr:colOff>0</xdr:colOff>
      <xdr:row>42</xdr:row>
      <xdr:rowOff>85725</xdr:rowOff>
    </xdr:to>
    <xdr:pic>
      <xdr:nvPicPr>
        <xdr:cNvPr id="4" name="Picture 3">
          <a:extLst>
            <a:ext uri="{FF2B5EF4-FFF2-40B4-BE49-F238E27FC236}">
              <a16:creationId xmlns:a16="http://schemas.microsoft.com/office/drawing/2014/main" id="{5DCFBB77-7FB7-F8C9-10BA-9E8E06DE2968}"/>
            </a:ext>
            <a:ext uri="{147F2762-F138-4A5C-976F-8EAC2B608ADB}">
              <a16:predDERef xmlns:a16="http://schemas.microsoft.com/office/drawing/2014/main" pred="{1A01F01A-5EC6-890A-94D8-445BD931D55A}"/>
            </a:ext>
          </a:extLst>
        </xdr:cNvPr>
        <xdr:cNvPicPr>
          <a:picLocks noChangeAspect="1"/>
        </xdr:cNvPicPr>
      </xdr:nvPicPr>
      <xdr:blipFill>
        <a:blip xmlns:r="http://schemas.openxmlformats.org/officeDocument/2006/relationships" r:embed="rId3"/>
        <a:stretch>
          <a:fillRect/>
        </a:stretch>
      </xdr:blipFill>
      <xdr:spPr>
        <a:xfrm>
          <a:off x="18621375" y="3829050"/>
          <a:ext cx="6286500" cy="44386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14</xdr:col>
      <xdr:colOff>10439</xdr:colOff>
      <xdr:row>0</xdr:row>
      <xdr:rowOff>156576</xdr:rowOff>
    </xdr:from>
    <xdr:to>
      <xdr:col>20</xdr:col>
      <xdr:colOff>155138</xdr:colOff>
      <xdr:row>29</xdr:row>
      <xdr:rowOff>80184</xdr:rowOff>
    </xdr:to>
    <xdr:pic>
      <xdr:nvPicPr>
        <xdr:cNvPr id="3" name="Picture 2">
          <a:extLst>
            <a:ext uri="{FF2B5EF4-FFF2-40B4-BE49-F238E27FC236}">
              <a16:creationId xmlns:a16="http://schemas.microsoft.com/office/drawing/2014/main" id="{AB324A0D-6080-4653-8078-B6D150FADB8D}"/>
            </a:ext>
          </a:extLst>
        </xdr:cNvPr>
        <xdr:cNvPicPr>
          <a:picLocks noChangeAspect="1"/>
        </xdr:cNvPicPr>
      </xdr:nvPicPr>
      <xdr:blipFill>
        <a:blip xmlns:r="http://schemas.openxmlformats.org/officeDocument/2006/relationships" r:embed="rId1"/>
        <a:stretch>
          <a:fillRect/>
        </a:stretch>
      </xdr:blipFill>
      <xdr:spPr>
        <a:xfrm>
          <a:off x="22724302" y="156576"/>
          <a:ext cx="5344271" cy="5106113"/>
        </a:xfrm>
        <a:prstGeom prst="rect">
          <a:avLst/>
        </a:prstGeom>
      </xdr:spPr>
    </xdr:pic>
    <xdr:clientData/>
  </xdr:twoCellAnchor>
  <xdr:twoCellAnchor editAs="oneCell">
    <xdr:from>
      <xdr:col>11</xdr:col>
      <xdr:colOff>165474</xdr:colOff>
      <xdr:row>21</xdr:row>
      <xdr:rowOff>73067</xdr:rowOff>
    </xdr:from>
    <xdr:to>
      <xdr:col>13</xdr:col>
      <xdr:colOff>564027</xdr:colOff>
      <xdr:row>42</xdr:row>
      <xdr:rowOff>160361</xdr:rowOff>
    </xdr:to>
    <xdr:pic>
      <xdr:nvPicPr>
        <xdr:cNvPr id="4" name="Picture 3">
          <a:extLst>
            <a:ext uri="{FF2B5EF4-FFF2-40B4-BE49-F238E27FC236}">
              <a16:creationId xmlns:a16="http://schemas.microsoft.com/office/drawing/2014/main" id="{9C930DD6-71D0-4E34-9114-4CB07FC0D51F}"/>
            </a:ext>
          </a:extLst>
        </xdr:cNvPr>
        <xdr:cNvPicPr>
          <a:picLocks noChangeAspect="1"/>
        </xdr:cNvPicPr>
      </xdr:nvPicPr>
      <xdr:blipFill>
        <a:blip xmlns:r="http://schemas.openxmlformats.org/officeDocument/2006/relationships" r:embed="rId2"/>
        <a:stretch>
          <a:fillRect/>
        </a:stretch>
      </xdr:blipFill>
      <xdr:spPr>
        <a:xfrm>
          <a:off x="18119447" y="3830875"/>
          <a:ext cx="4293330" cy="382140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13</xdr:col>
      <xdr:colOff>542925</xdr:colOff>
      <xdr:row>4</xdr:row>
      <xdr:rowOff>95250</xdr:rowOff>
    </xdr:from>
    <xdr:to>
      <xdr:col>17</xdr:col>
      <xdr:colOff>371475</xdr:colOff>
      <xdr:row>8</xdr:row>
      <xdr:rowOff>133350</xdr:rowOff>
    </xdr:to>
    <xdr:pic>
      <xdr:nvPicPr>
        <xdr:cNvPr id="2" name="Picture 1">
          <a:extLst>
            <a:ext uri="{FF2B5EF4-FFF2-40B4-BE49-F238E27FC236}">
              <a16:creationId xmlns:a16="http://schemas.microsoft.com/office/drawing/2014/main" id="{05C0B40F-2A94-0724-FBFC-88BAC4A9CCA6}"/>
            </a:ext>
          </a:extLst>
        </xdr:cNvPr>
        <xdr:cNvPicPr>
          <a:picLocks noChangeAspect="1"/>
        </xdr:cNvPicPr>
      </xdr:nvPicPr>
      <xdr:blipFill>
        <a:blip xmlns:r="http://schemas.openxmlformats.org/officeDocument/2006/relationships" r:embed="rId1"/>
        <a:stretch>
          <a:fillRect/>
        </a:stretch>
      </xdr:blipFill>
      <xdr:spPr>
        <a:xfrm>
          <a:off x="16906875" y="857250"/>
          <a:ext cx="3038475" cy="800100"/>
        </a:xfrm>
        <a:prstGeom prst="rect">
          <a:avLst/>
        </a:prstGeom>
      </xdr:spPr>
    </xdr:pic>
    <xdr:clientData/>
  </xdr:twoCellAnchor>
  <xdr:twoCellAnchor editAs="oneCell">
    <xdr:from>
      <xdr:col>14</xdr:col>
      <xdr:colOff>9525</xdr:colOff>
      <xdr:row>8</xdr:row>
      <xdr:rowOff>57150</xdr:rowOff>
    </xdr:from>
    <xdr:to>
      <xdr:col>20</xdr:col>
      <xdr:colOff>323850</xdr:colOff>
      <xdr:row>19</xdr:row>
      <xdr:rowOff>9525</xdr:rowOff>
    </xdr:to>
    <xdr:pic>
      <xdr:nvPicPr>
        <xdr:cNvPr id="3" name="Picture 2">
          <a:extLst>
            <a:ext uri="{FF2B5EF4-FFF2-40B4-BE49-F238E27FC236}">
              <a16:creationId xmlns:a16="http://schemas.microsoft.com/office/drawing/2014/main" id="{5F6D6100-70C8-B140-4B51-D7021B29F94B}"/>
            </a:ext>
            <a:ext uri="{147F2762-F138-4A5C-976F-8EAC2B608ADB}">
              <a16:predDERef xmlns:a16="http://schemas.microsoft.com/office/drawing/2014/main" pred="{05C0B40F-2A94-0724-FBFC-88BAC4A9CCA6}"/>
            </a:ext>
          </a:extLst>
        </xdr:cNvPr>
        <xdr:cNvPicPr>
          <a:picLocks noChangeAspect="1"/>
        </xdr:cNvPicPr>
      </xdr:nvPicPr>
      <xdr:blipFill>
        <a:blip xmlns:r="http://schemas.openxmlformats.org/officeDocument/2006/relationships" r:embed="rId2"/>
        <a:stretch>
          <a:fillRect/>
        </a:stretch>
      </xdr:blipFill>
      <xdr:spPr>
        <a:xfrm>
          <a:off x="16983075" y="1581150"/>
          <a:ext cx="4572000" cy="2047875"/>
        </a:xfrm>
        <a:prstGeom prst="rect">
          <a:avLst/>
        </a:prstGeom>
      </xdr:spPr>
    </xdr:pic>
    <xdr:clientData/>
  </xdr:twoCellAnchor>
  <xdr:twoCellAnchor editAs="oneCell">
    <xdr:from>
      <xdr:col>20</xdr:col>
      <xdr:colOff>495300</xdr:colOff>
      <xdr:row>0</xdr:row>
      <xdr:rowOff>38100</xdr:rowOff>
    </xdr:from>
    <xdr:to>
      <xdr:col>28</xdr:col>
      <xdr:colOff>190500</xdr:colOff>
      <xdr:row>19</xdr:row>
      <xdr:rowOff>104775</xdr:rowOff>
    </xdr:to>
    <xdr:pic>
      <xdr:nvPicPr>
        <xdr:cNvPr id="4" name="Picture 3">
          <a:extLst>
            <a:ext uri="{FF2B5EF4-FFF2-40B4-BE49-F238E27FC236}">
              <a16:creationId xmlns:a16="http://schemas.microsoft.com/office/drawing/2014/main" id="{AC1B06C4-1529-4E17-9D47-D7042B85668C}"/>
            </a:ext>
            <a:ext uri="{147F2762-F138-4A5C-976F-8EAC2B608ADB}">
              <a16:predDERef xmlns:a16="http://schemas.microsoft.com/office/drawing/2014/main" pred="{5F6D6100-70C8-B140-4B51-D7021B29F94B}"/>
            </a:ext>
          </a:extLst>
        </xdr:cNvPr>
        <xdr:cNvPicPr>
          <a:picLocks noChangeAspect="1"/>
        </xdr:cNvPicPr>
      </xdr:nvPicPr>
      <xdr:blipFill>
        <a:blip xmlns:r="http://schemas.openxmlformats.org/officeDocument/2006/relationships" r:embed="rId3"/>
        <a:stretch>
          <a:fillRect/>
        </a:stretch>
      </xdr:blipFill>
      <xdr:spPr>
        <a:xfrm>
          <a:off x="21726525" y="38100"/>
          <a:ext cx="4572000" cy="36861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7.xml.rels><?xml version="1.0" encoding="UTF-8" standalone="yes"?>
<Relationships xmlns="http://schemas.openxmlformats.org/package/2006/relationships"><Relationship Id="rId117" Type="http://schemas.openxmlformats.org/officeDocument/2006/relationships/hyperlink" Target="https://aris.iaea.org/Publications/SMR_booklet_2022.pdf" TargetMode="External"/><Relationship Id="rId21" Type="http://schemas.openxmlformats.org/officeDocument/2006/relationships/hyperlink" Target="https://aris.iaea.org/Publications/SMR_booklet_2022.pdf" TargetMode="External"/><Relationship Id="rId42" Type="http://schemas.openxmlformats.org/officeDocument/2006/relationships/hyperlink" Target="https://aris.iaea.org/Publications/SMR_booklet_2022.pdf" TargetMode="External"/><Relationship Id="rId63" Type="http://schemas.openxmlformats.org/officeDocument/2006/relationships/hyperlink" Target="https://aris.iaea.org/Publications/SMR_booklet_2022.pdf" TargetMode="External"/><Relationship Id="rId84" Type="http://schemas.openxmlformats.org/officeDocument/2006/relationships/hyperlink" Target="https://aris.iaea.org/Publications/SMR_booklet_2022.pdf" TargetMode="External"/><Relationship Id="rId16" Type="http://schemas.openxmlformats.org/officeDocument/2006/relationships/hyperlink" Target="https://aris.iaea.org/Publications/SMR_booklet_2022.pdf" TargetMode="External"/><Relationship Id="rId107" Type="http://schemas.openxmlformats.org/officeDocument/2006/relationships/hyperlink" Target="https://aris.iaea.org/Publications/SMR_booklet_2022.pdf" TargetMode="External"/><Relationship Id="rId11" Type="http://schemas.openxmlformats.org/officeDocument/2006/relationships/hyperlink" Target="https://aris.iaea.org/Publications/SMR_booklet_2022.pdf" TargetMode="External"/><Relationship Id="rId32" Type="http://schemas.openxmlformats.org/officeDocument/2006/relationships/hyperlink" Target="https://aris.iaea.org/Publications/SMR_booklet_2022.pdf" TargetMode="External"/><Relationship Id="rId37" Type="http://schemas.openxmlformats.org/officeDocument/2006/relationships/hyperlink" Target="https://aris.iaea.org/Publications/SMR_booklet_2022.pdf" TargetMode="External"/><Relationship Id="rId53" Type="http://schemas.openxmlformats.org/officeDocument/2006/relationships/hyperlink" Target="https://aris.iaea.org/Publications/SMR_booklet_2022.pdf" TargetMode="External"/><Relationship Id="rId58" Type="http://schemas.openxmlformats.org/officeDocument/2006/relationships/hyperlink" Target="https://aris.iaea.org/Publications/SMR_booklet_2022.pdf" TargetMode="External"/><Relationship Id="rId74" Type="http://schemas.openxmlformats.org/officeDocument/2006/relationships/hyperlink" Target="https://aris.iaea.org/Publications/SMR_booklet_2022.pdf" TargetMode="External"/><Relationship Id="rId79" Type="http://schemas.openxmlformats.org/officeDocument/2006/relationships/hyperlink" Target="https://aris.iaea.org/Publications/SMR_booklet_2022.pdf" TargetMode="External"/><Relationship Id="rId102" Type="http://schemas.openxmlformats.org/officeDocument/2006/relationships/hyperlink" Target="https://aris.iaea.org/Publications/SMR_booklet_2022.pdf" TargetMode="External"/><Relationship Id="rId123" Type="http://schemas.openxmlformats.org/officeDocument/2006/relationships/hyperlink" Target="https://aris.iaea.org/Publications/SMR_booklet_2022.pdf" TargetMode="External"/><Relationship Id="rId128" Type="http://schemas.openxmlformats.org/officeDocument/2006/relationships/hyperlink" Target="https://aris.iaea.org/Publications/SMR_booklet_2022.pdf" TargetMode="External"/><Relationship Id="rId5" Type="http://schemas.openxmlformats.org/officeDocument/2006/relationships/hyperlink" Target="https://aris.iaea.org/Publications/SMR_booklet_2022.pdf" TargetMode="External"/><Relationship Id="rId90" Type="http://schemas.openxmlformats.org/officeDocument/2006/relationships/hyperlink" Target="https://aris.iaea.org/Publications/SMR_booklet_2022.pdf" TargetMode="External"/><Relationship Id="rId95" Type="http://schemas.openxmlformats.org/officeDocument/2006/relationships/hyperlink" Target="https://aris.iaea.org/Publications/SMR_booklet_2022.pdf" TargetMode="External"/><Relationship Id="rId22" Type="http://schemas.openxmlformats.org/officeDocument/2006/relationships/hyperlink" Target="https://aris.iaea.org/Publications/SMR_booklet_2022.pdf" TargetMode="External"/><Relationship Id="rId27" Type="http://schemas.openxmlformats.org/officeDocument/2006/relationships/hyperlink" Target="https://aris.iaea.org/Publications/SMR_booklet_2022.pdf" TargetMode="External"/><Relationship Id="rId43" Type="http://schemas.openxmlformats.org/officeDocument/2006/relationships/hyperlink" Target="https://aris.iaea.org/Publications/SMR_booklet_2022.pdf" TargetMode="External"/><Relationship Id="rId48" Type="http://schemas.openxmlformats.org/officeDocument/2006/relationships/hyperlink" Target="https://aris.iaea.org/Publications/SMR_booklet_2022.pdf" TargetMode="External"/><Relationship Id="rId64" Type="http://schemas.openxmlformats.org/officeDocument/2006/relationships/hyperlink" Target="https://aris.iaea.org/Publications/SMR_booklet_2022.pdf" TargetMode="External"/><Relationship Id="rId69" Type="http://schemas.openxmlformats.org/officeDocument/2006/relationships/hyperlink" Target="https://aris.iaea.org/Publications/SMR_booklet_2022.pdf" TargetMode="External"/><Relationship Id="rId113" Type="http://schemas.openxmlformats.org/officeDocument/2006/relationships/hyperlink" Target="https://aris.iaea.org/Publications/SMR_booklet_2022.pdf" TargetMode="External"/><Relationship Id="rId118" Type="http://schemas.openxmlformats.org/officeDocument/2006/relationships/hyperlink" Target="https://aris.iaea.org/Publications/SMR_booklet_2022.pdf" TargetMode="External"/><Relationship Id="rId134" Type="http://schemas.openxmlformats.org/officeDocument/2006/relationships/hyperlink" Target="https://aris.iaea.org/Publications/SMR_booklet_2022.pdf" TargetMode="External"/><Relationship Id="rId80" Type="http://schemas.openxmlformats.org/officeDocument/2006/relationships/hyperlink" Target="https://aris.iaea.org/Publications/SMR_booklet_2022.pdf" TargetMode="External"/><Relationship Id="rId85" Type="http://schemas.openxmlformats.org/officeDocument/2006/relationships/hyperlink" Target="https://aris.iaea.org/Publications/SMR_booklet_2022.pdf" TargetMode="External"/><Relationship Id="rId12" Type="http://schemas.openxmlformats.org/officeDocument/2006/relationships/hyperlink" Target="https://aris.iaea.org/Publications/SMR_booklet_2022.pdf" TargetMode="External"/><Relationship Id="rId17" Type="http://schemas.openxmlformats.org/officeDocument/2006/relationships/hyperlink" Target="https://aris.iaea.org/Publications/SMR_booklet_2022.pdf" TargetMode="External"/><Relationship Id="rId33" Type="http://schemas.openxmlformats.org/officeDocument/2006/relationships/hyperlink" Target="https://aris.iaea.org/Publications/SMR_booklet_2022.pdf" TargetMode="External"/><Relationship Id="rId38" Type="http://schemas.openxmlformats.org/officeDocument/2006/relationships/hyperlink" Target="https://aris.iaea.org/Publications/SMR_booklet_2022.pdf" TargetMode="External"/><Relationship Id="rId59" Type="http://schemas.openxmlformats.org/officeDocument/2006/relationships/hyperlink" Target="https://aris.iaea.org/Publications/SMR_booklet_2022.pdf" TargetMode="External"/><Relationship Id="rId103" Type="http://schemas.openxmlformats.org/officeDocument/2006/relationships/hyperlink" Target="https://aris.iaea.org/Publications/SMR_booklet_2022.pdf" TargetMode="External"/><Relationship Id="rId108" Type="http://schemas.openxmlformats.org/officeDocument/2006/relationships/hyperlink" Target="https://aris.iaea.org/Publications/SMR_booklet_2022.pdf" TargetMode="External"/><Relationship Id="rId124" Type="http://schemas.openxmlformats.org/officeDocument/2006/relationships/hyperlink" Target="https://aris.iaea.org/Publications/SMR_booklet_2022.pdf" TargetMode="External"/><Relationship Id="rId129" Type="http://schemas.openxmlformats.org/officeDocument/2006/relationships/hyperlink" Target="https://aris.iaea.org/Publications/SMR_booklet_2022.pdf" TargetMode="External"/><Relationship Id="rId54" Type="http://schemas.openxmlformats.org/officeDocument/2006/relationships/hyperlink" Target="https://aris.iaea.org/Publications/SMR_booklet_2022.pdf" TargetMode="External"/><Relationship Id="rId70" Type="http://schemas.openxmlformats.org/officeDocument/2006/relationships/hyperlink" Target="https://aris.iaea.org/Publications/SMR_booklet_2022.pdf" TargetMode="External"/><Relationship Id="rId75" Type="http://schemas.openxmlformats.org/officeDocument/2006/relationships/hyperlink" Target="https://aris.iaea.org/Publications/SMR_booklet_2022.pdf" TargetMode="External"/><Relationship Id="rId91" Type="http://schemas.openxmlformats.org/officeDocument/2006/relationships/hyperlink" Target="https://aris.iaea.org/Publications/SMR_booklet_2022.pdf" TargetMode="External"/><Relationship Id="rId96" Type="http://schemas.openxmlformats.org/officeDocument/2006/relationships/hyperlink" Target="https://aris.iaea.org/Publications/SMR_booklet_2022.pdf" TargetMode="External"/><Relationship Id="rId1" Type="http://schemas.openxmlformats.org/officeDocument/2006/relationships/hyperlink" Target="https://www.iaea.org/newscenter/news/what-are-small-modular-reactors-smrs" TargetMode="External"/><Relationship Id="rId6" Type="http://schemas.openxmlformats.org/officeDocument/2006/relationships/hyperlink" Target="https://aris.iaea.org/Publications/SMR_booklet_2022.pdf" TargetMode="External"/><Relationship Id="rId23" Type="http://schemas.openxmlformats.org/officeDocument/2006/relationships/hyperlink" Target="https://aris.iaea.org/Publications/SMR_booklet_2022.pdf" TargetMode="External"/><Relationship Id="rId28" Type="http://schemas.openxmlformats.org/officeDocument/2006/relationships/hyperlink" Target="https://aris.iaea.org/Publications/SMR_booklet_2022.pdf" TargetMode="External"/><Relationship Id="rId49" Type="http://schemas.openxmlformats.org/officeDocument/2006/relationships/hyperlink" Target="https://aris.iaea.org/Publications/SMR_booklet_2022.pdf" TargetMode="External"/><Relationship Id="rId114" Type="http://schemas.openxmlformats.org/officeDocument/2006/relationships/hyperlink" Target="https://aris.iaea.org/Publications/SMR_booklet_2022.pdf" TargetMode="External"/><Relationship Id="rId119" Type="http://schemas.openxmlformats.org/officeDocument/2006/relationships/hyperlink" Target="https://aris.iaea.org/Publications/SMR_booklet_2022.pdf" TargetMode="External"/><Relationship Id="rId44" Type="http://schemas.openxmlformats.org/officeDocument/2006/relationships/hyperlink" Target="https://aris.iaea.org/Publications/SMR_booklet_2022.pdf" TargetMode="External"/><Relationship Id="rId60" Type="http://schemas.openxmlformats.org/officeDocument/2006/relationships/hyperlink" Target="https://aris.iaea.org/Publications/SMR_booklet_2022.pdf" TargetMode="External"/><Relationship Id="rId65" Type="http://schemas.openxmlformats.org/officeDocument/2006/relationships/hyperlink" Target="https://aris.iaea.org/Publications/SMR_booklet_2022.pdf" TargetMode="External"/><Relationship Id="rId81" Type="http://schemas.openxmlformats.org/officeDocument/2006/relationships/hyperlink" Target="https://aris.iaea.org/Publications/SMR_booklet_2022.pdf" TargetMode="External"/><Relationship Id="rId86" Type="http://schemas.openxmlformats.org/officeDocument/2006/relationships/hyperlink" Target="https://aris.iaea.org/Publications/SMR_booklet_2022.pdf" TargetMode="External"/><Relationship Id="rId130" Type="http://schemas.openxmlformats.org/officeDocument/2006/relationships/hyperlink" Target="https://aris.iaea.org/Publications/SMR_booklet_2022.pdf" TargetMode="External"/><Relationship Id="rId135" Type="http://schemas.openxmlformats.org/officeDocument/2006/relationships/hyperlink" Target="https://aris.iaea.org/Publications/SMR_booklet_2022.pdf" TargetMode="External"/><Relationship Id="rId13" Type="http://schemas.openxmlformats.org/officeDocument/2006/relationships/hyperlink" Target="https://aris.iaea.org/Publications/SMR_booklet_2022.pdf" TargetMode="External"/><Relationship Id="rId18" Type="http://schemas.openxmlformats.org/officeDocument/2006/relationships/hyperlink" Target="https://aris.iaea.org/Publications/SMR_booklet_2022.pdf" TargetMode="External"/><Relationship Id="rId39" Type="http://schemas.openxmlformats.org/officeDocument/2006/relationships/hyperlink" Target="https://aris.iaea.org/Publications/SMR_booklet_2022.pdf" TargetMode="External"/><Relationship Id="rId109" Type="http://schemas.openxmlformats.org/officeDocument/2006/relationships/hyperlink" Target="https://aris.iaea.org/Publications/SMR_booklet_2022.pdf" TargetMode="External"/><Relationship Id="rId34" Type="http://schemas.openxmlformats.org/officeDocument/2006/relationships/hyperlink" Target="https://aris.iaea.org/Publications/SMR_booklet_2022.pdf" TargetMode="External"/><Relationship Id="rId50" Type="http://schemas.openxmlformats.org/officeDocument/2006/relationships/hyperlink" Target="https://aris.iaea.org/Publications/SMR_booklet_2022.pdf" TargetMode="External"/><Relationship Id="rId55" Type="http://schemas.openxmlformats.org/officeDocument/2006/relationships/hyperlink" Target="https://aris.iaea.org/Publications/SMR_booklet_2022.pdf" TargetMode="External"/><Relationship Id="rId76" Type="http://schemas.openxmlformats.org/officeDocument/2006/relationships/hyperlink" Target="https://aris.iaea.org/Publications/SMR_booklet_2022.pdf" TargetMode="External"/><Relationship Id="rId97" Type="http://schemas.openxmlformats.org/officeDocument/2006/relationships/hyperlink" Target="https://aris.iaea.org/Publications/SMR_booklet_2022.pdf" TargetMode="External"/><Relationship Id="rId104" Type="http://schemas.openxmlformats.org/officeDocument/2006/relationships/hyperlink" Target="https://aris.iaea.org/Publications/SMR_booklet_2022.pdf" TargetMode="External"/><Relationship Id="rId120" Type="http://schemas.openxmlformats.org/officeDocument/2006/relationships/hyperlink" Target="https://aris.iaea.org/Publications/SMR_booklet_2022.pdf" TargetMode="External"/><Relationship Id="rId125" Type="http://schemas.openxmlformats.org/officeDocument/2006/relationships/hyperlink" Target="https://aris.iaea.org/Publications/SMR_booklet_2022.pdf" TargetMode="External"/><Relationship Id="rId7" Type="http://schemas.openxmlformats.org/officeDocument/2006/relationships/hyperlink" Target="https://aris.iaea.org/Publications/SMR_booklet_2022.pdf" TargetMode="External"/><Relationship Id="rId71" Type="http://schemas.openxmlformats.org/officeDocument/2006/relationships/hyperlink" Target="https://aris.iaea.org/Publications/SMR_booklet_2022.pdf" TargetMode="External"/><Relationship Id="rId92" Type="http://schemas.openxmlformats.org/officeDocument/2006/relationships/hyperlink" Target="https://aris.iaea.org/Publications/SMR_booklet_2022.pdf" TargetMode="External"/><Relationship Id="rId2" Type="http://schemas.openxmlformats.org/officeDocument/2006/relationships/hyperlink" Target="https://aris.iaea.org/Publications/SMR_booklet_2022.pdf" TargetMode="External"/><Relationship Id="rId29" Type="http://schemas.openxmlformats.org/officeDocument/2006/relationships/hyperlink" Target="https://aris.iaea.org/Publications/SMR_booklet_2022.pdf" TargetMode="External"/><Relationship Id="rId24" Type="http://schemas.openxmlformats.org/officeDocument/2006/relationships/hyperlink" Target="https://aris.iaea.org/Publications/SMR_booklet_2022.pdf" TargetMode="External"/><Relationship Id="rId40" Type="http://schemas.openxmlformats.org/officeDocument/2006/relationships/hyperlink" Target="https://aris.iaea.org/Publications/SMR_booklet_2022.pdf" TargetMode="External"/><Relationship Id="rId45" Type="http://schemas.openxmlformats.org/officeDocument/2006/relationships/hyperlink" Target="https://aris.iaea.org/Publications/SMR_booklet_2022.pdf" TargetMode="External"/><Relationship Id="rId66" Type="http://schemas.openxmlformats.org/officeDocument/2006/relationships/hyperlink" Target="https://aris.iaea.org/Publications/SMR_booklet_2022.pdf" TargetMode="External"/><Relationship Id="rId87" Type="http://schemas.openxmlformats.org/officeDocument/2006/relationships/hyperlink" Target="https://aris.iaea.org/Publications/SMR_booklet_2022.pdf" TargetMode="External"/><Relationship Id="rId110" Type="http://schemas.openxmlformats.org/officeDocument/2006/relationships/hyperlink" Target="https://aris.iaea.org/Publications/SMR_booklet_2022.pdf" TargetMode="External"/><Relationship Id="rId115" Type="http://schemas.openxmlformats.org/officeDocument/2006/relationships/hyperlink" Target="https://aris.iaea.org/Publications/SMR_booklet_2022.pdf" TargetMode="External"/><Relationship Id="rId131" Type="http://schemas.openxmlformats.org/officeDocument/2006/relationships/hyperlink" Target="https://aris.iaea.org/Publications/SMR_booklet_2022.pdf" TargetMode="External"/><Relationship Id="rId136" Type="http://schemas.openxmlformats.org/officeDocument/2006/relationships/hyperlink" Target="https://aris.iaea.org/Publications/SMR_booklet_2022.pdf" TargetMode="External"/><Relationship Id="rId61" Type="http://schemas.openxmlformats.org/officeDocument/2006/relationships/hyperlink" Target="https://aris.iaea.org/Publications/SMR_booklet_2022.pdf" TargetMode="External"/><Relationship Id="rId82" Type="http://schemas.openxmlformats.org/officeDocument/2006/relationships/hyperlink" Target="https://aris.iaea.org/Publications/SMR_booklet_2022.pdf" TargetMode="External"/><Relationship Id="rId19" Type="http://schemas.openxmlformats.org/officeDocument/2006/relationships/hyperlink" Target="https://aris.iaea.org/Publications/SMR_booklet_2022.pdf" TargetMode="External"/><Relationship Id="rId14" Type="http://schemas.openxmlformats.org/officeDocument/2006/relationships/hyperlink" Target="https://aris.iaea.org/Publications/SMR_booklet_2022.pdf" TargetMode="External"/><Relationship Id="rId30" Type="http://schemas.openxmlformats.org/officeDocument/2006/relationships/hyperlink" Target="https://aris.iaea.org/Publications/SMR_booklet_2022.pdf" TargetMode="External"/><Relationship Id="rId35" Type="http://schemas.openxmlformats.org/officeDocument/2006/relationships/hyperlink" Target="https://aris.iaea.org/Publications/SMR_booklet_2022.pdf" TargetMode="External"/><Relationship Id="rId56" Type="http://schemas.openxmlformats.org/officeDocument/2006/relationships/hyperlink" Target="https://aris.iaea.org/Publications/SMR_booklet_2022.pdf" TargetMode="External"/><Relationship Id="rId77" Type="http://schemas.openxmlformats.org/officeDocument/2006/relationships/hyperlink" Target="https://aris.iaea.org/Publications/SMR_booklet_2022.pdf" TargetMode="External"/><Relationship Id="rId100" Type="http://schemas.openxmlformats.org/officeDocument/2006/relationships/hyperlink" Target="https://aris.iaea.org/Publications/SMR_booklet_2022.pdf" TargetMode="External"/><Relationship Id="rId105" Type="http://schemas.openxmlformats.org/officeDocument/2006/relationships/hyperlink" Target="https://aris.iaea.org/Publications/SMR_booklet_2022.pdf" TargetMode="External"/><Relationship Id="rId126" Type="http://schemas.openxmlformats.org/officeDocument/2006/relationships/hyperlink" Target="https://aris.iaea.org/Publications/SMR_booklet_2022.pdf" TargetMode="External"/><Relationship Id="rId8" Type="http://schemas.openxmlformats.org/officeDocument/2006/relationships/hyperlink" Target="https://aris.iaea.org/Publications/SMR_booklet_2022.pdf" TargetMode="External"/><Relationship Id="rId51" Type="http://schemas.openxmlformats.org/officeDocument/2006/relationships/hyperlink" Target="https://aris.iaea.org/Publications/SMR_booklet_2022.pdf" TargetMode="External"/><Relationship Id="rId72" Type="http://schemas.openxmlformats.org/officeDocument/2006/relationships/hyperlink" Target="https://aris.iaea.org/Publications/SMR_booklet_2022.pdf" TargetMode="External"/><Relationship Id="rId93" Type="http://schemas.openxmlformats.org/officeDocument/2006/relationships/hyperlink" Target="https://aris.iaea.org/Publications/SMR_booklet_2022.pdf" TargetMode="External"/><Relationship Id="rId98" Type="http://schemas.openxmlformats.org/officeDocument/2006/relationships/hyperlink" Target="https://aris.iaea.org/Publications/SMR_booklet_2022.pdf" TargetMode="External"/><Relationship Id="rId121" Type="http://schemas.openxmlformats.org/officeDocument/2006/relationships/hyperlink" Target="https://aris.iaea.org/Publications/SMR_booklet_2022.pdf" TargetMode="External"/><Relationship Id="rId3" Type="http://schemas.openxmlformats.org/officeDocument/2006/relationships/hyperlink" Target="https://www.iaea.org/newscenter/news/what-are-small-modular-reactors-smrs" TargetMode="External"/><Relationship Id="rId25" Type="http://schemas.openxmlformats.org/officeDocument/2006/relationships/hyperlink" Target="https://aris.iaea.org/Publications/SMR_booklet_2022.pdf" TargetMode="External"/><Relationship Id="rId46" Type="http://schemas.openxmlformats.org/officeDocument/2006/relationships/hyperlink" Target="https://aris.iaea.org/Publications/SMR_booklet_2022.pdf" TargetMode="External"/><Relationship Id="rId67" Type="http://schemas.openxmlformats.org/officeDocument/2006/relationships/hyperlink" Target="https://aris.iaea.org/Publications/SMR_booklet_2022.pdf" TargetMode="External"/><Relationship Id="rId116" Type="http://schemas.openxmlformats.org/officeDocument/2006/relationships/hyperlink" Target="https://aris.iaea.org/Publications/SMR_booklet_2022.pdf" TargetMode="External"/><Relationship Id="rId20" Type="http://schemas.openxmlformats.org/officeDocument/2006/relationships/hyperlink" Target="https://aris.iaea.org/Publications/SMR_booklet_2022.pdf" TargetMode="External"/><Relationship Id="rId41" Type="http://schemas.openxmlformats.org/officeDocument/2006/relationships/hyperlink" Target="https://aris.iaea.org/Publications/SMR_booklet_2022.pdf" TargetMode="External"/><Relationship Id="rId62" Type="http://schemas.openxmlformats.org/officeDocument/2006/relationships/hyperlink" Target="https://aris.iaea.org/Publications/SMR_booklet_2022.pdf" TargetMode="External"/><Relationship Id="rId83" Type="http://schemas.openxmlformats.org/officeDocument/2006/relationships/hyperlink" Target="https://aris.iaea.org/Publications/SMR_booklet_2022.pdf" TargetMode="External"/><Relationship Id="rId88" Type="http://schemas.openxmlformats.org/officeDocument/2006/relationships/hyperlink" Target="https://aris.iaea.org/Publications/SMR_booklet_2022.pdf" TargetMode="External"/><Relationship Id="rId111" Type="http://schemas.openxmlformats.org/officeDocument/2006/relationships/hyperlink" Target="https://aris.iaea.org/Publications/SMR_booklet_2022.pdf" TargetMode="External"/><Relationship Id="rId132" Type="http://schemas.openxmlformats.org/officeDocument/2006/relationships/hyperlink" Target="https://aris.iaea.org/Publications/SMR_booklet_2022.pdf" TargetMode="External"/><Relationship Id="rId15" Type="http://schemas.openxmlformats.org/officeDocument/2006/relationships/hyperlink" Target="https://aris.iaea.org/Publications/SMR_booklet_2022.pdf" TargetMode="External"/><Relationship Id="rId36" Type="http://schemas.openxmlformats.org/officeDocument/2006/relationships/hyperlink" Target="https://aris.iaea.org/Publications/SMR_booklet_2022.pdf" TargetMode="External"/><Relationship Id="rId57" Type="http://schemas.openxmlformats.org/officeDocument/2006/relationships/hyperlink" Target="https://aris.iaea.org/Publications/SMR_booklet_2022.pdf" TargetMode="External"/><Relationship Id="rId106" Type="http://schemas.openxmlformats.org/officeDocument/2006/relationships/hyperlink" Target="https://aris.iaea.org/Publications/SMR_booklet_2022.pdf" TargetMode="External"/><Relationship Id="rId127" Type="http://schemas.openxmlformats.org/officeDocument/2006/relationships/hyperlink" Target="https://aris.iaea.org/Publications/SMR_booklet_2022.pdf" TargetMode="External"/><Relationship Id="rId10" Type="http://schemas.openxmlformats.org/officeDocument/2006/relationships/hyperlink" Target="https://aris.iaea.org/Publications/SMR_booklet_2022.pdf" TargetMode="External"/><Relationship Id="rId31" Type="http://schemas.openxmlformats.org/officeDocument/2006/relationships/hyperlink" Target="https://aris.iaea.org/Publications/SMR_booklet_2022.pdf" TargetMode="External"/><Relationship Id="rId52" Type="http://schemas.openxmlformats.org/officeDocument/2006/relationships/hyperlink" Target="https://aris.iaea.org/Publications/SMR_booklet_2022.pdf" TargetMode="External"/><Relationship Id="rId73" Type="http://schemas.openxmlformats.org/officeDocument/2006/relationships/hyperlink" Target="https://aris.iaea.org/Publications/SMR_booklet_2022.pdf" TargetMode="External"/><Relationship Id="rId78" Type="http://schemas.openxmlformats.org/officeDocument/2006/relationships/hyperlink" Target="https://aris.iaea.org/Publications/SMR_booklet_2022.pdf" TargetMode="External"/><Relationship Id="rId94" Type="http://schemas.openxmlformats.org/officeDocument/2006/relationships/hyperlink" Target="https://aris.iaea.org/Publications/SMR_booklet_2022.pdf" TargetMode="External"/><Relationship Id="rId99" Type="http://schemas.openxmlformats.org/officeDocument/2006/relationships/hyperlink" Target="https://aris.iaea.org/Publications/SMR_booklet_2022.pdf" TargetMode="External"/><Relationship Id="rId101" Type="http://schemas.openxmlformats.org/officeDocument/2006/relationships/hyperlink" Target="https://aris.iaea.org/Publications/SMR_booklet_2022.pdf" TargetMode="External"/><Relationship Id="rId122" Type="http://schemas.openxmlformats.org/officeDocument/2006/relationships/hyperlink" Target="https://aris.iaea.org/Publications/SMR_booklet_2022.pdf" TargetMode="External"/><Relationship Id="rId4" Type="http://schemas.openxmlformats.org/officeDocument/2006/relationships/hyperlink" Target="https://aris.iaea.org/Publications/SMR_booklet_2022.pdf" TargetMode="External"/><Relationship Id="rId9" Type="http://schemas.openxmlformats.org/officeDocument/2006/relationships/hyperlink" Target="https://aris.iaea.org/Publications/SMR_booklet_2022.pdf" TargetMode="External"/><Relationship Id="rId26" Type="http://schemas.openxmlformats.org/officeDocument/2006/relationships/hyperlink" Target="https://aris.iaea.org/Publications/SMR_booklet_2022.pdf" TargetMode="External"/><Relationship Id="rId47" Type="http://schemas.openxmlformats.org/officeDocument/2006/relationships/hyperlink" Target="https://aris.iaea.org/Publications/SMR_booklet_2022.pdf" TargetMode="External"/><Relationship Id="rId68" Type="http://schemas.openxmlformats.org/officeDocument/2006/relationships/hyperlink" Target="https://aris.iaea.org/Publications/SMR_booklet_2022.pdf" TargetMode="External"/><Relationship Id="rId89" Type="http://schemas.openxmlformats.org/officeDocument/2006/relationships/hyperlink" Target="https://aris.iaea.org/Publications/SMR_booklet_2022.pdf" TargetMode="External"/><Relationship Id="rId112" Type="http://schemas.openxmlformats.org/officeDocument/2006/relationships/hyperlink" Target="https://aris.iaea.org/Publications/SMR_booklet_2022.pdf" TargetMode="External"/><Relationship Id="rId133" Type="http://schemas.openxmlformats.org/officeDocument/2006/relationships/hyperlink" Target="https://aris.iaea.org/Publications/SMR_booklet_2022.pdf" TargetMode="Externa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baseColWidth="10" defaultColWidth="8.88671875" defaultRowHeight="14.4" x14ac:dyDescent="0.3"/>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A413E2-FC68-4B55-BA60-8D4B13F8BACB}">
  <dimension ref="A1:A18"/>
  <sheetViews>
    <sheetView workbookViewId="0">
      <selection activeCell="E20" sqref="E20"/>
    </sheetView>
  </sheetViews>
  <sheetFormatPr baseColWidth="10" defaultColWidth="11.44140625" defaultRowHeight="14.4" x14ac:dyDescent="0.3"/>
  <sheetData>
    <row r="1" spans="1:1" x14ac:dyDescent="0.3">
      <c r="A1" t="s">
        <v>0</v>
      </c>
    </row>
    <row r="2" spans="1:1" x14ac:dyDescent="0.3">
      <c r="A2" t="s">
        <v>1</v>
      </c>
    </row>
    <row r="3" spans="1:1" x14ac:dyDescent="0.3">
      <c r="A3" t="s">
        <v>2</v>
      </c>
    </row>
    <row r="5" spans="1:1" x14ac:dyDescent="0.3">
      <c r="A5" t="s">
        <v>3</v>
      </c>
    </row>
    <row r="6" spans="1:1" x14ac:dyDescent="0.3">
      <c r="A6" t="s">
        <v>4</v>
      </c>
    </row>
    <row r="7" spans="1:1" x14ac:dyDescent="0.3">
      <c r="A7" t="s">
        <v>5</v>
      </c>
    </row>
    <row r="18" spans="1:1" x14ac:dyDescent="0.3">
      <c r="A18" t="s">
        <v>6</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F640B-5EF1-49D4-AF1E-498E5DBF4C83}">
  <sheetPr>
    <tabColor theme="9" tint="0.79998168889431442"/>
  </sheetPr>
  <dimension ref="A1:AF65"/>
  <sheetViews>
    <sheetView tabSelected="1" zoomScale="61" zoomScaleNormal="85" workbookViewId="0">
      <pane xSplit="1" topLeftCell="B1" activePane="topRight" state="frozen"/>
      <selection pane="topRight" activeCell="N34" sqref="N34"/>
    </sheetView>
  </sheetViews>
  <sheetFormatPr baseColWidth="10" defaultColWidth="11.5546875" defaultRowHeight="15" customHeight="1" x14ac:dyDescent="0.3"/>
  <cols>
    <col min="1" max="1" width="16" customWidth="1"/>
    <col min="2" max="2" width="22.88671875" bestFit="1" customWidth="1"/>
    <col min="3" max="3" width="19.109375" bestFit="1" customWidth="1"/>
    <col min="4" max="4" width="213" bestFit="1" customWidth="1"/>
    <col min="5" max="5" width="18.6640625" bestFit="1" customWidth="1"/>
    <col min="6" max="6" width="15.88671875" bestFit="1" customWidth="1"/>
    <col min="7" max="7" width="50.44140625" customWidth="1"/>
    <col min="8" max="8" width="56.44140625" bestFit="1" customWidth="1"/>
    <col min="9" max="9" width="8.44140625" bestFit="1" customWidth="1"/>
    <col min="10" max="10" width="12.109375" bestFit="1" customWidth="1"/>
    <col min="11" max="11" width="24.33203125" bestFit="1" customWidth="1"/>
    <col min="12" max="12" width="16.88671875" bestFit="1" customWidth="1"/>
    <col min="13" max="13" width="18.6640625" bestFit="1" customWidth="1"/>
    <col min="14" max="14" width="11.6640625" bestFit="1" customWidth="1"/>
    <col min="15" max="15" width="15.88671875" bestFit="1" customWidth="1"/>
    <col min="16" max="16" width="15.88671875" style="94" customWidth="1"/>
    <col min="17" max="17" width="12.33203125" bestFit="1" customWidth="1"/>
    <col min="18" max="18" width="8.88671875" bestFit="1" customWidth="1"/>
    <col min="19" max="19" width="8.6640625" bestFit="1" customWidth="1"/>
    <col min="20" max="20" width="10.33203125" bestFit="1" customWidth="1"/>
    <col min="21" max="21" width="8" bestFit="1" customWidth="1"/>
    <col min="22" max="22" width="12.33203125" bestFit="1" customWidth="1"/>
    <col min="23" max="23" width="14" bestFit="1" customWidth="1"/>
    <col min="24" max="24" width="12.44140625" bestFit="1" customWidth="1"/>
    <col min="25" max="25" width="12.88671875" bestFit="1" customWidth="1"/>
    <col min="26" max="26" width="15.6640625" bestFit="1" customWidth="1"/>
    <col min="27" max="27" width="13" bestFit="1" customWidth="1"/>
    <col min="28" max="28" width="13.33203125" bestFit="1" customWidth="1"/>
    <col min="29" max="29" width="13.88671875" bestFit="1" customWidth="1"/>
    <col min="30" max="30" width="12" bestFit="1" customWidth="1"/>
    <col min="31" max="31" width="12.6640625" bestFit="1" customWidth="1"/>
    <col min="32" max="32" width="17" bestFit="1" customWidth="1"/>
  </cols>
  <sheetData>
    <row r="1" spans="1:32" s="42" customFormat="1" ht="28.95" customHeight="1" x14ac:dyDescent="0.3">
      <c r="A1" s="43" t="s">
        <v>7</v>
      </c>
      <c r="B1" s="43" t="s">
        <v>8</v>
      </c>
      <c r="C1" s="43" t="s">
        <v>9</v>
      </c>
      <c r="D1" s="43" t="s">
        <v>10</v>
      </c>
      <c r="E1" s="44" t="s">
        <v>11</v>
      </c>
      <c r="F1" s="43" t="s">
        <v>12</v>
      </c>
      <c r="G1" s="43" t="s">
        <v>13</v>
      </c>
      <c r="H1" s="43" t="s">
        <v>14</v>
      </c>
      <c r="I1" s="174" t="s">
        <v>15</v>
      </c>
      <c r="J1" s="43" t="s">
        <v>16</v>
      </c>
      <c r="K1" s="43" t="s">
        <v>17</v>
      </c>
      <c r="L1" s="44" t="s">
        <v>18</v>
      </c>
      <c r="M1" s="44" t="s">
        <v>19</v>
      </c>
      <c r="N1" s="44" t="s">
        <v>20</v>
      </c>
      <c r="O1" s="44" t="s">
        <v>21</v>
      </c>
      <c r="P1" s="97" t="s">
        <v>22</v>
      </c>
      <c r="Q1" s="44" t="s">
        <v>23</v>
      </c>
      <c r="R1" s="44" t="s">
        <v>24</v>
      </c>
      <c r="S1" s="44" t="s">
        <v>25</v>
      </c>
      <c r="T1" s="44" t="s">
        <v>26</v>
      </c>
      <c r="U1" s="44" t="s">
        <v>27</v>
      </c>
      <c r="V1" s="44" t="s">
        <v>28</v>
      </c>
      <c r="W1" s="44" t="s">
        <v>29</v>
      </c>
      <c r="X1" s="44" t="s">
        <v>30</v>
      </c>
      <c r="Y1" s="44" t="s">
        <v>31</v>
      </c>
      <c r="Z1" s="44" t="s">
        <v>32</v>
      </c>
      <c r="AA1" s="44" t="s">
        <v>33</v>
      </c>
      <c r="AB1" s="44" t="s">
        <v>34</v>
      </c>
      <c r="AC1" s="44" t="s">
        <v>35</v>
      </c>
      <c r="AD1" s="44" t="s">
        <v>36</v>
      </c>
      <c r="AE1" s="44" t="s">
        <v>37</v>
      </c>
      <c r="AF1" s="44" t="s">
        <v>38</v>
      </c>
    </row>
    <row r="2" spans="1:32" s="45" customFormat="1" thickBot="1" x14ac:dyDescent="0.35">
      <c r="A2" s="45" t="s">
        <v>39</v>
      </c>
      <c r="B2" s="45">
        <v>0</v>
      </c>
      <c r="C2" s="45">
        <v>0</v>
      </c>
      <c r="D2" s="45">
        <v>0</v>
      </c>
      <c r="E2" s="45">
        <v>0</v>
      </c>
      <c r="F2" s="45">
        <v>0</v>
      </c>
      <c r="G2" s="45">
        <v>0</v>
      </c>
      <c r="H2" s="45">
        <v>0</v>
      </c>
      <c r="I2" s="45">
        <v>0</v>
      </c>
      <c r="J2" s="45">
        <v>0</v>
      </c>
      <c r="K2" s="45" t="s">
        <v>40</v>
      </c>
      <c r="L2" s="45" t="s">
        <v>41</v>
      </c>
      <c r="M2" s="45" t="s">
        <v>42</v>
      </c>
      <c r="N2" s="45" t="s">
        <v>43</v>
      </c>
      <c r="O2" s="45" t="s">
        <v>43</v>
      </c>
      <c r="P2" s="45" t="s">
        <v>44</v>
      </c>
      <c r="Q2" s="45" t="s">
        <v>45</v>
      </c>
      <c r="R2" s="45" t="s">
        <v>46</v>
      </c>
      <c r="S2" s="45" t="s">
        <v>46</v>
      </c>
      <c r="T2" s="45" t="s">
        <v>46</v>
      </c>
      <c r="U2" s="45" t="s">
        <v>46</v>
      </c>
      <c r="V2" s="45" t="s">
        <v>46</v>
      </c>
      <c r="W2" s="45" t="s">
        <v>46</v>
      </c>
      <c r="X2" s="45" t="s">
        <v>46</v>
      </c>
      <c r="Y2" s="45" t="s">
        <v>46</v>
      </c>
      <c r="Z2" s="45">
        <v>10</v>
      </c>
      <c r="AA2" s="45" t="s">
        <v>46</v>
      </c>
      <c r="AB2" s="45" t="s">
        <v>46</v>
      </c>
      <c r="AC2" s="45" t="s">
        <v>46</v>
      </c>
      <c r="AD2" s="45" t="s">
        <v>46</v>
      </c>
      <c r="AE2" s="45" t="s">
        <v>46</v>
      </c>
      <c r="AF2" s="45" t="s">
        <v>46</v>
      </c>
    </row>
    <row r="3" spans="1:32" ht="14.4" x14ac:dyDescent="0.3">
      <c r="A3" s="47" t="s">
        <v>47</v>
      </c>
      <c r="B3" t="s">
        <v>48</v>
      </c>
      <c r="C3" s="47" t="s">
        <v>49</v>
      </c>
      <c r="D3" s="47" t="s">
        <v>50</v>
      </c>
      <c r="E3" s="47" t="s">
        <v>51</v>
      </c>
      <c r="F3" s="47" t="s">
        <v>52</v>
      </c>
      <c r="G3" s="47" t="s">
        <v>53</v>
      </c>
      <c r="H3" s="47" t="s">
        <v>54</v>
      </c>
      <c r="I3" s="165" t="s">
        <v>55</v>
      </c>
      <c r="K3">
        <v>10</v>
      </c>
      <c r="L3">
        <v>30</v>
      </c>
      <c r="M3">
        <v>0.101325</v>
      </c>
      <c r="N3">
        <v>355</v>
      </c>
      <c r="O3">
        <v>510</v>
      </c>
      <c r="P3" s="98">
        <v>0.33300000000000002</v>
      </c>
      <c r="Q3">
        <v>60</v>
      </c>
      <c r="R3" s="95">
        <f>CAPEX!I3</f>
        <v>6.7</v>
      </c>
      <c r="S3">
        <v>3</v>
      </c>
      <c r="T3" s="113">
        <f>Profitability!J47</f>
        <v>3.9906915843891798E-2</v>
      </c>
      <c r="U3">
        <v>3</v>
      </c>
      <c r="V3" s="170">
        <v>4</v>
      </c>
      <c r="W3">
        <v>5</v>
      </c>
      <c r="X3">
        <f>Scalability!C47</f>
        <v>4.5</v>
      </c>
      <c r="Y3">
        <v>3</v>
      </c>
      <c r="Z3" s="113">
        <f>Footprint!C47</f>
        <v>2.5</v>
      </c>
      <c r="AA3" s="159">
        <v>6.666666666666667</v>
      </c>
      <c r="AB3">
        <v>3</v>
      </c>
      <c r="AC3">
        <f>'Geopolitical Barriers'!C47</f>
        <v>4.8420000000000005</v>
      </c>
      <c r="AD3">
        <f>'Economic Lifetime'!F47</f>
        <v>7.5</v>
      </c>
      <c r="AE3" s="98">
        <v>1</v>
      </c>
      <c r="AF3">
        <v>3</v>
      </c>
    </row>
    <row r="4" spans="1:32" ht="14.4" x14ac:dyDescent="0.3">
      <c r="A4" s="46" t="s">
        <v>56</v>
      </c>
      <c r="B4" t="s">
        <v>57</v>
      </c>
      <c r="C4" s="46" t="s">
        <v>58</v>
      </c>
      <c r="D4" t="s">
        <v>59</v>
      </c>
      <c r="E4" s="46" t="s">
        <v>60</v>
      </c>
      <c r="F4" s="46" t="s">
        <v>61</v>
      </c>
      <c r="G4" s="46" t="s">
        <v>62</v>
      </c>
      <c r="H4" s="46" t="s">
        <v>63</v>
      </c>
      <c r="I4" s="165" t="s">
        <v>55</v>
      </c>
      <c r="K4" s="46">
        <v>125</v>
      </c>
      <c r="L4" s="46">
        <v>385</v>
      </c>
      <c r="M4" s="46">
        <v>15</v>
      </c>
      <c r="N4" s="46">
        <v>286.5</v>
      </c>
      <c r="O4" s="46">
        <v>319.5</v>
      </c>
      <c r="P4" s="98">
        <v>0.32500000000000001</v>
      </c>
      <c r="Q4" s="46">
        <v>60</v>
      </c>
      <c r="R4" s="95">
        <f>CAPEX!I4</f>
        <v>4.5999999999999996</v>
      </c>
      <c r="S4">
        <v>3</v>
      </c>
      <c r="T4" s="113">
        <f>Profitability!J3</f>
        <v>1.4376446044936135</v>
      </c>
      <c r="U4">
        <v>3</v>
      </c>
      <c r="V4" s="170">
        <v>8</v>
      </c>
      <c r="W4">
        <v>5</v>
      </c>
      <c r="X4">
        <f>Scalability!C3</f>
        <v>4.5</v>
      </c>
      <c r="Y4">
        <v>3</v>
      </c>
      <c r="Z4" s="113">
        <f>Footprint!C3</f>
        <v>2.5</v>
      </c>
      <c r="AA4" s="159">
        <v>8.8888888888888893</v>
      </c>
      <c r="AB4">
        <v>3</v>
      </c>
      <c r="AC4">
        <f>'Geopolitical Barriers'!C3</f>
        <v>6.6229999999999993</v>
      </c>
      <c r="AD4">
        <f>'Economic Lifetime'!F3</f>
        <v>7.5</v>
      </c>
      <c r="AE4" s="98">
        <v>1</v>
      </c>
      <c r="AF4">
        <v>3</v>
      </c>
    </row>
    <row r="5" spans="1:32" ht="14.4" x14ac:dyDescent="0.3">
      <c r="A5" s="46" t="s">
        <v>64</v>
      </c>
      <c r="B5" t="s">
        <v>65</v>
      </c>
      <c r="C5" t="s">
        <v>66</v>
      </c>
      <c r="D5" t="s">
        <v>67</v>
      </c>
      <c r="E5" t="s">
        <v>68</v>
      </c>
      <c r="F5" t="s">
        <v>69</v>
      </c>
      <c r="G5" t="s">
        <v>70</v>
      </c>
      <c r="H5" t="s">
        <v>71</v>
      </c>
      <c r="I5" s="165" t="s">
        <v>55</v>
      </c>
      <c r="K5">
        <v>50</v>
      </c>
      <c r="L5">
        <v>100</v>
      </c>
      <c r="M5">
        <v>9</v>
      </c>
      <c r="N5">
        <v>406</v>
      </c>
      <c r="O5">
        <v>1200</v>
      </c>
      <c r="P5" s="90">
        <v>0.5</v>
      </c>
      <c r="Q5">
        <v>40</v>
      </c>
      <c r="R5" s="95">
        <f>CAPEX!I5</f>
        <v>5.8</v>
      </c>
      <c r="S5">
        <v>3</v>
      </c>
      <c r="T5" s="113">
        <f>Profitability!J54</f>
        <v>0.41095518281564442</v>
      </c>
      <c r="U5">
        <v>3</v>
      </c>
      <c r="V5" s="170">
        <v>6</v>
      </c>
      <c r="W5">
        <v>5</v>
      </c>
      <c r="X5">
        <f>Scalability!C54</f>
        <v>4.5</v>
      </c>
      <c r="Y5">
        <v>3</v>
      </c>
      <c r="Z5" s="113">
        <f>Footprint!C54</f>
        <v>5</v>
      </c>
      <c r="AA5" s="159">
        <v>3.3333333333333335</v>
      </c>
      <c r="AB5">
        <v>3</v>
      </c>
      <c r="AC5">
        <f>'Geopolitical Barriers'!C54</f>
        <v>4.8420000000000005</v>
      </c>
      <c r="AD5">
        <f>'Economic Lifetime'!F54</f>
        <v>5</v>
      </c>
      <c r="AE5" s="90">
        <v>10</v>
      </c>
      <c r="AF5">
        <v>3</v>
      </c>
    </row>
    <row r="6" spans="1:32" ht="14.4" x14ac:dyDescent="0.3">
      <c r="A6" s="47" t="s">
        <v>72</v>
      </c>
      <c r="B6" t="s">
        <v>48</v>
      </c>
      <c r="C6" s="47" t="s">
        <v>49</v>
      </c>
      <c r="D6" s="47" t="s">
        <v>73</v>
      </c>
      <c r="E6" s="47" t="s">
        <v>74</v>
      </c>
      <c r="F6" s="47" t="s">
        <v>75</v>
      </c>
      <c r="G6" s="47" t="s">
        <v>76</v>
      </c>
      <c r="H6" s="47" t="s">
        <v>54</v>
      </c>
      <c r="I6" s="165" t="s">
        <v>55</v>
      </c>
      <c r="K6">
        <v>100</v>
      </c>
      <c r="L6">
        <v>286</v>
      </c>
      <c r="M6">
        <v>0.101325</v>
      </c>
      <c r="N6">
        <v>355</v>
      </c>
      <c r="O6">
        <v>510</v>
      </c>
      <c r="P6" s="98">
        <v>0.35</v>
      </c>
      <c r="Q6">
        <v>60</v>
      </c>
      <c r="R6" s="95">
        <f>CAPEX!I6</f>
        <v>5.8</v>
      </c>
      <c r="S6">
        <v>3</v>
      </c>
      <c r="T6" s="113">
        <f>Profitability!J46</f>
        <v>1.0610170006507844</v>
      </c>
      <c r="U6">
        <v>3</v>
      </c>
      <c r="V6" s="170">
        <v>4</v>
      </c>
      <c r="W6">
        <v>5</v>
      </c>
      <c r="X6">
        <f>Scalability!C46</f>
        <v>4.5</v>
      </c>
      <c r="Y6">
        <v>3</v>
      </c>
      <c r="Z6" s="113">
        <f>Footprint!C46</f>
        <v>2.6785714285714288</v>
      </c>
      <c r="AA6" s="159">
        <v>5.5555555555555554</v>
      </c>
      <c r="AB6">
        <v>3</v>
      </c>
      <c r="AC6">
        <f>'Geopolitical Barriers'!C46</f>
        <v>8.7000000000000188E-2</v>
      </c>
      <c r="AD6">
        <f>'Economic Lifetime'!F46</f>
        <v>7.5</v>
      </c>
      <c r="AE6" s="98">
        <v>3</v>
      </c>
      <c r="AF6">
        <v>3</v>
      </c>
    </row>
    <row r="7" spans="1:32" ht="14.4" x14ac:dyDescent="0.3">
      <c r="A7" s="47" t="s">
        <v>77</v>
      </c>
      <c r="B7" t="s">
        <v>48</v>
      </c>
      <c r="C7" s="47" t="s">
        <v>49</v>
      </c>
      <c r="D7" s="47" t="s">
        <v>78</v>
      </c>
      <c r="E7" s="47" t="s">
        <v>79</v>
      </c>
      <c r="F7" s="47" t="s">
        <v>80</v>
      </c>
      <c r="G7" s="47" t="s">
        <v>81</v>
      </c>
      <c r="H7" s="47" t="s">
        <v>82</v>
      </c>
      <c r="I7" s="165" t="s">
        <v>55</v>
      </c>
      <c r="K7">
        <v>300</v>
      </c>
      <c r="L7">
        <v>700</v>
      </c>
      <c r="M7">
        <v>18.5</v>
      </c>
      <c r="N7">
        <v>420</v>
      </c>
      <c r="O7">
        <v>535</v>
      </c>
      <c r="P7" s="98">
        <v>0.42899999999999999</v>
      </c>
      <c r="Q7">
        <v>30</v>
      </c>
      <c r="R7" s="95">
        <f>CAPEX!I7</f>
        <v>6.3</v>
      </c>
      <c r="S7">
        <v>3</v>
      </c>
      <c r="T7" s="113">
        <f>Profitability!J49</f>
        <v>3.6097934226634631</v>
      </c>
      <c r="U7">
        <v>3</v>
      </c>
      <c r="V7" s="170">
        <v>2</v>
      </c>
      <c r="W7">
        <v>5</v>
      </c>
      <c r="X7">
        <f>Scalability!C49</f>
        <v>4.5</v>
      </c>
      <c r="Y7">
        <v>3</v>
      </c>
      <c r="Z7" s="113">
        <f>Footprint!C49</f>
        <v>7.5</v>
      </c>
      <c r="AA7" s="159">
        <v>8.8888888888888893</v>
      </c>
      <c r="AB7">
        <v>3</v>
      </c>
      <c r="AC7">
        <f>'Geopolitical Barriers'!C49</f>
        <v>6.6229999999999993</v>
      </c>
      <c r="AD7">
        <f>'Economic Lifetime'!F49</f>
        <v>3.75</v>
      </c>
      <c r="AE7" s="98">
        <v>9</v>
      </c>
      <c r="AF7">
        <v>3</v>
      </c>
    </row>
    <row r="8" spans="1:32" ht="14.4" x14ac:dyDescent="0.3">
      <c r="A8" s="46" t="s">
        <v>83</v>
      </c>
      <c r="B8" t="s">
        <v>57</v>
      </c>
      <c r="C8" s="46" t="s">
        <v>84</v>
      </c>
      <c r="D8" t="s">
        <v>85</v>
      </c>
      <c r="E8" s="46" t="s">
        <v>86</v>
      </c>
      <c r="F8" s="46" t="s">
        <v>87</v>
      </c>
      <c r="G8" s="46" t="s">
        <v>88</v>
      </c>
      <c r="H8" s="46" t="s">
        <v>63</v>
      </c>
      <c r="I8" s="165" t="s">
        <v>55</v>
      </c>
      <c r="K8" s="46">
        <v>280</v>
      </c>
      <c r="L8" s="46">
        <v>870</v>
      </c>
      <c r="M8" s="46">
        <v>7.2</v>
      </c>
      <c r="N8" s="46">
        <v>270</v>
      </c>
      <c r="O8" s="46">
        <v>288</v>
      </c>
      <c r="P8" s="98">
        <v>0.32200000000000001</v>
      </c>
      <c r="Q8" s="46">
        <v>60</v>
      </c>
      <c r="R8" s="95">
        <f>CAPEX!I8</f>
        <v>1.7</v>
      </c>
      <c r="S8">
        <v>3</v>
      </c>
      <c r="T8" s="113">
        <f>Profitability!J9</f>
        <v>3.3886549851194196</v>
      </c>
      <c r="U8">
        <v>3</v>
      </c>
      <c r="V8" s="170">
        <v>8</v>
      </c>
      <c r="W8">
        <v>5</v>
      </c>
      <c r="X8">
        <f>Scalability!C9</f>
        <v>4.5</v>
      </c>
      <c r="Y8">
        <v>3</v>
      </c>
      <c r="Z8" s="113">
        <f>Footprint!C9</f>
        <v>7.5</v>
      </c>
      <c r="AA8" s="159">
        <v>7.7777777777777786</v>
      </c>
      <c r="AB8">
        <v>3</v>
      </c>
      <c r="AC8">
        <f>'Geopolitical Barriers'!C9</f>
        <v>7.8260000000000005</v>
      </c>
      <c r="AD8">
        <f>'Economic Lifetime'!F9</f>
        <v>7.5</v>
      </c>
      <c r="AE8" s="98">
        <v>1</v>
      </c>
      <c r="AF8">
        <v>3</v>
      </c>
    </row>
    <row r="9" spans="1:32" ht="14.4" x14ac:dyDescent="0.3">
      <c r="A9" s="46" t="s">
        <v>89</v>
      </c>
      <c r="B9" t="s">
        <v>57</v>
      </c>
      <c r="C9" s="46" t="s">
        <v>90</v>
      </c>
      <c r="D9" t="s">
        <v>91</v>
      </c>
      <c r="E9" s="46" t="s">
        <v>74</v>
      </c>
      <c r="F9" s="46" t="s">
        <v>92</v>
      </c>
      <c r="G9" s="46" t="s">
        <v>93</v>
      </c>
      <c r="H9" s="46" t="s">
        <v>94</v>
      </c>
      <c r="I9" s="165" t="s">
        <v>55</v>
      </c>
      <c r="K9" s="46">
        <v>300</v>
      </c>
      <c r="L9" s="46">
        <v>960</v>
      </c>
      <c r="M9" s="46">
        <v>9.9</v>
      </c>
      <c r="N9" s="51"/>
      <c r="O9" s="46">
        <v>310</v>
      </c>
      <c r="P9" s="98">
        <v>0.313</v>
      </c>
      <c r="Q9" s="46">
        <v>70</v>
      </c>
      <c r="R9" s="95">
        <f>CAPEX!I9</f>
        <v>4.2</v>
      </c>
      <c r="S9">
        <v>3</v>
      </c>
      <c r="T9" s="113">
        <f>Profitability!J20</f>
        <v>3.7498595725459358</v>
      </c>
      <c r="U9">
        <v>3</v>
      </c>
      <c r="V9" s="170">
        <v>7</v>
      </c>
      <c r="W9">
        <v>5</v>
      </c>
      <c r="X9">
        <f>Scalability!C20</f>
        <v>4.5</v>
      </c>
      <c r="Y9">
        <v>3</v>
      </c>
      <c r="Z9" s="113">
        <f>Footprint!C20</f>
        <v>7.1428571428571423</v>
      </c>
      <c r="AA9" s="159">
        <v>3.3333333333333335</v>
      </c>
      <c r="AB9">
        <v>3</v>
      </c>
      <c r="AC9">
        <f>'Geopolitical Barriers'!C20</f>
        <v>8.7000000000000188E-2</v>
      </c>
      <c r="AD9">
        <f>'Economic Lifetime'!F20</f>
        <v>8.75</v>
      </c>
      <c r="AE9" s="98">
        <v>1</v>
      </c>
      <c r="AF9">
        <v>3</v>
      </c>
    </row>
    <row r="10" spans="1:32" ht="14.4" x14ac:dyDescent="0.3">
      <c r="A10" s="46" t="s">
        <v>95</v>
      </c>
      <c r="B10" t="s">
        <v>57</v>
      </c>
      <c r="C10" s="46" t="s">
        <v>96</v>
      </c>
      <c r="D10" t="s">
        <v>97</v>
      </c>
      <c r="E10" s="46" t="s">
        <v>60</v>
      </c>
      <c r="F10" s="46" t="s">
        <v>98</v>
      </c>
      <c r="G10" s="46" t="s">
        <v>99</v>
      </c>
      <c r="H10" s="46" t="s">
        <v>63</v>
      </c>
      <c r="I10" s="165" t="s">
        <v>55</v>
      </c>
      <c r="K10" s="46">
        <v>200</v>
      </c>
      <c r="L10" s="46">
        <v>660</v>
      </c>
      <c r="M10" s="46">
        <v>15.5</v>
      </c>
      <c r="N10" s="46">
        <v>289</v>
      </c>
      <c r="O10" s="46">
        <v>313</v>
      </c>
      <c r="P10" s="98">
        <v>0.30299999999999999</v>
      </c>
      <c r="Q10" s="46">
        <v>60</v>
      </c>
      <c r="R10" s="95">
        <f>CAPEX!I10</f>
        <v>4.5999999999999996</v>
      </c>
      <c r="S10">
        <v>3</v>
      </c>
      <c r="T10" s="113">
        <f>Profitability!J26</f>
        <v>2.4165126991676837</v>
      </c>
      <c r="U10">
        <v>3</v>
      </c>
      <c r="V10" s="170">
        <v>8</v>
      </c>
      <c r="W10">
        <v>5</v>
      </c>
      <c r="X10">
        <f>Scalability!C26</f>
        <v>4.5</v>
      </c>
      <c r="Y10">
        <v>3</v>
      </c>
      <c r="Z10" s="113">
        <f>Footprint!C26</f>
        <v>5</v>
      </c>
      <c r="AA10" s="159">
        <v>4.4444444444444446</v>
      </c>
      <c r="AB10">
        <v>3</v>
      </c>
      <c r="AC10">
        <f>'Geopolitical Barriers'!C26</f>
        <v>7.6970000000000001</v>
      </c>
      <c r="AD10">
        <f>'Economic Lifetime'!F26</f>
        <v>7.5</v>
      </c>
      <c r="AE10" s="98">
        <v>1</v>
      </c>
      <c r="AF10">
        <v>3</v>
      </c>
    </row>
    <row r="11" spans="1:32" ht="14.4" x14ac:dyDescent="0.3">
      <c r="A11" s="46" t="s">
        <v>100</v>
      </c>
      <c r="B11" t="s">
        <v>57</v>
      </c>
      <c r="C11" s="46" t="s">
        <v>58</v>
      </c>
      <c r="D11" t="s">
        <v>101</v>
      </c>
      <c r="E11" s="46" t="s">
        <v>102</v>
      </c>
      <c r="F11" s="46" t="s">
        <v>61</v>
      </c>
      <c r="G11" s="46" t="s">
        <v>103</v>
      </c>
      <c r="H11" s="46" t="s">
        <v>63</v>
      </c>
      <c r="I11" s="165" t="s">
        <v>55</v>
      </c>
      <c r="K11" s="46">
        <v>30</v>
      </c>
      <c r="L11" s="46">
        <v>100</v>
      </c>
      <c r="M11" s="46">
        <v>12.5</v>
      </c>
      <c r="N11" s="46">
        <v>286</v>
      </c>
      <c r="O11" s="46">
        <v>326</v>
      </c>
      <c r="P11" s="98">
        <v>0.3</v>
      </c>
      <c r="Q11" s="46">
        <v>40</v>
      </c>
      <c r="R11" s="95">
        <f>CAPEX!I11</f>
        <v>8.8000000000000007</v>
      </c>
      <c r="S11">
        <v>3</v>
      </c>
      <c r="T11" s="113">
        <f>Profitability!J4</f>
        <v>0.31603987944241901</v>
      </c>
      <c r="U11">
        <v>3</v>
      </c>
      <c r="V11" s="170">
        <v>8</v>
      </c>
      <c r="W11">
        <v>5</v>
      </c>
      <c r="X11">
        <f>Scalability!C4</f>
        <v>4.5</v>
      </c>
      <c r="Y11">
        <v>3</v>
      </c>
      <c r="Z11" s="113">
        <f>Footprint!C4</f>
        <v>4.166666666666667</v>
      </c>
      <c r="AA11" s="159">
        <v>8.8888888888888893</v>
      </c>
      <c r="AB11">
        <v>3</v>
      </c>
      <c r="AC11">
        <f>'Geopolitical Barriers'!C4</f>
        <v>7.6970000000000001</v>
      </c>
      <c r="AD11">
        <f>'Economic Lifetime'!F4</f>
        <v>5</v>
      </c>
      <c r="AE11" s="98">
        <v>1</v>
      </c>
      <c r="AF11">
        <v>3</v>
      </c>
    </row>
    <row r="12" spans="1:32" ht="14.4" x14ac:dyDescent="0.3">
      <c r="A12" s="46" t="s">
        <v>104</v>
      </c>
      <c r="B12" t="s">
        <v>105</v>
      </c>
      <c r="C12" t="s">
        <v>106</v>
      </c>
      <c r="D12" s="50" t="s">
        <v>107</v>
      </c>
      <c r="E12" t="s">
        <v>108</v>
      </c>
      <c r="F12" t="s">
        <v>109</v>
      </c>
      <c r="G12" t="s">
        <v>110</v>
      </c>
      <c r="H12" t="s">
        <v>111</v>
      </c>
      <c r="I12" s="165" t="s">
        <v>55</v>
      </c>
      <c r="K12">
        <v>100</v>
      </c>
      <c r="L12">
        <v>250</v>
      </c>
      <c r="M12">
        <v>18</v>
      </c>
      <c r="N12">
        <v>600</v>
      </c>
      <c r="O12">
        <v>670</v>
      </c>
      <c r="P12" s="98">
        <v>0.4</v>
      </c>
      <c r="Q12">
        <v>12</v>
      </c>
      <c r="R12" s="95">
        <f>CAPEX!I12</f>
        <v>5</v>
      </c>
      <c r="S12">
        <v>3</v>
      </c>
      <c r="T12" s="113">
        <f>Profitability!J63</f>
        <v>0</v>
      </c>
      <c r="U12">
        <v>3</v>
      </c>
      <c r="V12" s="170">
        <v>3</v>
      </c>
      <c r="W12">
        <v>5</v>
      </c>
      <c r="X12">
        <f>Scalability!C63</f>
        <v>4.5</v>
      </c>
      <c r="Y12">
        <v>3</v>
      </c>
      <c r="Z12" s="113">
        <f>Footprint!C63</f>
        <v>7.5</v>
      </c>
      <c r="AA12" s="159">
        <v>3.3333333333333335</v>
      </c>
      <c r="AB12">
        <v>3</v>
      </c>
      <c r="AC12">
        <f>'Geopolitical Barriers'!C63</f>
        <v>6.6229999999999993</v>
      </c>
      <c r="AD12">
        <f>'Economic Lifetime'!F63</f>
        <v>1.5</v>
      </c>
      <c r="AE12" s="98">
        <v>9</v>
      </c>
      <c r="AF12">
        <v>3</v>
      </c>
    </row>
    <row r="13" spans="1:32" ht="14.4" x14ac:dyDescent="0.3">
      <c r="A13" s="46" t="s">
        <v>112</v>
      </c>
      <c r="B13" t="s">
        <v>105</v>
      </c>
      <c r="C13" t="s">
        <v>113</v>
      </c>
      <c r="D13" t="s">
        <v>114</v>
      </c>
      <c r="E13" t="s">
        <v>108</v>
      </c>
      <c r="F13" t="s">
        <v>52</v>
      </c>
      <c r="G13" t="s">
        <v>115</v>
      </c>
      <c r="H13" t="s">
        <v>116</v>
      </c>
      <c r="I13" s="165" t="s">
        <v>55</v>
      </c>
      <c r="K13">
        <v>0</v>
      </c>
      <c r="L13">
        <v>100</v>
      </c>
      <c r="M13">
        <v>0.25</v>
      </c>
      <c r="N13">
        <v>600</v>
      </c>
      <c r="O13">
        <v>700</v>
      </c>
      <c r="P13" s="98">
        <v>0</v>
      </c>
      <c r="Q13">
        <v>5</v>
      </c>
      <c r="R13" s="95">
        <f>CAPEX!I13</f>
        <v>5.4</v>
      </c>
      <c r="S13">
        <v>3</v>
      </c>
      <c r="T13" s="113">
        <f>Profitability!J59</f>
        <v>0</v>
      </c>
      <c r="U13">
        <v>3</v>
      </c>
      <c r="V13" s="170">
        <v>5</v>
      </c>
      <c r="W13">
        <v>5</v>
      </c>
      <c r="X13">
        <f>Scalability!C59</f>
        <v>4.5</v>
      </c>
      <c r="Y13">
        <v>3</v>
      </c>
      <c r="Z13" s="113">
        <f>Footprint!C59</f>
        <v>7.5</v>
      </c>
      <c r="AA13" s="159">
        <v>7.7777777777777786</v>
      </c>
      <c r="AB13">
        <v>3</v>
      </c>
      <c r="AC13">
        <f>'Geopolitical Barriers'!C59</f>
        <v>6.4910000000000005</v>
      </c>
      <c r="AD13">
        <f>'Economic Lifetime'!F59</f>
        <v>0.625</v>
      </c>
      <c r="AE13" s="98">
        <v>0</v>
      </c>
      <c r="AF13">
        <v>3</v>
      </c>
    </row>
    <row r="14" spans="1:32" ht="14.4" x14ac:dyDescent="0.3">
      <c r="A14" s="46" t="s">
        <v>117</v>
      </c>
      <c r="B14" t="s">
        <v>57</v>
      </c>
      <c r="C14" s="46" t="s">
        <v>118</v>
      </c>
      <c r="D14" t="s">
        <v>119</v>
      </c>
      <c r="E14" s="46" t="s">
        <v>60</v>
      </c>
      <c r="F14" s="46" t="s">
        <v>98</v>
      </c>
      <c r="G14" s="46" t="s">
        <v>120</v>
      </c>
      <c r="H14" s="46" t="s">
        <v>63</v>
      </c>
      <c r="I14" s="165" t="s">
        <v>55</v>
      </c>
      <c r="K14" s="46">
        <v>0</v>
      </c>
      <c r="L14" s="46">
        <v>400</v>
      </c>
      <c r="M14" s="46">
        <v>0.3</v>
      </c>
      <c r="N14" s="46">
        <v>68</v>
      </c>
      <c r="O14" s="46">
        <v>98</v>
      </c>
      <c r="P14" s="98">
        <v>0</v>
      </c>
      <c r="Q14" s="46">
        <v>60</v>
      </c>
      <c r="R14" s="95">
        <f>CAPEX!I14</f>
        <v>5</v>
      </c>
      <c r="S14">
        <v>3</v>
      </c>
      <c r="T14" s="113">
        <f>Profitability!J24</f>
        <v>0</v>
      </c>
      <c r="U14">
        <v>3</v>
      </c>
      <c r="V14" s="170">
        <v>8</v>
      </c>
      <c r="W14">
        <v>5</v>
      </c>
      <c r="X14">
        <f>Scalability!C24</f>
        <v>4.5</v>
      </c>
      <c r="Y14">
        <v>3</v>
      </c>
      <c r="Z14" s="113">
        <f>Footprint!C24</f>
        <v>2.5</v>
      </c>
      <c r="AA14" s="159">
        <v>5.5555555555555554</v>
      </c>
      <c r="AB14">
        <v>3</v>
      </c>
      <c r="AC14">
        <f>'Geopolitical Barriers'!C24</f>
        <v>3.4459999999999997</v>
      </c>
      <c r="AD14">
        <f>'Economic Lifetime'!F24</f>
        <v>7.5</v>
      </c>
      <c r="AE14" s="98">
        <v>0</v>
      </c>
      <c r="AF14">
        <v>3</v>
      </c>
    </row>
    <row r="15" spans="1:32" ht="14.4" x14ac:dyDescent="0.3">
      <c r="A15" s="46" t="s">
        <v>121</v>
      </c>
      <c r="B15" t="s">
        <v>65</v>
      </c>
      <c r="C15" t="s">
        <v>122</v>
      </c>
      <c r="D15" t="s">
        <v>123</v>
      </c>
      <c r="E15" t="s">
        <v>124</v>
      </c>
      <c r="F15" t="s">
        <v>92</v>
      </c>
      <c r="G15" t="s">
        <v>125</v>
      </c>
      <c r="H15" t="s">
        <v>126</v>
      </c>
      <c r="I15" s="165" t="s">
        <v>55</v>
      </c>
      <c r="K15">
        <v>265</v>
      </c>
      <c r="L15">
        <v>500</v>
      </c>
      <c r="M15">
        <v>13.3</v>
      </c>
      <c r="N15">
        <v>550</v>
      </c>
      <c r="O15">
        <v>850</v>
      </c>
      <c r="P15" s="90">
        <v>0.53</v>
      </c>
      <c r="Q15">
        <v>60</v>
      </c>
      <c r="R15" s="95">
        <f>CAPEX!I15</f>
        <v>5</v>
      </c>
      <c r="S15">
        <v>3</v>
      </c>
      <c r="T15" s="113">
        <f>Profitability!J38</f>
        <v>2.9980723814424062</v>
      </c>
      <c r="U15">
        <v>3</v>
      </c>
      <c r="V15" s="170">
        <v>9</v>
      </c>
      <c r="W15">
        <v>5</v>
      </c>
      <c r="X15">
        <f>Scalability!C38</f>
        <v>4.5</v>
      </c>
      <c r="Y15">
        <v>3</v>
      </c>
      <c r="Z15" s="113">
        <f>Footprint!C38</f>
        <v>6.666666666666667</v>
      </c>
      <c r="AA15" s="159">
        <v>3.3333333333333335</v>
      </c>
      <c r="AB15">
        <v>3</v>
      </c>
      <c r="AC15">
        <f>'Geopolitical Barriers'!C38</f>
        <v>8.6829999999999998</v>
      </c>
      <c r="AD15">
        <f>'Economic Lifetime'!F38</f>
        <v>7.5</v>
      </c>
      <c r="AE15" s="90">
        <v>10</v>
      </c>
      <c r="AF15">
        <v>3</v>
      </c>
    </row>
    <row r="16" spans="1:32" ht="14.4" x14ac:dyDescent="0.3">
      <c r="A16" s="46" t="s">
        <v>127</v>
      </c>
      <c r="B16" t="s">
        <v>65</v>
      </c>
      <c r="C16" t="s">
        <v>122</v>
      </c>
      <c r="D16" t="s">
        <v>128</v>
      </c>
      <c r="E16" t="s">
        <v>124</v>
      </c>
      <c r="F16" t="s">
        <v>92</v>
      </c>
      <c r="G16" t="s">
        <v>129</v>
      </c>
      <c r="H16" t="s">
        <v>126</v>
      </c>
      <c r="I16" s="165" t="s">
        <v>55</v>
      </c>
      <c r="K16">
        <v>50</v>
      </c>
      <c r="L16">
        <v>100</v>
      </c>
      <c r="M16">
        <v>7</v>
      </c>
      <c r="N16">
        <v>509</v>
      </c>
      <c r="O16">
        <v>800</v>
      </c>
      <c r="P16" s="90">
        <v>0.5</v>
      </c>
      <c r="Q16">
        <v>60</v>
      </c>
      <c r="R16" s="95">
        <f>CAPEX!I16</f>
        <v>2.1</v>
      </c>
      <c r="S16">
        <v>3</v>
      </c>
      <c r="T16" s="113">
        <f>Profitability!J56</f>
        <v>0.37571841554961355</v>
      </c>
      <c r="U16">
        <v>3</v>
      </c>
      <c r="V16" s="170">
        <v>9</v>
      </c>
      <c r="W16">
        <v>5</v>
      </c>
      <c r="X16">
        <f>Scalability!C56</f>
        <v>4.5</v>
      </c>
      <c r="Y16">
        <v>3</v>
      </c>
      <c r="Z16" s="113">
        <f>Footprint!C56</f>
        <v>7.5</v>
      </c>
      <c r="AA16" s="159">
        <v>4.4444444444444446</v>
      </c>
      <c r="AB16">
        <v>3</v>
      </c>
      <c r="AC16">
        <f>'Geopolitical Barriers'!C56</f>
        <v>4.8369999999999997</v>
      </c>
      <c r="AD16">
        <f>'Economic Lifetime'!F56</f>
        <v>7.5</v>
      </c>
      <c r="AE16" s="90">
        <v>10</v>
      </c>
      <c r="AF16">
        <v>3</v>
      </c>
    </row>
    <row r="17" spans="1:32" ht="14.4" x14ac:dyDescent="0.3">
      <c r="A17" s="46" t="s">
        <v>130</v>
      </c>
      <c r="B17" t="s">
        <v>105</v>
      </c>
      <c r="C17" t="s">
        <v>106</v>
      </c>
      <c r="D17" t="s">
        <v>131</v>
      </c>
      <c r="E17" t="s">
        <v>51</v>
      </c>
      <c r="F17" t="s">
        <v>132</v>
      </c>
      <c r="G17" t="s">
        <v>133</v>
      </c>
      <c r="H17" t="s">
        <v>134</v>
      </c>
      <c r="I17" s="165" t="s">
        <v>55</v>
      </c>
      <c r="K17">
        <v>200</v>
      </c>
      <c r="L17">
        <v>450</v>
      </c>
      <c r="M17">
        <v>0.5</v>
      </c>
      <c r="N17">
        <v>565</v>
      </c>
      <c r="O17">
        <v>704</v>
      </c>
      <c r="P17" s="98">
        <v>0.44400000000000001</v>
      </c>
      <c r="Q17">
        <v>30</v>
      </c>
      <c r="R17" s="95">
        <f>CAPEX!I17</f>
        <v>2.5</v>
      </c>
      <c r="S17">
        <v>3</v>
      </c>
      <c r="T17" s="113">
        <f>Profitability!J39</f>
        <v>0</v>
      </c>
      <c r="U17">
        <v>3</v>
      </c>
      <c r="V17" s="170">
        <v>3</v>
      </c>
      <c r="W17">
        <v>5</v>
      </c>
      <c r="X17">
        <f>Scalability!C39</f>
        <v>4.5</v>
      </c>
      <c r="Y17">
        <v>3</v>
      </c>
      <c r="Z17" s="113">
        <f>Footprint!C39</f>
        <v>30</v>
      </c>
      <c r="AA17" s="159">
        <v>5.5555555555555554</v>
      </c>
      <c r="AB17">
        <v>3</v>
      </c>
      <c r="AC17">
        <f>'Geopolitical Barriers'!C39</f>
        <v>6.6229999999999993</v>
      </c>
      <c r="AD17">
        <f>'Economic Lifetime'!F39</f>
        <v>3.75</v>
      </c>
      <c r="AE17" s="98">
        <v>9</v>
      </c>
      <c r="AF17">
        <v>3</v>
      </c>
    </row>
    <row r="18" spans="1:32" ht="14.4" x14ac:dyDescent="0.3">
      <c r="A18" s="46" t="s">
        <v>135</v>
      </c>
      <c r="B18" t="s">
        <v>65</v>
      </c>
      <c r="C18" t="s">
        <v>136</v>
      </c>
      <c r="D18" t="s">
        <v>137</v>
      </c>
      <c r="E18" t="s">
        <v>51</v>
      </c>
      <c r="F18" t="s">
        <v>98</v>
      </c>
      <c r="G18" t="s">
        <v>138</v>
      </c>
      <c r="H18" t="s">
        <v>71</v>
      </c>
      <c r="I18" s="165" t="s">
        <v>55</v>
      </c>
      <c r="K18">
        <v>300</v>
      </c>
      <c r="L18">
        <v>600</v>
      </c>
      <c r="M18">
        <v>7</v>
      </c>
      <c r="N18">
        <v>633</v>
      </c>
      <c r="O18">
        <v>900</v>
      </c>
      <c r="P18" s="90">
        <v>0.5</v>
      </c>
      <c r="Q18">
        <v>60</v>
      </c>
      <c r="R18" s="95">
        <f>CAPEX!I18</f>
        <v>5</v>
      </c>
      <c r="S18">
        <v>3</v>
      </c>
      <c r="T18" s="113">
        <f>Profitability!J33</f>
        <v>3.4624282281330272</v>
      </c>
      <c r="U18">
        <v>3</v>
      </c>
      <c r="V18" s="170">
        <v>6</v>
      </c>
      <c r="W18">
        <v>5</v>
      </c>
      <c r="X18">
        <f>Scalability!C33</f>
        <v>4.5</v>
      </c>
      <c r="Y18">
        <v>3</v>
      </c>
      <c r="Z18" s="113">
        <f>Footprint!C33</f>
        <v>7.5</v>
      </c>
      <c r="AA18" s="159">
        <v>5.5555555555555554</v>
      </c>
      <c r="AB18">
        <v>3</v>
      </c>
      <c r="AC18">
        <f>'Geopolitical Barriers'!C33</f>
        <v>4.758</v>
      </c>
      <c r="AD18">
        <f>'Economic Lifetime'!F33</f>
        <v>7.5</v>
      </c>
      <c r="AE18" s="90">
        <v>10</v>
      </c>
      <c r="AF18">
        <v>3</v>
      </c>
    </row>
    <row r="19" spans="1:32" ht="14.4" x14ac:dyDescent="0.3">
      <c r="A19" s="46" t="s">
        <v>139</v>
      </c>
      <c r="B19" t="s">
        <v>65</v>
      </c>
      <c r="C19" t="s">
        <v>136</v>
      </c>
      <c r="D19" t="s">
        <v>140</v>
      </c>
      <c r="E19" t="s">
        <v>79</v>
      </c>
      <c r="F19" t="s">
        <v>141</v>
      </c>
      <c r="G19" t="s">
        <v>142</v>
      </c>
      <c r="H19" t="s">
        <v>71</v>
      </c>
      <c r="I19" s="165" t="s">
        <v>55</v>
      </c>
      <c r="K19">
        <v>288</v>
      </c>
      <c r="L19">
        <v>600</v>
      </c>
      <c r="M19">
        <v>7.2</v>
      </c>
      <c r="N19">
        <v>490</v>
      </c>
      <c r="O19">
        <v>850</v>
      </c>
      <c r="P19" s="98">
        <v>0.48</v>
      </c>
      <c r="Q19">
        <v>60</v>
      </c>
      <c r="R19" s="95">
        <f>CAPEX!I19</f>
        <v>5.4</v>
      </c>
      <c r="S19">
        <v>3</v>
      </c>
      <c r="T19" s="113">
        <f>Profitability!J36</f>
        <v>1.8017027531151706</v>
      </c>
      <c r="U19">
        <v>3</v>
      </c>
      <c r="V19" s="170">
        <v>6</v>
      </c>
      <c r="W19">
        <v>5</v>
      </c>
      <c r="X19">
        <f>Scalability!C36</f>
        <v>5.5</v>
      </c>
      <c r="Y19">
        <v>3</v>
      </c>
      <c r="Z19" s="113">
        <f>Footprint!C36</f>
        <v>7.5</v>
      </c>
      <c r="AA19" s="159">
        <v>5.5555555555555554</v>
      </c>
      <c r="AB19">
        <v>3</v>
      </c>
      <c r="AC19">
        <f>'Geopolitical Barriers'!C36</f>
        <v>8.7000000000000188E-2</v>
      </c>
      <c r="AD19">
        <f>'Economic Lifetime'!F36</f>
        <v>7.5</v>
      </c>
      <c r="AE19" s="98">
        <v>10</v>
      </c>
      <c r="AF19">
        <v>3</v>
      </c>
    </row>
    <row r="20" spans="1:32" ht="14.4" x14ac:dyDescent="0.3">
      <c r="A20" s="46" t="s">
        <v>143</v>
      </c>
      <c r="B20" t="s">
        <v>57</v>
      </c>
      <c r="C20" s="46" t="s">
        <v>96</v>
      </c>
      <c r="D20" t="s">
        <v>144</v>
      </c>
      <c r="E20" s="46" t="s">
        <v>60</v>
      </c>
      <c r="F20" s="46" t="s">
        <v>87</v>
      </c>
      <c r="G20" s="46" t="s">
        <v>145</v>
      </c>
      <c r="H20" s="46" t="s">
        <v>63</v>
      </c>
      <c r="I20" s="165" t="s">
        <v>55</v>
      </c>
      <c r="K20" s="46">
        <v>0</v>
      </c>
      <c r="L20" s="46">
        <v>200</v>
      </c>
      <c r="M20" s="46">
        <v>0.6</v>
      </c>
      <c r="N20" s="46">
        <v>80</v>
      </c>
      <c r="O20" s="46">
        <v>120</v>
      </c>
      <c r="P20" s="98">
        <v>0</v>
      </c>
      <c r="Q20" s="46">
        <v>60</v>
      </c>
      <c r="R20" s="95">
        <f>CAPEX!I20</f>
        <v>5</v>
      </c>
      <c r="S20">
        <v>3</v>
      </c>
      <c r="T20" s="113">
        <f>Profitability!J8</f>
        <v>0</v>
      </c>
      <c r="U20">
        <v>3</v>
      </c>
      <c r="V20" s="170">
        <v>8</v>
      </c>
      <c r="W20">
        <v>5</v>
      </c>
      <c r="X20">
        <f>Scalability!C8</f>
        <v>4.5</v>
      </c>
      <c r="Y20">
        <v>3</v>
      </c>
      <c r="Z20" s="113">
        <f>Footprint!C8</f>
        <v>7.5</v>
      </c>
      <c r="AA20" s="159">
        <v>6.666666666666667</v>
      </c>
      <c r="AB20">
        <v>3</v>
      </c>
      <c r="AC20">
        <f>'Geopolitical Barriers'!C8</f>
        <v>8.7000000000000188E-2</v>
      </c>
      <c r="AD20">
        <f>'Economic Lifetime'!F8</f>
        <v>7.5</v>
      </c>
      <c r="AE20" s="98">
        <v>0</v>
      </c>
      <c r="AF20">
        <v>3</v>
      </c>
    </row>
    <row r="21" spans="1:32" ht="14.4" x14ac:dyDescent="0.3">
      <c r="A21" s="46" t="s">
        <v>146</v>
      </c>
      <c r="B21" t="s">
        <v>65</v>
      </c>
      <c r="C21" t="s">
        <v>66</v>
      </c>
      <c r="D21" t="s">
        <v>147</v>
      </c>
      <c r="E21" t="s">
        <v>68</v>
      </c>
      <c r="F21" t="s">
        <v>98</v>
      </c>
      <c r="G21" t="s">
        <v>148</v>
      </c>
      <c r="H21" t="s">
        <v>71</v>
      </c>
      <c r="I21" s="165" t="s">
        <v>55</v>
      </c>
      <c r="K21">
        <v>35</v>
      </c>
      <c r="L21">
        <v>100</v>
      </c>
      <c r="M21">
        <v>16</v>
      </c>
      <c r="N21">
        <v>250</v>
      </c>
      <c r="O21">
        <v>750</v>
      </c>
      <c r="P21" s="98">
        <v>0.35</v>
      </c>
      <c r="Q21">
        <v>40</v>
      </c>
      <c r="R21" s="95">
        <f>CAPEX!I21</f>
        <v>5.8</v>
      </c>
      <c r="S21">
        <v>3</v>
      </c>
      <c r="T21" s="113">
        <f>Profitability!J55</f>
        <v>0.21266465193325676</v>
      </c>
      <c r="U21">
        <v>3</v>
      </c>
      <c r="V21" s="170">
        <v>6</v>
      </c>
      <c r="W21">
        <v>5</v>
      </c>
      <c r="X21">
        <f>Scalability!C55</f>
        <v>4.5</v>
      </c>
      <c r="Y21">
        <v>3</v>
      </c>
      <c r="Z21" s="113">
        <f>Footprint!C55</f>
        <v>7.5</v>
      </c>
      <c r="AA21" s="159">
        <v>4.4444444444444446</v>
      </c>
      <c r="AB21">
        <v>3</v>
      </c>
      <c r="AC21">
        <f>'Geopolitical Barriers'!C55</f>
        <v>8.44</v>
      </c>
      <c r="AD21">
        <f>'Economic Lifetime'!F55</f>
        <v>5</v>
      </c>
      <c r="AE21" s="98">
        <v>3</v>
      </c>
      <c r="AF21">
        <v>3</v>
      </c>
    </row>
    <row r="22" spans="1:32" ht="14.4" x14ac:dyDescent="0.3">
      <c r="A22" s="46" t="s">
        <v>149</v>
      </c>
      <c r="B22" t="s">
        <v>65</v>
      </c>
      <c r="C22" t="s">
        <v>66</v>
      </c>
      <c r="D22" t="s">
        <v>150</v>
      </c>
      <c r="E22" t="s">
        <v>60</v>
      </c>
      <c r="F22" t="s">
        <v>151</v>
      </c>
      <c r="G22" t="s">
        <v>152</v>
      </c>
      <c r="H22" t="s">
        <v>71</v>
      </c>
      <c r="I22" s="165" t="s">
        <v>55</v>
      </c>
      <c r="K22">
        <v>2.5</v>
      </c>
      <c r="L22">
        <v>10</v>
      </c>
      <c r="M22">
        <v>4</v>
      </c>
      <c r="N22">
        <v>250</v>
      </c>
      <c r="O22">
        <v>700</v>
      </c>
      <c r="P22" s="98">
        <v>0.25</v>
      </c>
      <c r="Q22">
        <v>20</v>
      </c>
      <c r="R22" s="95">
        <f>CAPEX!I22</f>
        <v>5.4</v>
      </c>
      <c r="S22">
        <v>3</v>
      </c>
      <c r="T22" s="113">
        <f>Profitability!J65</f>
        <v>0</v>
      </c>
      <c r="U22">
        <v>3</v>
      </c>
      <c r="V22" s="170">
        <v>6</v>
      </c>
      <c r="W22">
        <v>5</v>
      </c>
      <c r="X22">
        <f>Scalability!C65</f>
        <v>4.5</v>
      </c>
      <c r="Y22">
        <v>3</v>
      </c>
      <c r="Z22" s="113">
        <f>Footprint!C65</f>
        <v>7.5</v>
      </c>
      <c r="AA22" s="159">
        <v>10</v>
      </c>
      <c r="AB22">
        <v>3</v>
      </c>
      <c r="AC22">
        <f>'Geopolitical Barriers'!C65</f>
        <v>6.6229999999999993</v>
      </c>
      <c r="AD22">
        <f>'Economic Lifetime'!F65</f>
        <v>2.5</v>
      </c>
      <c r="AE22" s="98">
        <v>1</v>
      </c>
      <c r="AF22">
        <v>3</v>
      </c>
    </row>
    <row r="23" spans="1:32" ht="14.4" x14ac:dyDescent="0.3">
      <c r="A23" s="46" t="s">
        <v>153</v>
      </c>
      <c r="B23" t="s">
        <v>65</v>
      </c>
      <c r="C23" s="46" t="s">
        <v>66</v>
      </c>
      <c r="D23" t="s">
        <v>150</v>
      </c>
      <c r="E23" s="46" t="s">
        <v>60</v>
      </c>
      <c r="F23" s="46" t="s">
        <v>154</v>
      </c>
      <c r="G23" s="46">
        <v>2022</v>
      </c>
      <c r="H23" s="46" t="s">
        <v>71</v>
      </c>
      <c r="I23" s="165" t="s">
        <v>55</v>
      </c>
      <c r="K23" s="46">
        <v>210</v>
      </c>
      <c r="L23" s="46">
        <v>500</v>
      </c>
      <c r="M23" s="46">
        <v>13.25</v>
      </c>
      <c r="N23" s="46">
        <v>250</v>
      </c>
      <c r="O23" s="46">
        <v>750</v>
      </c>
      <c r="P23" s="98">
        <v>0.42</v>
      </c>
      <c r="Q23" s="46">
        <v>40</v>
      </c>
      <c r="R23" s="95">
        <f>CAPEX!I23</f>
        <v>4.5999999999999996</v>
      </c>
      <c r="S23">
        <v>3</v>
      </c>
      <c r="T23" s="113">
        <f>Profitability!J29</f>
        <v>2.4085982880076768</v>
      </c>
      <c r="U23">
        <v>3</v>
      </c>
      <c r="V23" s="170">
        <v>6</v>
      </c>
      <c r="W23">
        <v>5</v>
      </c>
      <c r="X23">
        <f>Scalability!C29</f>
        <v>5.5</v>
      </c>
      <c r="Y23">
        <v>3</v>
      </c>
      <c r="Z23" s="113">
        <f>Footprint!C29</f>
        <v>2.5</v>
      </c>
      <c r="AA23" s="159">
        <v>10</v>
      </c>
      <c r="AB23">
        <v>3</v>
      </c>
      <c r="AC23">
        <f>'Geopolitical Barriers'!C29</f>
        <v>8.4619999999999997</v>
      </c>
      <c r="AD23">
        <f>'Economic Lifetime'!F29</f>
        <v>5</v>
      </c>
      <c r="AE23" s="98">
        <v>9</v>
      </c>
      <c r="AF23">
        <v>3</v>
      </c>
    </row>
    <row r="24" spans="1:32" ht="14.4" x14ac:dyDescent="0.3">
      <c r="A24" s="46" t="s">
        <v>155</v>
      </c>
      <c r="B24" t="s">
        <v>65</v>
      </c>
      <c r="C24" t="s">
        <v>136</v>
      </c>
      <c r="D24" t="s">
        <v>156</v>
      </c>
      <c r="E24" t="s">
        <v>51</v>
      </c>
      <c r="F24" t="s">
        <v>154</v>
      </c>
      <c r="G24" t="s">
        <v>157</v>
      </c>
      <c r="H24" t="s">
        <v>71</v>
      </c>
      <c r="I24" s="165" t="s">
        <v>55</v>
      </c>
      <c r="K24">
        <v>0</v>
      </c>
      <c r="L24">
        <v>30</v>
      </c>
      <c r="M24">
        <v>4</v>
      </c>
      <c r="N24">
        <v>395</v>
      </c>
      <c r="O24">
        <v>850</v>
      </c>
      <c r="P24" s="98">
        <v>0</v>
      </c>
      <c r="Q24">
        <v>20</v>
      </c>
      <c r="R24" s="95">
        <f>CAPEX!I24</f>
        <v>2.1</v>
      </c>
      <c r="S24">
        <v>3</v>
      </c>
      <c r="T24" s="113">
        <f>Profitability!J64</f>
        <v>0</v>
      </c>
      <c r="U24">
        <v>3</v>
      </c>
      <c r="V24" s="170">
        <v>6</v>
      </c>
      <c r="W24">
        <v>5</v>
      </c>
      <c r="X24">
        <f>Scalability!C64</f>
        <v>4.5</v>
      </c>
      <c r="Y24">
        <v>3</v>
      </c>
      <c r="Z24" s="113">
        <f>Footprint!C64</f>
        <v>2.5</v>
      </c>
      <c r="AA24" s="159">
        <v>10</v>
      </c>
      <c r="AB24">
        <v>3</v>
      </c>
      <c r="AC24">
        <f>'Geopolitical Barriers'!C64</f>
        <v>6.6229999999999993</v>
      </c>
      <c r="AD24">
        <f>'Economic Lifetime'!F64</f>
        <v>2.5</v>
      </c>
      <c r="AE24" s="98">
        <v>0</v>
      </c>
      <c r="AF24">
        <v>3</v>
      </c>
    </row>
    <row r="25" spans="1:32" ht="14.4" x14ac:dyDescent="0.3">
      <c r="A25" s="46" t="s">
        <v>158</v>
      </c>
      <c r="B25" t="s">
        <v>57</v>
      </c>
      <c r="C25" s="46" t="s">
        <v>96</v>
      </c>
      <c r="D25" t="s">
        <v>159</v>
      </c>
      <c r="E25" s="46" t="s">
        <v>51</v>
      </c>
      <c r="F25" s="46" t="s">
        <v>69</v>
      </c>
      <c r="G25" s="46" t="s">
        <v>160</v>
      </c>
      <c r="H25" s="46" t="s">
        <v>63</v>
      </c>
      <c r="I25" s="165" t="s">
        <v>55</v>
      </c>
      <c r="K25" s="46">
        <v>350</v>
      </c>
      <c r="L25" s="46">
        <v>1000</v>
      </c>
      <c r="M25" s="46">
        <v>15.5</v>
      </c>
      <c r="N25" s="46">
        <v>329</v>
      </c>
      <c r="O25" s="46">
        <v>345</v>
      </c>
      <c r="P25" s="98">
        <v>0.35</v>
      </c>
      <c r="Q25" s="46">
        <v>60</v>
      </c>
      <c r="R25" s="95">
        <f>CAPEX!I25</f>
        <v>1.7</v>
      </c>
      <c r="S25">
        <v>3</v>
      </c>
      <c r="T25" s="113">
        <f>Profitability!J15</f>
        <v>4.2911907942458951</v>
      </c>
      <c r="U25">
        <v>3</v>
      </c>
      <c r="V25" s="170">
        <v>8</v>
      </c>
      <c r="W25">
        <v>5</v>
      </c>
      <c r="X25">
        <f>Scalability!C15</f>
        <v>4.5</v>
      </c>
      <c r="Y25">
        <v>3</v>
      </c>
      <c r="Z25" s="113">
        <f>Footprint!C15</f>
        <v>7.5</v>
      </c>
      <c r="AA25" s="159">
        <v>3.3333333333333335</v>
      </c>
      <c r="AB25">
        <v>3</v>
      </c>
      <c r="AC25">
        <f>'Geopolitical Barriers'!C15</f>
        <v>3.4459999999999997</v>
      </c>
      <c r="AD25">
        <f>'Economic Lifetime'!F15</f>
        <v>7.5</v>
      </c>
      <c r="AE25" s="98">
        <v>3</v>
      </c>
      <c r="AF25">
        <v>3</v>
      </c>
    </row>
    <row r="26" spans="1:32" ht="14.4" x14ac:dyDescent="0.3">
      <c r="A26" s="46" t="s">
        <v>161</v>
      </c>
      <c r="B26" t="s">
        <v>105</v>
      </c>
      <c r="C26" t="s">
        <v>106</v>
      </c>
      <c r="D26" t="s">
        <v>162</v>
      </c>
      <c r="E26" t="s">
        <v>74</v>
      </c>
      <c r="F26" t="s">
        <v>163</v>
      </c>
      <c r="G26" t="s">
        <v>164</v>
      </c>
      <c r="H26" t="s">
        <v>165</v>
      </c>
      <c r="I26" s="165" t="s">
        <v>55</v>
      </c>
      <c r="K26">
        <v>390</v>
      </c>
      <c r="L26">
        <v>440</v>
      </c>
      <c r="M26">
        <v>0.4</v>
      </c>
      <c r="N26">
        <v>620</v>
      </c>
      <c r="O26">
        <v>700</v>
      </c>
      <c r="P26" s="93">
        <v>0.88600000000000001</v>
      </c>
      <c r="Q26">
        <v>56</v>
      </c>
      <c r="R26" s="95">
        <f>CAPEX!I26</f>
        <v>4.5999999999999996</v>
      </c>
      <c r="S26">
        <v>3</v>
      </c>
      <c r="T26" s="113">
        <f>Profitability!J40</f>
        <v>0</v>
      </c>
      <c r="U26">
        <v>3</v>
      </c>
      <c r="V26" s="170">
        <v>3</v>
      </c>
      <c r="W26">
        <v>5</v>
      </c>
      <c r="X26">
        <f>Scalability!C40</f>
        <v>4.5</v>
      </c>
      <c r="Y26">
        <v>3</v>
      </c>
      <c r="Z26" s="113">
        <f>Footprint!C40</f>
        <v>3.3333333333333335</v>
      </c>
      <c r="AA26" s="159">
        <v>7.7777777777777786</v>
      </c>
      <c r="AB26">
        <v>3</v>
      </c>
      <c r="AC26">
        <f>'Geopolitical Barriers'!C40</f>
        <v>6.6229999999999993</v>
      </c>
      <c r="AD26">
        <f>'Economic Lifetime'!F40</f>
        <v>7</v>
      </c>
      <c r="AE26" s="93">
        <v>10</v>
      </c>
      <c r="AF26">
        <v>3</v>
      </c>
    </row>
    <row r="27" spans="1:32" ht="14.4" x14ac:dyDescent="0.3">
      <c r="A27" s="46" t="s">
        <v>166</v>
      </c>
      <c r="B27" t="s">
        <v>57</v>
      </c>
      <c r="C27" s="46" t="s">
        <v>58</v>
      </c>
      <c r="D27" t="s">
        <v>167</v>
      </c>
      <c r="E27" s="46" t="s">
        <v>168</v>
      </c>
      <c r="F27" s="46" t="s">
        <v>92</v>
      </c>
      <c r="G27" s="46" t="s">
        <v>169</v>
      </c>
      <c r="H27" s="46" t="s">
        <v>63</v>
      </c>
      <c r="I27" s="165" t="s">
        <v>55</v>
      </c>
      <c r="K27" s="46">
        <v>170</v>
      </c>
      <c r="L27" s="46">
        <v>540</v>
      </c>
      <c r="M27" s="46">
        <v>15</v>
      </c>
      <c r="N27" s="46">
        <v>295.5</v>
      </c>
      <c r="O27" s="46">
        <v>320.89999999999998</v>
      </c>
      <c r="P27" s="98">
        <v>0.315</v>
      </c>
      <c r="Q27" s="46">
        <v>80</v>
      </c>
      <c r="R27" s="95">
        <f>CAPEX!I27</f>
        <v>5</v>
      </c>
      <c r="S27">
        <v>3</v>
      </c>
      <c r="T27" s="113">
        <f>Profitability!J22</f>
        <v>1.9771441342941567</v>
      </c>
      <c r="U27">
        <v>3</v>
      </c>
      <c r="V27" s="170">
        <v>8</v>
      </c>
      <c r="W27">
        <v>5</v>
      </c>
      <c r="X27">
        <f>Scalability!C22</f>
        <v>4.5</v>
      </c>
      <c r="Y27">
        <v>3</v>
      </c>
      <c r="Z27" s="113">
        <f>Footprint!C22</f>
        <v>5</v>
      </c>
      <c r="AA27" s="159">
        <v>3.3333333333333335</v>
      </c>
      <c r="AB27">
        <v>3</v>
      </c>
      <c r="AC27">
        <f>'Geopolitical Barriers'!C22</f>
        <v>1.9360000000000004</v>
      </c>
      <c r="AD27">
        <f>'Economic Lifetime'!F22</f>
        <v>10</v>
      </c>
      <c r="AE27" s="98">
        <v>1</v>
      </c>
      <c r="AF27">
        <v>3</v>
      </c>
    </row>
    <row r="28" spans="1:32" ht="14.4" x14ac:dyDescent="0.3">
      <c r="A28" s="46" t="s">
        <v>170</v>
      </c>
      <c r="B28" t="s">
        <v>65</v>
      </c>
      <c r="C28" t="s">
        <v>136</v>
      </c>
      <c r="D28" t="s">
        <v>171</v>
      </c>
      <c r="E28" t="s">
        <v>172</v>
      </c>
      <c r="F28" t="s">
        <v>87</v>
      </c>
      <c r="G28" t="s">
        <v>173</v>
      </c>
      <c r="H28" t="s">
        <v>71</v>
      </c>
      <c r="I28" s="165" t="s">
        <v>55</v>
      </c>
      <c r="K28">
        <v>0</v>
      </c>
      <c r="L28">
        <v>20</v>
      </c>
      <c r="M28">
        <v>3</v>
      </c>
      <c r="N28">
        <v>300</v>
      </c>
      <c r="O28">
        <v>700</v>
      </c>
      <c r="P28" s="98">
        <v>0</v>
      </c>
      <c r="Q28">
        <v>20</v>
      </c>
      <c r="R28" s="95">
        <f>CAPEX!I28</f>
        <v>6.3</v>
      </c>
      <c r="S28">
        <v>3</v>
      </c>
      <c r="T28" s="113">
        <f>Profitability!J32</f>
        <v>0</v>
      </c>
      <c r="U28">
        <v>3</v>
      </c>
      <c r="V28" s="170">
        <v>6</v>
      </c>
      <c r="W28">
        <v>5</v>
      </c>
      <c r="X28">
        <f>Scalability!C32</f>
        <v>4.5</v>
      </c>
      <c r="Y28">
        <v>3</v>
      </c>
      <c r="Z28" s="113">
        <f>Footprint!C32</f>
        <v>7.5</v>
      </c>
      <c r="AA28" s="159">
        <v>7.7777777777777786</v>
      </c>
      <c r="AB28">
        <v>3</v>
      </c>
      <c r="AC28">
        <f>'Geopolitical Barriers'!C32</f>
        <v>6.6229999999999993</v>
      </c>
      <c r="AD28">
        <f>'Economic Lifetime'!F32</f>
        <v>2.5</v>
      </c>
      <c r="AE28" s="98">
        <v>0</v>
      </c>
      <c r="AF28">
        <v>3</v>
      </c>
    </row>
    <row r="29" spans="1:32" ht="14.4" x14ac:dyDescent="0.3">
      <c r="A29" s="46" t="s">
        <v>174</v>
      </c>
      <c r="B29" t="s">
        <v>57</v>
      </c>
      <c r="C29" s="46" t="s">
        <v>84</v>
      </c>
      <c r="D29" t="s">
        <v>175</v>
      </c>
      <c r="E29" s="46" t="s">
        <v>79</v>
      </c>
      <c r="F29" s="46" t="s">
        <v>92</v>
      </c>
      <c r="G29" s="46" t="s">
        <v>176</v>
      </c>
      <c r="H29" s="46" t="s">
        <v>63</v>
      </c>
      <c r="I29" s="165" t="s">
        <v>55</v>
      </c>
      <c r="K29" s="46">
        <v>100</v>
      </c>
      <c r="L29" s="46">
        <v>360</v>
      </c>
      <c r="M29" s="46">
        <v>7</v>
      </c>
      <c r="N29" s="46">
        <v>104</v>
      </c>
      <c r="O29" s="46">
        <v>286</v>
      </c>
      <c r="P29" s="98">
        <v>0.27800000000000002</v>
      </c>
      <c r="Q29" s="46">
        <v>80</v>
      </c>
      <c r="R29" s="95">
        <f>CAPEX!I29</f>
        <v>5.4</v>
      </c>
      <c r="S29">
        <v>3</v>
      </c>
      <c r="T29" s="113">
        <f>Profitability!J23</f>
        <v>1.1392929622203245</v>
      </c>
      <c r="U29">
        <v>3</v>
      </c>
      <c r="V29" s="170">
        <v>8</v>
      </c>
      <c r="W29">
        <v>5</v>
      </c>
      <c r="X29">
        <f>Scalability!C23</f>
        <v>4.5</v>
      </c>
      <c r="Y29">
        <v>3</v>
      </c>
      <c r="Z29" s="113">
        <f>Footprint!C23</f>
        <v>6.666666666666667</v>
      </c>
      <c r="AA29" s="159">
        <v>2.2222222222222223</v>
      </c>
      <c r="AB29">
        <v>3</v>
      </c>
      <c r="AC29">
        <f>'Geopolitical Barriers'!C23</f>
        <v>3.4459999999999997</v>
      </c>
      <c r="AD29">
        <f>'Economic Lifetime'!F23</f>
        <v>10</v>
      </c>
      <c r="AE29" s="98">
        <v>1</v>
      </c>
      <c r="AF29">
        <v>3</v>
      </c>
    </row>
    <row r="30" spans="1:32" ht="14.4" x14ac:dyDescent="0.3">
      <c r="A30" s="46" t="s">
        <v>177</v>
      </c>
      <c r="B30" t="s">
        <v>57</v>
      </c>
      <c r="C30" s="46" t="s">
        <v>84</v>
      </c>
      <c r="D30" t="s">
        <v>178</v>
      </c>
      <c r="E30" s="46" t="s">
        <v>79</v>
      </c>
      <c r="F30" s="46" t="s">
        <v>92</v>
      </c>
      <c r="G30" s="46" t="s">
        <v>176</v>
      </c>
      <c r="H30" s="46" t="s">
        <v>63</v>
      </c>
      <c r="I30" s="165" t="s">
        <v>55</v>
      </c>
      <c r="K30" s="46">
        <v>50</v>
      </c>
      <c r="L30" s="46">
        <v>180</v>
      </c>
      <c r="M30" s="46">
        <v>7</v>
      </c>
      <c r="N30" s="46">
        <v>180</v>
      </c>
      <c r="O30" s="46">
        <v>286</v>
      </c>
      <c r="P30" s="98">
        <v>0.27800000000000002</v>
      </c>
      <c r="Q30" s="46">
        <v>80</v>
      </c>
      <c r="R30" s="95">
        <f>CAPEX!I30</f>
        <v>5.8</v>
      </c>
      <c r="S30">
        <v>3</v>
      </c>
      <c r="T30" s="113">
        <f>Profitability!J18</f>
        <v>0.51188335191334722</v>
      </c>
      <c r="U30">
        <v>3</v>
      </c>
      <c r="V30" s="170">
        <v>8</v>
      </c>
      <c r="W30">
        <v>5</v>
      </c>
      <c r="X30">
        <f>Scalability!C18</f>
        <v>4.5</v>
      </c>
      <c r="Y30">
        <v>3</v>
      </c>
      <c r="Z30" s="113">
        <f>Footprint!C18</f>
        <v>7.5</v>
      </c>
      <c r="AA30" s="159">
        <v>2.2222222222222223</v>
      </c>
      <c r="AB30">
        <v>3</v>
      </c>
      <c r="AC30">
        <f>'Geopolitical Barriers'!C18</f>
        <v>7.6970000000000001</v>
      </c>
      <c r="AD30">
        <f>'Economic Lifetime'!F18</f>
        <v>10</v>
      </c>
      <c r="AE30" s="98">
        <v>1</v>
      </c>
      <c r="AF30">
        <v>3</v>
      </c>
    </row>
    <row r="31" spans="1:32" ht="14.4" x14ac:dyDescent="0.3">
      <c r="A31" s="46" t="s">
        <v>179</v>
      </c>
      <c r="B31" t="s">
        <v>105</v>
      </c>
      <c r="C31" t="s">
        <v>180</v>
      </c>
      <c r="D31" t="s">
        <v>181</v>
      </c>
      <c r="E31" t="s">
        <v>124</v>
      </c>
      <c r="F31" t="s">
        <v>109</v>
      </c>
      <c r="G31" t="s">
        <v>182</v>
      </c>
      <c r="H31" t="s">
        <v>183</v>
      </c>
      <c r="I31" s="165" t="s">
        <v>55</v>
      </c>
      <c r="K31">
        <v>140</v>
      </c>
      <c r="L31">
        <v>320</v>
      </c>
      <c r="M31">
        <v>0.2</v>
      </c>
      <c r="N31">
        <v>550</v>
      </c>
      <c r="O31">
        <v>650</v>
      </c>
      <c r="P31" s="98">
        <v>0.438</v>
      </c>
      <c r="Q31">
        <v>20</v>
      </c>
      <c r="R31" s="95">
        <f>CAPEX!I31</f>
        <v>5.8</v>
      </c>
      <c r="S31">
        <v>3</v>
      </c>
      <c r="T31" s="113">
        <f>Profitability!J62</f>
        <v>0</v>
      </c>
      <c r="U31">
        <v>3</v>
      </c>
      <c r="V31" s="170">
        <v>5</v>
      </c>
      <c r="W31">
        <v>5</v>
      </c>
      <c r="X31">
        <f>Scalability!C62</f>
        <v>4.5</v>
      </c>
      <c r="Y31">
        <v>3</v>
      </c>
      <c r="Z31" s="113">
        <f>Footprint!C62</f>
        <v>5</v>
      </c>
      <c r="AA31" s="159">
        <v>4.4444444444444446</v>
      </c>
      <c r="AB31">
        <v>3</v>
      </c>
      <c r="AC31">
        <f>'Geopolitical Barriers'!C62</f>
        <v>8.7000000000000188E-2</v>
      </c>
      <c r="AD31">
        <f>'Economic Lifetime'!F62</f>
        <v>2.5</v>
      </c>
      <c r="AE31" s="98">
        <v>9</v>
      </c>
      <c r="AF31">
        <v>3</v>
      </c>
    </row>
    <row r="32" spans="1:32" ht="14.4" x14ac:dyDescent="0.3">
      <c r="A32" s="47" t="s">
        <v>184</v>
      </c>
      <c r="B32" t="s">
        <v>48</v>
      </c>
      <c r="C32" s="47" t="s">
        <v>49</v>
      </c>
      <c r="D32" s="46" t="s">
        <v>185</v>
      </c>
      <c r="E32" s="47" t="s">
        <v>186</v>
      </c>
      <c r="F32" s="47" t="s">
        <v>187</v>
      </c>
      <c r="G32" s="47" t="s">
        <v>53</v>
      </c>
      <c r="H32" s="47" t="s">
        <v>82</v>
      </c>
      <c r="I32" s="165" t="s">
        <v>55</v>
      </c>
      <c r="K32">
        <v>200</v>
      </c>
      <c r="L32">
        <v>480</v>
      </c>
      <c r="M32">
        <v>18</v>
      </c>
      <c r="N32">
        <v>420</v>
      </c>
      <c r="O32">
        <v>530</v>
      </c>
      <c r="P32" s="98">
        <v>0.41699999999999998</v>
      </c>
      <c r="Q32">
        <v>60</v>
      </c>
      <c r="R32" s="95">
        <f>CAPEX!I32</f>
        <v>3.3</v>
      </c>
      <c r="S32">
        <v>3</v>
      </c>
      <c r="T32" s="113">
        <f>Profitability!J50</f>
        <v>2.257947246470545</v>
      </c>
      <c r="U32">
        <v>3</v>
      </c>
      <c r="V32" s="170">
        <v>2</v>
      </c>
      <c r="W32">
        <v>5</v>
      </c>
      <c r="X32">
        <f>Scalability!C50</f>
        <v>4.5</v>
      </c>
      <c r="Y32">
        <v>3</v>
      </c>
      <c r="Z32" s="113">
        <f>Footprint!C50</f>
        <v>7.5</v>
      </c>
      <c r="AA32" s="159">
        <v>2.2222222222222223</v>
      </c>
      <c r="AB32">
        <v>3</v>
      </c>
      <c r="AC32">
        <f>'Geopolitical Barriers'!C50</f>
        <v>4.4399999999999995</v>
      </c>
      <c r="AD32">
        <f>'Economic Lifetime'!F50</f>
        <v>7.5</v>
      </c>
      <c r="AE32" s="98">
        <v>9</v>
      </c>
      <c r="AF32">
        <v>3</v>
      </c>
    </row>
    <row r="33" spans="1:32" ht="14.4" x14ac:dyDescent="0.3">
      <c r="A33" s="46" t="s">
        <v>188</v>
      </c>
      <c r="B33" t="s">
        <v>105</v>
      </c>
      <c r="C33" t="s">
        <v>106</v>
      </c>
      <c r="D33" t="s">
        <v>189</v>
      </c>
      <c r="E33" t="s">
        <v>124</v>
      </c>
      <c r="F33" t="s">
        <v>109</v>
      </c>
      <c r="G33" t="s">
        <v>53</v>
      </c>
      <c r="H33" t="s">
        <v>190</v>
      </c>
      <c r="I33" s="165" t="s">
        <v>55</v>
      </c>
      <c r="K33">
        <v>250</v>
      </c>
      <c r="L33">
        <v>600</v>
      </c>
      <c r="M33" s="51"/>
      <c r="N33">
        <v>500</v>
      </c>
      <c r="O33">
        <v>650</v>
      </c>
      <c r="P33" s="98">
        <v>0.41699999999999998</v>
      </c>
      <c r="Q33" s="52">
        <v>40</v>
      </c>
      <c r="R33" s="95">
        <f>CAPEX!I33</f>
        <v>5.4</v>
      </c>
      <c r="S33">
        <v>3</v>
      </c>
      <c r="T33" s="113">
        <f>Profitability!J58</f>
        <v>0</v>
      </c>
      <c r="U33">
        <v>3</v>
      </c>
      <c r="V33" s="170">
        <v>3</v>
      </c>
      <c r="W33">
        <v>5</v>
      </c>
      <c r="X33">
        <f>Scalability!C58</f>
        <v>4.5</v>
      </c>
      <c r="Y33">
        <v>3</v>
      </c>
      <c r="Z33" s="113">
        <f>Footprint!C58</f>
        <v>5</v>
      </c>
      <c r="AA33" s="159">
        <v>2.2222222222222223</v>
      </c>
      <c r="AB33">
        <v>3</v>
      </c>
      <c r="AC33">
        <f>'Geopolitical Barriers'!C58</f>
        <v>8.7000000000000188E-2</v>
      </c>
      <c r="AD33">
        <f>'Economic Lifetime'!F58</f>
        <v>4</v>
      </c>
      <c r="AE33" s="98">
        <v>9</v>
      </c>
      <c r="AF33">
        <v>3</v>
      </c>
    </row>
    <row r="34" spans="1:32" ht="14.4" x14ac:dyDescent="0.3">
      <c r="A34" s="46" t="s">
        <v>191</v>
      </c>
      <c r="B34" t="s">
        <v>105</v>
      </c>
      <c r="C34" t="s">
        <v>192</v>
      </c>
      <c r="D34" t="s">
        <v>193</v>
      </c>
      <c r="E34" t="s">
        <v>124</v>
      </c>
      <c r="F34" t="s">
        <v>109</v>
      </c>
      <c r="G34" t="s">
        <v>194</v>
      </c>
      <c r="H34" t="s">
        <v>195</v>
      </c>
      <c r="I34" s="165" t="s">
        <v>55</v>
      </c>
      <c r="K34">
        <v>1200</v>
      </c>
      <c r="L34">
        <v>3000</v>
      </c>
      <c r="M34" s="51"/>
      <c r="N34">
        <v>650</v>
      </c>
      <c r="O34">
        <v>750</v>
      </c>
      <c r="P34" s="98">
        <v>0.4</v>
      </c>
      <c r="Q34">
        <v>40</v>
      </c>
      <c r="R34" s="95">
        <f>CAPEX!I34</f>
        <v>2.5</v>
      </c>
      <c r="S34">
        <v>3</v>
      </c>
      <c r="T34" s="113">
        <f>Profitability!J30</f>
        <v>13.799374673580635</v>
      </c>
      <c r="U34">
        <v>3</v>
      </c>
      <c r="V34" s="170">
        <v>3</v>
      </c>
      <c r="W34">
        <v>5</v>
      </c>
      <c r="X34">
        <f>Scalability!C30</f>
        <v>4.5</v>
      </c>
      <c r="Y34">
        <v>3</v>
      </c>
      <c r="Z34" s="113">
        <f>Footprint!C30</f>
        <v>5</v>
      </c>
      <c r="AA34" s="159">
        <v>2.2222222222222223</v>
      </c>
      <c r="AB34">
        <v>3</v>
      </c>
      <c r="AC34">
        <f>'Geopolitical Barriers'!C30</f>
        <v>8.7000000000000188E-2</v>
      </c>
      <c r="AD34">
        <f>'Economic Lifetime'!F30</f>
        <v>5</v>
      </c>
      <c r="AE34" s="98">
        <v>9</v>
      </c>
      <c r="AF34">
        <v>3</v>
      </c>
    </row>
    <row r="35" spans="1:32" ht="14.4" x14ac:dyDescent="0.3">
      <c r="A35" s="46" t="s">
        <v>196</v>
      </c>
      <c r="B35" t="s">
        <v>65</v>
      </c>
      <c r="C35" t="s">
        <v>197</v>
      </c>
      <c r="D35" t="s">
        <v>198</v>
      </c>
      <c r="E35" t="s">
        <v>79</v>
      </c>
      <c r="F35" t="s">
        <v>92</v>
      </c>
      <c r="G35" t="s">
        <v>199</v>
      </c>
      <c r="H35" t="s">
        <v>71</v>
      </c>
      <c r="I35" s="165" t="s">
        <v>55</v>
      </c>
      <c r="K35">
        <v>87</v>
      </c>
      <c r="L35">
        <v>215</v>
      </c>
      <c r="M35">
        <v>4.5</v>
      </c>
      <c r="N35">
        <v>533</v>
      </c>
      <c r="O35">
        <v>950</v>
      </c>
      <c r="P35" s="98">
        <v>0.40500000000000003</v>
      </c>
      <c r="Q35">
        <v>60</v>
      </c>
      <c r="R35" s="95">
        <f>CAPEX!I35</f>
        <v>5.8</v>
      </c>
      <c r="S35">
        <v>3</v>
      </c>
      <c r="T35" s="113">
        <f>Profitability!J44</f>
        <v>0</v>
      </c>
      <c r="U35">
        <v>3</v>
      </c>
      <c r="V35" s="170">
        <v>6</v>
      </c>
      <c r="W35">
        <v>5</v>
      </c>
      <c r="X35">
        <f>Scalability!C44</f>
        <v>4.5</v>
      </c>
      <c r="Y35">
        <v>3</v>
      </c>
      <c r="Z35" s="113">
        <f>Footprint!C44</f>
        <v>5</v>
      </c>
      <c r="AA35" s="159">
        <v>3.3333333333333335</v>
      </c>
      <c r="AB35">
        <v>3</v>
      </c>
      <c r="AC35">
        <f>'Geopolitical Barriers'!C44</f>
        <v>1.9360000000000004</v>
      </c>
      <c r="AD35">
        <f>'Economic Lifetime'!F44</f>
        <v>7.5</v>
      </c>
      <c r="AE35" s="98">
        <v>9</v>
      </c>
      <c r="AF35">
        <v>3</v>
      </c>
    </row>
    <row r="36" spans="1:32" ht="14.4" x14ac:dyDescent="0.3">
      <c r="A36" s="46" t="s">
        <v>200</v>
      </c>
      <c r="B36" t="s">
        <v>65</v>
      </c>
      <c r="C36" t="s">
        <v>197</v>
      </c>
      <c r="D36" t="s">
        <v>201</v>
      </c>
      <c r="E36" t="s">
        <v>79</v>
      </c>
      <c r="F36" t="s">
        <v>92</v>
      </c>
      <c r="G36" t="s">
        <v>202</v>
      </c>
      <c r="H36" t="s">
        <v>71</v>
      </c>
      <c r="I36" s="165" t="s">
        <v>55</v>
      </c>
      <c r="K36">
        <v>822</v>
      </c>
      <c r="L36">
        <v>2400</v>
      </c>
      <c r="M36">
        <v>7.5</v>
      </c>
      <c r="N36">
        <v>578</v>
      </c>
      <c r="O36">
        <v>950</v>
      </c>
      <c r="P36" s="98">
        <v>0.34300000000000003</v>
      </c>
      <c r="Q36">
        <v>60</v>
      </c>
      <c r="R36" s="95">
        <f>CAPEX!I36</f>
        <v>3.8</v>
      </c>
      <c r="S36">
        <v>3</v>
      </c>
      <c r="T36" s="113">
        <f>Profitability!J34</f>
        <v>10</v>
      </c>
      <c r="U36">
        <v>3</v>
      </c>
      <c r="V36" s="170">
        <v>6</v>
      </c>
      <c r="W36">
        <v>5</v>
      </c>
      <c r="X36">
        <f>Scalability!C34</f>
        <v>5.5</v>
      </c>
      <c r="Y36">
        <v>3</v>
      </c>
      <c r="Z36" s="113">
        <f>Footprint!C34</f>
        <v>5</v>
      </c>
      <c r="AA36" s="159">
        <v>3.3333333333333335</v>
      </c>
      <c r="AB36">
        <v>3</v>
      </c>
      <c r="AC36">
        <f>'Geopolitical Barriers'!C34</f>
        <v>6.6229999999999993</v>
      </c>
      <c r="AD36">
        <f>'Economic Lifetime'!F34</f>
        <v>7.5</v>
      </c>
      <c r="AE36" s="98">
        <v>3</v>
      </c>
      <c r="AF36">
        <v>3</v>
      </c>
    </row>
    <row r="37" spans="1:32" ht="14.4" x14ac:dyDescent="0.3">
      <c r="A37" s="47" t="s">
        <v>203</v>
      </c>
      <c r="B37" t="s">
        <v>48</v>
      </c>
      <c r="C37" s="47" t="s">
        <v>204</v>
      </c>
      <c r="D37" s="47" t="s">
        <v>205</v>
      </c>
      <c r="E37" s="47" t="s">
        <v>168</v>
      </c>
      <c r="F37" s="47" t="s">
        <v>187</v>
      </c>
      <c r="G37" s="47" t="s">
        <v>206</v>
      </c>
      <c r="H37" s="47" t="s">
        <v>207</v>
      </c>
      <c r="I37" s="165" t="s">
        <v>55</v>
      </c>
      <c r="K37">
        <v>20</v>
      </c>
      <c r="L37">
        <v>60</v>
      </c>
      <c r="M37">
        <v>12</v>
      </c>
      <c r="N37">
        <v>250</v>
      </c>
      <c r="O37">
        <v>350</v>
      </c>
      <c r="P37" s="98">
        <v>0.33300000000000002</v>
      </c>
      <c r="Q37">
        <v>40</v>
      </c>
      <c r="R37" s="95">
        <f>CAPEX!I37</f>
        <v>6.7</v>
      </c>
      <c r="S37">
        <v>3</v>
      </c>
      <c r="T37" s="113">
        <f>Profitability!J48</f>
        <v>9.9949127268372684E-2</v>
      </c>
      <c r="U37">
        <v>3</v>
      </c>
      <c r="V37" s="170">
        <v>2</v>
      </c>
      <c r="W37">
        <v>5</v>
      </c>
      <c r="X37">
        <f>Scalability!C48</f>
        <v>4.5</v>
      </c>
      <c r="Y37">
        <v>3</v>
      </c>
      <c r="Z37" s="113">
        <f>Footprint!C48</f>
        <v>5</v>
      </c>
      <c r="AA37" s="159">
        <v>2.2222222222222223</v>
      </c>
      <c r="AB37">
        <v>3</v>
      </c>
      <c r="AC37">
        <f>'Geopolitical Barriers'!C48</f>
        <v>8.7000000000000188E-2</v>
      </c>
      <c r="AD37">
        <f>'Economic Lifetime'!F48</f>
        <v>5</v>
      </c>
      <c r="AE37" s="98">
        <v>1</v>
      </c>
      <c r="AF37">
        <v>3</v>
      </c>
    </row>
    <row r="38" spans="1:32" ht="14.4" x14ac:dyDescent="0.3">
      <c r="A38" s="46" t="s">
        <v>208</v>
      </c>
      <c r="B38" t="s">
        <v>105</v>
      </c>
      <c r="C38" t="s">
        <v>209</v>
      </c>
      <c r="D38" t="s">
        <v>210</v>
      </c>
      <c r="E38" t="s">
        <v>124</v>
      </c>
      <c r="F38" t="s">
        <v>211</v>
      </c>
      <c r="G38" t="s">
        <v>212</v>
      </c>
      <c r="H38" t="s">
        <v>183</v>
      </c>
      <c r="I38" s="165" t="s">
        <v>55</v>
      </c>
      <c r="K38">
        <v>100</v>
      </c>
      <c r="L38">
        <v>236</v>
      </c>
      <c r="M38">
        <v>1.85</v>
      </c>
      <c r="N38">
        <v>600</v>
      </c>
      <c r="O38">
        <v>700</v>
      </c>
      <c r="P38" s="98">
        <v>0.42399999999999999</v>
      </c>
      <c r="Q38">
        <v>60</v>
      </c>
      <c r="R38" s="95">
        <f>CAPEX!I38</f>
        <v>5.8</v>
      </c>
      <c r="S38">
        <v>3</v>
      </c>
      <c r="T38" s="113">
        <f>Profitability!J43</f>
        <v>0.80177507005069981</v>
      </c>
      <c r="U38">
        <v>3</v>
      </c>
      <c r="V38" s="170">
        <v>5</v>
      </c>
      <c r="W38">
        <v>5</v>
      </c>
      <c r="X38">
        <f>Scalability!C43</f>
        <v>4.5</v>
      </c>
      <c r="Y38">
        <v>3</v>
      </c>
      <c r="Z38" s="113">
        <f>Footprint!C43</f>
        <v>3.3333333333333335</v>
      </c>
      <c r="AA38" s="159">
        <v>1.1111111111111112</v>
      </c>
      <c r="AB38">
        <v>3</v>
      </c>
      <c r="AC38">
        <f>'Geopolitical Barriers'!C43</f>
        <v>6.6229999999999993</v>
      </c>
      <c r="AD38">
        <f>'Economic Lifetime'!F43</f>
        <v>7.5</v>
      </c>
      <c r="AE38" s="98">
        <v>9</v>
      </c>
      <c r="AF38">
        <v>3</v>
      </c>
    </row>
    <row r="39" spans="1:32" ht="14.4" x14ac:dyDescent="0.3">
      <c r="A39" s="46" t="s">
        <v>213</v>
      </c>
      <c r="B39" t="s">
        <v>57</v>
      </c>
      <c r="C39" s="46" t="s">
        <v>58</v>
      </c>
      <c r="D39" t="s">
        <v>214</v>
      </c>
      <c r="E39" s="46" t="s">
        <v>124</v>
      </c>
      <c r="F39" s="46" t="s">
        <v>92</v>
      </c>
      <c r="G39" s="46" t="s">
        <v>53</v>
      </c>
      <c r="H39" s="46" t="s">
        <v>63</v>
      </c>
      <c r="I39" s="165" t="s">
        <v>55</v>
      </c>
      <c r="K39" s="46">
        <v>195</v>
      </c>
      <c r="L39" s="46">
        <v>575</v>
      </c>
      <c r="M39" s="46">
        <v>14.8</v>
      </c>
      <c r="N39" s="46">
        <v>290.5</v>
      </c>
      <c r="O39" s="46">
        <v>318.89999999999998</v>
      </c>
      <c r="P39" s="98">
        <v>0.33900000000000002</v>
      </c>
      <c r="Q39" s="46">
        <v>60</v>
      </c>
      <c r="R39" s="95">
        <f>CAPEX!I39</f>
        <v>5</v>
      </c>
      <c r="S39">
        <v>3</v>
      </c>
      <c r="T39" s="113">
        <f>Profitability!J21</f>
        <v>2.3462210022942656</v>
      </c>
      <c r="U39">
        <v>3</v>
      </c>
      <c r="V39" s="170">
        <v>8</v>
      </c>
      <c r="W39">
        <v>5</v>
      </c>
      <c r="X39">
        <f>Scalability!C21</f>
        <v>4.5</v>
      </c>
      <c r="Y39">
        <v>3</v>
      </c>
      <c r="Z39" s="113">
        <f>Footprint!C21</f>
        <v>2.5</v>
      </c>
      <c r="AA39" s="159">
        <v>2.2222222222222223</v>
      </c>
      <c r="AB39">
        <v>3</v>
      </c>
      <c r="AC39">
        <f>'Geopolitical Barriers'!C21</f>
        <v>3.4459999999999997</v>
      </c>
      <c r="AD39">
        <f>'Economic Lifetime'!F21</f>
        <v>7.5</v>
      </c>
      <c r="AE39" s="98">
        <v>3</v>
      </c>
      <c r="AF39">
        <v>3</v>
      </c>
    </row>
    <row r="40" spans="1:32" ht="14.4" x14ac:dyDescent="0.3">
      <c r="A40" s="46" t="s">
        <v>215</v>
      </c>
      <c r="B40" t="s">
        <v>57</v>
      </c>
      <c r="C40" s="46" t="s">
        <v>58</v>
      </c>
      <c r="D40" t="s">
        <v>216</v>
      </c>
      <c r="E40" s="46" t="s">
        <v>60</v>
      </c>
      <c r="F40" s="46" t="s">
        <v>98</v>
      </c>
      <c r="G40" s="46" t="s">
        <v>217</v>
      </c>
      <c r="H40" s="46" t="s">
        <v>63</v>
      </c>
      <c r="I40" s="165" t="s">
        <v>55</v>
      </c>
      <c r="K40" s="46">
        <v>0</v>
      </c>
      <c r="L40" s="46">
        <v>200</v>
      </c>
      <c r="M40" s="46">
        <v>8</v>
      </c>
      <c r="N40" s="46">
        <v>232</v>
      </c>
      <c r="O40" s="46">
        <v>280</v>
      </c>
      <c r="P40" s="98">
        <v>0</v>
      </c>
      <c r="Q40" s="46">
        <v>60</v>
      </c>
      <c r="R40" s="95">
        <f>CAPEX!I40</f>
        <v>5</v>
      </c>
      <c r="S40">
        <v>3</v>
      </c>
      <c r="T40" s="113">
        <f>Profitability!J25</f>
        <v>0</v>
      </c>
      <c r="U40">
        <v>3</v>
      </c>
      <c r="V40" s="170">
        <v>8</v>
      </c>
      <c r="W40">
        <v>5</v>
      </c>
      <c r="X40">
        <f>Scalability!C25</f>
        <v>4.5</v>
      </c>
      <c r="Y40">
        <v>3</v>
      </c>
      <c r="Z40" s="113">
        <f>Footprint!C25</f>
        <v>5</v>
      </c>
      <c r="AA40" s="159">
        <v>4.4444444444444446</v>
      </c>
      <c r="AB40">
        <v>3</v>
      </c>
      <c r="AC40">
        <f>'Geopolitical Barriers'!C25</f>
        <v>7.6970000000000001</v>
      </c>
      <c r="AD40">
        <f>'Economic Lifetime'!F25</f>
        <v>7.5</v>
      </c>
      <c r="AE40" s="98">
        <v>0</v>
      </c>
      <c r="AF40">
        <v>3</v>
      </c>
    </row>
    <row r="41" spans="1:32" ht="14.4" x14ac:dyDescent="0.3">
      <c r="A41" s="46" t="s">
        <v>218</v>
      </c>
      <c r="B41" t="s">
        <v>57</v>
      </c>
      <c r="C41" s="46" t="s">
        <v>58</v>
      </c>
      <c r="D41" t="s">
        <v>219</v>
      </c>
      <c r="E41" s="46" t="s">
        <v>172</v>
      </c>
      <c r="F41" s="46" t="s">
        <v>92</v>
      </c>
      <c r="G41" s="46" t="s">
        <v>220</v>
      </c>
      <c r="H41" s="46" t="s">
        <v>63</v>
      </c>
      <c r="I41" s="165" t="s">
        <v>55</v>
      </c>
      <c r="K41" s="46">
        <v>340</v>
      </c>
      <c r="L41" s="46">
        <v>1080</v>
      </c>
      <c r="M41" s="46">
        <v>15</v>
      </c>
      <c r="N41" s="46">
        <v>280</v>
      </c>
      <c r="O41" s="46">
        <v>307</v>
      </c>
      <c r="P41" s="98">
        <v>0</v>
      </c>
      <c r="Q41" s="46">
        <v>60</v>
      </c>
      <c r="R41" s="95">
        <f>CAPEX!I41</f>
        <v>4.5999999999999996</v>
      </c>
      <c r="S41">
        <v>3</v>
      </c>
      <c r="T41" s="113">
        <f>Profitability!J19</f>
        <v>0</v>
      </c>
      <c r="U41">
        <v>3</v>
      </c>
      <c r="V41" s="170">
        <v>8</v>
      </c>
      <c r="W41">
        <v>5</v>
      </c>
      <c r="X41">
        <f>Scalability!C19</f>
        <v>5.5</v>
      </c>
      <c r="Y41">
        <v>3</v>
      </c>
      <c r="Z41" s="113">
        <f>Footprint!C19</f>
        <v>7.5</v>
      </c>
      <c r="AA41" s="159">
        <v>4.4444444444444446</v>
      </c>
      <c r="AB41">
        <v>3</v>
      </c>
      <c r="AC41">
        <f>'Geopolitical Barriers'!C19</f>
        <v>7.6970000000000001</v>
      </c>
      <c r="AD41">
        <f>'Economic Lifetime'!F19</f>
        <v>7.5</v>
      </c>
      <c r="AE41" s="98">
        <v>1</v>
      </c>
      <c r="AF41">
        <v>3</v>
      </c>
    </row>
    <row r="42" spans="1:32" ht="14.4" x14ac:dyDescent="0.3">
      <c r="A42" s="46" t="s">
        <v>221</v>
      </c>
      <c r="B42" t="s">
        <v>57</v>
      </c>
      <c r="C42" s="46" t="s">
        <v>96</v>
      </c>
      <c r="D42" t="s">
        <v>222</v>
      </c>
      <c r="E42" s="46" t="s">
        <v>124</v>
      </c>
      <c r="F42" s="46" t="s">
        <v>87</v>
      </c>
      <c r="G42" s="46" t="s">
        <v>223</v>
      </c>
      <c r="H42" s="46" t="s">
        <v>63</v>
      </c>
      <c r="I42" s="165" t="s">
        <v>55</v>
      </c>
      <c r="K42" s="46">
        <v>22</v>
      </c>
      <c r="L42" s="46">
        <v>73</v>
      </c>
      <c r="M42" s="46">
        <v>15.2</v>
      </c>
      <c r="N42" s="46">
        <v>296</v>
      </c>
      <c r="O42" s="46">
        <v>312</v>
      </c>
      <c r="P42" s="98">
        <v>0.30099999999999999</v>
      </c>
      <c r="Q42" s="46">
        <v>40</v>
      </c>
      <c r="R42" s="95">
        <f>CAPEX!I42</f>
        <v>5.4</v>
      </c>
      <c r="S42">
        <v>3</v>
      </c>
      <c r="T42" s="113">
        <f>Profitability!J13</f>
        <v>0.20055287010786085</v>
      </c>
      <c r="U42">
        <v>3</v>
      </c>
      <c r="V42" s="170">
        <v>8</v>
      </c>
      <c r="W42">
        <v>5</v>
      </c>
      <c r="X42">
        <f>Scalability!C13</f>
        <v>4.5</v>
      </c>
      <c r="Y42">
        <v>3</v>
      </c>
      <c r="Z42" s="113">
        <f>Footprint!C13</f>
        <v>7.5</v>
      </c>
      <c r="AA42" s="159">
        <v>7.7777777777777786</v>
      </c>
      <c r="AB42">
        <v>3</v>
      </c>
      <c r="AC42">
        <f>'Geopolitical Barriers'!C13</f>
        <v>4.6139999999999999</v>
      </c>
      <c r="AD42">
        <f>'Economic Lifetime'!F13</f>
        <v>5</v>
      </c>
      <c r="AE42" s="98">
        <v>1</v>
      </c>
      <c r="AF42">
        <v>3</v>
      </c>
    </row>
    <row r="43" spans="1:32" ht="14.4" x14ac:dyDescent="0.3">
      <c r="A43" s="46" t="s">
        <v>224</v>
      </c>
      <c r="B43" t="s">
        <v>65</v>
      </c>
      <c r="C43" t="s">
        <v>66</v>
      </c>
      <c r="D43" t="s">
        <v>225</v>
      </c>
      <c r="E43" t="s">
        <v>68</v>
      </c>
      <c r="F43" t="s">
        <v>141</v>
      </c>
      <c r="G43" t="s">
        <v>226</v>
      </c>
      <c r="H43" t="s">
        <v>71</v>
      </c>
      <c r="I43" s="165" t="s">
        <v>55</v>
      </c>
      <c r="K43">
        <v>165</v>
      </c>
      <c r="L43">
        <v>400</v>
      </c>
      <c r="M43">
        <v>9</v>
      </c>
      <c r="N43">
        <v>500</v>
      </c>
      <c r="O43">
        <v>900</v>
      </c>
      <c r="P43" s="98">
        <v>0.41299999999999998</v>
      </c>
      <c r="Q43">
        <v>40</v>
      </c>
      <c r="R43" s="95">
        <f>CAPEX!I43</f>
        <v>5.4</v>
      </c>
      <c r="S43">
        <v>3</v>
      </c>
      <c r="T43" s="113">
        <f>Profitability!J41</f>
        <v>0</v>
      </c>
      <c r="U43">
        <v>3</v>
      </c>
      <c r="V43" s="170">
        <v>6</v>
      </c>
      <c r="W43">
        <v>5</v>
      </c>
      <c r="X43">
        <f>Scalability!C41</f>
        <v>4.5</v>
      </c>
      <c r="Y43">
        <v>3</v>
      </c>
      <c r="Z43" s="113">
        <f>Footprint!C41</f>
        <v>7.5</v>
      </c>
      <c r="AA43" s="159">
        <v>4.4444444444444446</v>
      </c>
      <c r="AB43">
        <v>3</v>
      </c>
      <c r="AC43">
        <f>'Geopolitical Barriers'!C41</f>
        <v>3.4459999999999997</v>
      </c>
      <c r="AD43">
        <f>'Economic Lifetime'!F41</f>
        <v>5</v>
      </c>
      <c r="AE43" s="98">
        <v>9</v>
      </c>
      <c r="AF43">
        <v>3</v>
      </c>
    </row>
    <row r="44" spans="1:32" ht="14.4" x14ac:dyDescent="0.3">
      <c r="A44" s="46" t="s">
        <v>227</v>
      </c>
      <c r="B44" t="s">
        <v>65</v>
      </c>
      <c r="C44" t="s">
        <v>66</v>
      </c>
      <c r="D44" s="50" t="s">
        <v>228</v>
      </c>
      <c r="E44" t="s">
        <v>229</v>
      </c>
      <c r="F44" t="s">
        <v>92</v>
      </c>
      <c r="G44" t="s">
        <v>230</v>
      </c>
      <c r="H44" t="s">
        <v>71</v>
      </c>
      <c r="I44" s="165" t="s">
        <v>55</v>
      </c>
      <c r="K44">
        <v>0</v>
      </c>
      <c r="L44">
        <v>40</v>
      </c>
      <c r="M44">
        <v>6</v>
      </c>
      <c r="N44">
        <v>250</v>
      </c>
      <c r="O44">
        <v>750</v>
      </c>
      <c r="P44" s="98">
        <v>0</v>
      </c>
      <c r="Q44">
        <v>40</v>
      </c>
      <c r="R44" s="95">
        <f>CAPEX!I44</f>
        <v>5.4</v>
      </c>
      <c r="S44">
        <v>3</v>
      </c>
      <c r="T44" s="113">
        <f>Profitability!J60</f>
        <v>0</v>
      </c>
      <c r="U44">
        <v>3</v>
      </c>
      <c r="V44" s="170">
        <v>6</v>
      </c>
      <c r="W44">
        <v>5</v>
      </c>
      <c r="X44">
        <f>Scalability!C60</f>
        <v>4.5</v>
      </c>
      <c r="Y44">
        <v>3</v>
      </c>
      <c r="Z44" s="113">
        <f>Footprint!C60</f>
        <v>6.25</v>
      </c>
      <c r="AA44" s="159">
        <v>2.2222222222222223</v>
      </c>
      <c r="AB44">
        <v>3</v>
      </c>
      <c r="AC44">
        <f>'Geopolitical Barriers'!C60</f>
        <v>5.6999999999999993</v>
      </c>
      <c r="AD44">
        <f>'Economic Lifetime'!F60</f>
        <v>5</v>
      </c>
      <c r="AE44" s="98">
        <v>0</v>
      </c>
      <c r="AF44">
        <v>3</v>
      </c>
    </row>
    <row r="45" spans="1:32" ht="14.4" x14ac:dyDescent="0.3">
      <c r="A45" s="46" t="s">
        <v>231</v>
      </c>
      <c r="B45" t="s">
        <v>57</v>
      </c>
      <c r="C45" s="46" t="s">
        <v>58</v>
      </c>
      <c r="D45" t="s">
        <v>232</v>
      </c>
      <c r="E45" s="46" t="s">
        <v>79</v>
      </c>
      <c r="F45" s="46" t="s">
        <v>233</v>
      </c>
      <c r="G45" s="46" t="s">
        <v>234</v>
      </c>
      <c r="H45" s="46" t="s">
        <v>235</v>
      </c>
      <c r="I45" s="165" t="s">
        <v>55</v>
      </c>
      <c r="K45" s="46">
        <v>55</v>
      </c>
      <c r="L45" s="46">
        <v>190</v>
      </c>
      <c r="M45" s="46">
        <v>15.7</v>
      </c>
      <c r="N45" s="46">
        <v>283</v>
      </c>
      <c r="O45" s="46">
        <v>321</v>
      </c>
      <c r="P45" s="98">
        <v>0.28899999999999998</v>
      </c>
      <c r="Q45" s="46">
        <v>60</v>
      </c>
      <c r="R45" s="95">
        <f>CAPEX!I45</f>
        <v>5.8</v>
      </c>
      <c r="S45">
        <v>3</v>
      </c>
      <c r="T45" s="113">
        <f>Profitability!J7</f>
        <v>0</v>
      </c>
      <c r="U45">
        <v>3</v>
      </c>
      <c r="V45" s="170">
        <v>8</v>
      </c>
      <c r="W45">
        <v>5</v>
      </c>
      <c r="X45">
        <f>Scalability!C7</f>
        <v>4.5</v>
      </c>
      <c r="Y45">
        <v>3</v>
      </c>
      <c r="Z45" s="113">
        <f>Footprint!C7</f>
        <v>6.666666666666667</v>
      </c>
      <c r="AA45" s="159">
        <v>7.7777777777777786</v>
      </c>
      <c r="AB45">
        <v>3</v>
      </c>
      <c r="AC45">
        <f>'Geopolitical Barriers'!C7</f>
        <v>8.44</v>
      </c>
      <c r="AD45">
        <f>'Economic Lifetime'!F7</f>
        <v>7.5</v>
      </c>
      <c r="AE45" s="98">
        <v>1</v>
      </c>
      <c r="AF45">
        <v>3</v>
      </c>
    </row>
    <row r="46" spans="1:32" ht="14.4" x14ac:dyDescent="0.3">
      <c r="A46" s="46" t="s">
        <v>236</v>
      </c>
      <c r="B46" t="s">
        <v>57</v>
      </c>
      <c r="C46" s="46" t="s">
        <v>96</v>
      </c>
      <c r="D46" t="s">
        <v>237</v>
      </c>
      <c r="E46" s="46" t="s">
        <v>238</v>
      </c>
      <c r="F46" s="46" t="s">
        <v>87</v>
      </c>
      <c r="G46" s="46" t="s">
        <v>239</v>
      </c>
      <c r="H46" s="46" t="s">
        <v>63</v>
      </c>
      <c r="I46" s="165" t="s">
        <v>55</v>
      </c>
      <c r="K46" s="46">
        <v>470</v>
      </c>
      <c r="L46" s="46">
        <v>1358</v>
      </c>
      <c r="M46" s="46">
        <v>15.5</v>
      </c>
      <c r="N46" s="46">
        <v>295</v>
      </c>
      <c r="O46" s="46">
        <v>325</v>
      </c>
      <c r="P46" s="98">
        <v>0.34599999999999997</v>
      </c>
      <c r="Q46" s="46">
        <v>60</v>
      </c>
      <c r="R46" s="95">
        <f>CAPEX!I46</f>
        <v>4.2</v>
      </c>
      <c r="S46">
        <v>3</v>
      </c>
      <c r="T46" s="113">
        <f>Profitability!J10</f>
        <v>5.7466356200311672</v>
      </c>
      <c r="U46">
        <v>3</v>
      </c>
      <c r="V46" s="170">
        <v>8</v>
      </c>
      <c r="W46">
        <v>5</v>
      </c>
      <c r="X46">
        <f>Scalability!C10</f>
        <v>4.5</v>
      </c>
      <c r="Y46">
        <v>3</v>
      </c>
      <c r="Z46" s="113">
        <f>Footprint!C10</f>
        <v>3.75</v>
      </c>
      <c r="AA46" s="159">
        <v>7.7777777777777786</v>
      </c>
      <c r="AB46">
        <v>3</v>
      </c>
      <c r="AC46">
        <f>'Geopolitical Barriers'!C10</f>
        <v>8.44</v>
      </c>
      <c r="AD46">
        <f>'Economic Lifetime'!F10</f>
        <v>7.5</v>
      </c>
      <c r="AE46" s="98">
        <v>3</v>
      </c>
      <c r="AF46">
        <v>3</v>
      </c>
    </row>
    <row r="47" spans="1:32" ht="14.4" x14ac:dyDescent="0.3">
      <c r="A47" s="46" t="s">
        <v>240</v>
      </c>
      <c r="B47" t="s">
        <v>57</v>
      </c>
      <c r="C47" s="46" t="s">
        <v>118</v>
      </c>
      <c r="D47" t="s">
        <v>241</v>
      </c>
      <c r="E47" s="46" t="s">
        <v>79</v>
      </c>
      <c r="F47" s="46" t="s">
        <v>92</v>
      </c>
      <c r="G47" s="46" t="s">
        <v>242</v>
      </c>
      <c r="H47" s="46" t="s">
        <v>63</v>
      </c>
      <c r="I47" s="165" t="s">
        <v>55</v>
      </c>
      <c r="K47" s="46">
        <v>0</v>
      </c>
      <c r="L47" s="46">
        <v>70</v>
      </c>
      <c r="M47" s="46">
        <v>0.101325</v>
      </c>
      <c r="N47" s="46">
        <v>75</v>
      </c>
      <c r="O47" s="46">
        <v>102</v>
      </c>
      <c r="P47" s="98">
        <v>0</v>
      </c>
      <c r="Q47" s="46">
        <v>60</v>
      </c>
      <c r="R47" s="95">
        <f>CAPEX!I47</f>
        <v>5.8</v>
      </c>
      <c r="S47">
        <v>3</v>
      </c>
      <c r="T47" s="113">
        <f>Profitability!J17</f>
        <v>0</v>
      </c>
      <c r="U47">
        <v>3</v>
      </c>
      <c r="V47" s="170">
        <v>8</v>
      </c>
      <c r="W47">
        <v>5</v>
      </c>
      <c r="X47">
        <f>Scalability!C17</f>
        <v>4.5</v>
      </c>
      <c r="Y47">
        <v>3</v>
      </c>
      <c r="Z47" s="113">
        <f>Footprint!C17</f>
        <v>2.5</v>
      </c>
      <c r="AA47" s="159">
        <v>3.3333333333333335</v>
      </c>
      <c r="AB47">
        <v>3</v>
      </c>
      <c r="AC47">
        <f>'Geopolitical Barriers'!C17</f>
        <v>6.6229999999999993</v>
      </c>
      <c r="AD47">
        <f>'Economic Lifetime'!F17</f>
        <v>7.5</v>
      </c>
      <c r="AE47" s="98">
        <v>0</v>
      </c>
      <c r="AF47">
        <v>3</v>
      </c>
    </row>
    <row r="48" spans="1:32" ht="14.4" x14ac:dyDescent="0.3">
      <c r="A48" s="46" t="s">
        <v>243</v>
      </c>
      <c r="B48" t="s">
        <v>65</v>
      </c>
      <c r="C48" t="s">
        <v>136</v>
      </c>
      <c r="D48" t="s">
        <v>244</v>
      </c>
      <c r="E48" t="s">
        <v>124</v>
      </c>
      <c r="F48" t="s">
        <v>245</v>
      </c>
      <c r="G48" t="s">
        <v>246</v>
      </c>
      <c r="H48" t="s">
        <v>71</v>
      </c>
      <c r="I48" s="165" t="s">
        <v>55</v>
      </c>
      <c r="K48">
        <v>272</v>
      </c>
      <c r="L48">
        <v>625</v>
      </c>
      <c r="M48">
        <v>16</v>
      </c>
      <c r="N48">
        <v>325</v>
      </c>
      <c r="O48">
        <v>750</v>
      </c>
      <c r="P48" s="98">
        <v>0.435</v>
      </c>
      <c r="Q48">
        <v>80</v>
      </c>
      <c r="R48" s="95">
        <f>CAPEX!I48</f>
        <v>5</v>
      </c>
      <c r="S48">
        <v>3</v>
      </c>
      <c r="T48" s="113">
        <f>Profitability!J35</f>
        <v>2.9978178087203053</v>
      </c>
      <c r="U48">
        <v>3</v>
      </c>
      <c r="V48" s="170">
        <v>6</v>
      </c>
      <c r="W48">
        <v>5</v>
      </c>
      <c r="X48">
        <f>Scalability!C35</f>
        <v>5.5</v>
      </c>
      <c r="Y48">
        <v>3</v>
      </c>
      <c r="Z48" s="113">
        <f>Footprint!C35</f>
        <v>7.5</v>
      </c>
      <c r="AA48" s="159">
        <v>5.5555555555555554</v>
      </c>
      <c r="AB48">
        <v>3</v>
      </c>
      <c r="AC48">
        <f>'Geopolitical Barriers'!C35</f>
        <v>6.6229999999999993</v>
      </c>
      <c r="AD48">
        <f>'Economic Lifetime'!F35</f>
        <v>10</v>
      </c>
      <c r="AE48" s="98">
        <v>9</v>
      </c>
      <c r="AF48">
        <v>3</v>
      </c>
    </row>
    <row r="49" spans="1:32" ht="14.4" x14ac:dyDescent="0.3">
      <c r="A49" s="47" t="s">
        <v>247</v>
      </c>
      <c r="B49" t="s">
        <v>48</v>
      </c>
      <c r="C49" s="47" t="s">
        <v>248</v>
      </c>
      <c r="D49" s="47" t="s">
        <v>249</v>
      </c>
      <c r="E49" s="47" t="s">
        <v>250</v>
      </c>
      <c r="F49" s="47" t="s">
        <v>187</v>
      </c>
      <c r="G49" s="47" t="s">
        <v>251</v>
      </c>
      <c r="H49" s="47" t="s">
        <v>82</v>
      </c>
      <c r="I49" s="165" t="s">
        <v>55</v>
      </c>
      <c r="K49">
        <v>55</v>
      </c>
      <c r="L49">
        <v>140</v>
      </c>
      <c r="M49">
        <v>0.101325</v>
      </c>
      <c r="N49">
        <v>420</v>
      </c>
      <c r="O49">
        <v>550</v>
      </c>
      <c r="P49" s="98">
        <v>0.39300000000000002</v>
      </c>
      <c r="Q49">
        <v>28</v>
      </c>
      <c r="R49" s="95">
        <f>CAPEX!I49</f>
        <v>7.1</v>
      </c>
      <c r="S49">
        <v>3</v>
      </c>
      <c r="T49" s="113">
        <f>Profitability!J52</f>
        <v>0.53913585448325674</v>
      </c>
      <c r="U49">
        <v>3</v>
      </c>
      <c r="V49" s="170">
        <v>2</v>
      </c>
      <c r="W49">
        <v>5</v>
      </c>
      <c r="X49">
        <f>Scalability!C52</f>
        <v>4.5</v>
      </c>
      <c r="Y49">
        <v>3</v>
      </c>
      <c r="Z49" s="113">
        <f>Footprint!C52</f>
        <v>7.5</v>
      </c>
      <c r="AA49" s="159">
        <v>3.3333333333333335</v>
      </c>
      <c r="AB49">
        <v>3</v>
      </c>
      <c r="AC49">
        <f>'Geopolitical Barriers'!C52</f>
        <v>6.6229999999999993</v>
      </c>
      <c r="AD49">
        <f>'Economic Lifetime'!F52</f>
        <v>3.5</v>
      </c>
      <c r="AE49" s="98">
        <v>9</v>
      </c>
      <c r="AF49">
        <v>3</v>
      </c>
    </row>
    <row r="50" spans="1:32" ht="14.4" x14ac:dyDescent="0.3">
      <c r="A50" s="46" t="s">
        <v>252</v>
      </c>
      <c r="B50" t="s">
        <v>57</v>
      </c>
      <c r="C50" s="46" t="s">
        <v>58</v>
      </c>
      <c r="D50" t="s">
        <v>253</v>
      </c>
      <c r="E50" s="46" t="s">
        <v>254</v>
      </c>
      <c r="F50" s="46" t="s">
        <v>87</v>
      </c>
      <c r="G50" s="46" t="s">
        <v>255</v>
      </c>
      <c r="H50" s="46" t="s">
        <v>63</v>
      </c>
      <c r="I50" s="165" t="s">
        <v>55</v>
      </c>
      <c r="K50" s="46">
        <v>107</v>
      </c>
      <c r="L50" s="46">
        <v>365</v>
      </c>
      <c r="M50" s="46">
        <v>15</v>
      </c>
      <c r="N50" s="46">
        <v>296</v>
      </c>
      <c r="O50" s="46">
        <v>322</v>
      </c>
      <c r="P50" s="98">
        <v>0.29299999999999998</v>
      </c>
      <c r="Q50" s="46">
        <v>60</v>
      </c>
      <c r="R50" s="95">
        <f>CAPEX!I50</f>
        <v>5</v>
      </c>
      <c r="S50">
        <v>3</v>
      </c>
      <c r="T50" s="113">
        <f>Profitability!J12</f>
        <v>1.2067433208879548</v>
      </c>
      <c r="U50">
        <v>3</v>
      </c>
      <c r="V50" s="170">
        <v>8</v>
      </c>
      <c r="W50">
        <v>5</v>
      </c>
      <c r="X50">
        <f>Scalability!C12</f>
        <v>4.5</v>
      </c>
      <c r="Y50">
        <v>3</v>
      </c>
      <c r="Z50" s="113">
        <f>Footprint!C12</f>
        <v>2.5</v>
      </c>
      <c r="AA50" s="159">
        <v>6.666666666666667</v>
      </c>
      <c r="AB50">
        <v>3</v>
      </c>
      <c r="AC50">
        <f>'Geopolitical Barriers'!C12</f>
        <v>2.9550000000000001</v>
      </c>
      <c r="AD50">
        <f>'Economic Lifetime'!F12</f>
        <v>7.5</v>
      </c>
      <c r="AE50" s="98">
        <v>1</v>
      </c>
      <c r="AF50">
        <v>3</v>
      </c>
    </row>
    <row r="51" spans="1:32" ht="14.4" x14ac:dyDescent="0.3">
      <c r="A51" s="46" t="s">
        <v>256</v>
      </c>
      <c r="B51" t="s">
        <v>57</v>
      </c>
      <c r="C51" s="46" t="s">
        <v>96</v>
      </c>
      <c r="D51" t="s">
        <v>257</v>
      </c>
      <c r="E51" s="46" t="s">
        <v>124</v>
      </c>
      <c r="F51" s="46" t="s">
        <v>141</v>
      </c>
      <c r="G51" s="46" t="s">
        <v>258</v>
      </c>
      <c r="H51" s="46" t="s">
        <v>63</v>
      </c>
      <c r="I51" s="165" t="s">
        <v>55</v>
      </c>
      <c r="K51" s="46">
        <v>160</v>
      </c>
      <c r="L51" s="46">
        <v>525</v>
      </c>
      <c r="M51" s="46">
        <v>15.5</v>
      </c>
      <c r="N51" s="46">
        <v>243</v>
      </c>
      <c r="O51" s="46">
        <v>321</v>
      </c>
      <c r="P51" s="98">
        <v>0.30499999999999999</v>
      </c>
      <c r="Q51" s="46">
        <v>80</v>
      </c>
      <c r="R51" s="95">
        <f>CAPEX!I51</f>
        <v>5</v>
      </c>
      <c r="S51">
        <v>3</v>
      </c>
      <c r="T51" s="113">
        <f>Profitability!J5</f>
        <v>1.8944497153415132</v>
      </c>
      <c r="U51">
        <v>3</v>
      </c>
      <c r="V51" s="170">
        <v>8</v>
      </c>
      <c r="W51">
        <v>5</v>
      </c>
      <c r="X51">
        <f>Scalability!C5</f>
        <v>4.5</v>
      </c>
      <c r="Y51">
        <v>3</v>
      </c>
      <c r="Z51" s="113">
        <f>Footprint!C5</f>
        <v>5.3571428571428577</v>
      </c>
      <c r="AA51" s="159">
        <v>5.5555555555555554</v>
      </c>
      <c r="AB51">
        <v>3</v>
      </c>
      <c r="AC51">
        <f>'Geopolitical Barriers'!C5</f>
        <v>3.4459999999999997</v>
      </c>
      <c r="AD51">
        <f>'Economic Lifetime'!F5</f>
        <v>10</v>
      </c>
      <c r="AE51" s="98">
        <v>1</v>
      </c>
      <c r="AF51">
        <v>3</v>
      </c>
    </row>
    <row r="52" spans="1:32" ht="14.4" x14ac:dyDescent="0.3">
      <c r="A52" s="46" t="s">
        <v>259</v>
      </c>
      <c r="B52" t="s">
        <v>105</v>
      </c>
      <c r="C52" t="s">
        <v>106</v>
      </c>
      <c r="D52" t="s">
        <v>260</v>
      </c>
      <c r="E52" t="s">
        <v>60</v>
      </c>
      <c r="F52" t="s">
        <v>211</v>
      </c>
      <c r="G52" t="s">
        <v>261</v>
      </c>
      <c r="H52" t="s">
        <v>262</v>
      </c>
      <c r="I52" s="165" t="s">
        <v>55</v>
      </c>
      <c r="K52">
        <v>168</v>
      </c>
      <c r="L52">
        <v>400</v>
      </c>
      <c r="M52">
        <v>0.101325</v>
      </c>
      <c r="N52">
        <v>650</v>
      </c>
      <c r="O52">
        <v>700</v>
      </c>
      <c r="P52" s="98">
        <v>0.42</v>
      </c>
      <c r="Q52">
        <v>60</v>
      </c>
      <c r="R52" s="95">
        <f>CAPEX!I52</f>
        <v>5.4</v>
      </c>
      <c r="S52">
        <v>3</v>
      </c>
      <c r="T52" s="113">
        <f>Profitability!J42</f>
        <v>1.3530227063593525</v>
      </c>
      <c r="U52">
        <v>3</v>
      </c>
      <c r="V52" s="170">
        <v>3</v>
      </c>
      <c r="W52">
        <v>5</v>
      </c>
      <c r="X52">
        <f>Scalability!C42</f>
        <v>4.5</v>
      </c>
      <c r="Y52">
        <v>3</v>
      </c>
      <c r="Z52" s="113">
        <f>Footprint!C42</f>
        <v>3.75</v>
      </c>
      <c r="AA52" s="159">
        <v>1.1111111111111112</v>
      </c>
      <c r="AB52">
        <v>3</v>
      </c>
      <c r="AC52">
        <f>'Geopolitical Barriers'!C42</f>
        <v>8.4619999999999997</v>
      </c>
      <c r="AD52">
        <f>'Economic Lifetime'!F42</f>
        <v>7.5</v>
      </c>
      <c r="AE52" s="98">
        <v>9</v>
      </c>
      <c r="AF52">
        <v>3</v>
      </c>
    </row>
    <row r="53" spans="1:32" ht="14.4" x14ac:dyDescent="0.3">
      <c r="A53" s="46" t="s">
        <v>263</v>
      </c>
      <c r="B53" t="s">
        <v>105</v>
      </c>
      <c r="C53" t="s">
        <v>264</v>
      </c>
      <c r="D53" t="s">
        <v>265</v>
      </c>
      <c r="E53" t="s">
        <v>238</v>
      </c>
      <c r="F53" t="s">
        <v>266</v>
      </c>
      <c r="G53" t="s">
        <v>267</v>
      </c>
      <c r="H53" s="50" t="s">
        <v>268</v>
      </c>
      <c r="I53" s="165" t="s">
        <v>55</v>
      </c>
      <c r="K53">
        <v>16</v>
      </c>
      <c r="L53">
        <v>40</v>
      </c>
      <c r="M53">
        <v>0.101325</v>
      </c>
      <c r="N53">
        <v>725</v>
      </c>
      <c r="O53">
        <v>795</v>
      </c>
      <c r="P53" s="98">
        <v>0.4</v>
      </c>
      <c r="Q53">
        <v>60</v>
      </c>
      <c r="R53" s="95">
        <f>CAPEX!I53</f>
        <v>6.7</v>
      </c>
      <c r="S53">
        <v>3</v>
      </c>
      <c r="T53" s="113">
        <f>Profitability!J61</f>
        <v>2.458723896807815E-2</v>
      </c>
      <c r="U53">
        <v>3</v>
      </c>
      <c r="V53" s="170">
        <v>3</v>
      </c>
      <c r="W53">
        <v>5</v>
      </c>
      <c r="X53">
        <f>Scalability!C61</f>
        <v>4.5</v>
      </c>
      <c r="Y53">
        <v>3</v>
      </c>
      <c r="Z53" s="113">
        <f>Footprint!C61</f>
        <v>7.5</v>
      </c>
      <c r="AA53" s="159">
        <v>5.5555555555555554</v>
      </c>
      <c r="AB53">
        <v>3</v>
      </c>
      <c r="AC53">
        <f>'Geopolitical Barriers'!C61</f>
        <v>4.2139999999999995</v>
      </c>
      <c r="AD53">
        <f>'Economic Lifetime'!F61</f>
        <v>7.5</v>
      </c>
      <c r="AE53" s="98">
        <v>9</v>
      </c>
      <c r="AF53">
        <v>3</v>
      </c>
    </row>
    <row r="54" spans="1:32" ht="14.4" x14ac:dyDescent="0.3">
      <c r="A54" s="46" t="s">
        <v>269</v>
      </c>
      <c r="B54" t="s">
        <v>105</v>
      </c>
      <c r="C54" t="s">
        <v>270</v>
      </c>
      <c r="D54" t="s">
        <v>271</v>
      </c>
      <c r="E54" t="s">
        <v>74</v>
      </c>
      <c r="F54" t="s">
        <v>109</v>
      </c>
      <c r="G54" t="s">
        <v>272</v>
      </c>
      <c r="H54" t="s">
        <v>273</v>
      </c>
      <c r="I54" s="165" t="s">
        <v>55</v>
      </c>
      <c r="K54">
        <v>300</v>
      </c>
      <c r="L54">
        <v>750</v>
      </c>
      <c r="M54">
        <v>0.101325</v>
      </c>
      <c r="N54">
        <v>575</v>
      </c>
      <c r="O54">
        <v>625</v>
      </c>
      <c r="P54" s="98">
        <v>0.4</v>
      </c>
      <c r="Q54">
        <v>60</v>
      </c>
      <c r="R54" s="95">
        <f>CAPEX!I54</f>
        <v>5</v>
      </c>
      <c r="S54">
        <v>3</v>
      </c>
      <c r="T54" s="113">
        <f>Profitability!J57</f>
        <v>3.5127664670844991</v>
      </c>
      <c r="U54">
        <v>3</v>
      </c>
      <c r="V54" s="170">
        <v>3</v>
      </c>
      <c r="W54">
        <v>5</v>
      </c>
      <c r="X54">
        <f>Scalability!C57</f>
        <v>4.5</v>
      </c>
      <c r="Y54">
        <v>3</v>
      </c>
      <c r="Z54" s="113">
        <f>Footprint!C57</f>
        <v>6.666666666666667</v>
      </c>
      <c r="AA54" s="159">
        <v>3.3333333333333335</v>
      </c>
      <c r="AB54">
        <v>3</v>
      </c>
      <c r="AC54">
        <f>'Geopolitical Barriers'!C57</f>
        <v>8.44</v>
      </c>
      <c r="AD54">
        <f>'Economic Lifetime'!F57</f>
        <v>7.5</v>
      </c>
      <c r="AE54" s="98">
        <v>9</v>
      </c>
      <c r="AF54">
        <v>3</v>
      </c>
    </row>
    <row r="55" spans="1:32" ht="14.4" x14ac:dyDescent="0.3">
      <c r="A55" s="46" t="s">
        <v>274</v>
      </c>
      <c r="B55" t="s">
        <v>57</v>
      </c>
      <c r="C55" s="46" t="s">
        <v>275</v>
      </c>
      <c r="D55" t="s">
        <v>276</v>
      </c>
      <c r="E55" s="46" t="s">
        <v>277</v>
      </c>
      <c r="F55" s="46" t="s">
        <v>98</v>
      </c>
      <c r="G55" s="46" t="s">
        <v>278</v>
      </c>
      <c r="H55" s="46" t="s">
        <v>63</v>
      </c>
      <c r="I55" s="165" t="s">
        <v>55</v>
      </c>
      <c r="K55" s="46">
        <v>10</v>
      </c>
      <c r="L55" s="46">
        <v>30</v>
      </c>
      <c r="M55" s="46">
        <v>12.5</v>
      </c>
      <c r="N55" s="46">
        <v>270</v>
      </c>
      <c r="O55" s="46">
        <v>300</v>
      </c>
      <c r="P55" s="98">
        <v>0.33300000000000002</v>
      </c>
      <c r="Q55" s="46">
        <v>60</v>
      </c>
      <c r="R55" s="95">
        <f>CAPEX!I55</f>
        <v>5</v>
      </c>
      <c r="S55">
        <v>3</v>
      </c>
      <c r="T55" s="113">
        <f>Profitability!J27</f>
        <v>0</v>
      </c>
      <c r="U55">
        <v>3</v>
      </c>
      <c r="V55" s="170">
        <v>8</v>
      </c>
      <c r="W55">
        <v>5</v>
      </c>
      <c r="X55">
        <f>Scalability!C27</f>
        <v>4.5</v>
      </c>
      <c r="Y55">
        <v>3</v>
      </c>
      <c r="Z55" s="113">
        <f>Footprint!C27</f>
        <v>4.166666666666667</v>
      </c>
      <c r="AA55" s="159">
        <v>5.5555555555555554</v>
      </c>
      <c r="AB55">
        <v>3</v>
      </c>
      <c r="AC55">
        <f>'Geopolitical Barriers'!C27</f>
        <v>8.44</v>
      </c>
      <c r="AD55">
        <f>'Economic Lifetime'!F27</f>
        <v>7.5</v>
      </c>
      <c r="AE55" s="98">
        <v>1</v>
      </c>
      <c r="AF55">
        <v>3</v>
      </c>
    </row>
    <row r="56" spans="1:32" ht="14.4" x14ac:dyDescent="0.3">
      <c r="A56" s="46" t="s">
        <v>279</v>
      </c>
      <c r="B56" t="s">
        <v>65</v>
      </c>
      <c r="C56" t="s">
        <v>136</v>
      </c>
      <c r="D56" t="s">
        <v>280</v>
      </c>
      <c r="E56" t="s">
        <v>74</v>
      </c>
      <c r="F56" t="s">
        <v>281</v>
      </c>
      <c r="G56" t="s">
        <v>282</v>
      </c>
      <c r="H56" t="s">
        <v>71</v>
      </c>
      <c r="I56" s="165" t="s">
        <v>55</v>
      </c>
      <c r="K56">
        <v>60</v>
      </c>
      <c r="L56">
        <v>150</v>
      </c>
      <c r="M56">
        <v>7.4</v>
      </c>
      <c r="N56">
        <v>280</v>
      </c>
      <c r="O56">
        <v>750</v>
      </c>
      <c r="P56" s="98">
        <v>0.4</v>
      </c>
      <c r="Q56">
        <v>60</v>
      </c>
      <c r="R56" s="95">
        <f>CAPEX!I56</f>
        <v>5.4</v>
      </c>
      <c r="S56">
        <v>3</v>
      </c>
      <c r="T56" s="113">
        <f>Profitability!J28</f>
        <v>0.60187681551395433</v>
      </c>
      <c r="U56">
        <v>3</v>
      </c>
      <c r="V56" s="170">
        <v>6</v>
      </c>
      <c r="W56">
        <v>5</v>
      </c>
      <c r="X56">
        <f>Scalability!C28</f>
        <v>5.5</v>
      </c>
      <c r="Y56">
        <v>3</v>
      </c>
      <c r="Z56" s="113">
        <f>Footprint!C28</f>
        <v>7.5</v>
      </c>
      <c r="AA56" s="159">
        <v>2.2222222222222223</v>
      </c>
      <c r="AB56">
        <v>3</v>
      </c>
      <c r="AC56">
        <f>'Geopolitical Barriers'!C28</f>
        <v>8.6829999999999998</v>
      </c>
      <c r="AD56">
        <f>'Economic Lifetime'!F28</f>
        <v>7.5</v>
      </c>
      <c r="AE56" s="98">
        <v>9</v>
      </c>
      <c r="AF56">
        <v>3</v>
      </c>
    </row>
    <row r="57" spans="1:32" ht="14.4" x14ac:dyDescent="0.3">
      <c r="A57" s="47" t="s">
        <v>283</v>
      </c>
      <c r="B57" t="s">
        <v>48</v>
      </c>
      <c r="C57" s="47" t="s">
        <v>248</v>
      </c>
      <c r="D57" s="46" t="s">
        <v>284</v>
      </c>
      <c r="E57" s="47" t="s">
        <v>79</v>
      </c>
      <c r="F57" s="47" t="s">
        <v>52</v>
      </c>
      <c r="G57" s="47" t="s">
        <v>285</v>
      </c>
      <c r="H57" s="47" t="s">
        <v>286</v>
      </c>
      <c r="I57" s="165" t="s">
        <v>55</v>
      </c>
      <c r="K57">
        <v>100</v>
      </c>
      <c r="L57">
        <v>280</v>
      </c>
      <c r="M57" s="51"/>
      <c r="N57">
        <v>340</v>
      </c>
      <c r="O57">
        <v>485</v>
      </c>
      <c r="P57" s="98">
        <v>0.35699999999999998</v>
      </c>
      <c r="Q57">
        <v>60</v>
      </c>
      <c r="R57" s="95">
        <f>CAPEX!I57</f>
        <v>6.7</v>
      </c>
      <c r="S57">
        <v>3</v>
      </c>
      <c r="T57" s="113">
        <f>Profitability!J51</f>
        <v>1.1038045037595361</v>
      </c>
      <c r="U57">
        <v>3</v>
      </c>
      <c r="V57" s="170">
        <v>2</v>
      </c>
      <c r="W57">
        <v>5</v>
      </c>
      <c r="X57">
        <f>Scalability!C51</f>
        <v>4.5</v>
      </c>
      <c r="Y57">
        <v>3</v>
      </c>
      <c r="Z57" s="113">
        <f>Footprint!C51</f>
        <v>2.5</v>
      </c>
      <c r="AA57" s="159">
        <v>7.7777777777777786</v>
      </c>
      <c r="AB57">
        <v>3</v>
      </c>
      <c r="AC57">
        <f>'Geopolitical Barriers'!C51</f>
        <v>5.9935</v>
      </c>
      <c r="AD57">
        <f>'Economic Lifetime'!F51</f>
        <v>7.5</v>
      </c>
      <c r="AE57" s="98">
        <v>5</v>
      </c>
      <c r="AF57">
        <v>3</v>
      </c>
    </row>
    <row r="58" spans="1:32" ht="14.4" x14ac:dyDescent="0.3">
      <c r="A58" s="46" t="s">
        <v>287</v>
      </c>
      <c r="B58" t="s">
        <v>57</v>
      </c>
      <c r="C58" s="46" t="s">
        <v>288</v>
      </c>
      <c r="D58" t="s">
        <v>289</v>
      </c>
      <c r="E58" s="46" t="s">
        <v>290</v>
      </c>
      <c r="F58" s="46" t="s">
        <v>92</v>
      </c>
      <c r="G58" s="46" t="s">
        <v>291</v>
      </c>
      <c r="H58" s="46" t="s">
        <v>94</v>
      </c>
      <c r="I58" s="165" t="s">
        <v>55</v>
      </c>
      <c r="K58" s="46">
        <v>0</v>
      </c>
      <c r="L58" s="46">
        <v>150</v>
      </c>
      <c r="M58" s="46">
        <v>2</v>
      </c>
      <c r="N58" s="46">
        <v>175</v>
      </c>
      <c r="O58" s="46">
        <v>192</v>
      </c>
      <c r="P58" s="98">
        <v>0</v>
      </c>
      <c r="Q58" s="46">
        <v>60</v>
      </c>
      <c r="R58" s="95">
        <f>CAPEX!I58</f>
        <v>6.3</v>
      </c>
      <c r="S58">
        <v>3</v>
      </c>
      <c r="T58" s="113">
        <f>Profitability!J16</f>
        <v>0</v>
      </c>
      <c r="U58">
        <v>3</v>
      </c>
      <c r="V58" s="170">
        <v>7</v>
      </c>
      <c r="W58">
        <v>5</v>
      </c>
      <c r="X58">
        <f>Scalability!C16</f>
        <v>4.5</v>
      </c>
      <c r="Y58">
        <v>3</v>
      </c>
      <c r="Z58" s="113">
        <f>Footprint!C16</f>
        <v>7.5</v>
      </c>
      <c r="AA58" s="159">
        <v>4.4444444444444446</v>
      </c>
      <c r="AB58">
        <v>3</v>
      </c>
      <c r="AC58">
        <f>'Geopolitical Barriers'!C16</f>
        <v>6.6229999999999993</v>
      </c>
      <c r="AD58">
        <f>'Economic Lifetime'!F16</f>
        <v>7.5</v>
      </c>
      <c r="AE58" s="98">
        <v>0</v>
      </c>
      <c r="AF58">
        <v>3</v>
      </c>
    </row>
    <row r="59" spans="1:32" ht="14.4" x14ac:dyDescent="0.3">
      <c r="A59" s="46" t="s">
        <v>292</v>
      </c>
      <c r="B59" t="s">
        <v>105</v>
      </c>
      <c r="C59" t="s">
        <v>106</v>
      </c>
      <c r="D59" t="s">
        <v>293</v>
      </c>
      <c r="E59" t="s">
        <v>294</v>
      </c>
      <c r="F59" t="s">
        <v>132</v>
      </c>
      <c r="G59" t="s">
        <v>295</v>
      </c>
      <c r="H59" t="s">
        <v>296</v>
      </c>
      <c r="I59" s="165" t="s">
        <v>55</v>
      </c>
      <c r="K59">
        <v>250</v>
      </c>
      <c r="L59">
        <v>557</v>
      </c>
      <c r="M59">
        <v>25.7</v>
      </c>
      <c r="N59">
        <v>560</v>
      </c>
      <c r="O59">
        <v>704</v>
      </c>
      <c r="P59" s="98">
        <v>0.44900000000000001</v>
      </c>
      <c r="Q59">
        <v>80</v>
      </c>
      <c r="R59" s="95">
        <f>CAPEX!I59</f>
        <v>2.1</v>
      </c>
      <c r="S59">
        <v>3</v>
      </c>
      <c r="T59" s="113">
        <f>Profitability!J37</f>
        <v>2.7700822895786494</v>
      </c>
      <c r="U59">
        <v>3</v>
      </c>
      <c r="V59" s="170">
        <v>3</v>
      </c>
      <c r="W59">
        <v>5</v>
      </c>
      <c r="X59">
        <f>Scalability!C37</f>
        <v>4.5</v>
      </c>
      <c r="Y59">
        <v>3</v>
      </c>
      <c r="Z59" s="113">
        <f>Footprint!C37</f>
        <v>7.5</v>
      </c>
      <c r="AA59" s="159">
        <v>5.5555555555555554</v>
      </c>
      <c r="AB59">
        <v>3</v>
      </c>
      <c r="AC59">
        <f>'Geopolitical Barriers'!C37</f>
        <v>8.7000000000000188E-2</v>
      </c>
      <c r="AD59">
        <f>'Economic Lifetime'!F37</f>
        <v>10</v>
      </c>
      <c r="AE59" s="98">
        <v>9</v>
      </c>
      <c r="AF59">
        <v>3</v>
      </c>
    </row>
    <row r="60" spans="1:32" ht="14.4" x14ac:dyDescent="0.3">
      <c r="A60" s="46" t="s">
        <v>297</v>
      </c>
      <c r="B60" t="s">
        <v>105</v>
      </c>
      <c r="C60" t="s">
        <v>106</v>
      </c>
      <c r="D60" t="s">
        <v>298</v>
      </c>
      <c r="E60" t="s">
        <v>299</v>
      </c>
      <c r="F60" t="s">
        <v>109</v>
      </c>
      <c r="G60" t="s">
        <v>300</v>
      </c>
      <c r="H60" t="s">
        <v>301</v>
      </c>
      <c r="I60" s="165" t="s">
        <v>55</v>
      </c>
      <c r="K60">
        <v>120</v>
      </c>
      <c r="L60">
        <v>300</v>
      </c>
      <c r="M60">
        <v>8</v>
      </c>
      <c r="N60">
        <v>500</v>
      </c>
      <c r="O60">
        <v>800</v>
      </c>
      <c r="P60" s="98">
        <v>0.4</v>
      </c>
      <c r="Q60">
        <v>60</v>
      </c>
      <c r="R60" s="95">
        <f>CAPEX!I60</f>
        <v>2.9</v>
      </c>
      <c r="S60">
        <v>3</v>
      </c>
      <c r="T60" s="113">
        <f>Profitability!J31</f>
        <v>0</v>
      </c>
      <c r="U60">
        <v>3</v>
      </c>
      <c r="V60" s="170">
        <v>3</v>
      </c>
      <c r="W60">
        <v>5</v>
      </c>
      <c r="X60">
        <f>Scalability!C31</f>
        <v>4.5</v>
      </c>
      <c r="Y60">
        <v>3</v>
      </c>
      <c r="Z60" s="113">
        <f>Footprint!C31</f>
        <v>5</v>
      </c>
      <c r="AA60" s="159">
        <v>3.3333333333333335</v>
      </c>
      <c r="AB60">
        <v>3</v>
      </c>
      <c r="AC60">
        <f>'Geopolitical Barriers'!C31</f>
        <v>8.7000000000000188E-2</v>
      </c>
      <c r="AD60">
        <f>'Economic Lifetime'!F31</f>
        <v>7.5</v>
      </c>
      <c r="AE60" s="98">
        <v>9</v>
      </c>
      <c r="AF60">
        <v>3</v>
      </c>
    </row>
    <row r="61" spans="1:32" ht="14.4" x14ac:dyDescent="0.3">
      <c r="A61" s="46" t="s">
        <v>302</v>
      </c>
      <c r="B61" t="s">
        <v>57</v>
      </c>
      <c r="C61" s="46" t="s">
        <v>84</v>
      </c>
      <c r="D61" t="s">
        <v>303</v>
      </c>
      <c r="E61" s="46" t="s">
        <v>79</v>
      </c>
      <c r="F61" s="46" t="s">
        <v>87</v>
      </c>
      <c r="G61" s="46" t="s">
        <v>304</v>
      </c>
      <c r="H61" s="46" t="s">
        <v>63</v>
      </c>
      <c r="I61" s="165" t="s">
        <v>55</v>
      </c>
      <c r="K61" s="46">
        <v>250</v>
      </c>
      <c r="L61" s="46">
        <v>750</v>
      </c>
      <c r="M61" s="46">
        <v>6.9</v>
      </c>
      <c r="N61" s="46">
        <v>190</v>
      </c>
      <c r="O61" s="46">
        <v>285</v>
      </c>
      <c r="P61" s="98">
        <v>0.33300000000000002</v>
      </c>
      <c r="Q61" s="46">
        <v>60</v>
      </c>
      <c r="R61" s="95">
        <f>CAPEX!I61</f>
        <v>5</v>
      </c>
      <c r="S61">
        <v>3</v>
      </c>
      <c r="T61" s="113">
        <f>Profitability!J11</f>
        <v>3.0328478969053374</v>
      </c>
      <c r="U61">
        <v>3</v>
      </c>
      <c r="V61" s="170">
        <v>8</v>
      </c>
      <c r="W61">
        <v>5</v>
      </c>
      <c r="X61">
        <f>Scalability!C11</f>
        <v>4.5</v>
      </c>
      <c r="Y61">
        <v>3</v>
      </c>
      <c r="Z61" s="113">
        <f>Footprint!C11</f>
        <v>3.75</v>
      </c>
      <c r="AA61" s="159">
        <v>4.4444444444444446</v>
      </c>
      <c r="AB61">
        <v>3</v>
      </c>
      <c r="AC61">
        <f>'Geopolitical Barriers'!C11</f>
        <v>3.4459999999999997</v>
      </c>
      <c r="AD61">
        <f>'Economic Lifetime'!F11</f>
        <v>7.5</v>
      </c>
      <c r="AE61" s="98">
        <v>1</v>
      </c>
      <c r="AF61">
        <v>3</v>
      </c>
    </row>
    <row r="62" spans="1:32" ht="14.4" x14ac:dyDescent="0.3">
      <c r="A62" s="46" t="s">
        <v>305</v>
      </c>
      <c r="B62" t="s">
        <v>57</v>
      </c>
      <c r="C62" s="46" t="s">
        <v>58</v>
      </c>
      <c r="D62" t="s">
        <v>306</v>
      </c>
      <c r="E62" s="46" t="s">
        <v>124</v>
      </c>
      <c r="F62" s="46" t="s">
        <v>307</v>
      </c>
      <c r="G62" s="46" t="s">
        <v>308</v>
      </c>
      <c r="H62" s="46" t="s">
        <v>63</v>
      </c>
      <c r="I62" s="165" t="s">
        <v>55</v>
      </c>
      <c r="K62" s="46">
        <v>77</v>
      </c>
      <c r="L62" s="46">
        <v>250</v>
      </c>
      <c r="M62" s="46">
        <v>13.8</v>
      </c>
      <c r="N62" s="46">
        <v>249</v>
      </c>
      <c r="O62" s="46">
        <v>316</v>
      </c>
      <c r="P62" s="98">
        <v>0.308</v>
      </c>
      <c r="Q62" s="46">
        <v>60</v>
      </c>
      <c r="R62" s="95">
        <f>CAPEX!I62</f>
        <v>5</v>
      </c>
      <c r="S62">
        <v>3</v>
      </c>
      <c r="T62" s="113">
        <f>Profitability!J6</f>
        <v>0.85294976223193109</v>
      </c>
      <c r="U62">
        <v>3</v>
      </c>
      <c r="V62" s="170">
        <v>8</v>
      </c>
      <c r="W62">
        <v>5</v>
      </c>
      <c r="X62">
        <f>Scalability!C6</f>
        <v>4.5</v>
      </c>
      <c r="Y62">
        <v>3</v>
      </c>
      <c r="Z62" s="113">
        <f>Footprint!C6</f>
        <v>2.5</v>
      </c>
      <c r="AA62" s="159">
        <v>8.8888888888888893</v>
      </c>
      <c r="AB62">
        <v>3</v>
      </c>
      <c r="AC62">
        <f>'Geopolitical Barriers'!C6</f>
        <v>1.9360000000000004</v>
      </c>
      <c r="AD62">
        <f>'Economic Lifetime'!F6</f>
        <v>7.5</v>
      </c>
      <c r="AE62" s="98">
        <v>1</v>
      </c>
      <c r="AF62">
        <v>3</v>
      </c>
    </row>
    <row r="63" spans="1:32" ht="14.4" x14ac:dyDescent="0.3">
      <c r="A63" s="47" t="s">
        <v>309</v>
      </c>
      <c r="B63" t="s">
        <v>48</v>
      </c>
      <c r="C63" s="47" t="s">
        <v>49</v>
      </c>
      <c r="D63" s="46" t="s">
        <v>310</v>
      </c>
      <c r="E63" s="47" t="s">
        <v>124</v>
      </c>
      <c r="F63" s="47" t="s">
        <v>187</v>
      </c>
      <c r="G63" s="47" t="s">
        <v>311</v>
      </c>
      <c r="H63" s="47" t="s">
        <v>312</v>
      </c>
      <c r="I63" s="165" t="s">
        <v>55</v>
      </c>
      <c r="K63">
        <v>450</v>
      </c>
      <c r="L63">
        <v>950</v>
      </c>
      <c r="M63">
        <v>33</v>
      </c>
      <c r="N63">
        <v>390</v>
      </c>
      <c r="O63">
        <v>650</v>
      </c>
      <c r="P63" s="98">
        <v>0.47399999999999998</v>
      </c>
      <c r="Q63">
        <v>80</v>
      </c>
      <c r="R63" s="95">
        <f>CAPEX!I63</f>
        <v>5.4</v>
      </c>
      <c r="S63">
        <v>3</v>
      </c>
      <c r="T63" s="113">
        <f>Profitability!J45</f>
        <v>5.3949952980054308</v>
      </c>
      <c r="U63">
        <v>3</v>
      </c>
      <c r="V63" s="170">
        <v>2</v>
      </c>
      <c r="W63">
        <v>5</v>
      </c>
      <c r="X63">
        <f>Scalability!C45</f>
        <v>4.5</v>
      </c>
      <c r="Y63">
        <v>3</v>
      </c>
      <c r="Z63" s="113">
        <f>Footprint!C45</f>
        <v>3.75</v>
      </c>
      <c r="AA63" s="159">
        <v>3.3333333333333335</v>
      </c>
      <c r="AB63">
        <v>3</v>
      </c>
      <c r="AC63">
        <f>'Geopolitical Barriers'!C45</f>
        <v>3.7769999999999997</v>
      </c>
      <c r="AD63">
        <f>'Economic Lifetime'!F45</f>
        <v>10</v>
      </c>
      <c r="AE63" s="98">
        <v>10</v>
      </c>
      <c r="AF63">
        <v>3</v>
      </c>
    </row>
    <row r="64" spans="1:32" ht="14.4" x14ac:dyDescent="0.3">
      <c r="A64" s="46" t="s">
        <v>313</v>
      </c>
      <c r="B64" t="s">
        <v>57</v>
      </c>
      <c r="C64" s="46" t="s">
        <v>58</v>
      </c>
      <c r="D64" t="s">
        <v>314</v>
      </c>
      <c r="E64" s="46" t="s">
        <v>124</v>
      </c>
      <c r="F64" s="46" t="s">
        <v>69</v>
      </c>
      <c r="G64" s="46" t="s">
        <v>315</v>
      </c>
      <c r="H64" s="46" t="s">
        <v>63</v>
      </c>
      <c r="I64" s="165" t="s">
        <v>55</v>
      </c>
      <c r="K64" s="46">
        <v>225</v>
      </c>
      <c r="L64" s="46">
        <v>800</v>
      </c>
      <c r="M64" s="46">
        <v>15.5</v>
      </c>
      <c r="N64" s="46">
        <v>294</v>
      </c>
      <c r="O64" s="46">
        <v>324</v>
      </c>
      <c r="P64" s="98">
        <v>0.28100000000000003</v>
      </c>
      <c r="Q64" s="46">
        <v>60</v>
      </c>
      <c r="R64" s="95">
        <f>CAPEX!I64</f>
        <v>4.5999999999999996</v>
      </c>
      <c r="S64">
        <v>3</v>
      </c>
      <c r="T64" s="113">
        <f>Profitability!J14</f>
        <v>2.6672947056318321</v>
      </c>
      <c r="U64">
        <v>3</v>
      </c>
      <c r="V64" s="170">
        <v>8</v>
      </c>
      <c r="W64">
        <v>5</v>
      </c>
      <c r="X64">
        <f>Scalability!C14</f>
        <v>4.5</v>
      </c>
      <c r="Y64">
        <v>3</v>
      </c>
      <c r="Z64" s="113">
        <f>Footprint!C14</f>
        <v>2.5</v>
      </c>
      <c r="AA64" s="159">
        <v>3.3333333333333335</v>
      </c>
      <c r="AB64">
        <v>3</v>
      </c>
      <c r="AC64">
        <f>'Geopolitical Barriers'!C14</f>
        <v>4.6139999999999999</v>
      </c>
      <c r="AD64">
        <f>'Economic Lifetime'!F14</f>
        <v>7.5</v>
      </c>
      <c r="AE64" s="98">
        <v>1</v>
      </c>
      <c r="AF64">
        <v>3</v>
      </c>
    </row>
    <row r="65" spans="1:32" ht="14.4" x14ac:dyDescent="0.3">
      <c r="A65" s="46" t="s">
        <v>316</v>
      </c>
      <c r="B65" t="s">
        <v>65</v>
      </c>
      <c r="C65" t="s">
        <v>66</v>
      </c>
      <c r="D65" t="s">
        <v>317</v>
      </c>
      <c r="E65" t="s">
        <v>124</v>
      </c>
      <c r="F65" t="s">
        <v>98</v>
      </c>
      <c r="G65" t="s">
        <v>318</v>
      </c>
      <c r="H65" t="s">
        <v>71</v>
      </c>
      <c r="I65" s="165" t="s">
        <v>55</v>
      </c>
      <c r="K65">
        <v>82.5</v>
      </c>
      <c r="L65">
        <v>200</v>
      </c>
      <c r="M65">
        <v>16.5</v>
      </c>
      <c r="N65">
        <v>260</v>
      </c>
      <c r="O65">
        <v>750</v>
      </c>
      <c r="P65" s="98">
        <v>0.41299999999999998</v>
      </c>
      <c r="Q65">
        <v>60</v>
      </c>
      <c r="R65" s="95">
        <f>CAPEX!I65</f>
        <v>5.4</v>
      </c>
      <c r="S65">
        <v>3</v>
      </c>
      <c r="T65" s="113">
        <f>Profitability!J53</f>
        <v>0.61993538565686235</v>
      </c>
      <c r="U65">
        <v>3</v>
      </c>
      <c r="V65" s="170">
        <v>6</v>
      </c>
      <c r="W65">
        <v>5</v>
      </c>
      <c r="X65">
        <f>Scalability!C53</f>
        <v>4.5</v>
      </c>
      <c r="Y65">
        <v>3</v>
      </c>
      <c r="Z65" s="113">
        <f>Footprint!C53</f>
        <v>4.5836516424751723</v>
      </c>
      <c r="AA65" s="159">
        <v>5.5555555555555554</v>
      </c>
      <c r="AB65">
        <v>3</v>
      </c>
      <c r="AC65">
        <f>'Geopolitical Barriers'!C53</f>
        <v>3.4459999999999997</v>
      </c>
      <c r="AD65">
        <f>'Economic Lifetime'!F53</f>
        <v>7.5</v>
      </c>
      <c r="AE65" s="98">
        <v>9</v>
      </c>
      <c r="AF65">
        <v>3</v>
      </c>
    </row>
  </sheetData>
  <autoFilter ref="A2:AF64" xr:uid="{9C9F640B-5EF1-49D4-AF1E-498E5DBF4C83}">
    <sortState xmlns:xlrd2="http://schemas.microsoft.com/office/spreadsheetml/2017/richdata2" ref="A3:AF65">
      <sortCondition ref="A2:A64"/>
    </sortState>
  </autoFilter>
  <dataValidations disablePrompts="1" count="1">
    <dataValidation allowBlank="1" showInputMessage="1" showErrorMessage="1" sqref="B3:B65" xr:uid="{51D888AB-8CD7-42F5-B7F4-A0395698D900}"/>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A2EED8-B103-4DE7-9C2D-D7ADE789A7BC}">
  <dimension ref="A1:AJ157"/>
  <sheetViews>
    <sheetView zoomScale="58" zoomScaleNormal="70" workbookViewId="0">
      <selection activeCell="Y36" sqref="Y36"/>
    </sheetView>
  </sheetViews>
  <sheetFormatPr baseColWidth="10" defaultColWidth="11.44140625" defaultRowHeight="14.4" x14ac:dyDescent="0.3"/>
  <cols>
    <col min="1" max="1" width="29.88671875" bestFit="1" customWidth="1"/>
    <col min="2" max="2" width="23.6640625" bestFit="1" customWidth="1"/>
    <col min="5" max="5" width="26" hidden="1" customWidth="1"/>
    <col min="6" max="6" width="30.44140625" bestFit="1" customWidth="1"/>
    <col min="7" max="7" width="7.6640625" bestFit="1" customWidth="1"/>
    <col min="8" max="8" width="5.33203125" customWidth="1"/>
    <col min="9" max="9" width="7.6640625" customWidth="1"/>
    <col min="10" max="10" width="6.5546875" customWidth="1"/>
    <col min="11" max="11" width="16.44140625" bestFit="1" customWidth="1"/>
    <col min="12" max="26" width="3.88671875" bestFit="1" customWidth="1"/>
    <col min="27" max="27" width="4.6640625" bestFit="1" customWidth="1"/>
    <col min="28" max="28" width="7.5546875" bestFit="1" customWidth="1"/>
    <col min="30" max="30" width="4.5546875" bestFit="1" customWidth="1"/>
    <col min="31" max="31" width="7.6640625" bestFit="1" customWidth="1"/>
    <col min="32" max="33" width="8.6640625" bestFit="1" customWidth="1"/>
    <col min="34" max="34" width="3.88671875" bestFit="1" customWidth="1"/>
  </cols>
  <sheetData>
    <row r="1" spans="1:27" x14ac:dyDescent="0.3">
      <c r="A1" s="128" t="str">
        <f>'SMR (Main)'!A1</f>
        <v>Project Name</v>
      </c>
      <c r="B1" s="128" t="str">
        <f>'SMR (Main)'!E1</f>
        <v>Country</v>
      </c>
      <c r="C1" s="128" t="s">
        <v>319</v>
      </c>
      <c r="E1" s="129"/>
    </row>
    <row r="2" spans="1:27" x14ac:dyDescent="0.3">
      <c r="A2" s="128" t="str">
        <f>'SMR (Main)'!A2</f>
        <v>Units</v>
      </c>
      <c r="B2" s="128">
        <f>'SMR (Main)'!E2</f>
        <v>0</v>
      </c>
      <c r="C2" s="128" t="s">
        <v>46</v>
      </c>
      <c r="E2" s="129"/>
      <c r="L2" s="206" t="s">
        <v>320</v>
      </c>
      <c r="M2" s="206"/>
      <c r="N2" s="206"/>
      <c r="O2" s="206"/>
      <c r="P2" s="206" t="s">
        <v>321</v>
      </c>
      <c r="Q2" s="206"/>
      <c r="R2" s="206"/>
      <c r="S2" s="206" t="s">
        <v>322</v>
      </c>
      <c r="T2" s="205"/>
      <c r="U2" s="205"/>
      <c r="V2" s="206" t="s">
        <v>323</v>
      </c>
      <c r="W2" s="205"/>
      <c r="X2" s="205"/>
      <c r="Y2" s="206" t="s">
        <v>324</v>
      </c>
      <c r="Z2" s="205"/>
      <c r="AA2" s="205"/>
    </row>
    <row r="3" spans="1:27" ht="14.4" customHeight="1" x14ac:dyDescent="0.3">
      <c r="A3" t="str">
        <f>'SMR (Main)'!A65</f>
        <v>Xe-100</v>
      </c>
      <c r="B3" t="str">
        <f>'SMR (Main)'!E65</f>
        <v>USA</v>
      </c>
      <c r="C3">
        <f>VLOOKUP(B3, $F$7:$G$26, 2, FALSE)</f>
        <v>6.6229999999999993</v>
      </c>
      <c r="L3" s="206"/>
      <c r="M3" s="206"/>
      <c r="N3" s="206"/>
      <c r="O3" s="206"/>
      <c r="P3" s="206"/>
      <c r="Q3" s="206"/>
      <c r="R3" s="206"/>
      <c r="S3" s="205"/>
      <c r="T3" s="205"/>
      <c r="U3" s="205"/>
      <c r="V3" s="205"/>
      <c r="W3" s="205"/>
      <c r="X3" s="205"/>
      <c r="Y3" s="205"/>
      <c r="Z3" s="205"/>
      <c r="AA3" s="205"/>
    </row>
    <row r="4" spans="1:27" x14ac:dyDescent="0.3">
      <c r="A4" t="str">
        <f>'SMR (Main)'!A3</f>
        <v xml:space="preserve">4S </v>
      </c>
      <c r="B4" t="str">
        <f>'SMR (Main)'!E3</f>
        <v>Japan</v>
      </c>
      <c r="C4">
        <f>VLOOKUP(B4, $F$7:$G$26, 2, FALSE)</f>
        <v>7.6970000000000001</v>
      </c>
      <c r="L4" s="206"/>
      <c r="M4" s="206"/>
      <c r="N4" s="206"/>
      <c r="O4" s="206"/>
      <c r="P4" s="206"/>
      <c r="Q4" s="206"/>
      <c r="R4" s="206"/>
      <c r="S4" s="205"/>
      <c r="T4" s="205"/>
      <c r="U4" s="205"/>
      <c r="V4" s="205"/>
      <c r="W4" s="205"/>
      <c r="X4" s="205"/>
      <c r="Y4" s="205"/>
      <c r="Z4" s="205"/>
      <c r="AA4" s="205"/>
    </row>
    <row r="5" spans="1:27" ht="14.4" customHeight="1" x14ac:dyDescent="0.3">
      <c r="A5" t="str">
        <f>'SMR (Main)'!A4</f>
        <v>ACP100</v>
      </c>
      <c r="B5" t="str">
        <f>'SMR (Main)'!E4</f>
        <v>China</v>
      </c>
      <c r="C5">
        <f t="shared" ref="C5:C65" si="0">VLOOKUP(B5, $F$7:$G$26, 2, FALSE)</f>
        <v>3.4459999999999997</v>
      </c>
      <c r="I5" s="205" t="s">
        <v>325</v>
      </c>
      <c r="J5" s="205"/>
      <c r="K5" s="206" t="s">
        <v>326</v>
      </c>
      <c r="L5" s="206"/>
      <c r="M5" s="206"/>
      <c r="N5" s="206"/>
      <c r="O5" s="206"/>
      <c r="P5" s="206"/>
      <c r="Q5" s="206"/>
      <c r="R5" s="206"/>
      <c r="S5" s="205"/>
      <c r="T5" s="205"/>
      <c r="U5" s="205"/>
      <c r="V5" s="205"/>
      <c r="W5" s="205"/>
      <c r="X5" s="205"/>
      <c r="Y5" s="205"/>
      <c r="Z5" s="205"/>
      <c r="AA5" s="205"/>
    </row>
    <row r="6" spans="1:27" x14ac:dyDescent="0.3">
      <c r="A6" t="str">
        <f>'SMR (Main)'!A5</f>
        <v>AHTR-100</v>
      </c>
      <c r="B6" t="str">
        <f>'SMR (Main)'!E5</f>
        <v>South Africa</v>
      </c>
      <c r="C6">
        <f t="shared" si="0"/>
        <v>1.9360000000000004</v>
      </c>
      <c r="G6" t="s">
        <v>327</v>
      </c>
      <c r="I6" t="s">
        <v>328</v>
      </c>
      <c r="J6" t="s">
        <v>329</v>
      </c>
      <c r="K6" s="205"/>
      <c r="L6" s="206"/>
      <c r="M6" s="206"/>
      <c r="N6" s="206"/>
      <c r="O6" s="206"/>
      <c r="P6" s="206"/>
      <c r="Q6" s="206"/>
      <c r="R6" s="206"/>
      <c r="S6" s="205"/>
      <c r="T6" s="205"/>
      <c r="U6" s="205"/>
      <c r="V6" s="205"/>
      <c r="W6" s="205"/>
      <c r="X6" s="205"/>
      <c r="Y6" s="205"/>
      <c r="Z6" s="205"/>
      <c r="AA6" s="205"/>
    </row>
    <row r="7" spans="1:27" x14ac:dyDescent="0.3">
      <c r="A7" t="str">
        <f>'SMR (Main)'!A6</f>
        <v xml:space="preserve">ARC-100 </v>
      </c>
      <c r="B7" t="str">
        <f>'SMR (Main)'!E6</f>
        <v>Canada</v>
      </c>
      <c r="C7">
        <f t="shared" si="0"/>
        <v>8.44</v>
      </c>
      <c r="E7" t="str" cm="1">
        <f t="array" ref="E7:E26">_xlfn.UNIQUE(B3:B65)</f>
        <v>USA</v>
      </c>
      <c r="F7" t="s">
        <v>60</v>
      </c>
      <c r="G7">
        <f t="shared" ref="G7:G26" si="1">2+L7+P7+K7-I7-J7-S7+V7+Y7</f>
        <v>3.4459999999999997</v>
      </c>
      <c r="I7">
        <v>1</v>
      </c>
      <c r="J7">
        <v>1</v>
      </c>
      <c r="K7">
        <v>1</v>
      </c>
      <c r="L7" s="205">
        <f>AC53</f>
        <v>3</v>
      </c>
      <c r="M7" s="205"/>
      <c r="N7" s="205"/>
      <c r="O7" s="205"/>
      <c r="P7" s="205">
        <v>-0.44</v>
      </c>
      <c r="Q7" s="205"/>
      <c r="R7" s="205"/>
      <c r="S7" s="205">
        <v>2.1139999999999999</v>
      </c>
      <c r="T7" s="205"/>
      <c r="U7" s="205"/>
      <c r="V7" s="205">
        <v>1</v>
      </c>
      <c r="W7" s="205"/>
      <c r="X7" s="205"/>
      <c r="Y7" s="205">
        <v>1</v>
      </c>
      <c r="Z7" s="205"/>
      <c r="AA7" s="205"/>
    </row>
    <row r="8" spans="1:27" x14ac:dyDescent="0.3">
      <c r="A8" t="str">
        <f>'SMR (Main)'!A7</f>
        <v xml:space="preserve">BREST-OD-300 </v>
      </c>
      <c r="B8" t="str">
        <f>'SMR (Main)'!E7</f>
        <v>Russia</v>
      </c>
      <c r="C8">
        <f t="shared" si="0"/>
        <v>8.7000000000000188E-2</v>
      </c>
      <c r="E8" t="str">
        <v>Japan</v>
      </c>
      <c r="F8" t="s">
        <v>102</v>
      </c>
      <c r="G8">
        <f t="shared" si="1"/>
        <v>2.9550000000000001</v>
      </c>
      <c r="I8">
        <v>0</v>
      </c>
      <c r="J8">
        <v>0</v>
      </c>
      <c r="K8">
        <v>0</v>
      </c>
      <c r="L8" s="205">
        <f t="shared" ref="L8:L26" si="2">AC54</f>
        <v>3</v>
      </c>
      <c r="M8" s="205"/>
      <c r="N8" s="205"/>
      <c r="O8" s="205"/>
      <c r="P8" s="205">
        <v>-0.1</v>
      </c>
      <c r="Q8" s="205"/>
      <c r="R8" s="205"/>
      <c r="S8" s="205">
        <v>1.9450000000000001</v>
      </c>
      <c r="T8" s="205"/>
      <c r="U8" s="205"/>
      <c r="V8" s="205">
        <v>0</v>
      </c>
      <c r="W8" s="205"/>
      <c r="X8" s="205"/>
      <c r="Y8" s="205">
        <v>0</v>
      </c>
      <c r="Z8" s="205"/>
      <c r="AA8" s="205"/>
    </row>
    <row r="9" spans="1:27" x14ac:dyDescent="0.3">
      <c r="A9" t="str">
        <f>'SMR (Main)'!A8</f>
        <v>BWRX-300</v>
      </c>
      <c r="B9" t="str">
        <f>'SMR (Main)'!E8</f>
        <v>USA &amp; Japan</v>
      </c>
      <c r="C9">
        <f t="shared" si="0"/>
        <v>7.8260000000000005</v>
      </c>
      <c r="E9" t="str">
        <v>China</v>
      </c>
      <c r="F9" t="s">
        <v>124</v>
      </c>
      <c r="G9">
        <f t="shared" si="1"/>
        <v>6.6229999999999993</v>
      </c>
      <c r="I9">
        <v>0</v>
      </c>
      <c r="J9">
        <v>0</v>
      </c>
      <c r="K9">
        <v>1</v>
      </c>
      <c r="L9" s="205">
        <f t="shared" si="2"/>
        <v>4</v>
      </c>
      <c r="M9" s="205"/>
      <c r="N9" s="205"/>
      <c r="O9" s="205"/>
      <c r="P9" s="205">
        <v>-0.04</v>
      </c>
      <c r="Q9" s="205"/>
      <c r="R9" s="205"/>
      <c r="S9" s="205">
        <v>2.3370000000000002</v>
      </c>
      <c r="T9" s="205"/>
      <c r="U9" s="205"/>
      <c r="V9" s="205">
        <v>2</v>
      </c>
      <c r="W9" s="205"/>
      <c r="X9" s="205"/>
      <c r="Y9" s="205">
        <v>0</v>
      </c>
      <c r="Z9" s="205"/>
      <c r="AA9" s="205"/>
    </row>
    <row r="10" spans="1:27" x14ac:dyDescent="0.3">
      <c r="A10" t="str">
        <f>'SMR (Main)'!A9</f>
        <v>CANDU SMR</v>
      </c>
      <c r="B10" t="str">
        <f>'SMR (Main)'!E9</f>
        <v>Canada</v>
      </c>
      <c r="C10">
        <f t="shared" si="0"/>
        <v>8.44</v>
      </c>
      <c r="E10" t="str">
        <v>South Africa</v>
      </c>
      <c r="F10" t="s">
        <v>79</v>
      </c>
      <c r="G10">
        <f t="shared" si="1"/>
        <v>8.7000000000000188E-2</v>
      </c>
      <c r="I10">
        <v>1</v>
      </c>
      <c r="J10">
        <v>1</v>
      </c>
      <c r="K10">
        <v>1</v>
      </c>
      <c r="L10" s="205">
        <f t="shared" si="2"/>
        <v>3</v>
      </c>
      <c r="M10" s="205"/>
      <c r="N10" s="205"/>
      <c r="O10" s="205"/>
      <c r="P10" s="205">
        <v>-0.92</v>
      </c>
      <c r="Q10" s="205"/>
      <c r="R10" s="205"/>
      <c r="S10" s="205">
        <v>2.9929999999999999</v>
      </c>
      <c r="T10" s="205"/>
      <c r="U10" s="205"/>
      <c r="V10" s="205">
        <v>0</v>
      </c>
      <c r="W10" s="205"/>
      <c r="X10" s="205"/>
      <c r="Y10" s="205">
        <v>0</v>
      </c>
      <c r="Z10" s="205"/>
      <c r="AA10" s="205"/>
    </row>
    <row r="11" spans="1:27" x14ac:dyDescent="0.3">
      <c r="A11" t="str">
        <f>'SMR (Main)'!A10</f>
        <v>CAP200</v>
      </c>
      <c r="B11" t="str">
        <f>'SMR (Main)'!E10</f>
        <v>China</v>
      </c>
      <c r="C11">
        <f t="shared" si="0"/>
        <v>3.4459999999999997</v>
      </c>
      <c r="E11" t="str">
        <v>Canada</v>
      </c>
      <c r="F11" t="s">
        <v>86</v>
      </c>
      <c r="G11">
        <f t="shared" si="1"/>
        <v>7.8260000000000005</v>
      </c>
      <c r="I11">
        <v>0</v>
      </c>
      <c r="J11">
        <v>0</v>
      </c>
      <c r="K11">
        <v>1</v>
      </c>
      <c r="L11" s="205">
        <f t="shared" si="2"/>
        <v>3</v>
      </c>
      <c r="M11" s="205"/>
      <c r="N11" s="205"/>
      <c r="O11" s="205"/>
      <c r="P11" s="205">
        <f>AVERAGE(P8,P14)</f>
        <v>0.48500000000000004</v>
      </c>
      <c r="Q11" s="205"/>
      <c r="R11" s="205"/>
      <c r="S11" s="205">
        <f>AVERAGE(S8,S14)</f>
        <v>1.659</v>
      </c>
      <c r="T11" s="205"/>
      <c r="U11" s="205"/>
      <c r="V11" s="205">
        <v>2</v>
      </c>
      <c r="W11" s="205"/>
      <c r="X11" s="205"/>
      <c r="Y11" s="205">
        <v>1</v>
      </c>
      <c r="Z11" s="205"/>
      <c r="AA11" s="205"/>
    </row>
    <row r="12" spans="1:27" x14ac:dyDescent="0.3">
      <c r="A12" t="str">
        <f>'SMR (Main)'!A11</f>
        <v>CAREM</v>
      </c>
      <c r="B12" t="str">
        <f>'SMR (Main)'!E11</f>
        <v>Argentina</v>
      </c>
      <c r="C12">
        <f t="shared" si="0"/>
        <v>2.9550000000000001</v>
      </c>
      <c r="E12" t="str">
        <v>Russia</v>
      </c>
      <c r="F12" t="s">
        <v>238</v>
      </c>
      <c r="G12">
        <f t="shared" si="1"/>
        <v>4.8420000000000005</v>
      </c>
      <c r="I12">
        <v>0</v>
      </c>
      <c r="J12">
        <v>0</v>
      </c>
      <c r="K12">
        <v>0</v>
      </c>
      <c r="L12" s="205">
        <f t="shared" si="2"/>
        <v>2</v>
      </c>
      <c r="M12" s="205"/>
      <c r="N12" s="205"/>
      <c r="O12" s="205"/>
      <c r="P12" s="205">
        <v>0.5</v>
      </c>
      <c r="Q12" s="205"/>
      <c r="R12" s="205"/>
      <c r="S12" s="205">
        <v>1.6579999999999999</v>
      </c>
      <c r="T12" s="205"/>
      <c r="U12" s="205"/>
      <c r="V12" s="205">
        <v>2</v>
      </c>
      <c r="W12" s="205"/>
      <c r="X12" s="205"/>
      <c r="Y12" s="205">
        <v>0</v>
      </c>
      <c r="Z12" s="205"/>
      <c r="AA12" s="205"/>
    </row>
    <row r="13" spans="1:27" x14ac:dyDescent="0.3">
      <c r="A13" t="str">
        <f>'SMR (Main)'!A12</f>
        <v xml:space="preserve">CMSR </v>
      </c>
      <c r="B13" t="str">
        <f>'SMR (Main)'!E12</f>
        <v>Denmark</v>
      </c>
      <c r="C13">
        <f t="shared" si="0"/>
        <v>4.6139999999999999</v>
      </c>
      <c r="E13" t="str">
        <v>USA &amp; Japan</v>
      </c>
      <c r="F13" s="46" t="s">
        <v>254</v>
      </c>
      <c r="G13">
        <f t="shared" si="1"/>
        <v>5.9935</v>
      </c>
      <c r="I13">
        <v>1</v>
      </c>
      <c r="J13">
        <v>0</v>
      </c>
      <c r="K13">
        <v>1</v>
      </c>
      <c r="L13" s="205">
        <f t="shared" si="2"/>
        <v>3</v>
      </c>
      <c r="M13" s="205"/>
      <c r="N13" s="205"/>
      <c r="O13" s="205"/>
      <c r="P13" s="205">
        <v>0.12</v>
      </c>
      <c r="Q13" s="205"/>
      <c r="R13" s="205"/>
      <c r="S13" s="205">
        <f>AVERAGE(2.376,S18)</f>
        <v>2.1265000000000001</v>
      </c>
      <c r="T13" s="205"/>
      <c r="U13" s="205"/>
      <c r="V13" s="205">
        <v>2</v>
      </c>
      <c r="W13" s="205"/>
      <c r="X13" s="205"/>
      <c r="Y13" s="205">
        <v>1</v>
      </c>
      <c r="Z13" s="205"/>
      <c r="AA13" s="205"/>
    </row>
    <row r="14" spans="1:27" x14ac:dyDescent="0.3">
      <c r="A14" t="str">
        <f>'SMR (Main)'!A13</f>
        <v xml:space="preserve">Copenhagen Atomics Waste Burner </v>
      </c>
      <c r="B14" t="str">
        <f>'SMR (Main)'!E13</f>
        <v>Denmark</v>
      </c>
      <c r="C14">
        <f t="shared" si="0"/>
        <v>4.6139999999999999</v>
      </c>
      <c r="E14" t="str">
        <v>Argentina</v>
      </c>
      <c r="F14" t="s">
        <v>51</v>
      </c>
      <c r="G14">
        <f t="shared" si="1"/>
        <v>7.6970000000000001</v>
      </c>
      <c r="I14">
        <v>0</v>
      </c>
      <c r="J14">
        <v>0</v>
      </c>
      <c r="K14">
        <v>0</v>
      </c>
      <c r="L14" s="205">
        <f t="shared" si="2"/>
        <v>3</v>
      </c>
      <c r="M14" s="205"/>
      <c r="N14" s="205"/>
      <c r="O14" s="205"/>
      <c r="P14" s="205">
        <v>1.07</v>
      </c>
      <c r="Q14" s="205"/>
      <c r="R14" s="205"/>
      <c r="S14" s="205">
        <v>1.373</v>
      </c>
      <c r="T14" s="205"/>
      <c r="U14" s="205"/>
      <c r="V14" s="205">
        <v>2</v>
      </c>
      <c r="W14" s="205"/>
      <c r="X14" s="205"/>
      <c r="Y14" s="205">
        <v>1</v>
      </c>
      <c r="Z14" s="205"/>
      <c r="AA14" s="205"/>
    </row>
    <row r="15" spans="1:27" x14ac:dyDescent="0.3">
      <c r="A15" t="str">
        <f>'SMR (Main)'!A14</f>
        <v>DHR400</v>
      </c>
      <c r="B15" t="str">
        <f>'SMR (Main)'!E14</f>
        <v>China</v>
      </c>
      <c r="C15">
        <f t="shared" si="0"/>
        <v>3.4459999999999997</v>
      </c>
      <c r="E15" t="str">
        <v>Denmark</v>
      </c>
      <c r="F15" s="46" t="s">
        <v>290</v>
      </c>
      <c r="G15">
        <f t="shared" si="1"/>
        <v>6.4910000000000005</v>
      </c>
      <c r="I15">
        <v>0</v>
      </c>
      <c r="J15">
        <v>0</v>
      </c>
      <c r="K15">
        <v>1</v>
      </c>
      <c r="L15" s="205">
        <f t="shared" si="2"/>
        <v>2</v>
      </c>
      <c r="M15" s="205"/>
      <c r="N15" s="205"/>
      <c r="O15" s="205"/>
      <c r="P15" s="205">
        <v>0.82</v>
      </c>
      <c r="Q15" s="205"/>
      <c r="R15" s="205"/>
      <c r="S15" s="205">
        <v>1.329</v>
      </c>
      <c r="T15" s="205"/>
      <c r="U15" s="205"/>
      <c r="V15" s="205">
        <v>2</v>
      </c>
      <c r="W15" s="205"/>
      <c r="X15" s="205"/>
      <c r="Y15" s="205">
        <v>0</v>
      </c>
      <c r="Z15" s="205"/>
      <c r="AA15" s="205"/>
    </row>
    <row r="16" spans="1:27" x14ac:dyDescent="0.3">
      <c r="A16" t="str">
        <f>'SMR (Main)'!A15</f>
        <v>EM^2</v>
      </c>
      <c r="B16" t="str">
        <f>'SMR (Main)'!E15</f>
        <v>USA</v>
      </c>
      <c r="C16">
        <f t="shared" si="0"/>
        <v>6.6229999999999993</v>
      </c>
      <c r="E16" t="str">
        <v>Rep. of Korea</v>
      </c>
      <c r="F16" t="s">
        <v>172</v>
      </c>
      <c r="G16">
        <f t="shared" si="1"/>
        <v>8.4619999999999997</v>
      </c>
      <c r="I16">
        <v>0</v>
      </c>
      <c r="J16">
        <v>0</v>
      </c>
      <c r="K16">
        <v>1</v>
      </c>
      <c r="L16" s="205">
        <f t="shared" si="2"/>
        <v>5</v>
      </c>
      <c r="M16" s="205"/>
      <c r="N16" s="205"/>
      <c r="O16" s="205"/>
      <c r="P16" s="205">
        <v>0.33</v>
      </c>
      <c r="Q16" s="205"/>
      <c r="R16" s="205"/>
      <c r="S16" s="205">
        <v>1.8680000000000001</v>
      </c>
      <c r="T16" s="205"/>
      <c r="U16" s="205"/>
      <c r="V16" s="205">
        <v>2</v>
      </c>
      <c r="W16" s="205"/>
      <c r="X16" s="205"/>
      <c r="Y16" s="205">
        <v>0</v>
      </c>
      <c r="Z16" s="205"/>
      <c r="AA16" s="205"/>
    </row>
    <row r="17" spans="1:27" x14ac:dyDescent="0.3">
      <c r="A17" t="str">
        <f>'SMR (Main)'!A16</f>
        <v>FMR</v>
      </c>
      <c r="B17" t="str">
        <f>'SMR (Main)'!E16</f>
        <v>USA</v>
      </c>
      <c r="C17">
        <f t="shared" si="0"/>
        <v>6.6229999999999993</v>
      </c>
      <c r="E17" t="str">
        <v>France</v>
      </c>
      <c r="F17" s="46" t="s">
        <v>74</v>
      </c>
      <c r="G17">
        <f t="shared" si="1"/>
        <v>8.44</v>
      </c>
      <c r="I17">
        <v>0</v>
      </c>
      <c r="J17">
        <v>0</v>
      </c>
      <c r="K17">
        <v>1</v>
      </c>
      <c r="L17" s="205">
        <f t="shared" si="2"/>
        <v>4</v>
      </c>
      <c r="M17" s="205"/>
      <c r="N17" s="205"/>
      <c r="O17" s="205"/>
      <c r="P17" s="205">
        <v>0.77</v>
      </c>
      <c r="Q17" s="205"/>
      <c r="R17" s="205"/>
      <c r="S17" s="205">
        <v>1.33</v>
      </c>
      <c r="T17" s="205"/>
      <c r="U17" s="205"/>
      <c r="V17" s="205">
        <v>2</v>
      </c>
      <c r="W17" s="205"/>
      <c r="X17" s="205"/>
      <c r="Y17" s="205">
        <v>0</v>
      </c>
      <c r="Z17" s="205"/>
      <c r="AA17" s="205"/>
    </row>
    <row r="18" spans="1:27" x14ac:dyDescent="0.3">
      <c r="A18" t="str">
        <f>'SMR (Main)'!A17</f>
        <v xml:space="preserve">FUJI </v>
      </c>
      <c r="B18" t="str">
        <f>'SMR (Main)'!E17</f>
        <v>Japan</v>
      </c>
      <c r="C18">
        <f t="shared" si="0"/>
        <v>7.6970000000000001</v>
      </c>
      <c r="E18" t="str">
        <v>Italy</v>
      </c>
      <c r="F18" t="s">
        <v>330</v>
      </c>
      <c r="G18">
        <f t="shared" si="1"/>
        <v>8.6829999999999998</v>
      </c>
      <c r="I18">
        <v>0</v>
      </c>
      <c r="J18">
        <v>0</v>
      </c>
      <c r="K18">
        <v>1</v>
      </c>
      <c r="L18" s="205">
        <f t="shared" si="2"/>
        <v>4</v>
      </c>
      <c r="M18" s="205"/>
      <c r="N18" s="205"/>
      <c r="O18" s="205"/>
      <c r="P18" s="205">
        <v>0.56000000000000005</v>
      </c>
      <c r="Q18" s="205"/>
      <c r="R18" s="205"/>
      <c r="S18" s="205">
        <v>1.877</v>
      </c>
      <c r="T18" s="205"/>
      <c r="U18" s="205"/>
      <c r="V18" s="205">
        <v>2</v>
      </c>
      <c r="W18" s="205"/>
      <c r="X18" s="205"/>
      <c r="Y18" s="205">
        <v>1</v>
      </c>
      <c r="Z18" s="205"/>
      <c r="AA18" s="205"/>
    </row>
    <row r="19" spans="1:27" x14ac:dyDescent="0.3">
      <c r="A19" t="str">
        <f>'SMR (Main)'!A18</f>
        <v>GTHTR300</v>
      </c>
      <c r="B19" t="str">
        <f>'SMR (Main)'!E18</f>
        <v>Japan</v>
      </c>
      <c r="C19">
        <f t="shared" si="0"/>
        <v>7.6970000000000001</v>
      </c>
      <c r="E19" t="str">
        <v>Indonesia</v>
      </c>
      <c r="F19" s="46" t="s">
        <v>277</v>
      </c>
      <c r="G19">
        <f t="shared" si="1"/>
        <v>4.8369999999999997</v>
      </c>
      <c r="I19">
        <v>0</v>
      </c>
      <c r="J19">
        <v>0</v>
      </c>
      <c r="K19">
        <v>0</v>
      </c>
      <c r="L19" s="205">
        <f t="shared" si="2"/>
        <v>1</v>
      </c>
      <c r="M19" s="205"/>
      <c r="N19" s="205"/>
      <c r="O19" s="205"/>
      <c r="P19" s="205">
        <v>1.1599999999999999</v>
      </c>
      <c r="Q19" s="205"/>
      <c r="R19" s="205"/>
      <c r="S19" s="205">
        <v>1.323</v>
      </c>
      <c r="T19" s="205"/>
      <c r="U19" s="205"/>
      <c r="V19" s="205">
        <v>2</v>
      </c>
      <c r="W19" s="205"/>
      <c r="X19" s="205"/>
      <c r="Y19" s="205">
        <v>0</v>
      </c>
      <c r="Z19" s="205"/>
      <c r="AA19" s="205"/>
    </row>
    <row r="20" spans="1:27" x14ac:dyDescent="0.3">
      <c r="A20" t="str">
        <f>'SMR (Main)'!A19</f>
        <v>GT-MHR</v>
      </c>
      <c r="B20" t="str">
        <f>'SMR (Main)'!E19</f>
        <v>Russia</v>
      </c>
      <c r="C20">
        <f t="shared" si="0"/>
        <v>8.7000000000000188E-2</v>
      </c>
      <c r="E20" t="str">
        <v>UK</v>
      </c>
      <c r="F20" t="s">
        <v>299</v>
      </c>
      <c r="G20">
        <f t="shared" si="1"/>
        <v>4.2139999999999995</v>
      </c>
      <c r="I20">
        <v>0</v>
      </c>
      <c r="J20">
        <v>0</v>
      </c>
      <c r="K20">
        <v>0</v>
      </c>
      <c r="L20" s="205">
        <f t="shared" si="2"/>
        <v>1</v>
      </c>
      <c r="M20" s="205"/>
      <c r="N20" s="205"/>
      <c r="O20" s="205"/>
      <c r="P20" s="205">
        <v>0.72</v>
      </c>
      <c r="Q20" s="205"/>
      <c r="R20" s="205"/>
      <c r="S20" s="205">
        <v>1.506</v>
      </c>
      <c r="T20" s="205"/>
      <c r="U20" s="205"/>
      <c r="V20" s="205">
        <v>2</v>
      </c>
      <c r="W20" s="205"/>
      <c r="X20" s="205"/>
      <c r="Y20" s="205">
        <v>0</v>
      </c>
      <c r="Z20" s="205"/>
      <c r="AA20" s="205"/>
    </row>
    <row r="21" spans="1:27" x14ac:dyDescent="0.3">
      <c r="A21" t="str">
        <f>'SMR (Main)'!A20</f>
        <v>HAPPY200</v>
      </c>
      <c r="B21" t="str">
        <f>'SMR (Main)'!E20</f>
        <v>China</v>
      </c>
      <c r="C21">
        <f t="shared" si="0"/>
        <v>3.4459999999999997</v>
      </c>
      <c r="E21" t="str">
        <v>Sweden</v>
      </c>
      <c r="F21" t="s">
        <v>294</v>
      </c>
      <c r="G21">
        <f t="shared" si="1"/>
        <v>5.6999999999999993</v>
      </c>
      <c r="I21">
        <v>1</v>
      </c>
      <c r="J21">
        <v>0</v>
      </c>
      <c r="K21">
        <v>1</v>
      </c>
      <c r="L21" s="205">
        <f t="shared" si="2"/>
        <v>3</v>
      </c>
      <c r="M21" s="205"/>
      <c r="N21" s="205"/>
      <c r="O21" s="205"/>
      <c r="P21" s="205">
        <f>AVERAGE(P9,P26)</f>
        <v>-0.24</v>
      </c>
      <c r="Q21" s="205"/>
      <c r="R21" s="205"/>
      <c r="S21" s="205">
        <f>AVERAGE(S9,S26)</f>
        <v>2.06</v>
      </c>
      <c r="T21" s="205"/>
      <c r="U21" s="205"/>
      <c r="V21" s="205">
        <v>2</v>
      </c>
      <c r="W21" s="205"/>
      <c r="X21" s="205"/>
      <c r="Y21" s="205">
        <v>1</v>
      </c>
      <c r="Z21" s="205"/>
      <c r="AA21" s="205"/>
    </row>
    <row r="22" spans="1:27" x14ac:dyDescent="0.3">
      <c r="A22" t="str">
        <f>'SMR (Main)'!A21</f>
        <v>HTMR100</v>
      </c>
      <c r="B22" t="str">
        <f>'SMR (Main)'!E21</f>
        <v>South Africa</v>
      </c>
      <c r="C22">
        <f t="shared" si="0"/>
        <v>1.9360000000000004</v>
      </c>
      <c r="E22" t="str">
        <v>Rep. of Korea &amp; Saudi Arabia</v>
      </c>
      <c r="F22" t="s">
        <v>68</v>
      </c>
      <c r="G22">
        <f t="shared" si="1"/>
        <v>1.9360000000000004</v>
      </c>
      <c r="I22">
        <v>0</v>
      </c>
      <c r="J22">
        <v>0</v>
      </c>
      <c r="K22">
        <v>0</v>
      </c>
      <c r="L22" s="205">
        <f t="shared" si="2"/>
        <v>2</v>
      </c>
      <c r="M22" s="205"/>
      <c r="N22" s="205"/>
      <c r="O22" s="205"/>
      <c r="P22" s="205">
        <v>-0.72</v>
      </c>
      <c r="Q22" s="205"/>
      <c r="R22" s="205"/>
      <c r="S22" s="205">
        <v>2.3439999999999999</v>
      </c>
      <c r="T22" s="205"/>
      <c r="U22" s="205"/>
      <c r="V22" s="205">
        <v>1</v>
      </c>
      <c r="W22" s="205"/>
      <c r="X22" s="205"/>
      <c r="Y22" s="205">
        <v>0</v>
      </c>
      <c r="Z22" s="205"/>
      <c r="AA22" s="205"/>
    </row>
    <row r="23" spans="1:27" x14ac:dyDescent="0.3">
      <c r="A23" t="str">
        <f>'SMR (Main)'!A22</f>
        <v>HTR-10</v>
      </c>
      <c r="B23" t="str">
        <f>'SMR (Main)'!E22</f>
        <v>China</v>
      </c>
      <c r="C23">
        <f t="shared" si="0"/>
        <v>3.4459999999999997</v>
      </c>
      <c r="E23" t="str">
        <v>Switzerland</v>
      </c>
      <c r="F23" t="s">
        <v>186</v>
      </c>
      <c r="G23">
        <f t="shared" si="1"/>
        <v>4.758</v>
      </c>
      <c r="I23">
        <v>0</v>
      </c>
      <c r="J23">
        <v>0</v>
      </c>
      <c r="K23">
        <v>0</v>
      </c>
      <c r="L23" s="205">
        <f t="shared" si="2"/>
        <v>2</v>
      </c>
      <c r="M23" s="205"/>
      <c r="N23" s="205"/>
      <c r="O23" s="205"/>
      <c r="P23" s="205">
        <v>0.41</v>
      </c>
      <c r="Q23" s="205"/>
      <c r="R23" s="205"/>
      <c r="S23" s="205">
        <v>1.6519999999999999</v>
      </c>
      <c r="T23" s="205"/>
      <c r="U23" s="205"/>
      <c r="V23" s="205">
        <v>2</v>
      </c>
      <c r="W23" s="205"/>
      <c r="X23" s="205"/>
      <c r="Y23" s="205">
        <v>0</v>
      </c>
      <c r="Z23" s="205"/>
      <c r="AA23" s="205"/>
    </row>
    <row r="24" spans="1:27" x14ac:dyDescent="0.3">
      <c r="A24" t="str">
        <f>'SMR (Main)'!A23</f>
        <v>HTR-PM</v>
      </c>
      <c r="B24" t="str">
        <f>'SMR (Main)'!E23</f>
        <v>China</v>
      </c>
      <c r="C24">
        <f t="shared" si="0"/>
        <v>3.4459999999999997</v>
      </c>
      <c r="E24" t="str">
        <v>Czech Rep.</v>
      </c>
      <c r="F24" t="s">
        <v>250</v>
      </c>
      <c r="G24">
        <f t="shared" si="1"/>
        <v>4.4399999999999995</v>
      </c>
      <c r="I24">
        <v>0</v>
      </c>
      <c r="J24">
        <v>0</v>
      </c>
      <c r="K24">
        <v>0</v>
      </c>
      <c r="L24" s="205">
        <f t="shared" si="2"/>
        <v>1</v>
      </c>
      <c r="M24" s="205"/>
      <c r="N24" s="205"/>
      <c r="O24" s="205"/>
      <c r="P24" s="205">
        <v>0.9</v>
      </c>
      <c r="Q24" s="205"/>
      <c r="R24" s="205"/>
      <c r="S24" s="205">
        <v>1.46</v>
      </c>
      <c r="T24" s="205"/>
      <c r="U24" s="205"/>
      <c r="V24" s="205">
        <v>2</v>
      </c>
      <c r="W24" s="205"/>
      <c r="X24" s="205"/>
      <c r="Y24" s="205">
        <v>0</v>
      </c>
      <c r="Z24" s="205"/>
      <c r="AA24" s="205"/>
    </row>
    <row r="25" spans="1:27" x14ac:dyDescent="0.3">
      <c r="A25" t="str">
        <f>'SMR (Main)'!A24</f>
        <v>HTTR</v>
      </c>
      <c r="B25" t="str">
        <f>'SMR (Main)'!E24</f>
        <v>Japan</v>
      </c>
      <c r="C25">
        <f t="shared" si="0"/>
        <v>7.6970000000000001</v>
      </c>
      <c r="E25" t="str">
        <v>USA and Indonesia</v>
      </c>
      <c r="F25" t="s">
        <v>108</v>
      </c>
      <c r="G25">
        <f t="shared" si="1"/>
        <v>4.6139999999999999</v>
      </c>
      <c r="I25">
        <v>0</v>
      </c>
      <c r="J25">
        <v>0</v>
      </c>
      <c r="K25">
        <v>0</v>
      </c>
      <c r="L25" s="205">
        <f t="shared" si="2"/>
        <v>1</v>
      </c>
      <c r="M25" s="205"/>
      <c r="N25" s="205"/>
      <c r="O25" s="205"/>
      <c r="P25" s="205">
        <v>0.87</v>
      </c>
      <c r="Q25" s="205"/>
      <c r="R25" s="205"/>
      <c r="S25" s="205">
        <v>1.256</v>
      </c>
      <c r="T25" s="205"/>
      <c r="U25" s="205"/>
      <c r="V25" s="205">
        <v>2</v>
      </c>
      <c r="W25" s="205"/>
      <c r="X25" s="205"/>
      <c r="Y25" s="205">
        <v>0</v>
      </c>
      <c r="Z25" s="205"/>
      <c r="AA25" s="205"/>
    </row>
    <row r="26" spans="1:27" x14ac:dyDescent="0.3">
      <c r="A26" t="str">
        <f>'SMR (Main)'!A25</f>
        <v>IMR</v>
      </c>
      <c r="B26" t="str">
        <f>'SMR (Main)'!E25</f>
        <v>Japan</v>
      </c>
      <c r="C26">
        <f t="shared" si="0"/>
        <v>7.6970000000000001</v>
      </c>
      <c r="E26" t="str">
        <v>Netherlands</v>
      </c>
      <c r="F26" t="s">
        <v>229</v>
      </c>
      <c r="G26">
        <f t="shared" si="1"/>
        <v>3.7769999999999997</v>
      </c>
      <c r="I26">
        <v>1</v>
      </c>
      <c r="J26">
        <v>0</v>
      </c>
      <c r="K26">
        <v>0</v>
      </c>
      <c r="L26" s="205">
        <f t="shared" si="2"/>
        <v>3</v>
      </c>
      <c r="M26" s="205"/>
      <c r="N26" s="205"/>
      <c r="O26" s="205"/>
      <c r="P26" s="205">
        <v>-0.44</v>
      </c>
      <c r="Q26" s="205"/>
      <c r="R26" s="205"/>
      <c r="S26" s="205">
        <v>1.7829999999999999</v>
      </c>
      <c r="T26" s="205"/>
      <c r="U26" s="205"/>
      <c r="V26" s="205">
        <v>1</v>
      </c>
      <c r="W26" s="205"/>
      <c r="X26" s="205"/>
      <c r="Y26" s="205">
        <v>1</v>
      </c>
      <c r="Z26" s="205"/>
      <c r="AA26" s="205"/>
    </row>
    <row r="27" spans="1:27" x14ac:dyDescent="0.3">
      <c r="A27" t="str">
        <f>'SMR (Main)'!A26</f>
        <v xml:space="preserve">IMSR400 </v>
      </c>
      <c r="B27" t="str">
        <f>'SMR (Main)'!E26</f>
        <v>Canada</v>
      </c>
      <c r="C27">
        <f t="shared" si="0"/>
        <v>8.44</v>
      </c>
    </row>
    <row r="28" spans="1:27" x14ac:dyDescent="0.3">
      <c r="A28" t="str">
        <f>'SMR (Main)'!A27</f>
        <v>i-SMR</v>
      </c>
      <c r="B28" t="str">
        <f>'SMR (Main)'!E27</f>
        <v>Rep. of Korea</v>
      </c>
      <c r="C28">
        <f t="shared" si="0"/>
        <v>8.6829999999999998</v>
      </c>
    </row>
    <row r="29" spans="1:27" x14ac:dyDescent="0.3">
      <c r="A29" t="str">
        <f>'SMR (Main)'!A28</f>
        <v>Jimmy</v>
      </c>
      <c r="B29" t="str">
        <f>'SMR (Main)'!E28</f>
        <v>France</v>
      </c>
      <c r="C29">
        <f t="shared" si="0"/>
        <v>8.4619999999999997</v>
      </c>
    </row>
    <row r="30" spans="1:27" x14ac:dyDescent="0.3">
      <c r="A30" t="str">
        <f>'SMR (Main)'!A29</f>
        <v>KARAT-100</v>
      </c>
      <c r="B30" t="str">
        <f>'SMR (Main)'!E29</f>
        <v>Russia</v>
      </c>
      <c r="C30">
        <f t="shared" si="0"/>
        <v>8.7000000000000188E-2</v>
      </c>
    </row>
    <row r="31" spans="1:27" x14ac:dyDescent="0.3">
      <c r="A31" t="str">
        <f>'SMR (Main)'!A30</f>
        <v>KARAT-45</v>
      </c>
      <c r="B31" t="str">
        <f>'SMR (Main)'!E30</f>
        <v>Russia</v>
      </c>
      <c r="C31">
        <f t="shared" si="0"/>
        <v>8.7000000000000188E-2</v>
      </c>
    </row>
    <row r="32" spans="1:27" x14ac:dyDescent="0.3">
      <c r="A32" t="str">
        <f>'SMR (Main)'!A31</f>
        <v xml:space="preserve">KP-FHR </v>
      </c>
      <c r="B32" t="str">
        <f>'SMR (Main)'!E31</f>
        <v>USA</v>
      </c>
      <c r="C32">
        <f t="shared" si="0"/>
        <v>6.6229999999999993</v>
      </c>
    </row>
    <row r="33" spans="1:28" x14ac:dyDescent="0.3">
      <c r="A33" t="str">
        <f>'SMR (Main)'!A32</f>
        <v xml:space="preserve">LFR-AS-200 </v>
      </c>
      <c r="B33" t="str">
        <f>'SMR (Main)'!E32</f>
        <v>Italy</v>
      </c>
      <c r="C33">
        <f t="shared" si="0"/>
        <v>4.758</v>
      </c>
    </row>
    <row r="34" spans="1:28" x14ac:dyDescent="0.3">
      <c r="A34" t="str">
        <f>'SMR (Main)'!A33</f>
        <v xml:space="preserve">LFTR </v>
      </c>
      <c r="B34" t="str">
        <f>'SMR (Main)'!E33</f>
        <v>USA</v>
      </c>
      <c r="C34">
        <f t="shared" si="0"/>
        <v>6.6229999999999993</v>
      </c>
    </row>
    <row r="35" spans="1:28" x14ac:dyDescent="0.3">
      <c r="A35" t="str">
        <f>'SMR (Main)'!A34</f>
        <v xml:space="preserve">MCSFR </v>
      </c>
      <c r="B35" t="str">
        <f>'SMR (Main)'!E34</f>
        <v>USA</v>
      </c>
      <c r="C35">
        <f t="shared" si="0"/>
        <v>6.6229999999999993</v>
      </c>
      <c r="G35" s="130"/>
      <c r="H35" s="130"/>
      <c r="I35" s="130"/>
      <c r="J35" s="130"/>
      <c r="K35" s="130"/>
      <c r="L35" s="130"/>
      <c r="M35" s="130"/>
      <c r="N35" s="130"/>
      <c r="O35" s="130"/>
      <c r="P35" s="130"/>
      <c r="Q35" s="130"/>
      <c r="R35" s="130"/>
      <c r="S35" s="130"/>
      <c r="T35" s="130"/>
      <c r="U35" s="130"/>
      <c r="V35" s="130"/>
      <c r="W35" s="130"/>
      <c r="X35" s="130"/>
      <c r="Y35" s="130"/>
      <c r="Z35" s="130"/>
    </row>
    <row r="36" spans="1:28" x14ac:dyDescent="0.3">
      <c r="A36" t="str">
        <f>'SMR (Main)'!A35</f>
        <v>MHR-100</v>
      </c>
      <c r="B36" t="str">
        <f>'SMR (Main)'!E35</f>
        <v>Russia</v>
      </c>
      <c r="C36">
        <f t="shared" si="0"/>
        <v>8.7000000000000188E-2</v>
      </c>
      <c r="AB36" s="131"/>
    </row>
    <row r="37" spans="1:28" x14ac:dyDescent="0.3">
      <c r="A37" t="str">
        <f>'SMR (Main)'!A36</f>
        <v>MHR-T</v>
      </c>
      <c r="B37" t="str">
        <f>'SMR (Main)'!E36</f>
        <v>Russia</v>
      </c>
      <c r="C37">
        <f t="shared" si="0"/>
        <v>8.7000000000000188E-2</v>
      </c>
      <c r="AB37" s="131"/>
    </row>
    <row r="38" spans="1:28" x14ac:dyDescent="0.3">
      <c r="A38" t="str">
        <f>'SMR (Main)'!A37</f>
        <v xml:space="preserve">MicroURANUS </v>
      </c>
      <c r="B38" t="str">
        <f>'SMR (Main)'!E37</f>
        <v>Rep. of Korea</v>
      </c>
      <c r="C38">
        <f t="shared" si="0"/>
        <v>8.6829999999999998</v>
      </c>
    </row>
    <row r="39" spans="1:28" x14ac:dyDescent="0.3">
      <c r="A39" t="str">
        <f>'SMR (Main)'!A38</f>
        <v xml:space="preserve">Mk1 PB-FHR </v>
      </c>
      <c r="B39" t="str">
        <f>'SMR (Main)'!E38</f>
        <v>USA</v>
      </c>
      <c r="C39">
        <f t="shared" si="0"/>
        <v>6.6229999999999993</v>
      </c>
    </row>
    <row r="40" spans="1:28" x14ac:dyDescent="0.3">
      <c r="A40" t="str">
        <f>'SMR (Main)'!A39</f>
        <v>mPower</v>
      </c>
      <c r="B40" t="str">
        <f>'SMR (Main)'!E39</f>
        <v>USA</v>
      </c>
      <c r="C40">
        <f t="shared" si="0"/>
        <v>6.6229999999999993</v>
      </c>
    </row>
    <row r="41" spans="1:28" x14ac:dyDescent="0.3">
      <c r="A41" t="str">
        <f>'SMR (Main)'!A40</f>
        <v>NHR200-II</v>
      </c>
      <c r="B41" t="str">
        <f>'SMR (Main)'!E40</f>
        <v>China</v>
      </c>
      <c r="C41">
        <f t="shared" si="0"/>
        <v>3.4459999999999997</v>
      </c>
    </row>
    <row r="42" spans="1:28" x14ac:dyDescent="0.3">
      <c r="A42" t="str">
        <f>'SMR (Main)'!A41</f>
        <v>NUWARD</v>
      </c>
      <c r="B42" t="str">
        <f>'SMR (Main)'!E41</f>
        <v>France</v>
      </c>
      <c r="C42">
        <f t="shared" si="0"/>
        <v>8.4619999999999997</v>
      </c>
    </row>
    <row r="43" spans="1:28" x14ac:dyDescent="0.3">
      <c r="A43" t="str">
        <f>'SMR (Main)'!A42</f>
        <v>OPEN20</v>
      </c>
      <c r="B43" t="str">
        <f>'SMR (Main)'!E42</f>
        <v>USA</v>
      </c>
      <c r="C43">
        <f t="shared" si="0"/>
        <v>6.6229999999999993</v>
      </c>
    </row>
    <row r="44" spans="1:28" x14ac:dyDescent="0.3">
      <c r="A44" t="str">
        <f>'SMR (Main)'!A43</f>
        <v>PBMR-400</v>
      </c>
      <c r="B44" t="str">
        <f>'SMR (Main)'!E43</f>
        <v>South Africa</v>
      </c>
      <c r="C44">
        <f t="shared" si="0"/>
        <v>1.9360000000000004</v>
      </c>
    </row>
    <row r="45" spans="1:28" x14ac:dyDescent="0.3">
      <c r="A45" t="str">
        <f>'SMR (Main)'!A44</f>
        <v>PeLUIt / RDE</v>
      </c>
      <c r="B45" t="str">
        <f>'SMR (Main)'!E44</f>
        <v>Indonesia</v>
      </c>
      <c r="C45">
        <f t="shared" si="0"/>
        <v>3.7769999999999997</v>
      </c>
    </row>
    <row r="46" spans="1:28" x14ac:dyDescent="0.3">
      <c r="A46" t="str">
        <f>'SMR (Main)'!A45</f>
        <v>RITM-200N</v>
      </c>
      <c r="B46" t="str">
        <f>'SMR (Main)'!E45</f>
        <v>Russia</v>
      </c>
      <c r="C46">
        <f t="shared" si="0"/>
        <v>8.7000000000000188E-2</v>
      </c>
    </row>
    <row r="47" spans="1:28" x14ac:dyDescent="0.3">
      <c r="A47" t="str">
        <f>'SMR (Main)'!A46</f>
        <v>RR SMR</v>
      </c>
      <c r="B47" t="str">
        <f>'SMR (Main)'!E46</f>
        <v>UK</v>
      </c>
      <c r="C47">
        <f t="shared" si="0"/>
        <v>4.8420000000000005</v>
      </c>
    </row>
    <row r="48" spans="1:28" x14ac:dyDescent="0.3">
      <c r="A48" t="str">
        <f>'SMR (Main)'!A47</f>
        <v>RUTA-70</v>
      </c>
      <c r="B48" t="str">
        <f>'SMR (Main)'!E47</f>
        <v>Russia</v>
      </c>
      <c r="C48">
        <f t="shared" si="0"/>
        <v>8.7000000000000188E-2</v>
      </c>
    </row>
    <row r="49" spans="1:36" x14ac:dyDescent="0.3">
      <c r="A49" t="str">
        <f>'SMR (Main)'!A48</f>
        <v>SC-HTGR</v>
      </c>
      <c r="B49" t="str">
        <f>'SMR (Main)'!E48</f>
        <v>USA</v>
      </c>
      <c r="C49">
        <f t="shared" si="0"/>
        <v>6.6229999999999993</v>
      </c>
    </row>
    <row r="50" spans="1:36" x14ac:dyDescent="0.3">
      <c r="A50" t="str">
        <f>'SMR (Main)'!A49</f>
        <v xml:space="preserve">SEALER-55 </v>
      </c>
      <c r="B50" t="str">
        <f>'SMR (Main)'!E49</f>
        <v>Sweden</v>
      </c>
      <c r="C50">
        <f t="shared" si="0"/>
        <v>4.4399999999999995</v>
      </c>
    </row>
    <row r="51" spans="1:36" x14ac:dyDescent="0.3">
      <c r="A51" t="str">
        <f>'SMR (Main)'!A50</f>
        <v>SMART</v>
      </c>
      <c r="B51" t="str">
        <f>'SMR (Main)'!E50</f>
        <v>Rep. of Korea &amp; Saudi Arabia</v>
      </c>
      <c r="C51">
        <f t="shared" si="0"/>
        <v>5.9935</v>
      </c>
    </row>
    <row r="52" spans="1:36" ht="127.8" x14ac:dyDescent="0.3">
      <c r="A52" t="str">
        <f>'SMR (Main)'!A51</f>
        <v>SMR-160</v>
      </c>
      <c r="B52" t="str">
        <f>'SMR (Main)'!E51</f>
        <v>USA</v>
      </c>
      <c r="C52">
        <f t="shared" si="0"/>
        <v>6.6229999999999993</v>
      </c>
      <c r="G52" s="130" t="str" cm="1">
        <f t="array" ref="G52:Z52">TRANSPOSE(F53:F72)</f>
        <v>China</v>
      </c>
      <c r="H52" s="130" t="str">
        <v>Argentina</v>
      </c>
      <c r="I52" s="130" t="str">
        <v>USA</v>
      </c>
      <c r="J52" s="130" t="str">
        <v>Russia</v>
      </c>
      <c r="K52" s="130" t="str">
        <v>USA &amp; Japan</v>
      </c>
      <c r="L52" s="130" t="str">
        <v>UK</v>
      </c>
      <c r="M52" s="130" t="str">
        <v>Rep. of Korea &amp; Saudi Arabia</v>
      </c>
      <c r="N52" s="130" t="str">
        <v>Japan</v>
      </c>
      <c r="O52" s="130" t="str">
        <v>Czech Rep.</v>
      </c>
      <c r="P52" s="130" t="str">
        <v>France</v>
      </c>
      <c r="Q52" s="130" t="str">
        <v>Canada</v>
      </c>
      <c r="R52" s="130" t="str">
        <v>Rep. Of Korea</v>
      </c>
      <c r="S52" s="130" t="str">
        <v>Switzerland</v>
      </c>
      <c r="T52" s="130" t="str">
        <v>Netherlands</v>
      </c>
      <c r="U52" s="130" t="str">
        <v>USA and Indonesia</v>
      </c>
      <c r="V52" s="130" t="str">
        <v>South Africa</v>
      </c>
      <c r="W52" s="130" t="str">
        <v>Italy</v>
      </c>
      <c r="X52" s="130" t="str">
        <v>Sweden</v>
      </c>
      <c r="Y52" s="130" t="str">
        <v>Denmark</v>
      </c>
      <c r="Z52" s="130" t="str">
        <v>Indonesia</v>
      </c>
      <c r="AB52" t="s">
        <v>331</v>
      </c>
    </row>
    <row r="53" spans="1:36" x14ac:dyDescent="0.3">
      <c r="A53" t="str">
        <f>'SMR (Main)'!A52</f>
        <v xml:space="preserve">smTMSR-400 </v>
      </c>
      <c r="B53" t="str">
        <f>'SMR (Main)'!E52</f>
        <v>China</v>
      </c>
      <c r="C53">
        <f t="shared" si="0"/>
        <v>3.4459999999999997</v>
      </c>
      <c r="E53" t="str" cm="1">
        <f t="array" ref="E53:E73">_xlfn.UNIQUE(B3:B111)</f>
        <v>USA</v>
      </c>
      <c r="F53" t="s">
        <v>60</v>
      </c>
      <c r="G53" s="132"/>
      <c r="H53">
        <v>0</v>
      </c>
      <c r="I53">
        <v>0</v>
      </c>
      <c r="J53">
        <v>1</v>
      </c>
      <c r="K53">
        <v>0</v>
      </c>
      <c r="L53">
        <v>1</v>
      </c>
      <c r="M53" s="95">
        <v>0</v>
      </c>
      <c r="N53">
        <v>0</v>
      </c>
      <c r="O53">
        <v>0</v>
      </c>
      <c r="P53">
        <v>1</v>
      </c>
      <c r="Q53">
        <v>1</v>
      </c>
      <c r="R53">
        <v>0</v>
      </c>
      <c r="S53">
        <v>0</v>
      </c>
      <c r="T53">
        <v>0</v>
      </c>
      <c r="U53">
        <v>0</v>
      </c>
      <c r="V53">
        <v>1</v>
      </c>
      <c r="W53">
        <v>0</v>
      </c>
      <c r="X53">
        <v>0</v>
      </c>
      <c r="Y53">
        <v>0</v>
      </c>
      <c r="Z53">
        <v>0</v>
      </c>
      <c r="AB53">
        <f>SUM(G53:Z53)</f>
        <v>5</v>
      </c>
      <c r="AC53">
        <v>3</v>
      </c>
      <c r="AE53" s="207" t="s">
        <v>332</v>
      </c>
      <c r="AF53" s="208"/>
      <c r="AG53" s="208"/>
      <c r="AH53" s="208"/>
      <c r="AI53" s="208"/>
      <c r="AJ53" s="208"/>
    </row>
    <row r="54" spans="1:36" x14ac:dyDescent="0.3">
      <c r="A54" t="str">
        <f>'SMR (Main)'!A53</f>
        <v xml:space="preserve">SSR-U </v>
      </c>
      <c r="B54" t="str">
        <f>'SMR (Main)'!E53</f>
        <v>UK</v>
      </c>
      <c r="C54">
        <f t="shared" si="0"/>
        <v>4.8420000000000005</v>
      </c>
      <c r="E54" t="str">
        <v>Japan</v>
      </c>
      <c r="F54" t="s">
        <v>102</v>
      </c>
      <c r="G54">
        <v>0</v>
      </c>
      <c r="H54" s="132"/>
      <c r="I54">
        <v>1</v>
      </c>
      <c r="J54">
        <v>1</v>
      </c>
      <c r="K54">
        <v>0</v>
      </c>
      <c r="L54">
        <v>0</v>
      </c>
      <c r="M54">
        <v>0</v>
      </c>
      <c r="N54">
        <v>0</v>
      </c>
      <c r="O54">
        <v>0</v>
      </c>
      <c r="P54">
        <v>1</v>
      </c>
      <c r="Q54">
        <v>1</v>
      </c>
      <c r="R54">
        <v>1</v>
      </c>
      <c r="S54">
        <v>0</v>
      </c>
      <c r="T54">
        <v>0</v>
      </c>
      <c r="U54">
        <v>0</v>
      </c>
      <c r="V54">
        <v>0</v>
      </c>
      <c r="W54">
        <v>0</v>
      </c>
      <c r="X54">
        <v>0</v>
      </c>
      <c r="Y54">
        <v>0</v>
      </c>
      <c r="Z54">
        <v>0</v>
      </c>
      <c r="AB54">
        <f t="shared" ref="AB54:AB72" si="3">SUM(G54:Z54)</f>
        <v>5</v>
      </c>
      <c r="AC54">
        <v>3</v>
      </c>
      <c r="AE54" s="208"/>
      <c r="AF54" s="208"/>
      <c r="AG54" s="208"/>
      <c r="AH54" s="208"/>
      <c r="AI54" s="208"/>
      <c r="AJ54" s="208"/>
    </row>
    <row r="55" spans="1:36" x14ac:dyDescent="0.3">
      <c r="A55" t="str">
        <f>'SMR (Main)'!A54</f>
        <v xml:space="preserve">SSR-W </v>
      </c>
      <c r="B55" t="str">
        <f>'SMR (Main)'!E54</f>
        <v>Canada</v>
      </c>
      <c r="C55">
        <f t="shared" si="0"/>
        <v>8.44</v>
      </c>
      <c r="E55" t="str">
        <v>China</v>
      </c>
      <c r="F55" t="s">
        <v>124</v>
      </c>
      <c r="G55">
        <v>0</v>
      </c>
      <c r="H55">
        <v>1</v>
      </c>
      <c r="I55" s="132"/>
      <c r="J55">
        <v>0</v>
      </c>
      <c r="K55">
        <v>1</v>
      </c>
      <c r="L55">
        <v>1</v>
      </c>
      <c r="M55">
        <v>1</v>
      </c>
      <c r="N55">
        <v>1</v>
      </c>
      <c r="O55">
        <v>0</v>
      </c>
      <c r="P55">
        <v>1</v>
      </c>
      <c r="Q55">
        <v>0</v>
      </c>
      <c r="R55">
        <v>1</v>
      </c>
      <c r="S55">
        <v>0</v>
      </c>
      <c r="T55">
        <v>0</v>
      </c>
      <c r="U55">
        <v>0</v>
      </c>
      <c r="V55">
        <v>0</v>
      </c>
      <c r="W55">
        <v>0</v>
      </c>
      <c r="X55">
        <v>0</v>
      </c>
      <c r="Y55">
        <v>0</v>
      </c>
      <c r="Z55">
        <v>0</v>
      </c>
      <c r="AB55">
        <f t="shared" si="3"/>
        <v>7</v>
      </c>
      <c r="AC55">
        <v>4</v>
      </c>
      <c r="AE55" s="208"/>
      <c r="AF55" s="208"/>
      <c r="AG55" s="208"/>
      <c r="AH55" s="208"/>
      <c r="AI55" s="208"/>
      <c r="AJ55" s="208"/>
    </row>
    <row r="56" spans="1:36" x14ac:dyDescent="0.3">
      <c r="A56" t="str">
        <f>'SMR (Main)'!A55</f>
        <v>STAR</v>
      </c>
      <c r="B56" t="str">
        <f>'SMR (Main)'!E55</f>
        <v>Switzerland</v>
      </c>
      <c r="C56">
        <f t="shared" si="0"/>
        <v>4.8369999999999997</v>
      </c>
      <c r="E56" t="str">
        <v>South Africa</v>
      </c>
      <c r="F56" t="s">
        <v>79</v>
      </c>
      <c r="G56">
        <v>1</v>
      </c>
      <c r="H56">
        <v>1</v>
      </c>
      <c r="I56">
        <v>0</v>
      </c>
      <c r="J56" s="132"/>
      <c r="K56">
        <v>0</v>
      </c>
      <c r="L56">
        <v>0</v>
      </c>
      <c r="M56">
        <v>0</v>
      </c>
      <c r="N56">
        <v>0</v>
      </c>
      <c r="O56">
        <v>0</v>
      </c>
      <c r="P56">
        <v>1</v>
      </c>
      <c r="Q56">
        <v>0</v>
      </c>
      <c r="R56">
        <v>0</v>
      </c>
      <c r="S56">
        <v>0</v>
      </c>
      <c r="T56">
        <v>0</v>
      </c>
      <c r="U56">
        <v>0</v>
      </c>
      <c r="V56">
        <v>0</v>
      </c>
      <c r="W56">
        <v>0</v>
      </c>
      <c r="X56">
        <v>0</v>
      </c>
      <c r="Y56">
        <v>0</v>
      </c>
      <c r="Z56">
        <v>1</v>
      </c>
      <c r="AB56">
        <f t="shared" si="3"/>
        <v>4</v>
      </c>
      <c r="AC56">
        <v>3</v>
      </c>
      <c r="AE56" s="208"/>
      <c r="AF56" s="208"/>
      <c r="AG56" s="208"/>
      <c r="AH56" s="208"/>
      <c r="AI56" s="208"/>
      <c r="AJ56" s="208"/>
    </row>
    <row r="57" spans="1:36" x14ac:dyDescent="0.3">
      <c r="A57" t="str">
        <f>'SMR (Main)'!A56</f>
        <v>Starcore</v>
      </c>
      <c r="B57" t="str">
        <f>'SMR (Main)'!E56</f>
        <v>Canada</v>
      </c>
      <c r="C57">
        <f t="shared" si="0"/>
        <v>8.44</v>
      </c>
      <c r="E57" t="str">
        <v>Canada</v>
      </c>
      <c r="F57" t="s">
        <v>86</v>
      </c>
      <c r="G57">
        <v>0</v>
      </c>
      <c r="H57">
        <v>0</v>
      </c>
      <c r="I57">
        <v>1</v>
      </c>
      <c r="J57">
        <v>0</v>
      </c>
      <c r="K57" s="132"/>
      <c r="L57">
        <v>0</v>
      </c>
      <c r="M57">
        <v>0</v>
      </c>
      <c r="N57">
        <v>1</v>
      </c>
      <c r="O57">
        <v>0</v>
      </c>
      <c r="P57">
        <v>1</v>
      </c>
      <c r="Q57">
        <v>0</v>
      </c>
      <c r="R57">
        <v>0</v>
      </c>
      <c r="S57">
        <v>0</v>
      </c>
      <c r="T57">
        <v>0</v>
      </c>
      <c r="U57">
        <v>1</v>
      </c>
      <c r="V57">
        <v>0</v>
      </c>
      <c r="W57">
        <v>0</v>
      </c>
      <c r="X57">
        <v>0</v>
      </c>
      <c r="Y57">
        <v>0</v>
      </c>
      <c r="Z57">
        <v>0</v>
      </c>
      <c r="AB57">
        <f t="shared" si="3"/>
        <v>4</v>
      </c>
      <c r="AC57">
        <v>3</v>
      </c>
      <c r="AE57" s="208"/>
      <c r="AF57" s="208"/>
      <c r="AG57" s="208"/>
      <c r="AH57" s="208"/>
      <c r="AI57" s="208"/>
      <c r="AJ57" s="208"/>
    </row>
    <row r="58" spans="1:36" x14ac:dyDescent="0.3">
      <c r="A58" t="str">
        <f>'SMR (Main)'!A57</f>
        <v xml:space="preserve">SVBR </v>
      </c>
      <c r="B58" t="str">
        <f>'SMR (Main)'!E57</f>
        <v>Russia</v>
      </c>
      <c r="C58">
        <f t="shared" si="0"/>
        <v>8.7000000000000188E-2</v>
      </c>
      <c r="E58" t="str">
        <v>Russia</v>
      </c>
      <c r="F58" t="s">
        <v>238</v>
      </c>
      <c r="G58">
        <v>1</v>
      </c>
      <c r="H58">
        <v>0</v>
      </c>
      <c r="I58">
        <v>0</v>
      </c>
      <c r="J58">
        <v>0</v>
      </c>
      <c r="K58">
        <v>0</v>
      </c>
      <c r="L58" s="132"/>
      <c r="M58">
        <v>0</v>
      </c>
      <c r="N58">
        <v>0</v>
      </c>
      <c r="O58">
        <v>0</v>
      </c>
      <c r="P58">
        <v>1</v>
      </c>
      <c r="Q58">
        <v>0</v>
      </c>
      <c r="R58">
        <v>0</v>
      </c>
      <c r="S58">
        <v>0</v>
      </c>
      <c r="T58">
        <v>0</v>
      </c>
      <c r="U58">
        <v>0</v>
      </c>
      <c r="V58">
        <v>0</v>
      </c>
      <c r="W58">
        <v>0</v>
      </c>
      <c r="X58">
        <v>0</v>
      </c>
      <c r="Y58">
        <v>0</v>
      </c>
      <c r="Z58">
        <v>0</v>
      </c>
      <c r="AB58">
        <f t="shared" si="3"/>
        <v>2</v>
      </c>
      <c r="AC58">
        <v>2</v>
      </c>
      <c r="AE58" s="208"/>
      <c r="AF58" s="208"/>
      <c r="AG58" s="208"/>
      <c r="AH58" s="208"/>
      <c r="AI58" s="208"/>
      <c r="AJ58" s="208"/>
    </row>
    <row r="59" spans="1:36" x14ac:dyDescent="0.3">
      <c r="A59" t="str">
        <f>'SMR (Main)'!A58</f>
        <v>TEPLATOR</v>
      </c>
      <c r="B59" t="str">
        <f>'SMR (Main)'!E58</f>
        <v>Czech Rep.</v>
      </c>
      <c r="C59">
        <f t="shared" si="0"/>
        <v>6.4910000000000005</v>
      </c>
      <c r="E59" t="str">
        <v>USA &amp; Japan</v>
      </c>
      <c r="F59" s="46" t="s">
        <v>254</v>
      </c>
      <c r="G59">
        <v>0</v>
      </c>
      <c r="H59">
        <v>0</v>
      </c>
      <c r="I59">
        <v>1</v>
      </c>
      <c r="J59">
        <v>0</v>
      </c>
      <c r="K59">
        <v>0</v>
      </c>
      <c r="L59">
        <v>0</v>
      </c>
      <c r="M59" s="132"/>
      <c r="N59">
        <v>0</v>
      </c>
      <c r="O59">
        <v>1</v>
      </c>
      <c r="P59">
        <v>1</v>
      </c>
      <c r="Q59">
        <v>1</v>
      </c>
      <c r="R59">
        <v>1</v>
      </c>
      <c r="S59">
        <v>0</v>
      </c>
      <c r="T59">
        <v>0</v>
      </c>
      <c r="U59">
        <v>0</v>
      </c>
      <c r="V59">
        <v>0</v>
      </c>
      <c r="W59">
        <v>0</v>
      </c>
      <c r="X59">
        <v>0</v>
      </c>
      <c r="Y59">
        <v>0</v>
      </c>
      <c r="Z59">
        <v>0</v>
      </c>
      <c r="AB59">
        <f t="shared" si="3"/>
        <v>5</v>
      </c>
      <c r="AC59">
        <v>3</v>
      </c>
      <c r="AE59" s="208"/>
      <c r="AF59" s="208"/>
      <c r="AG59" s="208"/>
      <c r="AH59" s="208"/>
      <c r="AI59" s="208"/>
      <c r="AJ59" s="208"/>
    </row>
    <row r="60" spans="1:36" x14ac:dyDescent="0.3">
      <c r="A60" t="str">
        <f>'SMR (Main)'!A59</f>
        <v xml:space="preserve">ThorCon </v>
      </c>
      <c r="B60" t="str">
        <f>'SMR (Main)'!E59</f>
        <v>USA and Indonesia</v>
      </c>
      <c r="C60">
        <f t="shared" si="0"/>
        <v>5.6999999999999993</v>
      </c>
      <c r="E60" t="str">
        <v>Argentina</v>
      </c>
      <c r="F60" t="s">
        <v>51</v>
      </c>
      <c r="G60">
        <v>0</v>
      </c>
      <c r="H60">
        <v>0</v>
      </c>
      <c r="I60">
        <v>1</v>
      </c>
      <c r="J60">
        <v>0</v>
      </c>
      <c r="K60">
        <v>1</v>
      </c>
      <c r="L60">
        <v>0</v>
      </c>
      <c r="M60">
        <v>0</v>
      </c>
      <c r="N60" s="132"/>
      <c r="O60">
        <v>0</v>
      </c>
      <c r="P60">
        <v>1</v>
      </c>
      <c r="Q60">
        <v>0</v>
      </c>
      <c r="R60">
        <v>0</v>
      </c>
      <c r="S60">
        <v>0</v>
      </c>
      <c r="T60">
        <v>0</v>
      </c>
      <c r="U60">
        <v>1</v>
      </c>
      <c r="V60">
        <v>0</v>
      </c>
      <c r="W60">
        <v>0</v>
      </c>
      <c r="X60">
        <v>0</v>
      </c>
      <c r="Y60">
        <v>0</v>
      </c>
      <c r="Z60">
        <v>1</v>
      </c>
      <c r="AB60">
        <f t="shared" si="3"/>
        <v>5</v>
      </c>
      <c r="AC60">
        <v>3</v>
      </c>
      <c r="AE60" s="208"/>
      <c r="AF60" s="208"/>
      <c r="AG60" s="208"/>
      <c r="AH60" s="208"/>
      <c r="AI60" s="208"/>
      <c r="AJ60" s="208"/>
    </row>
    <row r="61" spans="1:36" x14ac:dyDescent="0.3">
      <c r="A61" t="str">
        <f>'SMR (Main)'!A60</f>
        <v xml:space="preserve">THORIZON </v>
      </c>
      <c r="B61" t="str">
        <f>'SMR (Main)'!E60</f>
        <v>Netherlands</v>
      </c>
      <c r="C61">
        <f t="shared" si="0"/>
        <v>4.2139999999999995</v>
      </c>
      <c r="E61" t="str">
        <v>Denmark</v>
      </c>
      <c r="F61" s="46" t="s">
        <v>290</v>
      </c>
      <c r="G61">
        <v>0</v>
      </c>
      <c r="H61">
        <v>0</v>
      </c>
      <c r="I61">
        <v>0</v>
      </c>
      <c r="J61">
        <v>0</v>
      </c>
      <c r="K61">
        <v>0</v>
      </c>
      <c r="L61">
        <v>0</v>
      </c>
      <c r="M61">
        <v>1</v>
      </c>
      <c r="N61">
        <v>0</v>
      </c>
      <c r="O61" s="132"/>
      <c r="P61">
        <v>1</v>
      </c>
      <c r="Q61">
        <v>0</v>
      </c>
      <c r="R61">
        <v>1</v>
      </c>
      <c r="S61">
        <v>0</v>
      </c>
      <c r="T61">
        <v>0</v>
      </c>
      <c r="U61">
        <v>0</v>
      </c>
      <c r="V61">
        <v>0</v>
      </c>
      <c r="W61">
        <v>0</v>
      </c>
      <c r="X61">
        <v>0</v>
      </c>
      <c r="Y61">
        <v>0</v>
      </c>
      <c r="Z61">
        <v>0</v>
      </c>
      <c r="AB61">
        <f t="shared" si="3"/>
        <v>3</v>
      </c>
      <c r="AC61">
        <v>2</v>
      </c>
      <c r="AE61" s="208"/>
      <c r="AF61" s="208"/>
      <c r="AG61" s="208"/>
      <c r="AH61" s="208"/>
      <c r="AI61" s="208"/>
      <c r="AJ61" s="208"/>
    </row>
    <row r="62" spans="1:36" x14ac:dyDescent="0.3">
      <c r="A62" t="str">
        <f>'SMR (Main)'!A61</f>
        <v>VK-300</v>
      </c>
      <c r="B62" t="str">
        <f>'SMR (Main)'!E61</f>
        <v>Russia</v>
      </c>
      <c r="C62">
        <f t="shared" si="0"/>
        <v>8.7000000000000188E-2</v>
      </c>
      <c r="E62" t="str">
        <v>Rep. of Korea</v>
      </c>
      <c r="F62" t="s">
        <v>172</v>
      </c>
      <c r="G62">
        <v>1</v>
      </c>
      <c r="H62">
        <v>1</v>
      </c>
      <c r="I62">
        <v>1</v>
      </c>
      <c r="J62">
        <v>1</v>
      </c>
      <c r="K62">
        <v>1</v>
      </c>
      <c r="L62">
        <v>1</v>
      </c>
      <c r="M62">
        <v>1</v>
      </c>
      <c r="N62">
        <v>1</v>
      </c>
      <c r="O62">
        <v>1</v>
      </c>
      <c r="P62" s="132"/>
      <c r="Q62">
        <v>1</v>
      </c>
      <c r="R62">
        <v>1</v>
      </c>
      <c r="S62">
        <v>1</v>
      </c>
      <c r="T62">
        <v>1</v>
      </c>
      <c r="U62">
        <v>1</v>
      </c>
      <c r="V62">
        <v>1</v>
      </c>
      <c r="W62">
        <v>1</v>
      </c>
      <c r="X62">
        <v>1</v>
      </c>
      <c r="Y62">
        <v>1</v>
      </c>
      <c r="Z62">
        <v>1</v>
      </c>
      <c r="AB62">
        <f t="shared" si="3"/>
        <v>19</v>
      </c>
      <c r="AC62">
        <v>5</v>
      </c>
      <c r="AE62" s="208"/>
      <c r="AF62" s="208"/>
      <c r="AG62" s="208"/>
      <c r="AH62" s="208"/>
      <c r="AI62" s="208"/>
      <c r="AJ62" s="208"/>
    </row>
    <row r="63" spans="1:36" x14ac:dyDescent="0.3">
      <c r="A63" t="str">
        <f>'SMR (Main)'!A62</f>
        <v>VOYGR</v>
      </c>
      <c r="B63" t="str">
        <f>'SMR (Main)'!E62</f>
        <v>USA</v>
      </c>
      <c r="C63">
        <f t="shared" si="0"/>
        <v>6.6229999999999993</v>
      </c>
      <c r="E63" t="str">
        <v>France</v>
      </c>
      <c r="F63" s="46" t="s">
        <v>74</v>
      </c>
      <c r="G63">
        <v>1</v>
      </c>
      <c r="H63">
        <v>1</v>
      </c>
      <c r="I63">
        <v>0</v>
      </c>
      <c r="J63">
        <v>0</v>
      </c>
      <c r="K63">
        <v>0</v>
      </c>
      <c r="L63">
        <v>0</v>
      </c>
      <c r="M63">
        <v>1</v>
      </c>
      <c r="N63">
        <v>0</v>
      </c>
      <c r="O63">
        <v>0</v>
      </c>
      <c r="P63">
        <v>1</v>
      </c>
      <c r="Q63" s="132"/>
      <c r="R63">
        <v>1</v>
      </c>
      <c r="S63">
        <v>0</v>
      </c>
      <c r="T63">
        <v>0</v>
      </c>
      <c r="U63">
        <v>0</v>
      </c>
      <c r="V63">
        <v>0</v>
      </c>
      <c r="W63">
        <v>1</v>
      </c>
      <c r="X63">
        <v>0</v>
      </c>
      <c r="Y63">
        <v>0</v>
      </c>
      <c r="Z63">
        <v>0</v>
      </c>
      <c r="AB63">
        <f t="shared" si="3"/>
        <v>6</v>
      </c>
      <c r="AC63">
        <v>4</v>
      </c>
      <c r="AE63" s="208"/>
      <c r="AF63" s="208"/>
      <c r="AG63" s="208"/>
      <c r="AH63" s="208"/>
      <c r="AI63" s="208"/>
      <c r="AJ63" s="208"/>
    </row>
    <row r="64" spans="1:36" x14ac:dyDescent="0.3">
      <c r="A64" t="str">
        <f>'SMR (Main)'!A63</f>
        <v xml:space="preserve">Westinghouse LFR </v>
      </c>
      <c r="B64" t="str">
        <f>'SMR (Main)'!E63</f>
        <v>USA</v>
      </c>
      <c r="C64">
        <f t="shared" si="0"/>
        <v>6.6229999999999993</v>
      </c>
      <c r="E64" t="str">
        <v>Italy</v>
      </c>
      <c r="F64" t="s">
        <v>330</v>
      </c>
      <c r="G64">
        <v>0</v>
      </c>
      <c r="H64">
        <v>1</v>
      </c>
      <c r="I64">
        <v>1</v>
      </c>
      <c r="J64">
        <v>0</v>
      </c>
      <c r="K64">
        <v>0</v>
      </c>
      <c r="L64">
        <v>0</v>
      </c>
      <c r="M64">
        <v>1</v>
      </c>
      <c r="N64">
        <v>0</v>
      </c>
      <c r="O64">
        <v>1</v>
      </c>
      <c r="P64">
        <v>1</v>
      </c>
      <c r="Q64">
        <v>1</v>
      </c>
      <c r="R64" s="132"/>
      <c r="S64">
        <v>0</v>
      </c>
      <c r="T64">
        <v>0</v>
      </c>
      <c r="U64">
        <v>0</v>
      </c>
      <c r="V64">
        <v>0</v>
      </c>
      <c r="W64">
        <v>0</v>
      </c>
      <c r="X64">
        <v>0</v>
      </c>
      <c r="Y64">
        <v>0</v>
      </c>
      <c r="Z64">
        <v>0</v>
      </c>
      <c r="AB64">
        <f t="shared" si="3"/>
        <v>6</v>
      </c>
      <c r="AC64">
        <v>4</v>
      </c>
    </row>
    <row r="65" spans="1:29" x14ac:dyDescent="0.3">
      <c r="A65" t="str">
        <f>'SMR (Main)'!A64</f>
        <v>Westinghouse SMR</v>
      </c>
      <c r="B65" t="str">
        <f>'SMR (Main)'!E64</f>
        <v>USA</v>
      </c>
      <c r="C65">
        <f t="shared" si="0"/>
        <v>6.6229999999999993</v>
      </c>
      <c r="E65" t="str">
        <v>Indonesia</v>
      </c>
      <c r="F65" s="46" t="s">
        <v>277</v>
      </c>
      <c r="G65">
        <v>0</v>
      </c>
      <c r="H65">
        <v>0</v>
      </c>
      <c r="I65">
        <v>0</v>
      </c>
      <c r="J65">
        <v>0</v>
      </c>
      <c r="K65">
        <v>0</v>
      </c>
      <c r="L65">
        <v>0</v>
      </c>
      <c r="M65">
        <v>0</v>
      </c>
      <c r="N65">
        <v>0</v>
      </c>
      <c r="O65">
        <v>0</v>
      </c>
      <c r="P65">
        <v>1</v>
      </c>
      <c r="Q65">
        <v>0</v>
      </c>
      <c r="R65">
        <v>0</v>
      </c>
      <c r="S65" s="132"/>
      <c r="T65">
        <v>0</v>
      </c>
      <c r="U65">
        <v>0</v>
      </c>
      <c r="V65">
        <v>0</v>
      </c>
      <c r="W65">
        <v>0</v>
      </c>
      <c r="X65">
        <v>0</v>
      </c>
      <c r="Y65">
        <v>0</v>
      </c>
      <c r="Z65">
        <v>0</v>
      </c>
      <c r="AB65">
        <f t="shared" si="3"/>
        <v>1</v>
      </c>
      <c r="AC65">
        <v>1</v>
      </c>
    </row>
    <row r="66" spans="1:29" x14ac:dyDescent="0.3">
      <c r="E66" t="str">
        <v>UK</v>
      </c>
      <c r="F66" t="s">
        <v>299</v>
      </c>
      <c r="G66">
        <v>0</v>
      </c>
      <c r="H66">
        <v>0</v>
      </c>
      <c r="I66">
        <v>0</v>
      </c>
      <c r="J66">
        <v>0</v>
      </c>
      <c r="K66">
        <v>0</v>
      </c>
      <c r="L66">
        <v>0</v>
      </c>
      <c r="M66">
        <v>0</v>
      </c>
      <c r="N66">
        <v>0</v>
      </c>
      <c r="O66">
        <v>0</v>
      </c>
      <c r="P66">
        <v>1</v>
      </c>
      <c r="Q66">
        <v>0</v>
      </c>
      <c r="R66">
        <v>0</v>
      </c>
      <c r="S66">
        <v>0</v>
      </c>
      <c r="T66" s="132"/>
      <c r="U66">
        <v>0</v>
      </c>
      <c r="V66">
        <v>0</v>
      </c>
      <c r="W66">
        <v>0</v>
      </c>
      <c r="X66">
        <v>0</v>
      </c>
      <c r="Y66">
        <v>0</v>
      </c>
      <c r="Z66">
        <v>0</v>
      </c>
      <c r="AB66">
        <f t="shared" si="3"/>
        <v>1</v>
      </c>
      <c r="AC66">
        <v>1</v>
      </c>
    </row>
    <row r="67" spans="1:29" x14ac:dyDescent="0.3">
      <c r="E67" t="str">
        <v>Sweden</v>
      </c>
      <c r="F67" t="s">
        <v>294</v>
      </c>
      <c r="G67">
        <v>0</v>
      </c>
      <c r="H67">
        <v>0</v>
      </c>
      <c r="I67">
        <v>1</v>
      </c>
      <c r="J67">
        <v>0</v>
      </c>
      <c r="K67">
        <v>1</v>
      </c>
      <c r="L67">
        <v>0</v>
      </c>
      <c r="M67">
        <v>0</v>
      </c>
      <c r="N67">
        <v>1</v>
      </c>
      <c r="O67">
        <v>0</v>
      </c>
      <c r="P67">
        <v>1</v>
      </c>
      <c r="Q67">
        <v>0</v>
      </c>
      <c r="R67">
        <v>0</v>
      </c>
      <c r="S67">
        <v>0</v>
      </c>
      <c r="T67">
        <v>0</v>
      </c>
      <c r="U67" s="132"/>
      <c r="V67">
        <v>0</v>
      </c>
      <c r="W67">
        <v>0</v>
      </c>
      <c r="X67">
        <v>0</v>
      </c>
      <c r="Y67">
        <v>0</v>
      </c>
      <c r="Z67">
        <v>0</v>
      </c>
      <c r="AB67">
        <f t="shared" si="3"/>
        <v>4</v>
      </c>
      <c r="AC67">
        <v>3</v>
      </c>
    </row>
    <row r="68" spans="1:29" x14ac:dyDescent="0.3">
      <c r="E68" t="str">
        <v>Rep. of Korea &amp; Saudi Arabia</v>
      </c>
      <c r="F68" t="s">
        <v>68</v>
      </c>
      <c r="G68">
        <v>1</v>
      </c>
      <c r="H68">
        <v>0</v>
      </c>
      <c r="I68">
        <v>0</v>
      </c>
      <c r="J68">
        <v>0</v>
      </c>
      <c r="K68">
        <v>0</v>
      </c>
      <c r="L68">
        <v>0</v>
      </c>
      <c r="M68">
        <v>0</v>
      </c>
      <c r="N68">
        <v>0</v>
      </c>
      <c r="O68">
        <v>0</v>
      </c>
      <c r="P68">
        <v>1</v>
      </c>
      <c r="Q68">
        <v>0</v>
      </c>
      <c r="R68">
        <v>0</v>
      </c>
      <c r="S68">
        <v>0</v>
      </c>
      <c r="T68">
        <v>0</v>
      </c>
      <c r="U68">
        <v>0</v>
      </c>
      <c r="V68" s="132"/>
      <c r="W68">
        <v>0</v>
      </c>
      <c r="X68">
        <v>0</v>
      </c>
      <c r="Y68">
        <v>0</v>
      </c>
      <c r="Z68">
        <v>0</v>
      </c>
      <c r="AB68">
        <f t="shared" si="3"/>
        <v>2</v>
      </c>
      <c r="AC68">
        <v>2</v>
      </c>
    </row>
    <row r="69" spans="1:29" x14ac:dyDescent="0.3">
      <c r="E69" t="str">
        <v>Switzerland</v>
      </c>
      <c r="F69" t="s">
        <v>186</v>
      </c>
      <c r="G69">
        <v>0</v>
      </c>
      <c r="H69">
        <v>0</v>
      </c>
      <c r="I69">
        <v>0</v>
      </c>
      <c r="J69">
        <v>0</v>
      </c>
      <c r="K69">
        <v>0</v>
      </c>
      <c r="L69">
        <v>0</v>
      </c>
      <c r="M69">
        <v>0</v>
      </c>
      <c r="N69">
        <v>0</v>
      </c>
      <c r="O69">
        <v>0</v>
      </c>
      <c r="P69">
        <v>1</v>
      </c>
      <c r="Q69">
        <v>1</v>
      </c>
      <c r="R69">
        <v>0</v>
      </c>
      <c r="S69">
        <v>0</v>
      </c>
      <c r="T69">
        <v>0</v>
      </c>
      <c r="U69">
        <v>0</v>
      </c>
      <c r="V69">
        <v>0</v>
      </c>
      <c r="W69" s="132"/>
      <c r="X69">
        <v>0</v>
      </c>
      <c r="Y69">
        <v>0</v>
      </c>
      <c r="Z69">
        <v>0</v>
      </c>
      <c r="AB69">
        <f t="shared" si="3"/>
        <v>2</v>
      </c>
      <c r="AC69">
        <v>2</v>
      </c>
    </row>
    <row r="70" spans="1:29" x14ac:dyDescent="0.3">
      <c r="E70" t="str">
        <v>Czech Rep.</v>
      </c>
      <c r="F70" t="s">
        <v>250</v>
      </c>
      <c r="G70">
        <v>0</v>
      </c>
      <c r="H70">
        <v>0</v>
      </c>
      <c r="I70">
        <v>0</v>
      </c>
      <c r="J70">
        <v>0</v>
      </c>
      <c r="K70">
        <v>0</v>
      </c>
      <c r="L70">
        <v>0</v>
      </c>
      <c r="M70">
        <v>0</v>
      </c>
      <c r="N70">
        <v>0</v>
      </c>
      <c r="O70">
        <v>0</v>
      </c>
      <c r="P70">
        <v>1</v>
      </c>
      <c r="Q70">
        <v>0</v>
      </c>
      <c r="R70">
        <v>0</v>
      </c>
      <c r="S70">
        <v>0</v>
      </c>
      <c r="T70">
        <v>0</v>
      </c>
      <c r="U70">
        <v>0</v>
      </c>
      <c r="V70">
        <v>0</v>
      </c>
      <c r="W70">
        <v>0</v>
      </c>
      <c r="X70" s="132"/>
      <c r="Y70">
        <v>0</v>
      </c>
      <c r="Z70">
        <v>0</v>
      </c>
      <c r="AB70">
        <f t="shared" si="3"/>
        <v>1</v>
      </c>
      <c r="AC70">
        <v>1</v>
      </c>
    </row>
    <row r="71" spans="1:29" x14ac:dyDescent="0.3">
      <c r="E71" t="str">
        <v>USA and Indonesia</v>
      </c>
      <c r="F71" t="s">
        <v>108</v>
      </c>
      <c r="G71">
        <v>0</v>
      </c>
      <c r="H71">
        <v>0</v>
      </c>
      <c r="I71">
        <v>0</v>
      </c>
      <c r="J71">
        <v>0</v>
      </c>
      <c r="K71">
        <v>0</v>
      </c>
      <c r="L71">
        <v>0</v>
      </c>
      <c r="M71">
        <v>0</v>
      </c>
      <c r="N71">
        <v>0</v>
      </c>
      <c r="O71">
        <v>0</v>
      </c>
      <c r="P71">
        <v>1</v>
      </c>
      <c r="Q71">
        <v>0</v>
      </c>
      <c r="R71">
        <v>0</v>
      </c>
      <c r="S71">
        <v>0</v>
      </c>
      <c r="T71">
        <v>0</v>
      </c>
      <c r="U71">
        <v>0</v>
      </c>
      <c r="V71">
        <v>0</v>
      </c>
      <c r="W71">
        <v>0</v>
      </c>
      <c r="X71">
        <v>0</v>
      </c>
      <c r="Y71" s="132"/>
      <c r="Z71">
        <v>0</v>
      </c>
      <c r="AB71">
        <f t="shared" si="3"/>
        <v>1</v>
      </c>
      <c r="AC71">
        <v>1</v>
      </c>
    </row>
    <row r="72" spans="1:29" x14ac:dyDescent="0.3">
      <c r="E72" t="str">
        <v>Netherlands</v>
      </c>
      <c r="F72" t="s">
        <v>229</v>
      </c>
      <c r="G72">
        <v>0</v>
      </c>
      <c r="H72">
        <v>0</v>
      </c>
      <c r="I72">
        <v>1</v>
      </c>
      <c r="J72">
        <v>1</v>
      </c>
      <c r="K72">
        <v>0</v>
      </c>
      <c r="L72">
        <v>0</v>
      </c>
      <c r="M72">
        <v>0</v>
      </c>
      <c r="N72">
        <v>1</v>
      </c>
      <c r="O72">
        <v>0</v>
      </c>
      <c r="P72">
        <v>1</v>
      </c>
      <c r="Q72">
        <v>0</v>
      </c>
      <c r="R72">
        <v>0</v>
      </c>
      <c r="S72">
        <v>0</v>
      </c>
      <c r="T72">
        <v>0</v>
      </c>
      <c r="U72">
        <v>0</v>
      </c>
      <c r="V72">
        <v>0</v>
      </c>
      <c r="W72">
        <v>0</v>
      </c>
      <c r="X72">
        <v>0</v>
      </c>
      <c r="Y72">
        <v>0</v>
      </c>
      <c r="Z72" s="132"/>
      <c r="AB72">
        <f t="shared" si="3"/>
        <v>4</v>
      </c>
      <c r="AC72">
        <v>3</v>
      </c>
    </row>
    <row r="73" spans="1:29" x14ac:dyDescent="0.3">
      <c r="E73">
        <v>0</v>
      </c>
    </row>
    <row r="74" spans="1:29" x14ac:dyDescent="0.3">
      <c r="AA74" t="s">
        <v>333</v>
      </c>
      <c r="AB74">
        <f>MAX(AB53:AB72)</f>
        <v>19</v>
      </c>
    </row>
    <row r="95" spans="6:7" x14ac:dyDescent="0.3">
      <c r="F95" s="147" t="s">
        <v>56</v>
      </c>
      <c r="G95" t="s">
        <v>60</v>
      </c>
    </row>
    <row r="96" spans="6:7" x14ac:dyDescent="0.3">
      <c r="F96" s="147" t="s">
        <v>100</v>
      </c>
      <c r="G96" t="s">
        <v>102</v>
      </c>
    </row>
    <row r="97" spans="6:7" x14ac:dyDescent="0.3">
      <c r="F97" s="147" t="s">
        <v>256</v>
      </c>
      <c r="G97" t="s">
        <v>124</v>
      </c>
    </row>
    <row r="98" spans="6:7" x14ac:dyDescent="0.3">
      <c r="F98" s="147" t="s">
        <v>305</v>
      </c>
      <c r="G98" t="s">
        <v>124</v>
      </c>
    </row>
    <row r="99" spans="6:7" x14ac:dyDescent="0.3">
      <c r="F99" s="147" t="s">
        <v>231</v>
      </c>
      <c r="G99" t="s">
        <v>79</v>
      </c>
    </row>
    <row r="100" spans="6:7" x14ac:dyDescent="0.3">
      <c r="F100" s="147" t="s">
        <v>143</v>
      </c>
      <c r="G100" t="s">
        <v>60</v>
      </c>
    </row>
    <row r="101" spans="6:7" x14ac:dyDescent="0.3">
      <c r="F101" s="147" t="s">
        <v>83</v>
      </c>
      <c r="G101" t="s">
        <v>334</v>
      </c>
    </row>
    <row r="102" spans="6:7" x14ac:dyDescent="0.3">
      <c r="F102" s="147" t="s">
        <v>236</v>
      </c>
      <c r="G102" t="s">
        <v>238</v>
      </c>
    </row>
    <row r="103" spans="6:7" x14ac:dyDescent="0.3">
      <c r="F103" s="147" t="s">
        <v>302</v>
      </c>
      <c r="G103" t="s">
        <v>79</v>
      </c>
    </row>
    <row r="104" spans="6:7" x14ac:dyDescent="0.3">
      <c r="F104" s="147" t="s">
        <v>252</v>
      </c>
      <c r="G104" s="46" t="s">
        <v>254</v>
      </c>
    </row>
    <row r="105" spans="6:7" x14ac:dyDescent="0.3">
      <c r="F105" s="147" t="s">
        <v>221</v>
      </c>
      <c r="G105" t="s">
        <v>124</v>
      </c>
    </row>
    <row r="106" spans="6:7" x14ac:dyDescent="0.3">
      <c r="F106" s="147" t="s">
        <v>313</v>
      </c>
      <c r="G106" t="s">
        <v>124</v>
      </c>
    </row>
    <row r="107" spans="6:7" x14ac:dyDescent="0.3">
      <c r="F107" s="147" t="s">
        <v>158</v>
      </c>
      <c r="G107" t="s">
        <v>51</v>
      </c>
    </row>
    <row r="108" spans="6:7" x14ac:dyDescent="0.3">
      <c r="F108" s="147" t="s">
        <v>287</v>
      </c>
      <c r="G108" s="46" t="s">
        <v>290</v>
      </c>
    </row>
    <row r="109" spans="6:7" x14ac:dyDescent="0.3">
      <c r="F109" s="147" t="s">
        <v>240</v>
      </c>
      <c r="G109" t="s">
        <v>79</v>
      </c>
    </row>
    <row r="110" spans="6:7" x14ac:dyDescent="0.3">
      <c r="F110" s="147" t="s">
        <v>177</v>
      </c>
      <c r="G110" t="s">
        <v>79</v>
      </c>
    </row>
    <row r="111" spans="6:7" x14ac:dyDescent="0.3">
      <c r="F111" s="147" t="s">
        <v>218</v>
      </c>
      <c r="G111" t="s">
        <v>172</v>
      </c>
    </row>
    <row r="112" spans="6:7" x14ac:dyDescent="0.3">
      <c r="F112" s="147" t="s">
        <v>89</v>
      </c>
      <c r="G112" t="s">
        <v>74</v>
      </c>
    </row>
    <row r="113" spans="6:7" x14ac:dyDescent="0.3">
      <c r="F113" s="147" t="s">
        <v>213</v>
      </c>
      <c r="G113" t="s">
        <v>124</v>
      </c>
    </row>
    <row r="114" spans="6:7" x14ac:dyDescent="0.3">
      <c r="F114" s="147" t="s">
        <v>166</v>
      </c>
      <c r="G114" t="s">
        <v>330</v>
      </c>
    </row>
    <row r="115" spans="6:7" x14ac:dyDescent="0.3">
      <c r="F115" s="147" t="s">
        <v>174</v>
      </c>
      <c r="G115" t="s">
        <v>79</v>
      </c>
    </row>
    <row r="116" spans="6:7" x14ac:dyDescent="0.3">
      <c r="F116" s="147" t="s">
        <v>117</v>
      </c>
      <c r="G116" t="s">
        <v>60</v>
      </c>
    </row>
    <row r="117" spans="6:7" x14ac:dyDescent="0.3">
      <c r="F117" s="147" t="s">
        <v>215</v>
      </c>
      <c r="G117" t="s">
        <v>60</v>
      </c>
    </row>
    <row r="118" spans="6:7" x14ac:dyDescent="0.3">
      <c r="F118" s="147" t="s">
        <v>95</v>
      </c>
      <c r="G118" t="s">
        <v>60</v>
      </c>
    </row>
    <row r="119" spans="6:7" x14ac:dyDescent="0.3">
      <c r="F119" s="147" t="s">
        <v>274</v>
      </c>
      <c r="G119" t="s">
        <v>277</v>
      </c>
    </row>
    <row r="120" spans="6:7" x14ac:dyDescent="0.3">
      <c r="F120" s="147" t="s">
        <v>279</v>
      </c>
      <c r="G120" t="s">
        <v>74</v>
      </c>
    </row>
    <row r="121" spans="6:7" x14ac:dyDescent="0.3">
      <c r="F121" s="147" t="s">
        <v>153</v>
      </c>
      <c r="G121" t="s">
        <v>60</v>
      </c>
    </row>
    <row r="122" spans="6:7" x14ac:dyDescent="0.3">
      <c r="F122" s="147" t="s">
        <v>191</v>
      </c>
      <c r="G122" t="s">
        <v>124</v>
      </c>
    </row>
    <row r="123" spans="6:7" x14ac:dyDescent="0.3">
      <c r="F123" s="147" t="s">
        <v>297</v>
      </c>
      <c r="G123" t="s">
        <v>299</v>
      </c>
    </row>
    <row r="124" spans="6:7" x14ac:dyDescent="0.3">
      <c r="F124" s="147" t="s">
        <v>170</v>
      </c>
      <c r="G124" t="s">
        <v>172</v>
      </c>
    </row>
    <row r="125" spans="6:7" x14ac:dyDescent="0.3">
      <c r="F125" s="147" t="s">
        <v>135</v>
      </c>
      <c r="G125" t="s">
        <v>51</v>
      </c>
    </row>
    <row r="126" spans="6:7" x14ac:dyDescent="0.3">
      <c r="F126" s="147" t="s">
        <v>200</v>
      </c>
      <c r="G126" t="s">
        <v>79</v>
      </c>
    </row>
    <row r="127" spans="6:7" x14ac:dyDescent="0.3">
      <c r="F127" s="147" t="s">
        <v>243</v>
      </c>
      <c r="G127" t="s">
        <v>124</v>
      </c>
    </row>
    <row r="128" spans="6:7" x14ac:dyDescent="0.3">
      <c r="F128" s="147" t="s">
        <v>139</v>
      </c>
      <c r="G128" t="s">
        <v>79</v>
      </c>
    </row>
    <row r="129" spans="6:7" x14ac:dyDescent="0.3">
      <c r="F129" s="147" t="s">
        <v>292</v>
      </c>
      <c r="G129" t="s">
        <v>335</v>
      </c>
    </row>
    <row r="130" spans="6:7" x14ac:dyDescent="0.3">
      <c r="F130" s="147" t="s">
        <v>121</v>
      </c>
      <c r="G130" t="s">
        <v>124</v>
      </c>
    </row>
    <row r="131" spans="6:7" x14ac:dyDescent="0.3">
      <c r="F131" s="147" t="s">
        <v>130</v>
      </c>
      <c r="G131" t="s">
        <v>51</v>
      </c>
    </row>
    <row r="132" spans="6:7" x14ac:dyDescent="0.3">
      <c r="F132" s="147" t="s">
        <v>161</v>
      </c>
      <c r="G132" t="s">
        <v>74</v>
      </c>
    </row>
    <row r="133" spans="6:7" x14ac:dyDescent="0.3">
      <c r="F133" s="147" t="s">
        <v>224</v>
      </c>
      <c r="G133" t="s">
        <v>68</v>
      </c>
    </row>
    <row r="134" spans="6:7" x14ac:dyDescent="0.3">
      <c r="F134" s="147" t="s">
        <v>259</v>
      </c>
    </row>
    <row r="135" spans="6:7" x14ac:dyDescent="0.3">
      <c r="F135" s="147" t="s">
        <v>208</v>
      </c>
    </row>
    <row r="136" spans="6:7" x14ac:dyDescent="0.3">
      <c r="F136" s="147" t="s">
        <v>196</v>
      </c>
    </row>
    <row r="137" spans="6:7" x14ac:dyDescent="0.3">
      <c r="F137" s="147" t="s">
        <v>309</v>
      </c>
    </row>
    <row r="138" spans="6:7" x14ac:dyDescent="0.3">
      <c r="F138" s="147" t="s">
        <v>72</v>
      </c>
    </row>
    <row r="139" spans="6:7" x14ac:dyDescent="0.3">
      <c r="F139" s="147" t="s">
        <v>47</v>
      </c>
    </row>
    <row r="140" spans="6:7" x14ac:dyDescent="0.3">
      <c r="F140" s="147" t="s">
        <v>203</v>
      </c>
    </row>
    <row r="141" spans="6:7" x14ac:dyDescent="0.3">
      <c r="F141" s="147" t="s">
        <v>77</v>
      </c>
    </row>
    <row r="142" spans="6:7" x14ac:dyDescent="0.3">
      <c r="F142" s="147" t="s">
        <v>184</v>
      </c>
      <c r="G142" t="s">
        <v>186</v>
      </c>
    </row>
    <row r="143" spans="6:7" x14ac:dyDescent="0.3">
      <c r="F143" s="147" t="s">
        <v>283</v>
      </c>
    </row>
    <row r="144" spans="6:7" x14ac:dyDescent="0.3">
      <c r="F144" s="147" t="s">
        <v>247</v>
      </c>
      <c r="G144" t="s">
        <v>250</v>
      </c>
    </row>
    <row r="145" spans="6:7" x14ac:dyDescent="0.3">
      <c r="F145" s="147" t="s">
        <v>336</v>
      </c>
    </row>
    <row r="146" spans="6:7" x14ac:dyDescent="0.3">
      <c r="F146" s="147" t="s">
        <v>64</v>
      </c>
    </row>
    <row r="147" spans="6:7" x14ac:dyDescent="0.3">
      <c r="F147" s="147" t="s">
        <v>146</v>
      </c>
    </row>
    <row r="148" spans="6:7" x14ac:dyDescent="0.3">
      <c r="F148" s="147" t="s">
        <v>127</v>
      </c>
    </row>
    <row r="149" spans="6:7" x14ac:dyDescent="0.3">
      <c r="F149" s="147" t="s">
        <v>269</v>
      </c>
    </row>
    <row r="150" spans="6:7" x14ac:dyDescent="0.3">
      <c r="F150" s="147" t="s">
        <v>188</v>
      </c>
    </row>
    <row r="151" spans="6:7" x14ac:dyDescent="0.3">
      <c r="F151" s="147" t="s">
        <v>112</v>
      </c>
      <c r="G151" t="s">
        <v>108</v>
      </c>
    </row>
    <row r="152" spans="6:7" x14ac:dyDescent="0.3">
      <c r="F152" s="147" t="s">
        <v>227</v>
      </c>
    </row>
    <row r="153" spans="6:7" x14ac:dyDescent="0.3">
      <c r="F153" s="147" t="s">
        <v>263</v>
      </c>
    </row>
    <row r="154" spans="6:7" x14ac:dyDescent="0.3">
      <c r="F154" s="147" t="s">
        <v>179</v>
      </c>
    </row>
    <row r="155" spans="6:7" x14ac:dyDescent="0.3">
      <c r="F155" s="147" t="s">
        <v>104</v>
      </c>
      <c r="G155" t="s">
        <v>108</v>
      </c>
    </row>
    <row r="156" spans="6:7" x14ac:dyDescent="0.3">
      <c r="F156" s="147" t="s">
        <v>155</v>
      </c>
    </row>
    <row r="157" spans="6:7" x14ac:dyDescent="0.3">
      <c r="F157" s="147" t="s">
        <v>149</v>
      </c>
    </row>
  </sheetData>
  <mergeCells count="108">
    <mergeCell ref="I5:J5"/>
    <mergeCell ref="K5:K6"/>
    <mergeCell ref="L2:O6"/>
    <mergeCell ref="L7:O7"/>
    <mergeCell ref="L26:O26"/>
    <mergeCell ref="AE53:AJ63"/>
    <mergeCell ref="P2:R6"/>
    <mergeCell ref="P7:R7"/>
    <mergeCell ref="P8:R8"/>
    <mergeCell ref="P9:R9"/>
    <mergeCell ref="P10:R10"/>
    <mergeCell ref="P11:R11"/>
    <mergeCell ref="L20:O20"/>
    <mergeCell ref="L21:O21"/>
    <mergeCell ref="L22:O22"/>
    <mergeCell ref="L23:O23"/>
    <mergeCell ref="L24:O24"/>
    <mergeCell ref="L25:O25"/>
    <mergeCell ref="L14:O14"/>
    <mergeCell ref="L15:O15"/>
    <mergeCell ref="L16:O16"/>
    <mergeCell ref="L17:O17"/>
    <mergeCell ref="L18:O18"/>
    <mergeCell ref="L19:O19"/>
    <mergeCell ref="L8:O8"/>
    <mergeCell ref="L9:O9"/>
    <mergeCell ref="L10:O10"/>
    <mergeCell ref="L11:O11"/>
    <mergeCell ref="P24:R24"/>
    <mergeCell ref="P25:R25"/>
    <mergeCell ref="P26:R26"/>
    <mergeCell ref="P20:R20"/>
    <mergeCell ref="P21:R21"/>
    <mergeCell ref="P22:R22"/>
    <mergeCell ref="P23:R23"/>
    <mergeCell ref="L12:O12"/>
    <mergeCell ref="L13:O13"/>
    <mergeCell ref="S2:U6"/>
    <mergeCell ref="S7:U7"/>
    <mergeCell ref="S8:U8"/>
    <mergeCell ref="S9:U9"/>
    <mergeCell ref="S10:U10"/>
    <mergeCell ref="S11:U11"/>
    <mergeCell ref="S12:U12"/>
    <mergeCell ref="P18:R18"/>
    <mergeCell ref="P19:R19"/>
    <mergeCell ref="P12:R12"/>
    <mergeCell ref="P13:R13"/>
    <mergeCell ref="P14:R14"/>
    <mergeCell ref="P15:R15"/>
    <mergeCell ref="P16:R16"/>
    <mergeCell ref="P17:R17"/>
    <mergeCell ref="S25:U25"/>
    <mergeCell ref="S26:U26"/>
    <mergeCell ref="V2:X6"/>
    <mergeCell ref="V7:X7"/>
    <mergeCell ref="V8:X8"/>
    <mergeCell ref="V9:X9"/>
    <mergeCell ref="V10:X10"/>
    <mergeCell ref="V11:X11"/>
    <mergeCell ref="V12:X12"/>
    <mergeCell ref="V13:X13"/>
    <mergeCell ref="S19:U19"/>
    <mergeCell ref="S20:U20"/>
    <mergeCell ref="S21:U21"/>
    <mergeCell ref="S22:U22"/>
    <mergeCell ref="S23:U23"/>
    <mergeCell ref="S24:U24"/>
    <mergeCell ref="S13:U13"/>
    <mergeCell ref="S14:U14"/>
    <mergeCell ref="S15:U15"/>
    <mergeCell ref="S16:U16"/>
    <mergeCell ref="S17:U17"/>
    <mergeCell ref="S18:U18"/>
    <mergeCell ref="V26:X26"/>
    <mergeCell ref="V20:X20"/>
    <mergeCell ref="Y2:AA6"/>
    <mergeCell ref="Y7:AA7"/>
    <mergeCell ref="Y8:AA8"/>
    <mergeCell ref="Y9:AA9"/>
    <mergeCell ref="Y10:AA10"/>
    <mergeCell ref="Y11:AA11"/>
    <mergeCell ref="Y12:AA12"/>
    <mergeCell ref="Y13:AA13"/>
    <mergeCell ref="Y14:AA14"/>
    <mergeCell ref="V21:X21"/>
    <mergeCell ref="V22:X22"/>
    <mergeCell ref="V23:X23"/>
    <mergeCell ref="V24:X24"/>
    <mergeCell ref="V25:X25"/>
    <mergeCell ref="V14:X14"/>
    <mergeCell ref="V15:X15"/>
    <mergeCell ref="V16:X16"/>
    <mergeCell ref="V17:X17"/>
    <mergeCell ref="V18:X18"/>
    <mergeCell ref="V19:X19"/>
    <mergeCell ref="Y21:AA21"/>
    <mergeCell ref="Y22:AA22"/>
    <mergeCell ref="Y23:AA23"/>
    <mergeCell ref="Y24:AA24"/>
    <mergeCell ref="Y25:AA25"/>
    <mergeCell ref="Y26:AA26"/>
    <mergeCell ref="Y15:AA15"/>
    <mergeCell ref="Y16:AA16"/>
    <mergeCell ref="Y17:AA17"/>
    <mergeCell ref="Y18:AA18"/>
    <mergeCell ref="Y19:AA19"/>
    <mergeCell ref="Y20:AA20"/>
  </mergeCells>
  <dataValidations disablePrompts="1" count="1">
    <dataValidation type="list" allowBlank="1" showInputMessage="1" showErrorMessage="1" sqref="E2" xr:uid="{979623D1-CAC3-4806-8327-729988CAFCB4}">
      <formula1>$F$7:$F$26</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E11AB-4B00-409C-8518-93060204C4A1}">
  <dimension ref="A1:Z70"/>
  <sheetViews>
    <sheetView workbookViewId="0">
      <selection activeCell="I14" sqref="I14"/>
    </sheetView>
  </sheetViews>
  <sheetFormatPr baseColWidth="10" defaultColWidth="8.88671875" defaultRowHeight="14.4" x14ac:dyDescent="0.3"/>
  <cols>
    <col min="1" max="1" width="32.44140625" bestFit="1" customWidth="1"/>
    <col min="2" max="2" width="12.33203125" customWidth="1"/>
  </cols>
  <sheetData>
    <row r="1" spans="1:26" x14ac:dyDescent="0.3">
      <c r="A1" s="43" t="s">
        <v>7</v>
      </c>
      <c r="B1" s="44" t="s">
        <v>23</v>
      </c>
      <c r="C1" s="43"/>
      <c r="D1" s="44"/>
      <c r="E1" s="43"/>
      <c r="F1" s="44" t="s">
        <v>337</v>
      </c>
    </row>
    <row r="2" spans="1:26" x14ac:dyDescent="0.3">
      <c r="A2" s="45" t="s">
        <v>39</v>
      </c>
      <c r="B2" s="45" t="s">
        <v>45</v>
      </c>
      <c r="C2" s="45"/>
      <c r="D2" s="45"/>
      <c r="E2" s="45"/>
      <c r="F2" s="45" t="s">
        <v>46</v>
      </c>
    </row>
    <row r="3" spans="1:26" x14ac:dyDescent="0.3">
      <c r="A3" s="46" t="s">
        <v>56</v>
      </c>
      <c r="B3" s="46">
        <v>60</v>
      </c>
      <c r="F3">
        <f>10*B3/$B$69</f>
        <v>7.5</v>
      </c>
    </row>
    <row r="4" spans="1:26" x14ac:dyDescent="0.3">
      <c r="A4" s="46" t="s">
        <v>100</v>
      </c>
      <c r="B4" s="46">
        <v>40</v>
      </c>
      <c r="F4">
        <f>10*B4/$B$69</f>
        <v>5</v>
      </c>
    </row>
    <row r="5" spans="1:26" x14ac:dyDescent="0.3">
      <c r="A5" s="46" t="s">
        <v>256</v>
      </c>
      <c r="B5" s="46">
        <v>80</v>
      </c>
      <c r="F5">
        <f t="shared" ref="F5:F65" si="0">10*B5/$B$69</f>
        <v>10</v>
      </c>
      <c r="L5" s="209" t="s">
        <v>338</v>
      </c>
      <c r="M5" s="210"/>
      <c r="N5" s="210"/>
      <c r="O5" s="210"/>
      <c r="P5" s="210"/>
      <c r="Q5" s="210"/>
      <c r="R5" s="210"/>
      <c r="S5" s="210"/>
      <c r="T5" s="210"/>
      <c r="U5" s="210"/>
      <c r="V5" s="210"/>
      <c r="W5" s="210"/>
      <c r="X5" s="210"/>
      <c r="Y5" s="210"/>
      <c r="Z5" s="210"/>
    </row>
    <row r="6" spans="1:26" x14ac:dyDescent="0.3">
      <c r="A6" s="46" t="s">
        <v>305</v>
      </c>
      <c r="B6" s="46">
        <v>60</v>
      </c>
      <c r="F6">
        <f t="shared" si="0"/>
        <v>7.5</v>
      </c>
      <c r="L6" s="210"/>
      <c r="M6" s="210"/>
      <c r="N6" s="210"/>
      <c r="O6" s="210"/>
      <c r="P6" s="210"/>
      <c r="Q6" s="210"/>
      <c r="R6" s="210"/>
      <c r="S6" s="210"/>
      <c r="T6" s="210"/>
      <c r="U6" s="210"/>
      <c r="V6" s="210"/>
      <c r="W6" s="210"/>
      <c r="X6" s="210"/>
      <c r="Y6" s="210"/>
      <c r="Z6" s="210"/>
    </row>
    <row r="7" spans="1:26" x14ac:dyDescent="0.3">
      <c r="A7" s="46" t="s">
        <v>231</v>
      </c>
      <c r="B7" s="46">
        <v>60</v>
      </c>
      <c r="F7">
        <f t="shared" si="0"/>
        <v>7.5</v>
      </c>
      <c r="L7" s="210"/>
      <c r="M7" s="210"/>
      <c r="N7" s="210"/>
      <c r="O7" s="210"/>
      <c r="P7" s="210"/>
      <c r="Q7" s="210"/>
      <c r="R7" s="210"/>
      <c r="S7" s="210"/>
      <c r="T7" s="210"/>
      <c r="U7" s="210"/>
      <c r="V7" s="210"/>
      <c r="W7" s="210"/>
      <c r="X7" s="210"/>
      <c r="Y7" s="210"/>
      <c r="Z7" s="210"/>
    </row>
    <row r="8" spans="1:26" x14ac:dyDescent="0.3">
      <c r="A8" s="46" t="s">
        <v>143</v>
      </c>
      <c r="B8" s="46">
        <v>60</v>
      </c>
      <c r="F8">
        <f t="shared" si="0"/>
        <v>7.5</v>
      </c>
      <c r="L8" s="210"/>
      <c r="M8" s="210"/>
      <c r="N8" s="210"/>
      <c r="O8" s="210"/>
      <c r="P8" s="210"/>
      <c r="Q8" s="210"/>
      <c r="R8" s="210"/>
      <c r="S8" s="210"/>
      <c r="T8" s="210"/>
      <c r="U8" s="210"/>
      <c r="V8" s="210"/>
      <c r="W8" s="210"/>
      <c r="X8" s="210"/>
      <c r="Y8" s="210"/>
      <c r="Z8" s="210"/>
    </row>
    <row r="9" spans="1:26" x14ac:dyDescent="0.3">
      <c r="A9" s="46" t="s">
        <v>83</v>
      </c>
      <c r="B9" s="46">
        <v>60</v>
      </c>
      <c r="F9">
        <f t="shared" si="0"/>
        <v>7.5</v>
      </c>
      <c r="L9" s="210"/>
      <c r="M9" s="210"/>
      <c r="N9" s="210"/>
      <c r="O9" s="210"/>
      <c r="P9" s="210"/>
      <c r="Q9" s="210"/>
      <c r="R9" s="210"/>
      <c r="S9" s="210"/>
      <c r="T9" s="210"/>
      <c r="U9" s="210"/>
      <c r="V9" s="210"/>
      <c r="W9" s="210"/>
      <c r="X9" s="210"/>
      <c r="Y9" s="210"/>
      <c r="Z9" s="210"/>
    </row>
    <row r="10" spans="1:26" x14ac:dyDescent="0.3">
      <c r="A10" s="46" t="s">
        <v>236</v>
      </c>
      <c r="B10" s="46">
        <v>60</v>
      </c>
      <c r="F10">
        <f t="shared" si="0"/>
        <v>7.5</v>
      </c>
      <c r="L10" s="210"/>
      <c r="M10" s="210"/>
      <c r="N10" s="210"/>
      <c r="O10" s="210"/>
      <c r="P10" s="210"/>
      <c r="Q10" s="210"/>
      <c r="R10" s="210"/>
      <c r="S10" s="210"/>
      <c r="T10" s="210"/>
      <c r="U10" s="210"/>
      <c r="V10" s="210"/>
      <c r="W10" s="210"/>
      <c r="X10" s="210"/>
      <c r="Y10" s="210"/>
      <c r="Z10" s="210"/>
    </row>
    <row r="11" spans="1:26" x14ac:dyDescent="0.3">
      <c r="A11" s="46" t="s">
        <v>302</v>
      </c>
      <c r="B11" s="46">
        <v>60</v>
      </c>
      <c r="F11">
        <f t="shared" si="0"/>
        <v>7.5</v>
      </c>
      <c r="L11" s="210"/>
      <c r="M11" s="210"/>
      <c r="N11" s="210"/>
      <c r="O11" s="210"/>
      <c r="P11" s="210"/>
      <c r="Q11" s="210"/>
      <c r="R11" s="210"/>
      <c r="S11" s="210"/>
      <c r="T11" s="210"/>
      <c r="U11" s="210"/>
      <c r="V11" s="210"/>
      <c r="W11" s="210"/>
      <c r="X11" s="210"/>
      <c r="Y11" s="210"/>
      <c r="Z11" s="210"/>
    </row>
    <row r="12" spans="1:26" x14ac:dyDescent="0.3">
      <c r="A12" s="46" t="s">
        <v>252</v>
      </c>
      <c r="B12" s="46">
        <v>60</v>
      </c>
      <c r="F12">
        <f t="shared" si="0"/>
        <v>7.5</v>
      </c>
      <c r="L12" s="210"/>
      <c r="M12" s="210"/>
      <c r="N12" s="210"/>
      <c r="O12" s="210"/>
      <c r="P12" s="210"/>
      <c r="Q12" s="210"/>
      <c r="R12" s="210"/>
      <c r="S12" s="210"/>
      <c r="T12" s="210"/>
      <c r="U12" s="210"/>
      <c r="V12" s="210"/>
      <c r="W12" s="210"/>
      <c r="X12" s="210"/>
      <c r="Y12" s="210"/>
      <c r="Z12" s="210"/>
    </row>
    <row r="13" spans="1:26" x14ac:dyDescent="0.3">
      <c r="A13" s="46" t="s">
        <v>221</v>
      </c>
      <c r="B13" s="46">
        <v>40</v>
      </c>
      <c r="F13">
        <f t="shared" si="0"/>
        <v>5</v>
      </c>
      <c r="L13" s="210"/>
      <c r="M13" s="210"/>
      <c r="N13" s="210"/>
      <c r="O13" s="210"/>
      <c r="P13" s="210"/>
      <c r="Q13" s="210"/>
      <c r="R13" s="210"/>
      <c r="S13" s="210"/>
      <c r="T13" s="210"/>
      <c r="U13" s="210"/>
      <c r="V13" s="210"/>
      <c r="W13" s="210"/>
      <c r="X13" s="210"/>
      <c r="Y13" s="210"/>
      <c r="Z13" s="210"/>
    </row>
    <row r="14" spans="1:26" x14ac:dyDescent="0.3">
      <c r="A14" s="46" t="s">
        <v>313</v>
      </c>
      <c r="B14" s="46">
        <v>60</v>
      </c>
      <c r="F14">
        <f t="shared" si="0"/>
        <v>7.5</v>
      </c>
      <c r="L14" s="210"/>
      <c r="M14" s="210"/>
      <c r="N14" s="210"/>
      <c r="O14" s="210"/>
      <c r="P14" s="210"/>
      <c r="Q14" s="210"/>
      <c r="R14" s="210"/>
      <c r="S14" s="210"/>
      <c r="T14" s="210"/>
      <c r="U14" s="210"/>
      <c r="V14" s="210"/>
      <c r="W14" s="210"/>
      <c r="X14" s="210"/>
      <c r="Y14" s="210"/>
      <c r="Z14" s="210"/>
    </row>
    <row r="15" spans="1:26" x14ac:dyDescent="0.3">
      <c r="A15" s="46" t="s">
        <v>158</v>
      </c>
      <c r="B15" s="46">
        <v>60</v>
      </c>
      <c r="F15">
        <f t="shared" si="0"/>
        <v>7.5</v>
      </c>
      <c r="L15" s="210"/>
      <c r="M15" s="210"/>
      <c r="N15" s="210"/>
      <c r="O15" s="210"/>
      <c r="P15" s="210"/>
      <c r="Q15" s="210"/>
      <c r="R15" s="210"/>
      <c r="S15" s="210"/>
      <c r="T15" s="210"/>
      <c r="U15" s="210"/>
      <c r="V15" s="210"/>
      <c r="W15" s="210"/>
      <c r="X15" s="210"/>
      <c r="Y15" s="210"/>
      <c r="Z15" s="210"/>
    </row>
    <row r="16" spans="1:26" x14ac:dyDescent="0.3">
      <c r="A16" s="46" t="s">
        <v>287</v>
      </c>
      <c r="B16" s="46">
        <v>60</v>
      </c>
      <c r="F16">
        <f t="shared" si="0"/>
        <v>7.5</v>
      </c>
      <c r="L16" s="210"/>
      <c r="M16" s="210"/>
      <c r="N16" s="210"/>
      <c r="O16" s="210"/>
      <c r="P16" s="210"/>
      <c r="Q16" s="210"/>
      <c r="R16" s="210"/>
      <c r="S16" s="210"/>
      <c r="T16" s="210"/>
      <c r="U16" s="210"/>
      <c r="V16" s="210"/>
      <c r="W16" s="210"/>
      <c r="X16" s="210"/>
      <c r="Y16" s="210"/>
      <c r="Z16" s="210"/>
    </row>
    <row r="17" spans="1:26" x14ac:dyDescent="0.3">
      <c r="A17" s="46" t="s">
        <v>240</v>
      </c>
      <c r="B17" s="46">
        <v>60</v>
      </c>
      <c r="F17">
        <f t="shared" si="0"/>
        <v>7.5</v>
      </c>
      <c r="L17" s="210"/>
      <c r="M17" s="210"/>
      <c r="N17" s="210"/>
      <c r="O17" s="210"/>
      <c r="P17" s="210"/>
      <c r="Q17" s="210"/>
      <c r="R17" s="210"/>
      <c r="S17" s="210"/>
      <c r="T17" s="210"/>
      <c r="U17" s="210"/>
      <c r="V17" s="210"/>
      <c r="W17" s="210"/>
      <c r="X17" s="210"/>
      <c r="Y17" s="210"/>
      <c r="Z17" s="210"/>
    </row>
    <row r="18" spans="1:26" x14ac:dyDescent="0.3">
      <c r="A18" s="46" t="s">
        <v>177</v>
      </c>
      <c r="B18" s="46">
        <v>80</v>
      </c>
      <c r="F18">
        <f t="shared" si="0"/>
        <v>10</v>
      </c>
      <c r="L18" s="210"/>
      <c r="M18" s="210"/>
      <c r="N18" s="210"/>
      <c r="O18" s="210"/>
      <c r="P18" s="210"/>
      <c r="Q18" s="210"/>
      <c r="R18" s="210"/>
      <c r="S18" s="210"/>
      <c r="T18" s="210"/>
      <c r="U18" s="210"/>
      <c r="V18" s="210"/>
      <c r="W18" s="210"/>
      <c r="X18" s="210"/>
      <c r="Y18" s="210"/>
      <c r="Z18" s="210"/>
    </row>
    <row r="19" spans="1:26" x14ac:dyDescent="0.3">
      <c r="A19" s="46" t="s">
        <v>218</v>
      </c>
      <c r="B19" s="46">
        <v>60</v>
      </c>
      <c r="F19">
        <f t="shared" si="0"/>
        <v>7.5</v>
      </c>
      <c r="L19" s="210"/>
      <c r="M19" s="210"/>
      <c r="N19" s="210"/>
      <c r="O19" s="210"/>
      <c r="P19" s="210"/>
      <c r="Q19" s="210"/>
      <c r="R19" s="210"/>
      <c r="S19" s="210"/>
      <c r="T19" s="210"/>
      <c r="U19" s="210"/>
      <c r="V19" s="210"/>
      <c r="W19" s="210"/>
      <c r="X19" s="210"/>
      <c r="Y19" s="210"/>
      <c r="Z19" s="210"/>
    </row>
    <row r="20" spans="1:26" x14ac:dyDescent="0.3">
      <c r="A20" s="46" t="s">
        <v>89</v>
      </c>
      <c r="B20" s="46">
        <v>70</v>
      </c>
      <c r="F20">
        <f t="shared" si="0"/>
        <v>8.75</v>
      </c>
      <c r="L20" s="210"/>
      <c r="M20" s="210"/>
      <c r="N20" s="210"/>
      <c r="O20" s="210"/>
      <c r="P20" s="210"/>
      <c r="Q20" s="210"/>
      <c r="R20" s="210"/>
      <c r="S20" s="210"/>
      <c r="T20" s="210"/>
      <c r="U20" s="210"/>
      <c r="V20" s="210"/>
      <c r="W20" s="210"/>
      <c r="X20" s="210"/>
      <c r="Y20" s="210"/>
      <c r="Z20" s="210"/>
    </row>
    <row r="21" spans="1:26" x14ac:dyDescent="0.3">
      <c r="A21" s="46" t="s">
        <v>213</v>
      </c>
      <c r="B21" s="46">
        <v>60</v>
      </c>
      <c r="F21">
        <f t="shared" si="0"/>
        <v>7.5</v>
      </c>
      <c r="L21" s="210"/>
      <c r="M21" s="210"/>
      <c r="N21" s="210"/>
      <c r="O21" s="210"/>
      <c r="P21" s="210"/>
      <c r="Q21" s="210"/>
      <c r="R21" s="210"/>
      <c r="S21" s="210"/>
      <c r="T21" s="210"/>
      <c r="U21" s="210"/>
      <c r="V21" s="210"/>
      <c r="W21" s="210"/>
      <c r="X21" s="210"/>
      <c r="Y21" s="210"/>
      <c r="Z21" s="210"/>
    </row>
    <row r="22" spans="1:26" x14ac:dyDescent="0.3">
      <c r="A22" s="46" t="s">
        <v>166</v>
      </c>
      <c r="B22" s="46">
        <v>80</v>
      </c>
      <c r="F22">
        <f t="shared" si="0"/>
        <v>10</v>
      </c>
      <c r="L22" s="210"/>
      <c r="M22" s="210"/>
      <c r="N22" s="210"/>
      <c r="O22" s="210"/>
      <c r="P22" s="210"/>
      <c r="Q22" s="210"/>
      <c r="R22" s="210"/>
      <c r="S22" s="210"/>
      <c r="T22" s="210"/>
      <c r="U22" s="210"/>
      <c r="V22" s="210"/>
      <c r="W22" s="210"/>
      <c r="X22" s="210"/>
      <c r="Y22" s="210"/>
      <c r="Z22" s="210"/>
    </row>
    <row r="23" spans="1:26" x14ac:dyDescent="0.3">
      <c r="A23" s="46" t="s">
        <v>174</v>
      </c>
      <c r="B23" s="46">
        <v>80</v>
      </c>
      <c r="F23">
        <f t="shared" si="0"/>
        <v>10</v>
      </c>
      <c r="L23" s="210"/>
      <c r="M23" s="210"/>
      <c r="N23" s="210"/>
      <c r="O23" s="210"/>
      <c r="P23" s="210"/>
      <c r="Q23" s="210"/>
      <c r="R23" s="210"/>
      <c r="S23" s="210"/>
      <c r="T23" s="210"/>
      <c r="U23" s="210"/>
      <c r="V23" s="210"/>
      <c r="W23" s="210"/>
      <c r="X23" s="210"/>
      <c r="Y23" s="210"/>
      <c r="Z23" s="210"/>
    </row>
    <row r="24" spans="1:26" x14ac:dyDescent="0.3">
      <c r="A24" s="46" t="s">
        <v>117</v>
      </c>
      <c r="B24" s="46">
        <v>60</v>
      </c>
      <c r="F24">
        <f t="shared" si="0"/>
        <v>7.5</v>
      </c>
      <c r="L24" s="210"/>
      <c r="M24" s="210"/>
      <c r="N24" s="210"/>
      <c r="O24" s="210"/>
      <c r="P24" s="210"/>
      <c r="Q24" s="210"/>
      <c r="R24" s="210"/>
      <c r="S24" s="210"/>
      <c r="T24" s="210"/>
      <c r="U24" s="210"/>
      <c r="V24" s="210"/>
      <c r="W24" s="210"/>
      <c r="X24" s="210"/>
      <c r="Y24" s="210"/>
      <c r="Z24" s="210"/>
    </row>
    <row r="25" spans="1:26" x14ac:dyDescent="0.3">
      <c r="A25" s="46" t="s">
        <v>215</v>
      </c>
      <c r="B25" s="46">
        <v>60</v>
      </c>
      <c r="F25">
        <f t="shared" si="0"/>
        <v>7.5</v>
      </c>
      <c r="L25" s="210"/>
      <c r="M25" s="210"/>
      <c r="N25" s="210"/>
      <c r="O25" s="210"/>
      <c r="P25" s="210"/>
      <c r="Q25" s="210"/>
      <c r="R25" s="210"/>
      <c r="S25" s="210"/>
      <c r="T25" s="210"/>
      <c r="U25" s="210"/>
      <c r="V25" s="210"/>
      <c r="W25" s="210"/>
      <c r="X25" s="210"/>
      <c r="Y25" s="210"/>
      <c r="Z25" s="210"/>
    </row>
    <row r="26" spans="1:26" x14ac:dyDescent="0.3">
      <c r="A26" s="46" t="s">
        <v>95</v>
      </c>
      <c r="B26" s="46">
        <v>60</v>
      </c>
      <c r="F26">
        <f t="shared" si="0"/>
        <v>7.5</v>
      </c>
      <c r="L26" s="210"/>
      <c r="M26" s="210"/>
      <c r="N26" s="210"/>
      <c r="O26" s="210"/>
      <c r="P26" s="210"/>
      <c r="Q26" s="210"/>
      <c r="R26" s="210"/>
      <c r="S26" s="210"/>
      <c r="T26" s="210"/>
      <c r="U26" s="210"/>
      <c r="V26" s="210"/>
      <c r="W26" s="210"/>
      <c r="X26" s="210"/>
      <c r="Y26" s="210"/>
      <c r="Z26" s="210"/>
    </row>
    <row r="27" spans="1:26" x14ac:dyDescent="0.3">
      <c r="A27" s="46" t="s">
        <v>274</v>
      </c>
      <c r="B27" s="46">
        <v>60</v>
      </c>
      <c r="F27">
        <f t="shared" si="0"/>
        <v>7.5</v>
      </c>
      <c r="L27" s="210"/>
      <c r="M27" s="210"/>
      <c r="N27" s="210"/>
      <c r="O27" s="210"/>
      <c r="P27" s="210"/>
      <c r="Q27" s="210"/>
      <c r="R27" s="210"/>
      <c r="S27" s="210"/>
      <c r="T27" s="210"/>
      <c r="U27" s="210"/>
      <c r="V27" s="210"/>
      <c r="W27" s="210"/>
      <c r="X27" s="210"/>
      <c r="Y27" s="210"/>
      <c r="Z27" s="210"/>
    </row>
    <row r="28" spans="1:26" x14ac:dyDescent="0.3">
      <c r="A28" s="46" t="s">
        <v>279</v>
      </c>
      <c r="B28">
        <v>60</v>
      </c>
      <c r="F28">
        <f t="shared" si="0"/>
        <v>7.5</v>
      </c>
      <c r="L28" s="210"/>
      <c r="M28" s="210"/>
      <c r="N28" s="210"/>
      <c r="O28" s="210"/>
      <c r="P28" s="210"/>
      <c r="Q28" s="210"/>
      <c r="R28" s="210"/>
      <c r="S28" s="210"/>
      <c r="T28" s="210"/>
      <c r="U28" s="210"/>
      <c r="V28" s="210"/>
      <c r="W28" s="210"/>
      <c r="X28" s="210"/>
      <c r="Y28" s="210"/>
      <c r="Z28" s="210"/>
    </row>
    <row r="29" spans="1:26" x14ac:dyDescent="0.3">
      <c r="A29" s="46" t="s">
        <v>153</v>
      </c>
      <c r="B29" s="46">
        <v>40</v>
      </c>
      <c r="F29">
        <f t="shared" si="0"/>
        <v>5</v>
      </c>
      <c r="L29" s="210"/>
      <c r="M29" s="210"/>
      <c r="N29" s="210"/>
      <c r="O29" s="210"/>
      <c r="P29" s="210"/>
      <c r="Q29" s="210"/>
      <c r="R29" s="210"/>
      <c r="S29" s="210"/>
      <c r="T29" s="210"/>
      <c r="U29" s="210"/>
      <c r="V29" s="210"/>
      <c r="W29" s="210"/>
      <c r="X29" s="210"/>
      <c r="Y29" s="210"/>
      <c r="Z29" s="210"/>
    </row>
    <row r="30" spans="1:26" x14ac:dyDescent="0.3">
      <c r="A30" s="46" t="s">
        <v>191</v>
      </c>
      <c r="B30">
        <v>40</v>
      </c>
      <c r="F30">
        <f t="shared" si="0"/>
        <v>5</v>
      </c>
      <c r="L30" s="210"/>
      <c r="M30" s="210"/>
      <c r="N30" s="210"/>
      <c r="O30" s="210"/>
      <c r="P30" s="210"/>
      <c r="Q30" s="210"/>
      <c r="R30" s="210"/>
      <c r="S30" s="210"/>
      <c r="T30" s="210"/>
      <c r="U30" s="210"/>
      <c r="V30" s="210"/>
      <c r="W30" s="210"/>
      <c r="X30" s="210"/>
      <c r="Y30" s="210"/>
      <c r="Z30" s="210"/>
    </row>
    <row r="31" spans="1:26" x14ac:dyDescent="0.3">
      <c r="A31" s="46" t="s">
        <v>297</v>
      </c>
      <c r="B31">
        <v>60</v>
      </c>
      <c r="F31">
        <f t="shared" si="0"/>
        <v>7.5</v>
      </c>
      <c r="L31" s="210"/>
      <c r="M31" s="210"/>
      <c r="N31" s="210"/>
      <c r="O31" s="210"/>
      <c r="P31" s="210"/>
      <c r="Q31" s="210"/>
      <c r="R31" s="210"/>
      <c r="S31" s="210"/>
      <c r="T31" s="210"/>
      <c r="U31" s="210"/>
      <c r="V31" s="210"/>
      <c r="W31" s="210"/>
      <c r="X31" s="210"/>
      <c r="Y31" s="210"/>
      <c r="Z31" s="210"/>
    </row>
    <row r="32" spans="1:26" x14ac:dyDescent="0.3">
      <c r="A32" s="46" t="s">
        <v>170</v>
      </c>
      <c r="B32">
        <v>20</v>
      </c>
      <c r="F32">
        <f t="shared" si="0"/>
        <v>2.5</v>
      </c>
      <c r="L32" s="210"/>
      <c r="M32" s="210"/>
      <c r="N32" s="210"/>
      <c r="O32" s="210"/>
      <c r="P32" s="210"/>
      <c r="Q32" s="210"/>
      <c r="R32" s="210"/>
      <c r="S32" s="210"/>
      <c r="T32" s="210"/>
      <c r="U32" s="210"/>
      <c r="V32" s="210"/>
      <c r="W32" s="210"/>
      <c r="X32" s="210"/>
      <c r="Y32" s="210"/>
      <c r="Z32" s="210"/>
    </row>
    <row r="33" spans="1:26" x14ac:dyDescent="0.3">
      <c r="A33" s="46" t="s">
        <v>135</v>
      </c>
      <c r="B33">
        <v>60</v>
      </c>
      <c r="F33">
        <f t="shared" si="0"/>
        <v>7.5</v>
      </c>
      <c r="L33" s="210"/>
      <c r="M33" s="210"/>
      <c r="N33" s="210"/>
      <c r="O33" s="210"/>
      <c r="P33" s="210"/>
      <c r="Q33" s="210"/>
      <c r="R33" s="210"/>
      <c r="S33" s="210"/>
      <c r="T33" s="210"/>
      <c r="U33" s="210"/>
      <c r="V33" s="210"/>
      <c r="W33" s="210"/>
      <c r="X33" s="210"/>
      <c r="Y33" s="210"/>
      <c r="Z33" s="210"/>
    </row>
    <row r="34" spans="1:26" x14ac:dyDescent="0.3">
      <c r="A34" s="46" t="s">
        <v>200</v>
      </c>
      <c r="B34">
        <v>60</v>
      </c>
      <c r="F34">
        <f t="shared" si="0"/>
        <v>7.5</v>
      </c>
      <c r="L34" s="210"/>
      <c r="M34" s="210"/>
      <c r="N34" s="210"/>
      <c r="O34" s="210"/>
      <c r="P34" s="210"/>
      <c r="Q34" s="210"/>
      <c r="R34" s="210"/>
      <c r="S34" s="210"/>
      <c r="T34" s="210"/>
      <c r="U34" s="210"/>
      <c r="V34" s="210"/>
      <c r="W34" s="210"/>
      <c r="X34" s="210"/>
      <c r="Y34" s="210"/>
      <c r="Z34" s="210"/>
    </row>
    <row r="35" spans="1:26" x14ac:dyDescent="0.3">
      <c r="A35" s="46" t="s">
        <v>243</v>
      </c>
      <c r="B35">
        <v>80</v>
      </c>
      <c r="F35">
        <f t="shared" si="0"/>
        <v>10</v>
      </c>
    </row>
    <row r="36" spans="1:26" x14ac:dyDescent="0.3">
      <c r="A36" s="46" t="s">
        <v>139</v>
      </c>
      <c r="B36">
        <v>60</v>
      </c>
      <c r="F36">
        <f t="shared" si="0"/>
        <v>7.5</v>
      </c>
    </row>
    <row r="37" spans="1:26" x14ac:dyDescent="0.3">
      <c r="A37" s="46" t="s">
        <v>292</v>
      </c>
      <c r="B37">
        <v>80</v>
      </c>
      <c r="F37">
        <f t="shared" si="0"/>
        <v>10</v>
      </c>
    </row>
    <row r="38" spans="1:26" x14ac:dyDescent="0.3">
      <c r="A38" s="46" t="s">
        <v>121</v>
      </c>
      <c r="B38">
        <v>60</v>
      </c>
      <c r="F38">
        <f t="shared" si="0"/>
        <v>7.5</v>
      </c>
    </row>
    <row r="39" spans="1:26" x14ac:dyDescent="0.3">
      <c r="A39" s="46" t="s">
        <v>130</v>
      </c>
      <c r="B39">
        <v>30</v>
      </c>
      <c r="F39">
        <f t="shared" si="0"/>
        <v>3.75</v>
      </c>
    </row>
    <row r="40" spans="1:26" x14ac:dyDescent="0.3">
      <c r="A40" s="46" t="s">
        <v>161</v>
      </c>
      <c r="B40">
        <v>56</v>
      </c>
      <c r="F40">
        <f t="shared" si="0"/>
        <v>7</v>
      </c>
    </row>
    <row r="41" spans="1:26" x14ac:dyDescent="0.3">
      <c r="A41" s="46" t="s">
        <v>224</v>
      </c>
      <c r="B41">
        <v>40</v>
      </c>
      <c r="F41">
        <f t="shared" si="0"/>
        <v>5</v>
      </c>
    </row>
    <row r="42" spans="1:26" x14ac:dyDescent="0.3">
      <c r="A42" s="46" t="s">
        <v>259</v>
      </c>
      <c r="B42">
        <v>60</v>
      </c>
      <c r="F42">
        <f t="shared" si="0"/>
        <v>7.5</v>
      </c>
    </row>
    <row r="43" spans="1:26" x14ac:dyDescent="0.3">
      <c r="A43" s="46" t="s">
        <v>208</v>
      </c>
      <c r="B43">
        <v>60</v>
      </c>
      <c r="F43">
        <f t="shared" si="0"/>
        <v>7.5</v>
      </c>
    </row>
    <row r="44" spans="1:26" x14ac:dyDescent="0.3">
      <c r="A44" s="46" t="s">
        <v>196</v>
      </c>
      <c r="B44">
        <v>60</v>
      </c>
      <c r="F44">
        <f t="shared" si="0"/>
        <v>7.5</v>
      </c>
    </row>
    <row r="45" spans="1:26" x14ac:dyDescent="0.3">
      <c r="A45" s="47" t="s">
        <v>309</v>
      </c>
      <c r="B45">
        <v>80</v>
      </c>
      <c r="F45">
        <f t="shared" si="0"/>
        <v>10</v>
      </c>
    </row>
    <row r="46" spans="1:26" x14ac:dyDescent="0.3">
      <c r="A46" s="47" t="s">
        <v>72</v>
      </c>
      <c r="B46">
        <v>60</v>
      </c>
      <c r="F46">
        <f t="shared" si="0"/>
        <v>7.5</v>
      </c>
    </row>
    <row r="47" spans="1:26" x14ac:dyDescent="0.3">
      <c r="A47" s="47" t="s">
        <v>47</v>
      </c>
      <c r="B47">
        <v>60</v>
      </c>
      <c r="F47">
        <f t="shared" si="0"/>
        <v>7.5</v>
      </c>
    </row>
    <row r="48" spans="1:26" x14ac:dyDescent="0.3">
      <c r="A48" s="47" t="s">
        <v>203</v>
      </c>
      <c r="B48">
        <v>40</v>
      </c>
      <c r="F48">
        <f t="shared" si="0"/>
        <v>5</v>
      </c>
    </row>
    <row r="49" spans="1:6" x14ac:dyDescent="0.3">
      <c r="A49" s="47" t="s">
        <v>77</v>
      </c>
      <c r="B49">
        <v>30</v>
      </c>
      <c r="F49">
        <f t="shared" si="0"/>
        <v>3.75</v>
      </c>
    </row>
    <row r="50" spans="1:6" x14ac:dyDescent="0.3">
      <c r="A50" s="47" t="s">
        <v>184</v>
      </c>
      <c r="B50">
        <v>60</v>
      </c>
      <c r="F50">
        <f t="shared" si="0"/>
        <v>7.5</v>
      </c>
    </row>
    <row r="51" spans="1:6" x14ac:dyDescent="0.3">
      <c r="A51" s="47" t="s">
        <v>283</v>
      </c>
      <c r="B51">
        <v>60</v>
      </c>
      <c r="F51">
        <f t="shared" si="0"/>
        <v>7.5</v>
      </c>
    </row>
    <row r="52" spans="1:6" x14ac:dyDescent="0.3">
      <c r="A52" s="47" t="s">
        <v>247</v>
      </c>
      <c r="B52">
        <v>28</v>
      </c>
      <c r="F52">
        <f t="shared" si="0"/>
        <v>3.5</v>
      </c>
    </row>
    <row r="53" spans="1:6" x14ac:dyDescent="0.3">
      <c r="A53" s="46" t="s">
        <v>336</v>
      </c>
      <c r="B53">
        <v>60</v>
      </c>
      <c r="F53">
        <f t="shared" si="0"/>
        <v>7.5</v>
      </c>
    </row>
    <row r="54" spans="1:6" x14ac:dyDescent="0.3">
      <c r="A54" s="46" t="s">
        <v>64</v>
      </c>
      <c r="B54">
        <v>40</v>
      </c>
      <c r="F54">
        <f t="shared" si="0"/>
        <v>5</v>
      </c>
    </row>
    <row r="55" spans="1:6" x14ac:dyDescent="0.3">
      <c r="A55" s="46" t="s">
        <v>146</v>
      </c>
      <c r="B55">
        <v>40</v>
      </c>
      <c r="F55">
        <f t="shared" si="0"/>
        <v>5</v>
      </c>
    </row>
    <row r="56" spans="1:6" x14ac:dyDescent="0.3">
      <c r="A56" s="46" t="s">
        <v>127</v>
      </c>
      <c r="B56">
        <v>60</v>
      </c>
      <c r="F56">
        <f t="shared" si="0"/>
        <v>7.5</v>
      </c>
    </row>
    <row r="57" spans="1:6" x14ac:dyDescent="0.3">
      <c r="A57" s="46" t="s">
        <v>269</v>
      </c>
      <c r="B57">
        <v>60</v>
      </c>
      <c r="F57">
        <f t="shared" si="0"/>
        <v>7.5</v>
      </c>
    </row>
    <row r="58" spans="1:6" x14ac:dyDescent="0.3">
      <c r="A58" s="46" t="s">
        <v>188</v>
      </c>
      <c r="B58" s="52">
        <v>32</v>
      </c>
      <c r="F58">
        <f t="shared" si="0"/>
        <v>4</v>
      </c>
    </row>
    <row r="59" spans="1:6" x14ac:dyDescent="0.3">
      <c r="A59" s="46" t="s">
        <v>112</v>
      </c>
      <c r="B59">
        <v>5</v>
      </c>
      <c r="F59">
        <f t="shared" si="0"/>
        <v>0.625</v>
      </c>
    </row>
    <row r="60" spans="1:6" x14ac:dyDescent="0.3">
      <c r="A60" s="46" t="s">
        <v>227</v>
      </c>
      <c r="B60">
        <v>40</v>
      </c>
      <c r="F60">
        <f t="shared" si="0"/>
        <v>5</v>
      </c>
    </row>
    <row r="61" spans="1:6" x14ac:dyDescent="0.3">
      <c r="A61" s="46" t="s">
        <v>263</v>
      </c>
      <c r="B61">
        <v>60</v>
      </c>
      <c r="F61">
        <f t="shared" si="0"/>
        <v>7.5</v>
      </c>
    </row>
    <row r="62" spans="1:6" x14ac:dyDescent="0.3">
      <c r="A62" s="46" t="s">
        <v>179</v>
      </c>
      <c r="B62">
        <v>20</v>
      </c>
      <c r="F62">
        <f t="shared" si="0"/>
        <v>2.5</v>
      </c>
    </row>
    <row r="63" spans="1:6" x14ac:dyDescent="0.3">
      <c r="A63" s="46" t="s">
        <v>104</v>
      </c>
      <c r="B63">
        <v>12</v>
      </c>
      <c r="F63">
        <f t="shared" si="0"/>
        <v>1.5</v>
      </c>
    </row>
    <row r="64" spans="1:6" x14ac:dyDescent="0.3">
      <c r="A64" s="46" t="s">
        <v>155</v>
      </c>
      <c r="B64">
        <v>20</v>
      </c>
      <c r="F64">
        <f t="shared" si="0"/>
        <v>2.5</v>
      </c>
    </row>
    <row r="65" spans="1:6" x14ac:dyDescent="0.3">
      <c r="A65" s="46" t="s">
        <v>149</v>
      </c>
      <c r="B65">
        <v>20</v>
      </c>
      <c r="F65">
        <f t="shared" si="0"/>
        <v>2.5</v>
      </c>
    </row>
    <row r="69" spans="1:6" x14ac:dyDescent="0.3">
      <c r="A69" t="s">
        <v>333</v>
      </c>
      <c r="B69">
        <f>MAX(B3:B65)</f>
        <v>80</v>
      </c>
    </row>
    <row r="70" spans="1:6" x14ac:dyDescent="0.3">
      <c r="A70" t="s">
        <v>339</v>
      </c>
      <c r="B70">
        <f>MIN(B3:B65)</f>
        <v>5</v>
      </c>
    </row>
  </sheetData>
  <mergeCells count="1">
    <mergeCell ref="L5:Z34"/>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DEAF95-94E0-4BE6-AFC1-918DA66812D3}">
  <dimension ref="A1:X66"/>
  <sheetViews>
    <sheetView zoomScale="55" zoomScaleNormal="55" workbookViewId="0">
      <selection sqref="A1:XFD1"/>
    </sheetView>
  </sheetViews>
  <sheetFormatPr baseColWidth="10" defaultColWidth="8.88671875" defaultRowHeight="15" customHeight="1" x14ac:dyDescent="0.3"/>
  <cols>
    <col min="1" max="1" width="32.44140625" bestFit="1" customWidth="1"/>
    <col min="2" max="2" width="24.88671875" bestFit="1" customWidth="1"/>
    <col min="3" max="3" width="13.6640625" customWidth="1"/>
    <col min="4" max="5" width="9" customWidth="1"/>
    <col min="6" max="6" width="15.109375" customWidth="1"/>
    <col min="7" max="7" width="11" customWidth="1"/>
    <col min="8" max="8" width="8" customWidth="1"/>
    <col min="9" max="9" width="10.88671875" customWidth="1"/>
    <col min="10" max="10" width="9" customWidth="1"/>
    <col min="11" max="11" width="11" customWidth="1"/>
    <col min="12" max="12" width="9" customWidth="1"/>
  </cols>
  <sheetData>
    <row r="1" spans="1:24" ht="58.5" customHeight="1" x14ac:dyDescent="0.3">
      <c r="A1" s="133" t="s">
        <v>7</v>
      </c>
      <c r="B1" s="134" t="s">
        <v>8</v>
      </c>
      <c r="C1" s="135" t="s">
        <v>17</v>
      </c>
      <c r="D1" s="135" t="s">
        <v>18</v>
      </c>
      <c r="E1" s="136" t="s">
        <v>340</v>
      </c>
      <c r="F1" s="136" t="s">
        <v>341</v>
      </c>
      <c r="G1" s="137" t="s">
        <v>342</v>
      </c>
      <c r="H1" s="137" t="s">
        <v>343</v>
      </c>
      <c r="I1" s="137" t="s">
        <v>344</v>
      </c>
      <c r="J1" s="137" t="s">
        <v>345</v>
      </c>
      <c r="K1" s="137" t="s">
        <v>346</v>
      </c>
      <c r="L1" s="138" t="s">
        <v>347</v>
      </c>
      <c r="M1" s="98"/>
      <c r="N1" s="98"/>
      <c r="O1" s="98"/>
      <c r="P1" s="98"/>
      <c r="Q1" s="98"/>
      <c r="R1" s="98"/>
      <c r="S1" s="98"/>
      <c r="T1" s="98"/>
      <c r="U1" s="98"/>
      <c r="V1" s="98"/>
      <c r="W1" s="98"/>
      <c r="X1" s="98"/>
    </row>
    <row r="2" spans="1:24" ht="14.4" x14ac:dyDescent="0.3">
      <c r="A2" s="139" t="s">
        <v>39</v>
      </c>
      <c r="B2" s="140">
        <v>0</v>
      </c>
      <c r="C2" s="140" t="s">
        <v>348</v>
      </c>
      <c r="D2" s="140" t="s">
        <v>349</v>
      </c>
      <c r="E2" s="140" t="s">
        <v>44</v>
      </c>
      <c r="F2" s="161" t="s">
        <v>46</v>
      </c>
      <c r="G2" s="140" t="s">
        <v>44</v>
      </c>
      <c r="H2" s="140" t="s">
        <v>46</v>
      </c>
      <c r="I2" s="140" t="s">
        <v>44</v>
      </c>
      <c r="J2" s="140" t="s">
        <v>46</v>
      </c>
      <c r="K2" s="140" t="s">
        <v>44</v>
      </c>
      <c r="L2" s="141" t="s">
        <v>46</v>
      </c>
      <c r="M2" s="98"/>
      <c r="N2" s="98"/>
      <c r="O2" s="98"/>
      <c r="P2" s="98"/>
      <c r="Q2" s="98"/>
      <c r="R2" s="98"/>
      <c r="S2" s="98"/>
      <c r="T2" s="98"/>
      <c r="U2" s="98"/>
      <c r="V2" s="98"/>
      <c r="W2" s="98"/>
      <c r="X2" s="98"/>
    </row>
    <row r="3" spans="1:24" ht="14.4" x14ac:dyDescent="0.3">
      <c r="A3" s="98" t="s">
        <v>112</v>
      </c>
      <c r="B3" s="98" t="s">
        <v>105</v>
      </c>
      <c r="C3" s="98">
        <v>0</v>
      </c>
      <c r="D3" s="98">
        <v>100</v>
      </c>
      <c r="E3" s="98" t="s">
        <v>350</v>
      </c>
      <c r="F3" s="162">
        <v>0</v>
      </c>
      <c r="G3" s="98" t="s">
        <v>350</v>
      </c>
      <c r="H3" s="98">
        <v>0</v>
      </c>
      <c r="I3" s="98" t="s">
        <v>350</v>
      </c>
      <c r="J3" s="98">
        <v>0</v>
      </c>
      <c r="K3" s="98" t="s">
        <v>350</v>
      </c>
      <c r="L3" s="98">
        <v>0</v>
      </c>
      <c r="M3" s="98" t="s">
        <v>351</v>
      </c>
      <c r="N3" s="98" t="s">
        <v>351</v>
      </c>
      <c r="O3" s="98" t="s">
        <v>351</v>
      </c>
      <c r="P3" s="98" t="s">
        <v>351</v>
      </c>
      <c r="Q3" s="98" t="s">
        <v>351</v>
      </c>
      <c r="R3" s="98" t="s">
        <v>351</v>
      </c>
      <c r="S3" s="98" t="s">
        <v>351</v>
      </c>
      <c r="T3" s="98" t="s">
        <v>351</v>
      </c>
      <c r="U3" s="98" t="s">
        <v>351</v>
      </c>
      <c r="V3" s="98" t="s">
        <v>351</v>
      </c>
      <c r="W3" s="98" t="s">
        <v>351</v>
      </c>
      <c r="X3" s="98" t="s">
        <v>351</v>
      </c>
    </row>
    <row r="4" spans="1:24" ht="15.6" x14ac:dyDescent="0.3">
      <c r="A4" s="98" t="s">
        <v>117</v>
      </c>
      <c r="B4" s="98" t="s">
        <v>57</v>
      </c>
      <c r="C4" s="98">
        <v>0</v>
      </c>
      <c r="D4" s="98">
        <v>400</v>
      </c>
      <c r="E4" s="98" t="s">
        <v>350</v>
      </c>
      <c r="F4" s="162">
        <v>0</v>
      </c>
      <c r="G4" s="98" t="s">
        <v>350</v>
      </c>
      <c r="H4" s="98">
        <v>0</v>
      </c>
      <c r="I4" s="98" t="s">
        <v>350</v>
      </c>
      <c r="J4" s="98">
        <v>0</v>
      </c>
      <c r="K4" s="98" t="s">
        <v>350</v>
      </c>
      <c r="L4" s="98">
        <v>0</v>
      </c>
      <c r="M4" s="98"/>
      <c r="N4" s="98"/>
      <c r="O4" s="98"/>
      <c r="P4" s="98"/>
      <c r="Q4" s="98"/>
      <c r="R4" s="98"/>
      <c r="S4" s="98"/>
      <c r="T4" s="91"/>
      <c r="U4" s="98"/>
      <c r="V4" s="98"/>
      <c r="W4" s="98"/>
      <c r="X4" s="98"/>
    </row>
    <row r="5" spans="1:24" ht="14.4" x14ac:dyDescent="0.3">
      <c r="A5" s="98" t="s">
        <v>143</v>
      </c>
      <c r="B5" s="98" t="s">
        <v>57</v>
      </c>
      <c r="C5" s="98">
        <v>0</v>
      </c>
      <c r="D5" s="98">
        <v>200</v>
      </c>
      <c r="E5" s="98" t="s">
        <v>350</v>
      </c>
      <c r="F5" s="162">
        <v>0</v>
      </c>
      <c r="G5" s="98" t="s">
        <v>350</v>
      </c>
      <c r="H5" s="98">
        <v>0</v>
      </c>
      <c r="I5" s="98" t="s">
        <v>350</v>
      </c>
      <c r="J5" s="98">
        <v>0</v>
      </c>
      <c r="K5" s="98" t="s">
        <v>350</v>
      </c>
      <c r="L5" s="98">
        <v>0</v>
      </c>
      <c r="M5" s="98"/>
      <c r="N5" s="98"/>
      <c r="O5" s="98"/>
      <c r="P5" s="98"/>
      <c r="Q5" s="98"/>
      <c r="R5" s="98"/>
      <c r="S5" s="98"/>
      <c r="T5" s="98"/>
      <c r="U5" s="98"/>
      <c r="V5" s="98"/>
      <c r="W5" s="98"/>
      <c r="X5" s="98"/>
    </row>
    <row r="6" spans="1:24" ht="14.4" x14ac:dyDescent="0.3">
      <c r="A6" s="98" t="s">
        <v>155</v>
      </c>
      <c r="B6" s="98" t="s">
        <v>65</v>
      </c>
      <c r="C6" s="98">
        <v>0</v>
      </c>
      <c r="D6" s="98">
        <v>30</v>
      </c>
      <c r="E6" s="98" t="s">
        <v>350</v>
      </c>
      <c r="F6" s="162">
        <v>0</v>
      </c>
      <c r="G6" s="98" t="s">
        <v>350</v>
      </c>
      <c r="H6" s="98">
        <v>0</v>
      </c>
      <c r="I6" s="98" t="s">
        <v>350</v>
      </c>
      <c r="J6" s="98">
        <v>0</v>
      </c>
      <c r="K6" s="98" t="s">
        <v>350</v>
      </c>
      <c r="L6" s="98">
        <v>0</v>
      </c>
      <c r="M6" s="98"/>
      <c r="N6" s="98"/>
      <c r="O6" s="98"/>
      <c r="P6" s="98"/>
      <c r="Q6" s="98"/>
      <c r="R6" s="98"/>
      <c r="S6" s="98"/>
      <c r="T6" s="98"/>
      <c r="U6" s="98"/>
      <c r="V6" s="98"/>
      <c r="W6" s="98"/>
      <c r="X6" s="98"/>
    </row>
    <row r="7" spans="1:24" ht="14.4" x14ac:dyDescent="0.3">
      <c r="A7" s="98" t="s">
        <v>170</v>
      </c>
      <c r="B7" s="98" t="s">
        <v>65</v>
      </c>
      <c r="C7" s="98">
        <v>0</v>
      </c>
      <c r="D7" s="98">
        <v>20</v>
      </c>
      <c r="E7" s="98" t="s">
        <v>350</v>
      </c>
      <c r="F7" s="162">
        <v>0</v>
      </c>
      <c r="G7" s="98" t="s">
        <v>350</v>
      </c>
      <c r="H7" s="98">
        <v>0</v>
      </c>
      <c r="I7" s="98" t="s">
        <v>350</v>
      </c>
      <c r="J7" s="98">
        <v>0</v>
      </c>
      <c r="K7" s="98" t="s">
        <v>350</v>
      </c>
      <c r="L7" s="98">
        <v>0</v>
      </c>
      <c r="M7" s="98"/>
      <c r="N7" s="98"/>
      <c r="O7" s="98"/>
      <c r="P7" s="98"/>
      <c r="Q7" s="98"/>
      <c r="R7" s="98"/>
      <c r="S7" s="98"/>
      <c r="T7" s="98"/>
      <c r="U7" s="98"/>
      <c r="V7" s="98"/>
      <c r="W7" s="98"/>
      <c r="X7" s="98"/>
    </row>
    <row r="8" spans="1:24" ht="14.4" x14ac:dyDescent="0.3">
      <c r="A8" s="98" t="s">
        <v>215</v>
      </c>
      <c r="B8" s="98" t="s">
        <v>57</v>
      </c>
      <c r="C8" s="98">
        <v>0</v>
      </c>
      <c r="D8" s="98">
        <v>200</v>
      </c>
      <c r="E8" s="98" t="s">
        <v>350</v>
      </c>
      <c r="F8" s="162">
        <v>0</v>
      </c>
      <c r="G8" s="98" t="s">
        <v>350</v>
      </c>
      <c r="H8" s="98">
        <v>0</v>
      </c>
      <c r="I8" s="98" t="s">
        <v>350</v>
      </c>
      <c r="J8" s="98">
        <v>0</v>
      </c>
      <c r="K8" s="98" t="s">
        <v>350</v>
      </c>
      <c r="L8" s="98">
        <v>0</v>
      </c>
      <c r="M8" s="98"/>
      <c r="N8" s="98"/>
      <c r="O8" s="98"/>
      <c r="P8" s="98"/>
      <c r="Q8" s="98"/>
      <c r="R8" s="98"/>
      <c r="S8" s="98"/>
      <c r="T8" s="98"/>
      <c r="U8" s="98"/>
      <c r="V8" s="98"/>
      <c r="W8" s="98"/>
      <c r="X8" s="98"/>
    </row>
    <row r="9" spans="1:24" ht="14.4" x14ac:dyDescent="0.3">
      <c r="A9" s="98" t="s">
        <v>227</v>
      </c>
      <c r="B9" s="98" t="s">
        <v>65</v>
      </c>
      <c r="C9" s="98">
        <v>0</v>
      </c>
      <c r="D9" s="98">
        <v>40</v>
      </c>
      <c r="E9" s="98" t="s">
        <v>350</v>
      </c>
      <c r="F9" s="162">
        <v>0</v>
      </c>
      <c r="G9" s="98" t="s">
        <v>350</v>
      </c>
      <c r="H9" s="98">
        <v>0</v>
      </c>
      <c r="I9" s="98" t="s">
        <v>350</v>
      </c>
      <c r="J9" s="98">
        <v>0</v>
      </c>
      <c r="K9" s="98" t="s">
        <v>350</v>
      </c>
      <c r="L9" s="98">
        <v>0</v>
      </c>
      <c r="M9" s="98"/>
      <c r="N9" s="98"/>
      <c r="O9" s="98"/>
      <c r="P9" s="98"/>
      <c r="Q9" s="98"/>
      <c r="R9" s="98"/>
      <c r="S9" s="98"/>
      <c r="T9" s="98"/>
      <c r="U9" s="98"/>
      <c r="V9" s="98"/>
      <c r="W9" s="98"/>
      <c r="X9" s="98"/>
    </row>
    <row r="10" spans="1:24" ht="14.4" x14ac:dyDescent="0.3">
      <c r="A10" s="98" t="s">
        <v>240</v>
      </c>
      <c r="B10" s="98" t="s">
        <v>57</v>
      </c>
      <c r="C10" s="98">
        <v>0</v>
      </c>
      <c r="D10" s="98">
        <v>70</v>
      </c>
      <c r="E10" s="98" t="s">
        <v>350</v>
      </c>
      <c r="F10" s="162">
        <v>0</v>
      </c>
      <c r="G10" s="98" t="s">
        <v>350</v>
      </c>
      <c r="H10" s="98">
        <v>0</v>
      </c>
      <c r="I10" s="98" t="s">
        <v>350</v>
      </c>
      <c r="J10" s="98">
        <v>0</v>
      </c>
      <c r="K10" s="98" t="s">
        <v>350</v>
      </c>
      <c r="L10" s="98">
        <v>0</v>
      </c>
      <c r="M10" s="98"/>
      <c r="N10" s="98"/>
      <c r="O10" s="98"/>
      <c r="P10" s="98"/>
      <c r="Q10" s="98"/>
      <c r="R10" s="98"/>
      <c r="S10" s="98"/>
      <c r="T10" s="98"/>
      <c r="U10" s="98"/>
      <c r="V10" s="98"/>
      <c r="W10" s="98"/>
      <c r="X10" s="98"/>
    </row>
    <row r="11" spans="1:24" ht="14.4" x14ac:dyDescent="0.3">
      <c r="A11" s="98" t="s">
        <v>287</v>
      </c>
      <c r="B11" s="98" t="s">
        <v>57</v>
      </c>
      <c r="C11" s="98">
        <v>0</v>
      </c>
      <c r="D11" s="98">
        <v>150</v>
      </c>
      <c r="E11" s="98" t="s">
        <v>350</v>
      </c>
      <c r="F11" s="162">
        <v>0</v>
      </c>
      <c r="G11" s="98" t="s">
        <v>350</v>
      </c>
      <c r="H11" s="98">
        <v>0</v>
      </c>
      <c r="I11" s="98" t="s">
        <v>350</v>
      </c>
      <c r="J11" s="98">
        <v>0</v>
      </c>
      <c r="K11" s="98" t="s">
        <v>350</v>
      </c>
      <c r="L11" s="98">
        <v>0</v>
      </c>
      <c r="M11" s="98"/>
      <c r="N11" s="98"/>
      <c r="O11" s="98"/>
      <c r="P11" s="98"/>
      <c r="Q11" s="98"/>
      <c r="R11" s="98"/>
      <c r="S11" s="98"/>
      <c r="T11" s="98"/>
      <c r="U11" s="98"/>
      <c r="V11" s="98"/>
      <c r="W11" s="98"/>
      <c r="X11" s="98"/>
    </row>
    <row r="12" spans="1:24" ht="14.4" x14ac:dyDescent="0.3">
      <c r="A12" s="98" t="s">
        <v>149</v>
      </c>
      <c r="B12" s="98" t="s">
        <v>65</v>
      </c>
      <c r="C12" s="142" t="s">
        <v>352</v>
      </c>
      <c r="D12" s="98">
        <v>10</v>
      </c>
      <c r="E12" s="98" t="s">
        <v>353</v>
      </c>
      <c r="F12" s="162">
        <v>1</v>
      </c>
      <c r="G12" s="98" t="s">
        <v>354</v>
      </c>
      <c r="H12" s="98">
        <v>3</v>
      </c>
      <c r="I12" s="98" t="s">
        <v>355</v>
      </c>
      <c r="J12" s="98">
        <v>2</v>
      </c>
      <c r="K12" s="98" t="s">
        <v>356</v>
      </c>
      <c r="L12" s="98">
        <v>4</v>
      </c>
      <c r="M12" s="98"/>
      <c r="N12" s="98"/>
      <c r="O12" s="98"/>
      <c r="P12" s="98"/>
      <c r="Q12" s="98"/>
      <c r="R12" s="98"/>
      <c r="S12" s="98"/>
      <c r="T12" s="98"/>
      <c r="U12" s="98"/>
      <c r="V12" s="98"/>
      <c r="W12" s="98"/>
      <c r="X12" s="98"/>
    </row>
    <row r="13" spans="1:24" ht="14.4" x14ac:dyDescent="0.3">
      <c r="A13" s="98" t="s">
        <v>174</v>
      </c>
      <c r="B13" s="98" t="s">
        <v>57</v>
      </c>
      <c r="C13" s="98">
        <v>100</v>
      </c>
      <c r="D13" s="98">
        <v>360</v>
      </c>
      <c r="E13" s="98" t="s">
        <v>357</v>
      </c>
      <c r="F13" s="162">
        <v>1</v>
      </c>
      <c r="G13" s="98" t="s">
        <v>358</v>
      </c>
      <c r="H13" s="98">
        <v>4</v>
      </c>
      <c r="I13" s="98" t="s">
        <v>359</v>
      </c>
      <c r="J13" s="98">
        <v>2</v>
      </c>
      <c r="K13" s="98" t="s">
        <v>360</v>
      </c>
      <c r="L13" s="98">
        <v>5</v>
      </c>
      <c r="M13" s="98"/>
      <c r="N13" s="98"/>
      <c r="O13" s="98"/>
      <c r="P13" s="98"/>
      <c r="Q13" s="98"/>
      <c r="R13" s="98"/>
      <c r="S13" s="98"/>
      <c r="T13" s="98"/>
      <c r="U13" s="98"/>
      <c r="V13" s="98"/>
      <c r="W13" s="98"/>
      <c r="X13" s="98"/>
    </row>
    <row r="14" spans="1:24" ht="14.4" x14ac:dyDescent="0.3">
      <c r="A14" s="98" t="s">
        <v>177</v>
      </c>
      <c r="B14" s="98" t="s">
        <v>57</v>
      </c>
      <c r="C14" s="98">
        <v>50</v>
      </c>
      <c r="D14" s="98">
        <v>180</v>
      </c>
      <c r="E14" s="98" t="s">
        <v>357</v>
      </c>
      <c r="F14" s="162">
        <v>1</v>
      </c>
      <c r="G14" s="98" t="s">
        <v>358</v>
      </c>
      <c r="H14" s="98">
        <v>4</v>
      </c>
      <c r="I14" s="98" t="s">
        <v>359</v>
      </c>
      <c r="J14" s="98">
        <v>2</v>
      </c>
      <c r="K14" s="98" t="s">
        <v>360</v>
      </c>
      <c r="L14" s="98">
        <v>5</v>
      </c>
      <c r="M14" s="98"/>
      <c r="N14" s="98"/>
      <c r="O14" s="98"/>
      <c r="P14" s="98"/>
      <c r="Q14" s="98"/>
      <c r="R14" s="98"/>
      <c r="S14" s="98"/>
      <c r="T14" s="98"/>
      <c r="U14" s="98"/>
      <c r="V14" s="98"/>
      <c r="W14" s="98"/>
      <c r="X14" s="98"/>
    </row>
    <row r="15" spans="1:24" ht="14.4" x14ac:dyDescent="0.3">
      <c r="A15" s="98" t="s">
        <v>313</v>
      </c>
      <c r="B15" s="98" t="s">
        <v>57</v>
      </c>
      <c r="C15" s="98">
        <v>225</v>
      </c>
      <c r="D15" s="98">
        <v>800</v>
      </c>
      <c r="E15" s="98" t="s">
        <v>361</v>
      </c>
      <c r="F15" s="162">
        <v>1</v>
      </c>
      <c r="G15" s="98" t="s">
        <v>362</v>
      </c>
      <c r="H15" s="98">
        <v>4</v>
      </c>
      <c r="I15" s="98" t="s">
        <v>363</v>
      </c>
      <c r="J15" s="98">
        <v>2</v>
      </c>
      <c r="K15" s="98" t="s">
        <v>364</v>
      </c>
      <c r="L15" s="98">
        <v>5</v>
      </c>
      <c r="M15" s="98"/>
      <c r="N15" s="98"/>
      <c r="O15" s="98"/>
      <c r="P15" s="98"/>
      <c r="Q15" s="98"/>
      <c r="R15" s="98"/>
      <c r="S15" s="98"/>
      <c r="T15" s="98"/>
      <c r="U15" s="98"/>
      <c r="V15" s="98"/>
      <c r="W15" s="98"/>
      <c r="X15" s="98"/>
    </row>
    <row r="16" spans="1:24" ht="14.4" x14ac:dyDescent="0.3">
      <c r="A16" s="98" t="s">
        <v>231</v>
      </c>
      <c r="B16" s="98" t="s">
        <v>57</v>
      </c>
      <c r="C16" s="98">
        <v>55</v>
      </c>
      <c r="D16" s="98">
        <v>190</v>
      </c>
      <c r="E16" s="98" t="s">
        <v>365</v>
      </c>
      <c r="F16" s="162">
        <v>1</v>
      </c>
      <c r="G16" s="98" t="s">
        <v>356</v>
      </c>
      <c r="H16" s="98">
        <v>4</v>
      </c>
      <c r="I16" s="98" t="s">
        <v>366</v>
      </c>
      <c r="J16" s="98">
        <v>3</v>
      </c>
      <c r="K16" s="98" t="s">
        <v>367</v>
      </c>
      <c r="L16" s="98">
        <v>5</v>
      </c>
      <c r="M16" s="98"/>
      <c r="N16" s="98"/>
      <c r="O16" s="98"/>
      <c r="P16" s="98"/>
      <c r="Q16" s="98"/>
      <c r="R16" s="98"/>
      <c r="S16" s="98"/>
      <c r="T16" s="98"/>
      <c r="U16" s="98"/>
      <c r="V16" s="98"/>
      <c r="W16" s="98"/>
      <c r="X16" s="98"/>
    </row>
    <row r="17" spans="1:24" ht="14.4" x14ac:dyDescent="0.3">
      <c r="A17" s="98" t="s">
        <v>252</v>
      </c>
      <c r="B17" s="98" t="s">
        <v>57</v>
      </c>
      <c r="C17" s="98">
        <v>107</v>
      </c>
      <c r="D17" s="98">
        <v>365</v>
      </c>
      <c r="E17" s="98" t="s">
        <v>368</v>
      </c>
      <c r="F17" s="162">
        <v>1</v>
      </c>
      <c r="G17" s="98" t="s">
        <v>369</v>
      </c>
      <c r="H17" s="98">
        <v>4</v>
      </c>
      <c r="I17" s="98" t="s">
        <v>370</v>
      </c>
      <c r="J17" s="98">
        <v>3</v>
      </c>
      <c r="K17" s="98" t="s">
        <v>371</v>
      </c>
      <c r="L17" s="98">
        <v>6</v>
      </c>
      <c r="M17" s="98"/>
      <c r="N17" s="98"/>
      <c r="O17" s="98"/>
      <c r="P17" s="98"/>
      <c r="Q17" s="98"/>
      <c r="R17" s="98"/>
      <c r="S17" s="98"/>
      <c r="T17" s="98"/>
      <c r="U17" s="98"/>
      <c r="V17" s="98"/>
      <c r="W17" s="98"/>
      <c r="X17" s="98"/>
    </row>
    <row r="18" spans="1:24" ht="14.4" x14ac:dyDescent="0.3">
      <c r="A18" s="98" t="s">
        <v>100</v>
      </c>
      <c r="B18" s="98" t="s">
        <v>57</v>
      </c>
      <c r="C18" s="98">
        <v>30</v>
      </c>
      <c r="D18" s="98">
        <v>100</v>
      </c>
      <c r="E18" s="98" t="s">
        <v>372</v>
      </c>
      <c r="F18" s="162">
        <v>1</v>
      </c>
      <c r="G18" s="98" t="s">
        <v>373</v>
      </c>
      <c r="H18" s="98">
        <v>4</v>
      </c>
      <c r="I18" s="98" t="s">
        <v>374</v>
      </c>
      <c r="J18" s="98">
        <v>3</v>
      </c>
      <c r="K18" s="98" t="s">
        <v>375</v>
      </c>
      <c r="L18" s="98">
        <v>6</v>
      </c>
      <c r="M18" s="98"/>
      <c r="N18" s="98"/>
      <c r="O18" s="98"/>
      <c r="P18" s="98"/>
      <c r="Q18" s="98"/>
      <c r="R18" s="98"/>
      <c r="S18" s="98"/>
      <c r="T18" s="98"/>
      <c r="U18" s="98"/>
      <c r="V18" s="98"/>
      <c r="W18" s="98"/>
      <c r="X18" s="98"/>
    </row>
    <row r="19" spans="1:24" ht="14.4" x14ac:dyDescent="0.3">
      <c r="A19" s="98" t="s">
        <v>221</v>
      </c>
      <c r="B19" s="98" t="s">
        <v>57</v>
      </c>
      <c r="C19" s="98">
        <v>22</v>
      </c>
      <c r="D19" s="98">
        <v>73</v>
      </c>
      <c r="E19" s="98" t="s">
        <v>376</v>
      </c>
      <c r="F19" s="162">
        <v>1</v>
      </c>
      <c r="G19" s="98" t="s">
        <v>377</v>
      </c>
      <c r="H19" s="98">
        <v>4</v>
      </c>
      <c r="I19" s="98" t="s">
        <v>378</v>
      </c>
      <c r="J19" s="98">
        <v>3</v>
      </c>
      <c r="K19" s="98" t="s">
        <v>379</v>
      </c>
      <c r="L19" s="98">
        <v>6</v>
      </c>
      <c r="M19" s="98"/>
      <c r="N19" s="98"/>
      <c r="O19" s="98"/>
      <c r="P19" s="98"/>
      <c r="Q19" s="98"/>
      <c r="R19" s="98"/>
      <c r="S19" s="98"/>
      <c r="T19" s="98"/>
      <c r="U19" s="98"/>
      <c r="V19" s="98"/>
      <c r="W19" s="98"/>
      <c r="X19" s="98"/>
    </row>
    <row r="20" spans="1:24" ht="14.4" x14ac:dyDescent="0.3">
      <c r="A20" s="98" t="s">
        <v>95</v>
      </c>
      <c r="B20" s="98" t="s">
        <v>57</v>
      </c>
      <c r="C20" s="98">
        <v>200</v>
      </c>
      <c r="D20" s="98">
        <v>660</v>
      </c>
      <c r="E20" s="98" t="s">
        <v>380</v>
      </c>
      <c r="F20" s="162">
        <v>1</v>
      </c>
      <c r="G20" s="98" t="s">
        <v>381</v>
      </c>
      <c r="H20" s="98">
        <v>4</v>
      </c>
      <c r="I20" s="98" t="s">
        <v>382</v>
      </c>
      <c r="J20" s="98">
        <v>3</v>
      </c>
      <c r="K20" s="98" t="s">
        <v>383</v>
      </c>
      <c r="L20" s="98">
        <v>6</v>
      </c>
      <c r="M20" s="92"/>
      <c r="N20" s="98"/>
      <c r="O20" s="98"/>
      <c r="P20" s="98"/>
      <c r="Q20" s="98"/>
      <c r="R20" s="98"/>
      <c r="S20" s="98"/>
      <c r="T20" s="98"/>
      <c r="U20" s="98"/>
      <c r="V20" s="98"/>
      <c r="W20" s="98"/>
      <c r="X20" s="98"/>
    </row>
    <row r="21" spans="1:24" ht="14.4" x14ac:dyDescent="0.3">
      <c r="A21" s="98" t="s">
        <v>256</v>
      </c>
      <c r="B21" s="98" t="s">
        <v>57</v>
      </c>
      <c r="C21" s="98">
        <v>160</v>
      </c>
      <c r="D21" s="98">
        <v>525</v>
      </c>
      <c r="E21" s="98" t="s">
        <v>384</v>
      </c>
      <c r="F21" s="162">
        <v>1</v>
      </c>
      <c r="G21" s="98" t="s">
        <v>385</v>
      </c>
      <c r="H21" s="98">
        <v>4</v>
      </c>
      <c r="I21" s="98" t="s">
        <v>386</v>
      </c>
      <c r="J21" s="98">
        <v>3</v>
      </c>
      <c r="K21" s="98" t="s">
        <v>387</v>
      </c>
      <c r="L21" s="98">
        <v>6</v>
      </c>
      <c r="M21" s="98"/>
      <c r="N21" s="98"/>
      <c r="O21" s="98"/>
      <c r="P21" s="98"/>
      <c r="Q21" s="98"/>
      <c r="R21" s="98"/>
      <c r="S21" s="98"/>
      <c r="T21" s="98"/>
      <c r="U21" s="98"/>
      <c r="V21" s="98"/>
      <c r="W21" s="98"/>
      <c r="X21" s="98"/>
    </row>
    <row r="22" spans="1:24" ht="15.6" x14ac:dyDescent="0.3">
      <c r="A22" s="98" t="s">
        <v>305</v>
      </c>
      <c r="B22" s="98" t="s">
        <v>57</v>
      </c>
      <c r="C22" s="98">
        <v>77</v>
      </c>
      <c r="D22" s="98">
        <v>250</v>
      </c>
      <c r="E22" s="98" t="s">
        <v>388</v>
      </c>
      <c r="F22" s="162">
        <v>1</v>
      </c>
      <c r="G22" s="98" t="s">
        <v>389</v>
      </c>
      <c r="H22" s="98">
        <v>5</v>
      </c>
      <c r="I22" s="98" t="s">
        <v>390</v>
      </c>
      <c r="J22" s="98">
        <v>3</v>
      </c>
      <c r="K22" s="98" t="s">
        <v>391</v>
      </c>
      <c r="L22" s="98">
        <v>6</v>
      </c>
      <c r="M22" s="91"/>
      <c r="N22" s="98"/>
      <c r="O22" s="98"/>
      <c r="P22" s="98"/>
      <c r="Q22" s="98"/>
      <c r="R22" s="98"/>
      <c r="S22" s="98"/>
      <c r="T22" s="98"/>
      <c r="U22" s="98"/>
      <c r="V22" s="98"/>
      <c r="W22" s="98"/>
      <c r="X22" s="98"/>
    </row>
    <row r="23" spans="1:24" ht="14.4" x14ac:dyDescent="0.3">
      <c r="A23" s="98" t="s">
        <v>89</v>
      </c>
      <c r="B23" s="98" t="s">
        <v>57</v>
      </c>
      <c r="C23" s="98">
        <v>300</v>
      </c>
      <c r="D23" s="98">
        <v>960</v>
      </c>
      <c r="E23" s="98" t="s">
        <v>392</v>
      </c>
      <c r="F23" s="162">
        <v>1</v>
      </c>
      <c r="G23" s="98" t="s">
        <v>393</v>
      </c>
      <c r="H23" s="98">
        <v>5</v>
      </c>
      <c r="I23" s="98" t="s">
        <v>394</v>
      </c>
      <c r="J23" s="98">
        <v>3</v>
      </c>
      <c r="K23" s="98" t="s">
        <v>395</v>
      </c>
      <c r="L23" s="98">
        <v>6</v>
      </c>
      <c r="M23" s="98"/>
      <c r="N23" s="98"/>
      <c r="O23" s="98"/>
      <c r="P23" s="98"/>
      <c r="Q23" s="98"/>
      <c r="R23" s="98"/>
      <c r="S23" s="98"/>
      <c r="T23" s="98"/>
      <c r="U23" s="98"/>
      <c r="V23" s="98"/>
      <c r="W23" s="98"/>
      <c r="X23" s="98"/>
    </row>
    <row r="24" spans="1:24" ht="14.4" x14ac:dyDescent="0.3">
      <c r="A24" s="98" t="s">
        <v>166</v>
      </c>
      <c r="B24" s="98" t="s">
        <v>57</v>
      </c>
      <c r="C24" s="98">
        <v>170</v>
      </c>
      <c r="D24" s="98">
        <v>540</v>
      </c>
      <c r="E24" s="98" t="s">
        <v>396</v>
      </c>
      <c r="F24" s="162">
        <v>1</v>
      </c>
      <c r="G24" s="98" t="s">
        <v>397</v>
      </c>
      <c r="H24" s="98">
        <v>5</v>
      </c>
      <c r="I24" s="98" t="s">
        <v>398</v>
      </c>
      <c r="J24" s="98">
        <v>3</v>
      </c>
      <c r="K24" s="98" t="s">
        <v>399</v>
      </c>
      <c r="L24" s="98">
        <v>6</v>
      </c>
      <c r="M24" s="98"/>
      <c r="N24" s="98"/>
      <c r="O24" s="98"/>
      <c r="P24" s="98"/>
      <c r="Q24" s="98"/>
      <c r="R24" s="98"/>
      <c r="S24" s="98"/>
      <c r="T24" s="98"/>
      <c r="U24" s="98"/>
      <c r="V24" s="98"/>
      <c r="W24" s="98"/>
      <c r="X24" s="98"/>
    </row>
    <row r="25" spans="1:24" ht="14.4" x14ac:dyDescent="0.3">
      <c r="A25" s="98" t="s">
        <v>218</v>
      </c>
      <c r="B25" s="98" t="s">
        <v>57</v>
      </c>
      <c r="C25" s="98">
        <v>340</v>
      </c>
      <c r="D25" s="98">
        <v>1080</v>
      </c>
      <c r="E25" s="98" t="s">
        <v>396</v>
      </c>
      <c r="F25" s="162">
        <v>1</v>
      </c>
      <c r="G25" s="98" t="s">
        <v>397</v>
      </c>
      <c r="H25" s="98">
        <v>5</v>
      </c>
      <c r="I25" s="98" t="s">
        <v>398</v>
      </c>
      <c r="J25" s="98">
        <v>3</v>
      </c>
      <c r="K25" s="98" t="s">
        <v>399</v>
      </c>
      <c r="L25" s="98">
        <v>6</v>
      </c>
      <c r="M25" s="98"/>
      <c r="N25" s="98"/>
      <c r="O25" s="98"/>
      <c r="P25" s="98"/>
      <c r="Q25" s="98"/>
      <c r="R25" s="98"/>
      <c r="S25" s="98"/>
      <c r="T25" s="98"/>
      <c r="U25" s="98"/>
      <c r="V25" s="98"/>
      <c r="W25" s="98"/>
      <c r="X25" s="98"/>
    </row>
    <row r="26" spans="1:24" ht="14.4" x14ac:dyDescent="0.3">
      <c r="A26" s="98" t="s">
        <v>83</v>
      </c>
      <c r="B26" s="98" t="s">
        <v>57</v>
      </c>
      <c r="C26" s="98">
        <v>280</v>
      </c>
      <c r="D26" s="98">
        <v>870</v>
      </c>
      <c r="E26" s="98" t="s">
        <v>400</v>
      </c>
      <c r="F26" s="162">
        <v>1</v>
      </c>
      <c r="G26" s="98" t="s">
        <v>360</v>
      </c>
      <c r="H26" s="98">
        <v>5</v>
      </c>
      <c r="I26" s="98" t="s">
        <v>401</v>
      </c>
      <c r="J26" s="98">
        <v>4</v>
      </c>
      <c r="K26" s="98" t="s">
        <v>402</v>
      </c>
      <c r="L26" s="98">
        <v>7</v>
      </c>
      <c r="M26" s="98"/>
      <c r="N26" s="98"/>
      <c r="O26" s="98"/>
      <c r="P26" s="98"/>
      <c r="Q26" s="98"/>
      <c r="R26" s="98"/>
      <c r="S26" s="98"/>
      <c r="T26" s="98"/>
      <c r="U26" s="98"/>
      <c r="V26" s="98"/>
      <c r="W26" s="98"/>
      <c r="X26" s="98"/>
    </row>
    <row r="27" spans="1:24" ht="14.4" x14ac:dyDescent="0.3">
      <c r="A27" s="98" t="s">
        <v>56</v>
      </c>
      <c r="B27" s="98" t="s">
        <v>57</v>
      </c>
      <c r="C27" s="98">
        <v>125</v>
      </c>
      <c r="D27" s="98">
        <v>385</v>
      </c>
      <c r="E27" s="98" t="s">
        <v>403</v>
      </c>
      <c r="F27" s="162">
        <v>1</v>
      </c>
      <c r="G27" s="98" t="s">
        <v>404</v>
      </c>
      <c r="H27" s="98">
        <v>5</v>
      </c>
      <c r="I27" s="98" t="s">
        <v>405</v>
      </c>
      <c r="J27" s="98">
        <v>4</v>
      </c>
      <c r="K27" s="98" t="s">
        <v>406</v>
      </c>
      <c r="L27" s="98">
        <v>7</v>
      </c>
      <c r="M27" s="98"/>
      <c r="N27" s="98"/>
      <c r="O27" s="98"/>
      <c r="P27" s="98"/>
      <c r="Q27" s="98"/>
      <c r="R27" s="98"/>
      <c r="S27" s="98"/>
      <c r="T27" s="98"/>
      <c r="U27" s="98"/>
      <c r="V27" s="98"/>
      <c r="W27" s="98"/>
      <c r="X27" s="98"/>
    </row>
    <row r="28" spans="1:24" ht="14.4" x14ac:dyDescent="0.3">
      <c r="A28" s="98" t="s">
        <v>47</v>
      </c>
      <c r="B28" s="98" t="s">
        <v>48</v>
      </c>
      <c r="C28" s="98">
        <v>10</v>
      </c>
      <c r="D28" s="98">
        <v>30</v>
      </c>
      <c r="E28" s="98" t="s">
        <v>407</v>
      </c>
      <c r="F28" s="162">
        <v>1</v>
      </c>
      <c r="G28" s="98" t="s">
        <v>408</v>
      </c>
      <c r="H28" s="98">
        <v>5</v>
      </c>
      <c r="I28" s="98" t="s">
        <v>409</v>
      </c>
      <c r="J28" s="98">
        <v>4</v>
      </c>
      <c r="K28" s="98" t="s">
        <v>410</v>
      </c>
      <c r="L28" s="98">
        <v>7</v>
      </c>
      <c r="M28" s="98"/>
      <c r="N28" s="98"/>
      <c r="O28" s="98"/>
      <c r="P28" s="98"/>
      <c r="Q28" s="98"/>
      <c r="R28" s="98"/>
      <c r="S28" s="98"/>
      <c r="T28" s="98"/>
      <c r="U28" s="98"/>
      <c r="V28" s="98"/>
      <c r="W28" s="98"/>
      <c r="X28" s="98"/>
    </row>
    <row r="29" spans="1:24" ht="14.4" x14ac:dyDescent="0.3">
      <c r="A29" s="98" t="s">
        <v>203</v>
      </c>
      <c r="B29" s="98" t="s">
        <v>48</v>
      </c>
      <c r="C29" s="98">
        <v>20</v>
      </c>
      <c r="D29" s="98">
        <v>60</v>
      </c>
      <c r="E29" s="98" t="s">
        <v>407</v>
      </c>
      <c r="F29" s="162">
        <v>1</v>
      </c>
      <c r="G29" s="98" t="s">
        <v>408</v>
      </c>
      <c r="H29" s="98">
        <v>5</v>
      </c>
      <c r="I29" s="98" t="s">
        <v>409</v>
      </c>
      <c r="J29" s="98">
        <v>4</v>
      </c>
      <c r="K29" s="98" t="s">
        <v>410</v>
      </c>
      <c r="L29" s="98">
        <v>7</v>
      </c>
      <c r="M29" s="98"/>
      <c r="N29" s="98"/>
      <c r="O29" s="98"/>
      <c r="P29" s="98"/>
      <c r="Q29" s="98"/>
      <c r="R29" s="98"/>
      <c r="S29" s="98"/>
      <c r="T29" s="98"/>
      <c r="U29" s="98"/>
      <c r="V29" s="98"/>
      <c r="W29" s="98"/>
      <c r="X29" s="98"/>
    </row>
    <row r="30" spans="1:24" ht="14.4" x14ac:dyDescent="0.3">
      <c r="A30" s="98" t="s">
        <v>274</v>
      </c>
      <c r="B30" s="98" t="s">
        <v>57</v>
      </c>
      <c r="C30" s="98">
        <v>10</v>
      </c>
      <c r="D30" s="98">
        <v>30</v>
      </c>
      <c r="E30" s="98" t="s">
        <v>407</v>
      </c>
      <c r="F30" s="162">
        <v>1</v>
      </c>
      <c r="G30" s="98" t="s">
        <v>408</v>
      </c>
      <c r="H30" s="98">
        <v>5</v>
      </c>
      <c r="I30" s="98" t="s">
        <v>409</v>
      </c>
      <c r="J30" s="98">
        <v>4</v>
      </c>
      <c r="K30" s="98" t="s">
        <v>410</v>
      </c>
      <c r="L30" s="98">
        <v>7</v>
      </c>
      <c r="M30" s="98"/>
      <c r="N30" s="98"/>
      <c r="O30" s="98"/>
      <c r="P30" s="98"/>
      <c r="Q30" s="98"/>
      <c r="R30" s="98"/>
      <c r="S30" s="98"/>
      <c r="T30" s="98"/>
      <c r="U30" s="98"/>
      <c r="V30" s="98"/>
      <c r="W30" s="98"/>
      <c r="X30" s="98"/>
    </row>
    <row r="31" spans="1:24" ht="14.4" x14ac:dyDescent="0.3">
      <c r="A31" s="98" t="s">
        <v>302</v>
      </c>
      <c r="B31" s="98" t="s">
        <v>57</v>
      </c>
      <c r="C31" s="98">
        <v>250</v>
      </c>
      <c r="D31" s="98">
        <v>750</v>
      </c>
      <c r="E31" s="98" t="s">
        <v>407</v>
      </c>
      <c r="F31" s="162">
        <v>1</v>
      </c>
      <c r="G31" s="98" t="s">
        <v>408</v>
      </c>
      <c r="H31" s="98">
        <v>5</v>
      </c>
      <c r="I31" s="98" t="s">
        <v>409</v>
      </c>
      <c r="J31" s="98">
        <v>4</v>
      </c>
      <c r="K31" s="98" t="s">
        <v>410</v>
      </c>
      <c r="L31" s="98">
        <v>7</v>
      </c>
      <c r="M31" s="98"/>
      <c r="N31" s="98"/>
      <c r="O31" s="98"/>
      <c r="P31" s="98"/>
      <c r="Q31" s="98"/>
      <c r="R31" s="98"/>
      <c r="S31" s="98"/>
      <c r="T31" s="98"/>
      <c r="U31" s="98"/>
      <c r="V31" s="98"/>
      <c r="W31" s="98"/>
      <c r="X31" s="98"/>
    </row>
    <row r="32" spans="1:24" ht="14.4" x14ac:dyDescent="0.3">
      <c r="A32" s="98" t="s">
        <v>213</v>
      </c>
      <c r="B32" s="98" t="s">
        <v>57</v>
      </c>
      <c r="C32" s="98">
        <v>195</v>
      </c>
      <c r="D32" s="98">
        <v>575</v>
      </c>
      <c r="E32" s="98" t="s">
        <v>411</v>
      </c>
      <c r="F32" s="162">
        <v>3</v>
      </c>
      <c r="G32" s="98" t="s">
        <v>371</v>
      </c>
      <c r="H32" s="98">
        <v>6</v>
      </c>
      <c r="I32" s="98" t="s">
        <v>356</v>
      </c>
      <c r="J32" s="98">
        <v>4</v>
      </c>
      <c r="K32" s="98" t="s">
        <v>412</v>
      </c>
      <c r="L32" s="98">
        <v>7</v>
      </c>
      <c r="M32" s="98"/>
      <c r="N32" s="98"/>
      <c r="O32" s="98"/>
      <c r="P32" s="98"/>
      <c r="Q32" s="98"/>
      <c r="R32" s="98"/>
      <c r="S32" s="98"/>
      <c r="T32" s="98"/>
      <c r="U32" s="98"/>
      <c r="V32" s="98"/>
      <c r="W32" s="98"/>
      <c r="X32" s="98"/>
    </row>
    <row r="33" spans="1:24" ht="14.4" x14ac:dyDescent="0.3">
      <c r="A33" s="98" t="s">
        <v>200</v>
      </c>
      <c r="B33" s="98" t="s">
        <v>65</v>
      </c>
      <c r="C33" s="98">
        <v>822</v>
      </c>
      <c r="D33" s="98">
        <v>2400</v>
      </c>
      <c r="E33" s="98" t="s">
        <v>413</v>
      </c>
      <c r="F33" s="162">
        <v>3</v>
      </c>
      <c r="G33" s="98" t="s">
        <v>414</v>
      </c>
      <c r="H33" s="98">
        <v>6</v>
      </c>
      <c r="I33" s="98" t="s">
        <v>415</v>
      </c>
      <c r="J33" s="98">
        <v>4</v>
      </c>
      <c r="K33" s="98" t="s">
        <v>416</v>
      </c>
      <c r="L33" s="98">
        <v>7</v>
      </c>
      <c r="M33" s="98"/>
      <c r="N33" s="98"/>
      <c r="O33" s="98"/>
      <c r="P33" s="98"/>
      <c r="Q33" s="98"/>
      <c r="R33" s="98"/>
      <c r="S33" s="98"/>
      <c r="T33" s="98"/>
      <c r="U33" s="98"/>
      <c r="V33" s="98"/>
      <c r="W33" s="98"/>
      <c r="X33" s="98"/>
    </row>
    <row r="34" spans="1:24" ht="14.4" x14ac:dyDescent="0.3">
      <c r="A34" s="98" t="s">
        <v>236</v>
      </c>
      <c r="B34" s="98" t="s">
        <v>57</v>
      </c>
      <c r="C34" s="98">
        <v>470</v>
      </c>
      <c r="D34" s="98">
        <v>1358</v>
      </c>
      <c r="E34" s="98" t="s">
        <v>417</v>
      </c>
      <c r="F34" s="162">
        <v>3</v>
      </c>
      <c r="G34" s="98" t="s">
        <v>418</v>
      </c>
      <c r="H34" s="98">
        <v>6</v>
      </c>
      <c r="I34" s="98" t="s">
        <v>419</v>
      </c>
      <c r="J34" s="98">
        <v>4</v>
      </c>
      <c r="K34" s="98" t="s">
        <v>420</v>
      </c>
      <c r="L34" s="98">
        <v>7</v>
      </c>
      <c r="M34" s="98"/>
      <c r="N34" s="90"/>
      <c r="O34" s="98"/>
      <c r="P34" s="98"/>
      <c r="Q34" s="98"/>
      <c r="R34" s="98"/>
      <c r="S34" s="98"/>
      <c r="T34" s="98"/>
      <c r="U34" s="98"/>
      <c r="V34" s="98"/>
      <c r="W34" s="98"/>
      <c r="X34" s="98"/>
    </row>
    <row r="35" spans="1:24" ht="14.4" x14ac:dyDescent="0.3">
      <c r="A35" s="98" t="s">
        <v>72</v>
      </c>
      <c r="B35" s="98" t="s">
        <v>48</v>
      </c>
      <c r="C35" s="98">
        <v>100</v>
      </c>
      <c r="D35" s="98">
        <v>286</v>
      </c>
      <c r="E35" s="98" t="s">
        <v>421</v>
      </c>
      <c r="F35" s="162">
        <v>3</v>
      </c>
      <c r="G35" s="98" t="s">
        <v>383</v>
      </c>
      <c r="H35" s="98">
        <v>6</v>
      </c>
      <c r="I35" s="98" t="s">
        <v>373</v>
      </c>
      <c r="J35" s="98">
        <v>4</v>
      </c>
      <c r="K35" s="98" t="s">
        <v>422</v>
      </c>
      <c r="L35" s="98">
        <v>8</v>
      </c>
      <c r="M35" s="98"/>
      <c r="N35" s="98"/>
      <c r="O35" s="98"/>
      <c r="P35" s="98"/>
      <c r="Q35" s="98"/>
      <c r="R35" s="98"/>
      <c r="S35" s="98"/>
      <c r="T35" s="98"/>
      <c r="U35" s="98"/>
      <c r="V35" s="98"/>
      <c r="W35" s="98"/>
      <c r="X35" s="98"/>
    </row>
    <row r="36" spans="1:24" ht="14.4" x14ac:dyDescent="0.3">
      <c r="A36" s="98" t="s">
        <v>146</v>
      </c>
      <c r="B36" s="98" t="s">
        <v>65</v>
      </c>
      <c r="C36" s="98">
        <v>35</v>
      </c>
      <c r="D36" s="98">
        <v>100</v>
      </c>
      <c r="E36" s="98" t="s">
        <v>421</v>
      </c>
      <c r="F36" s="162">
        <v>3</v>
      </c>
      <c r="G36" s="98" t="s">
        <v>383</v>
      </c>
      <c r="H36" s="98">
        <v>6</v>
      </c>
      <c r="I36" s="98" t="s">
        <v>373</v>
      </c>
      <c r="J36" s="98">
        <v>4</v>
      </c>
      <c r="K36" s="98" t="s">
        <v>423</v>
      </c>
      <c r="L36" s="98">
        <v>8</v>
      </c>
      <c r="M36" s="98"/>
      <c r="N36" s="98"/>
      <c r="O36" s="98"/>
      <c r="P36" s="98"/>
      <c r="Q36" s="98"/>
      <c r="R36" s="98"/>
      <c r="S36" s="98"/>
      <c r="T36" s="98"/>
      <c r="U36" s="98"/>
      <c r="V36" s="98"/>
      <c r="W36" s="98"/>
      <c r="X36" s="98"/>
    </row>
    <row r="37" spans="1:24" ht="14.4" x14ac:dyDescent="0.3">
      <c r="A37" s="98" t="s">
        <v>158</v>
      </c>
      <c r="B37" s="98" t="s">
        <v>57</v>
      </c>
      <c r="C37" s="98">
        <v>350</v>
      </c>
      <c r="D37" s="98">
        <v>1000</v>
      </c>
      <c r="E37" s="98" t="s">
        <v>421</v>
      </c>
      <c r="F37" s="162">
        <v>3</v>
      </c>
      <c r="G37" s="98" t="s">
        <v>383</v>
      </c>
      <c r="H37" s="98">
        <v>6</v>
      </c>
      <c r="I37" s="98" t="s">
        <v>373</v>
      </c>
      <c r="J37" s="98">
        <v>4</v>
      </c>
      <c r="K37" s="98" t="s">
        <v>423</v>
      </c>
      <c r="L37" s="98">
        <v>8</v>
      </c>
      <c r="M37" s="98"/>
      <c r="N37" s="98"/>
      <c r="O37" s="98"/>
      <c r="P37" s="98"/>
      <c r="Q37" s="98"/>
      <c r="R37" s="98"/>
      <c r="S37" s="98"/>
      <c r="T37" s="98"/>
      <c r="U37" s="98"/>
      <c r="V37" s="98"/>
      <c r="W37" s="98"/>
      <c r="X37" s="98"/>
    </row>
    <row r="38" spans="1:24" ht="14.4" x14ac:dyDescent="0.3">
      <c r="A38" s="98" t="s">
        <v>283</v>
      </c>
      <c r="B38" s="98" t="s">
        <v>48</v>
      </c>
      <c r="C38" s="98">
        <v>100</v>
      </c>
      <c r="D38" s="98">
        <v>280</v>
      </c>
      <c r="E38" s="98" t="s">
        <v>424</v>
      </c>
      <c r="F38" s="162">
        <v>5</v>
      </c>
      <c r="G38" s="98" t="s">
        <v>353</v>
      </c>
      <c r="H38" s="98">
        <v>6</v>
      </c>
      <c r="I38" s="98" t="s">
        <v>425</v>
      </c>
      <c r="J38" s="98">
        <v>4</v>
      </c>
      <c r="K38" s="98" t="s">
        <v>365</v>
      </c>
      <c r="L38" s="98">
        <v>8</v>
      </c>
      <c r="M38" s="98"/>
      <c r="N38" s="98"/>
      <c r="O38" s="98"/>
      <c r="P38" s="98"/>
      <c r="Q38" s="98"/>
      <c r="R38" s="98"/>
      <c r="S38" s="98"/>
      <c r="T38" s="98"/>
      <c r="U38" s="98"/>
      <c r="V38" s="98"/>
      <c r="W38" s="98"/>
      <c r="X38" s="98"/>
    </row>
    <row r="39" spans="1:24" ht="14.4" x14ac:dyDescent="0.3">
      <c r="A39" s="98" t="s">
        <v>247</v>
      </c>
      <c r="B39" s="98" t="s">
        <v>48</v>
      </c>
      <c r="C39" s="98">
        <v>55</v>
      </c>
      <c r="D39" s="98">
        <v>140</v>
      </c>
      <c r="E39" s="98" t="s">
        <v>426</v>
      </c>
      <c r="F39" s="162">
        <v>9</v>
      </c>
      <c r="G39" s="98" t="s">
        <v>412</v>
      </c>
      <c r="H39" s="98">
        <v>7</v>
      </c>
      <c r="I39" s="98" t="s">
        <v>427</v>
      </c>
      <c r="J39" s="98">
        <v>5</v>
      </c>
      <c r="K39" s="98" t="s">
        <v>428</v>
      </c>
      <c r="L39" s="98">
        <v>9</v>
      </c>
      <c r="M39" s="98"/>
      <c r="N39" s="90"/>
      <c r="O39" s="98"/>
      <c r="P39" s="98"/>
      <c r="Q39" s="98"/>
      <c r="R39" s="98"/>
      <c r="S39" s="98"/>
      <c r="T39" s="98"/>
      <c r="U39" s="98"/>
      <c r="V39" s="98"/>
      <c r="W39" s="98"/>
      <c r="X39" s="98"/>
    </row>
    <row r="40" spans="1:24" ht="14.4" x14ac:dyDescent="0.3">
      <c r="A40" s="98" t="s">
        <v>104</v>
      </c>
      <c r="B40" s="98" t="s">
        <v>105</v>
      </c>
      <c r="C40" s="98">
        <v>100</v>
      </c>
      <c r="D40" s="98">
        <v>250</v>
      </c>
      <c r="E40" s="98" t="s">
        <v>429</v>
      </c>
      <c r="F40" s="162">
        <v>9</v>
      </c>
      <c r="G40" s="98" t="s">
        <v>420</v>
      </c>
      <c r="H40" s="98">
        <v>7</v>
      </c>
      <c r="I40" s="98" t="s">
        <v>414</v>
      </c>
      <c r="J40" s="98">
        <v>6</v>
      </c>
      <c r="K40" s="98" t="s">
        <v>430</v>
      </c>
      <c r="L40" s="98">
        <v>9</v>
      </c>
      <c r="M40" s="98"/>
      <c r="N40" s="98"/>
      <c r="O40" s="98"/>
      <c r="P40" s="98"/>
      <c r="Q40" s="98"/>
      <c r="R40" s="98"/>
      <c r="S40" s="98"/>
      <c r="T40" s="98"/>
      <c r="U40" s="98"/>
      <c r="V40" s="98"/>
      <c r="W40" s="98"/>
      <c r="X40" s="98"/>
    </row>
    <row r="41" spans="1:24" ht="14.4" x14ac:dyDescent="0.3">
      <c r="A41" s="98" t="s">
        <v>191</v>
      </c>
      <c r="B41" s="98" t="s">
        <v>105</v>
      </c>
      <c r="C41" s="98">
        <v>1200</v>
      </c>
      <c r="D41" s="98">
        <v>3000</v>
      </c>
      <c r="E41" s="98" t="s">
        <v>429</v>
      </c>
      <c r="F41" s="162">
        <v>9</v>
      </c>
      <c r="G41" s="98" t="s">
        <v>420</v>
      </c>
      <c r="H41" s="98">
        <v>7</v>
      </c>
      <c r="I41" s="98" t="s">
        <v>414</v>
      </c>
      <c r="J41" s="98">
        <v>6</v>
      </c>
      <c r="K41" s="98" t="s">
        <v>430</v>
      </c>
      <c r="L41" s="98">
        <v>9</v>
      </c>
      <c r="M41" s="98"/>
      <c r="N41" s="98"/>
      <c r="O41" s="98"/>
      <c r="P41" s="98"/>
      <c r="Q41" s="98"/>
      <c r="R41" s="98"/>
      <c r="S41" s="98"/>
      <c r="T41" s="98"/>
      <c r="U41" s="98"/>
      <c r="V41" s="98"/>
      <c r="W41" s="98"/>
      <c r="X41" s="98"/>
    </row>
    <row r="42" spans="1:24" ht="14.4" x14ac:dyDescent="0.3">
      <c r="A42" s="98" t="s">
        <v>263</v>
      </c>
      <c r="B42" s="98" t="s">
        <v>105</v>
      </c>
      <c r="C42" s="98">
        <v>16</v>
      </c>
      <c r="D42" s="98">
        <v>40</v>
      </c>
      <c r="E42" s="98" t="s">
        <v>429</v>
      </c>
      <c r="F42" s="162">
        <v>9</v>
      </c>
      <c r="G42" s="98" t="s">
        <v>420</v>
      </c>
      <c r="H42" s="98">
        <v>7</v>
      </c>
      <c r="I42" s="98" t="s">
        <v>414</v>
      </c>
      <c r="J42" s="98">
        <v>6</v>
      </c>
      <c r="K42" s="98" t="s">
        <v>430</v>
      </c>
      <c r="L42" s="98">
        <v>9</v>
      </c>
      <c r="M42" s="98"/>
      <c r="N42" s="98"/>
      <c r="O42" s="98"/>
      <c r="P42" s="98"/>
      <c r="Q42" s="98"/>
      <c r="R42" s="98"/>
      <c r="S42" s="98"/>
      <c r="T42" s="98"/>
      <c r="U42" s="98"/>
      <c r="V42" s="98"/>
      <c r="W42" s="98"/>
      <c r="X42" s="98"/>
    </row>
    <row r="43" spans="1:24" ht="14.4" x14ac:dyDescent="0.3">
      <c r="A43" s="98" t="s">
        <v>269</v>
      </c>
      <c r="B43" s="98" t="s">
        <v>105</v>
      </c>
      <c r="C43" s="98">
        <v>300</v>
      </c>
      <c r="D43" s="98">
        <v>750</v>
      </c>
      <c r="E43" s="98" t="s">
        <v>429</v>
      </c>
      <c r="F43" s="162">
        <v>9</v>
      </c>
      <c r="G43" s="98" t="s">
        <v>420</v>
      </c>
      <c r="H43" s="98">
        <v>7</v>
      </c>
      <c r="I43" s="98" t="s">
        <v>414</v>
      </c>
      <c r="J43" s="98">
        <v>6</v>
      </c>
      <c r="K43" s="98" t="s">
        <v>430</v>
      </c>
      <c r="L43" s="98">
        <v>9</v>
      </c>
      <c r="M43" s="98"/>
      <c r="N43" s="98"/>
      <c r="O43" s="98"/>
      <c r="P43" s="98"/>
      <c r="Q43" s="98"/>
      <c r="R43" s="98"/>
      <c r="S43" s="98"/>
      <c r="T43" s="98"/>
      <c r="U43" s="98"/>
      <c r="V43" s="98"/>
      <c r="W43" s="98"/>
      <c r="X43" s="98"/>
    </row>
    <row r="44" spans="1:24" ht="14.4" x14ac:dyDescent="0.3">
      <c r="A44" s="98" t="s">
        <v>279</v>
      </c>
      <c r="B44" s="98" t="s">
        <v>65</v>
      </c>
      <c r="C44" s="98">
        <v>60</v>
      </c>
      <c r="D44" s="98">
        <v>150</v>
      </c>
      <c r="E44" s="98" t="s">
        <v>429</v>
      </c>
      <c r="F44" s="162">
        <v>9</v>
      </c>
      <c r="G44" s="98" t="s">
        <v>420</v>
      </c>
      <c r="H44" s="98">
        <v>7</v>
      </c>
      <c r="I44" s="98" t="s">
        <v>414</v>
      </c>
      <c r="J44" s="98">
        <v>6</v>
      </c>
      <c r="K44" s="98" t="s">
        <v>430</v>
      </c>
      <c r="L44" s="98">
        <v>9</v>
      </c>
      <c r="M44" s="98"/>
      <c r="N44" s="98"/>
      <c r="O44" s="98"/>
      <c r="P44" s="98"/>
      <c r="Q44" s="98"/>
      <c r="R44" s="98"/>
      <c r="S44" s="98"/>
      <c r="T44" s="98"/>
      <c r="U44" s="98"/>
      <c r="V44" s="98"/>
      <c r="W44" s="98"/>
      <c r="X44" s="98"/>
    </row>
    <row r="45" spans="1:24" ht="14.4" x14ac:dyDescent="0.3">
      <c r="A45" s="98" t="s">
        <v>297</v>
      </c>
      <c r="B45" s="98" t="s">
        <v>105</v>
      </c>
      <c r="C45" s="98">
        <v>120</v>
      </c>
      <c r="D45" s="98">
        <v>300</v>
      </c>
      <c r="E45" s="98" t="s">
        <v>429</v>
      </c>
      <c r="F45" s="162">
        <v>9</v>
      </c>
      <c r="G45" s="98" t="s">
        <v>420</v>
      </c>
      <c r="H45" s="98">
        <v>7</v>
      </c>
      <c r="I45" s="98" t="s">
        <v>414</v>
      </c>
      <c r="J45" s="98">
        <v>6</v>
      </c>
      <c r="K45" s="98" t="s">
        <v>430</v>
      </c>
      <c r="L45" s="98">
        <v>9</v>
      </c>
      <c r="M45" s="98"/>
      <c r="N45" s="98"/>
      <c r="O45" s="98"/>
      <c r="P45" s="98"/>
      <c r="Q45" s="98"/>
      <c r="R45" s="98"/>
      <c r="S45" s="98"/>
      <c r="T45" s="98"/>
      <c r="U45" s="98"/>
      <c r="V45" s="98"/>
      <c r="W45" s="98"/>
      <c r="X45" s="98"/>
    </row>
    <row r="46" spans="1:24" ht="14.4" x14ac:dyDescent="0.3">
      <c r="A46" s="98" t="s">
        <v>196</v>
      </c>
      <c r="B46" s="98" t="s">
        <v>65</v>
      </c>
      <c r="C46" s="98">
        <v>87</v>
      </c>
      <c r="D46" s="98">
        <v>215</v>
      </c>
      <c r="E46" s="98" t="s">
        <v>431</v>
      </c>
      <c r="F46" s="162">
        <v>9</v>
      </c>
      <c r="G46" s="98" t="s">
        <v>422</v>
      </c>
      <c r="H46" s="98">
        <v>8</v>
      </c>
      <c r="I46" s="98" t="s">
        <v>375</v>
      </c>
      <c r="J46" s="98">
        <v>6</v>
      </c>
      <c r="K46" s="98" t="s">
        <v>432</v>
      </c>
      <c r="L46" s="98">
        <v>10</v>
      </c>
      <c r="M46" s="98"/>
      <c r="N46" s="98"/>
      <c r="O46" s="98"/>
      <c r="P46" s="98"/>
      <c r="Q46" s="98"/>
      <c r="R46" s="98"/>
      <c r="S46" s="98"/>
      <c r="T46" s="98"/>
      <c r="U46" s="98"/>
      <c r="V46" s="98"/>
      <c r="W46" s="98"/>
      <c r="X46" s="98"/>
    </row>
    <row r="47" spans="1:24" ht="14.4" x14ac:dyDescent="0.3">
      <c r="A47" s="98" t="s">
        <v>224</v>
      </c>
      <c r="B47" s="98" t="s">
        <v>65</v>
      </c>
      <c r="C47" s="98">
        <v>165</v>
      </c>
      <c r="D47" s="98">
        <v>400</v>
      </c>
      <c r="E47" s="98" t="s">
        <v>433</v>
      </c>
      <c r="F47" s="162">
        <v>9</v>
      </c>
      <c r="G47" s="98" t="s">
        <v>365</v>
      </c>
      <c r="H47" s="98">
        <v>8</v>
      </c>
      <c r="I47" s="98" t="s">
        <v>434</v>
      </c>
      <c r="J47" s="98">
        <v>6</v>
      </c>
      <c r="K47" s="98" t="s">
        <v>435</v>
      </c>
      <c r="L47" s="98">
        <v>10</v>
      </c>
      <c r="M47" s="98"/>
      <c r="N47" s="98"/>
      <c r="O47" s="98"/>
      <c r="P47" s="98"/>
      <c r="Q47" s="98"/>
      <c r="R47" s="98"/>
      <c r="S47" s="98"/>
      <c r="T47" s="98"/>
      <c r="U47" s="98"/>
      <c r="V47" s="98"/>
      <c r="W47" s="98"/>
      <c r="X47" s="98"/>
    </row>
    <row r="48" spans="1:24" ht="14.4" x14ac:dyDescent="0.3">
      <c r="A48" s="98" t="s">
        <v>336</v>
      </c>
      <c r="B48" s="98" t="s">
        <v>65</v>
      </c>
      <c r="C48" s="142" t="s">
        <v>436</v>
      </c>
      <c r="D48" s="98">
        <v>200</v>
      </c>
      <c r="E48" s="98" t="s">
        <v>433</v>
      </c>
      <c r="F48" s="162">
        <v>9</v>
      </c>
      <c r="G48" s="98" t="s">
        <v>365</v>
      </c>
      <c r="H48" s="98">
        <v>8</v>
      </c>
      <c r="I48" s="98" t="s">
        <v>434</v>
      </c>
      <c r="J48" s="98">
        <v>6</v>
      </c>
      <c r="K48" s="98" t="s">
        <v>435</v>
      </c>
      <c r="L48" s="98">
        <v>10</v>
      </c>
      <c r="M48" s="98"/>
      <c r="N48" s="98"/>
      <c r="O48" s="98"/>
      <c r="P48" s="98"/>
      <c r="Q48" s="98"/>
      <c r="R48" s="98"/>
      <c r="S48" s="98"/>
      <c r="T48" s="98"/>
      <c r="U48" s="98"/>
      <c r="V48" s="98"/>
      <c r="W48" s="98"/>
      <c r="X48" s="98"/>
    </row>
    <row r="49" spans="1:24" ht="14.4" x14ac:dyDescent="0.3">
      <c r="A49" s="98" t="s">
        <v>184</v>
      </c>
      <c r="B49" s="98" t="s">
        <v>48</v>
      </c>
      <c r="C49" s="98">
        <v>200</v>
      </c>
      <c r="D49" s="98">
        <v>480</v>
      </c>
      <c r="E49" s="98" t="s">
        <v>437</v>
      </c>
      <c r="F49" s="162">
        <v>9</v>
      </c>
      <c r="G49" s="98" t="s">
        <v>438</v>
      </c>
      <c r="H49" s="98">
        <v>8</v>
      </c>
      <c r="I49" s="98" t="s">
        <v>353</v>
      </c>
      <c r="J49" s="98">
        <v>6</v>
      </c>
      <c r="K49" s="98" t="s">
        <v>439</v>
      </c>
      <c r="L49" s="98">
        <v>10</v>
      </c>
      <c r="M49" s="98"/>
      <c r="N49" s="98"/>
      <c r="O49" s="98"/>
      <c r="P49" s="98"/>
      <c r="Q49" s="98"/>
      <c r="R49" s="98"/>
      <c r="S49" s="98"/>
      <c r="T49" s="98"/>
      <c r="U49" s="98"/>
      <c r="V49" s="98"/>
      <c r="W49" s="98"/>
      <c r="X49" s="98"/>
    </row>
    <row r="50" spans="1:24" ht="14.4" x14ac:dyDescent="0.3">
      <c r="A50" s="98" t="s">
        <v>188</v>
      </c>
      <c r="B50" s="98" t="s">
        <v>105</v>
      </c>
      <c r="C50" s="98">
        <v>250</v>
      </c>
      <c r="D50" s="98">
        <v>600</v>
      </c>
      <c r="E50" s="98" t="s">
        <v>437</v>
      </c>
      <c r="F50" s="162">
        <v>9</v>
      </c>
      <c r="G50" s="98" t="s">
        <v>438</v>
      </c>
      <c r="H50" s="98">
        <v>8</v>
      </c>
      <c r="I50" s="98" t="s">
        <v>353</v>
      </c>
      <c r="J50" s="98">
        <v>6</v>
      </c>
      <c r="K50" s="98" t="s">
        <v>439</v>
      </c>
      <c r="L50" s="98">
        <v>10</v>
      </c>
      <c r="M50" s="98"/>
      <c r="N50" s="98"/>
      <c r="O50" s="98"/>
      <c r="P50" s="98"/>
      <c r="Q50" s="98"/>
      <c r="R50" s="98"/>
      <c r="S50" s="98"/>
      <c r="T50" s="98"/>
      <c r="U50" s="98"/>
      <c r="V50" s="98"/>
      <c r="W50" s="98"/>
      <c r="X50" s="98"/>
    </row>
    <row r="51" spans="1:24" ht="14.4" x14ac:dyDescent="0.3">
      <c r="A51" s="98" t="s">
        <v>153</v>
      </c>
      <c r="B51" s="98" t="s">
        <v>65</v>
      </c>
      <c r="C51" s="98">
        <v>210</v>
      </c>
      <c r="D51" s="98">
        <v>500</v>
      </c>
      <c r="E51" s="98" t="s">
        <v>440</v>
      </c>
      <c r="F51" s="162">
        <v>9</v>
      </c>
      <c r="G51" s="98" t="s">
        <v>441</v>
      </c>
      <c r="H51" s="98">
        <v>8</v>
      </c>
      <c r="I51" s="98" t="s">
        <v>442</v>
      </c>
      <c r="J51" s="98">
        <v>6</v>
      </c>
      <c r="K51" s="98" t="s">
        <v>443</v>
      </c>
      <c r="L51" s="98">
        <v>10</v>
      </c>
      <c r="M51" s="98"/>
      <c r="N51" s="98"/>
      <c r="O51" s="98"/>
      <c r="P51" s="98"/>
      <c r="Q51" s="98"/>
      <c r="R51" s="98"/>
      <c r="S51" s="98"/>
      <c r="T51" s="98"/>
      <c r="U51" s="98"/>
      <c r="V51" s="98"/>
      <c r="W51" s="98"/>
      <c r="X51" s="98"/>
    </row>
    <row r="52" spans="1:24" ht="14.4" x14ac:dyDescent="0.3">
      <c r="A52" s="98" t="s">
        <v>259</v>
      </c>
      <c r="B52" s="98" t="s">
        <v>105</v>
      </c>
      <c r="C52" s="98">
        <v>168</v>
      </c>
      <c r="D52" s="98">
        <v>400</v>
      </c>
      <c r="E52" s="98" t="s">
        <v>440</v>
      </c>
      <c r="F52" s="162">
        <v>9</v>
      </c>
      <c r="G52" s="98" t="s">
        <v>441</v>
      </c>
      <c r="H52" s="98">
        <v>8</v>
      </c>
      <c r="I52" s="98" t="s">
        <v>442</v>
      </c>
      <c r="J52" s="98">
        <v>6</v>
      </c>
      <c r="K52" s="98" t="s">
        <v>443</v>
      </c>
      <c r="L52" s="98">
        <v>10</v>
      </c>
      <c r="M52" s="98"/>
      <c r="N52" s="98"/>
      <c r="O52" s="98"/>
      <c r="P52" s="98"/>
      <c r="Q52" s="98"/>
      <c r="R52" s="98"/>
      <c r="S52" s="98"/>
      <c r="T52" s="98"/>
      <c r="U52" s="98"/>
      <c r="V52" s="98"/>
      <c r="W52" s="98"/>
      <c r="X52" s="98"/>
    </row>
    <row r="53" spans="1:24" ht="14.4" x14ac:dyDescent="0.3">
      <c r="A53" s="98" t="s">
        <v>208</v>
      </c>
      <c r="B53" s="98" t="s">
        <v>105</v>
      </c>
      <c r="C53" s="98">
        <v>100</v>
      </c>
      <c r="D53" s="98">
        <v>236</v>
      </c>
      <c r="E53" s="98" t="s">
        <v>444</v>
      </c>
      <c r="F53" s="162">
        <v>9</v>
      </c>
      <c r="G53" s="98" t="s">
        <v>445</v>
      </c>
      <c r="H53" s="98">
        <v>8</v>
      </c>
      <c r="I53" s="98" t="s">
        <v>446</v>
      </c>
      <c r="J53" s="98">
        <v>6</v>
      </c>
      <c r="K53" s="98" t="s">
        <v>413</v>
      </c>
      <c r="L53" s="98">
        <v>10</v>
      </c>
      <c r="M53" s="98"/>
      <c r="N53" s="98"/>
      <c r="O53" s="98"/>
      <c r="P53" s="98"/>
      <c r="Q53" s="98"/>
      <c r="R53" s="98"/>
      <c r="S53" s="98"/>
      <c r="T53" s="98"/>
      <c r="U53" s="98"/>
      <c r="V53" s="98"/>
      <c r="W53" s="98"/>
      <c r="X53" s="98"/>
    </row>
    <row r="54" spans="1:24" ht="14.4" x14ac:dyDescent="0.3">
      <c r="A54" s="98" t="s">
        <v>77</v>
      </c>
      <c r="B54" s="98" t="s">
        <v>48</v>
      </c>
      <c r="C54" s="98">
        <v>300</v>
      </c>
      <c r="D54" s="98">
        <v>700</v>
      </c>
      <c r="E54" s="98" t="s">
        <v>447</v>
      </c>
      <c r="F54" s="162">
        <v>9</v>
      </c>
      <c r="G54" s="98" t="s">
        <v>372</v>
      </c>
      <c r="H54" s="98">
        <v>8</v>
      </c>
      <c r="I54" s="98" t="s">
        <v>448</v>
      </c>
      <c r="J54" s="98">
        <v>6</v>
      </c>
      <c r="K54" s="98" t="s">
        <v>449</v>
      </c>
      <c r="L54" s="98">
        <v>10</v>
      </c>
      <c r="M54" s="98"/>
      <c r="N54" s="98"/>
      <c r="O54" s="98"/>
      <c r="P54" s="98"/>
      <c r="Q54" s="98"/>
      <c r="R54" s="98"/>
      <c r="S54" s="98"/>
      <c r="T54" s="98"/>
      <c r="U54" s="98"/>
      <c r="V54" s="98"/>
      <c r="W54" s="98"/>
      <c r="X54" s="98"/>
    </row>
    <row r="55" spans="1:24" ht="14.4" x14ac:dyDescent="0.3">
      <c r="A55" s="98" t="s">
        <v>243</v>
      </c>
      <c r="B55" s="98" t="s">
        <v>65</v>
      </c>
      <c r="C55" s="98">
        <v>272</v>
      </c>
      <c r="D55" s="98">
        <v>625</v>
      </c>
      <c r="E55" s="98" t="s">
        <v>450</v>
      </c>
      <c r="F55" s="162">
        <v>9</v>
      </c>
      <c r="G55" s="98" t="s">
        <v>384</v>
      </c>
      <c r="H55" s="98">
        <v>9</v>
      </c>
      <c r="I55" s="98" t="s">
        <v>402</v>
      </c>
      <c r="J55" s="98">
        <v>7</v>
      </c>
      <c r="K55" s="98" t="s">
        <v>451</v>
      </c>
      <c r="L55" s="98">
        <v>10</v>
      </c>
      <c r="M55" s="98"/>
      <c r="N55" s="90"/>
      <c r="O55" s="98"/>
      <c r="P55" s="98"/>
      <c r="Q55" s="98"/>
      <c r="R55" s="98"/>
      <c r="S55" s="98"/>
      <c r="T55" s="98"/>
      <c r="U55" s="98"/>
      <c r="V55" s="98"/>
      <c r="W55" s="98"/>
      <c r="X55" s="98"/>
    </row>
    <row r="56" spans="1:24" ht="14.4" x14ac:dyDescent="0.3">
      <c r="A56" s="98" t="s">
        <v>179</v>
      </c>
      <c r="B56" s="98" t="s">
        <v>105</v>
      </c>
      <c r="C56" s="98">
        <v>140</v>
      </c>
      <c r="D56" s="98">
        <v>320</v>
      </c>
      <c r="E56" s="98" t="s">
        <v>452</v>
      </c>
      <c r="F56" s="162">
        <v>9</v>
      </c>
      <c r="G56" s="98" t="s">
        <v>453</v>
      </c>
      <c r="H56" s="98">
        <v>9</v>
      </c>
      <c r="I56" s="98" t="s">
        <v>406</v>
      </c>
      <c r="J56" s="98">
        <v>7</v>
      </c>
      <c r="K56" s="98" t="s">
        <v>454</v>
      </c>
      <c r="L56" s="98">
        <v>10</v>
      </c>
      <c r="M56" s="98"/>
      <c r="N56" s="98"/>
      <c r="O56" s="98"/>
      <c r="P56" s="98"/>
      <c r="Q56" s="98"/>
      <c r="R56" s="98"/>
      <c r="S56" s="98"/>
      <c r="T56" s="98"/>
      <c r="U56" s="98"/>
      <c r="V56" s="98"/>
      <c r="W56" s="98"/>
      <c r="X56" s="98"/>
    </row>
    <row r="57" spans="1:24" ht="14.4" x14ac:dyDescent="0.3">
      <c r="A57" s="98" t="s">
        <v>130</v>
      </c>
      <c r="B57" s="98" t="s">
        <v>105</v>
      </c>
      <c r="C57" s="98">
        <v>200</v>
      </c>
      <c r="D57" s="98">
        <v>450</v>
      </c>
      <c r="E57" s="98" t="s">
        <v>455</v>
      </c>
      <c r="F57" s="162">
        <v>9</v>
      </c>
      <c r="G57" s="98" t="s">
        <v>456</v>
      </c>
      <c r="H57" s="98">
        <v>9</v>
      </c>
      <c r="I57" s="98" t="s">
        <v>457</v>
      </c>
      <c r="J57" s="98">
        <v>7</v>
      </c>
      <c r="K57" s="98" t="s">
        <v>458</v>
      </c>
      <c r="L57" s="98">
        <v>10</v>
      </c>
      <c r="M57" s="98"/>
      <c r="N57" s="90"/>
      <c r="O57" s="98"/>
      <c r="P57" s="98"/>
      <c r="Q57" s="98"/>
      <c r="R57" s="98"/>
      <c r="S57" s="98"/>
      <c r="T57" s="98"/>
      <c r="U57" s="98"/>
      <c r="V57" s="98"/>
      <c r="W57" s="98"/>
      <c r="X57" s="98"/>
    </row>
    <row r="58" spans="1:24" ht="14.4" x14ac:dyDescent="0.3">
      <c r="A58" s="98" t="s">
        <v>292</v>
      </c>
      <c r="B58" s="98" t="s">
        <v>105</v>
      </c>
      <c r="C58" s="98">
        <v>250</v>
      </c>
      <c r="D58" s="98">
        <v>557</v>
      </c>
      <c r="E58" s="98" t="s">
        <v>459</v>
      </c>
      <c r="F58" s="162">
        <v>9</v>
      </c>
      <c r="G58" s="98" t="s">
        <v>460</v>
      </c>
      <c r="H58" s="98">
        <v>9</v>
      </c>
      <c r="I58" s="98" t="s">
        <v>461</v>
      </c>
      <c r="J58" s="98">
        <v>7</v>
      </c>
      <c r="K58" s="98" t="s">
        <v>462</v>
      </c>
      <c r="L58" s="90">
        <v>10</v>
      </c>
      <c r="M58" s="98"/>
      <c r="N58" s="98"/>
      <c r="O58" s="98"/>
      <c r="P58" s="98"/>
      <c r="Q58" s="98"/>
      <c r="R58" s="98"/>
      <c r="S58" s="98"/>
      <c r="T58" s="98"/>
      <c r="U58" s="98"/>
      <c r="V58" s="98"/>
      <c r="W58" s="98"/>
      <c r="X58" s="98"/>
    </row>
    <row r="59" spans="1:24" ht="14.4" x14ac:dyDescent="0.3">
      <c r="A59" s="98" t="s">
        <v>309</v>
      </c>
      <c r="B59" s="98" t="s">
        <v>48</v>
      </c>
      <c r="C59" s="98">
        <v>450</v>
      </c>
      <c r="D59" s="98">
        <v>950</v>
      </c>
      <c r="E59" s="98" t="s">
        <v>463</v>
      </c>
      <c r="F59" s="162">
        <v>10</v>
      </c>
      <c r="G59" s="98" t="s">
        <v>464</v>
      </c>
      <c r="H59" s="98">
        <v>10</v>
      </c>
      <c r="I59" s="98" t="s">
        <v>423</v>
      </c>
      <c r="J59" s="98">
        <v>8</v>
      </c>
      <c r="K59" s="98" t="s">
        <v>465</v>
      </c>
      <c r="L59" s="90">
        <v>10</v>
      </c>
      <c r="M59" s="98"/>
      <c r="N59" s="98"/>
      <c r="O59" s="98"/>
      <c r="P59" s="98"/>
      <c r="Q59" s="98"/>
      <c r="R59" s="98"/>
      <c r="S59" s="98"/>
      <c r="T59" s="98"/>
      <c r="U59" s="98"/>
      <c r="V59" s="98"/>
      <c r="W59" s="98"/>
      <c r="X59" s="98"/>
    </row>
    <row r="60" spans="1:24" ht="14.4" x14ac:dyDescent="0.3">
      <c r="A60" s="98" t="s">
        <v>139</v>
      </c>
      <c r="B60" s="98" t="s">
        <v>65</v>
      </c>
      <c r="C60" s="98">
        <v>288</v>
      </c>
      <c r="D60" s="98">
        <v>600</v>
      </c>
      <c r="E60" s="98" t="s">
        <v>466</v>
      </c>
      <c r="F60" s="162">
        <v>10</v>
      </c>
      <c r="G60" s="98" t="s">
        <v>467</v>
      </c>
      <c r="H60" s="98">
        <v>10</v>
      </c>
      <c r="I60" s="98" t="s">
        <v>468</v>
      </c>
      <c r="J60" s="98">
        <v>8</v>
      </c>
      <c r="K60" s="98" t="s">
        <v>469</v>
      </c>
      <c r="L60" s="90">
        <v>10</v>
      </c>
      <c r="M60" s="98"/>
      <c r="N60" s="98"/>
      <c r="O60" s="98"/>
      <c r="P60" s="98"/>
      <c r="Q60" s="98"/>
      <c r="R60" s="98"/>
      <c r="S60" s="98"/>
      <c r="T60" s="98"/>
      <c r="U60" s="98"/>
      <c r="V60" s="98"/>
      <c r="W60" s="98"/>
      <c r="X60" s="98"/>
    </row>
    <row r="61" spans="1:24" ht="14.4" x14ac:dyDescent="0.3">
      <c r="A61" s="90" t="s">
        <v>64</v>
      </c>
      <c r="B61" s="90" t="s">
        <v>65</v>
      </c>
      <c r="C61" s="90">
        <v>50</v>
      </c>
      <c r="D61" s="90">
        <v>100</v>
      </c>
      <c r="E61" s="90" t="s">
        <v>470</v>
      </c>
      <c r="F61" s="163">
        <v>10</v>
      </c>
      <c r="G61" s="98" t="s">
        <v>421</v>
      </c>
      <c r="H61" s="98">
        <v>10</v>
      </c>
      <c r="I61" s="98" t="s">
        <v>372</v>
      </c>
      <c r="J61" s="98">
        <v>8</v>
      </c>
      <c r="K61" s="98" t="s">
        <v>431</v>
      </c>
      <c r="L61" s="93">
        <v>10</v>
      </c>
      <c r="M61" s="98"/>
      <c r="N61" s="98"/>
      <c r="O61" s="98"/>
      <c r="P61" s="98"/>
      <c r="Q61" s="98"/>
      <c r="R61" s="98"/>
      <c r="S61" s="98"/>
      <c r="T61" s="98"/>
      <c r="U61" s="98"/>
      <c r="V61" s="98"/>
      <c r="W61" s="98"/>
      <c r="X61" s="98"/>
    </row>
    <row r="62" spans="1:24" ht="14.4" x14ac:dyDescent="0.3">
      <c r="A62" s="90" t="s">
        <v>127</v>
      </c>
      <c r="B62" s="90" t="s">
        <v>65</v>
      </c>
      <c r="C62" s="90">
        <v>50</v>
      </c>
      <c r="D62" s="90">
        <v>100</v>
      </c>
      <c r="E62" s="90" t="s">
        <v>470</v>
      </c>
      <c r="F62" s="163">
        <v>10</v>
      </c>
      <c r="G62" s="98" t="s">
        <v>421</v>
      </c>
      <c r="H62" s="98">
        <v>10</v>
      </c>
      <c r="I62" s="98" t="s">
        <v>372</v>
      </c>
      <c r="J62" s="98">
        <v>8</v>
      </c>
      <c r="K62" s="98" t="s">
        <v>431</v>
      </c>
      <c r="L62" s="93">
        <v>10</v>
      </c>
      <c r="M62" s="98"/>
      <c r="N62" s="98"/>
      <c r="O62" s="98"/>
      <c r="P62" s="98"/>
      <c r="Q62" s="98"/>
      <c r="R62" s="98"/>
      <c r="S62" s="98"/>
      <c r="T62" s="98"/>
      <c r="U62" s="98"/>
      <c r="V62" s="98"/>
      <c r="W62" s="98"/>
      <c r="X62" s="98"/>
    </row>
    <row r="63" spans="1:24" ht="14.4" x14ac:dyDescent="0.3">
      <c r="A63" s="90" t="s">
        <v>135</v>
      </c>
      <c r="B63" s="90" t="s">
        <v>65</v>
      </c>
      <c r="C63" s="90">
        <v>300</v>
      </c>
      <c r="D63" s="90">
        <v>600</v>
      </c>
      <c r="E63" s="90" t="s">
        <v>470</v>
      </c>
      <c r="F63" s="163">
        <v>10</v>
      </c>
      <c r="G63" s="98" t="s">
        <v>421</v>
      </c>
      <c r="H63" s="98">
        <v>10</v>
      </c>
      <c r="I63" s="98" t="s">
        <v>372</v>
      </c>
      <c r="J63" s="98">
        <v>8</v>
      </c>
      <c r="K63" s="98" t="s">
        <v>431</v>
      </c>
      <c r="L63" s="93">
        <v>10</v>
      </c>
      <c r="M63" s="98"/>
      <c r="N63" s="98"/>
      <c r="O63" s="98"/>
      <c r="P63" s="98"/>
      <c r="Q63" s="98"/>
      <c r="R63" s="98"/>
      <c r="S63" s="98"/>
      <c r="T63" s="98"/>
      <c r="U63" s="98"/>
      <c r="V63" s="98"/>
      <c r="W63" s="98"/>
      <c r="X63" s="98"/>
    </row>
    <row r="64" spans="1:24" ht="14.4" x14ac:dyDescent="0.3">
      <c r="A64" s="90" t="s">
        <v>121</v>
      </c>
      <c r="B64" s="90" t="s">
        <v>65</v>
      </c>
      <c r="C64" s="90">
        <v>265</v>
      </c>
      <c r="D64" s="90">
        <v>500</v>
      </c>
      <c r="E64" s="90" t="s">
        <v>471</v>
      </c>
      <c r="F64" s="163">
        <v>10</v>
      </c>
      <c r="G64" s="98" t="s">
        <v>472</v>
      </c>
      <c r="H64" s="90">
        <v>10</v>
      </c>
      <c r="I64" s="98" t="s">
        <v>428</v>
      </c>
      <c r="J64" s="98">
        <v>9</v>
      </c>
      <c r="K64" s="98" t="s">
        <v>447</v>
      </c>
      <c r="L64" s="93">
        <v>10</v>
      </c>
      <c r="M64" s="98"/>
      <c r="N64" s="98"/>
      <c r="O64" s="98"/>
      <c r="P64" s="98"/>
      <c r="Q64" s="98"/>
      <c r="R64" s="98"/>
      <c r="S64" s="98"/>
      <c r="T64" s="98"/>
      <c r="U64" s="98"/>
      <c r="V64" s="98"/>
      <c r="W64" s="98"/>
      <c r="X64" s="98"/>
    </row>
    <row r="65" spans="1:24" ht="14.4" x14ac:dyDescent="0.3">
      <c r="A65" s="93" t="s">
        <v>161</v>
      </c>
      <c r="B65" s="93" t="s">
        <v>105</v>
      </c>
      <c r="C65" s="93">
        <v>390</v>
      </c>
      <c r="D65" s="93">
        <v>440</v>
      </c>
      <c r="E65" s="93" t="s">
        <v>473</v>
      </c>
      <c r="F65" s="164">
        <v>10</v>
      </c>
      <c r="G65" s="98" t="s">
        <v>474</v>
      </c>
      <c r="H65" s="93">
        <v>10</v>
      </c>
      <c r="I65" s="98" t="s">
        <v>475</v>
      </c>
      <c r="J65" s="93">
        <v>10</v>
      </c>
      <c r="K65" s="98" t="s">
        <v>476</v>
      </c>
      <c r="L65" s="93">
        <v>10</v>
      </c>
      <c r="M65" s="98"/>
      <c r="N65" s="98"/>
      <c r="O65" s="98"/>
      <c r="P65" s="98"/>
      <c r="Q65" s="98"/>
      <c r="R65" s="98"/>
      <c r="S65" s="98"/>
      <c r="T65" s="98"/>
      <c r="U65" s="98"/>
      <c r="V65" s="98"/>
      <c r="W65" s="98"/>
      <c r="X65" s="98"/>
    </row>
    <row r="66" spans="1:24" ht="14.4" x14ac:dyDescent="0.3">
      <c r="A66" s="98"/>
      <c r="B66" s="98"/>
      <c r="C66" s="98"/>
      <c r="D66" s="98"/>
      <c r="E66" s="98"/>
      <c r="F66" s="98"/>
      <c r="G66" s="98"/>
      <c r="H66" s="98"/>
      <c r="I66" s="98"/>
      <c r="J66" s="98"/>
      <c r="K66" s="98"/>
      <c r="L66" s="98"/>
      <c r="M66" s="98"/>
      <c r="N66" s="98"/>
      <c r="O66" s="98"/>
      <c r="P66" s="98"/>
      <c r="Q66" s="98"/>
      <c r="R66" s="98"/>
      <c r="S66" s="98"/>
      <c r="T66" s="98"/>
      <c r="U66" s="98"/>
      <c r="V66" s="98"/>
      <c r="W66" s="98"/>
      <c r="X66" s="98"/>
    </row>
  </sheetData>
  <autoFilter ref="A2:L2" xr:uid="{FDDEAF95-94E0-4BE6-AFC1-918DA66812D3}"/>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BC8AD-D2D7-432A-89EF-E968A15E084B}">
  <dimension ref="A1:AD67"/>
  <sheetViews>
    <sheetView workbookViewId="0">
      <selection activeCell="I5" sqref="I5"/>
    </sheetView>
  </sheetViews>
  <sheetFormatPr baseColWidth="10" defaultColWidth="8.88671875" defaultRowHeight="14.4" x14ac:dyDescent="0.3"/>
  <cols>
    <col min="1" max="1" width="32.44140625" bestFit="1" customWidth="1"/>
    <col min="2" max="2" width="24.88671875" bestFit="1" customWidth="1"/>
    <col min="3" max="3" width="19.109375" bestFit="1" customWidth="1"/>
    <col min="4" max="4" width="78.88671875" customWidth="1"/>
    <col min="5" max="5" width="8.44140625" bestFit="1" customWidth="1"/>
    <col min="6" max="6" width="53.6640625" bestFit="1" customWidth="1"/>
    <col min="7" max="7" width="11.109375" style="172" customWidth="1"/>
    <col min="8" max="8" width="15" customWidth="1"/>
    <col min="9" max="9" width="11.33203125" style="94" customWidth="1"/>
  </cols>
  <sheetData>
    <row r="1" spans="1:30" ht="28.8" x14ac:dyDescent="0.3">
      <c r="A1" s="133" t="s">
        <v>7</v>
      </c>
      <c r="B1" s="135" t="s">
        <v>8</v>
      </c>
      <c r="C1" s="167" t="s">
        <v>9</v>
      </c>
      <c r="D1" s="135" t="s">
        <v>10</v>
      </c>
      <c r="E1" s="168" t="s">
        <v>15</v>
      </c>
      <c r="F1" s="135" t="s">
        <v>477</v>
      </c>
      <c r="G1" s="167" t="s">
        <v>21</v>
      </c>
      <c r="H1" s="135" t="s">
        <v>22</v>
      </c>
      <c r="I1" s="171" t="s">
        <v>28</v>
      </c>
      <c r="J1" s="98"/>
      <c r="K1" s="98"/>
      <c r="L1" s="98"/>
      <c r="M1" s="98"/>
      <c r="N1" s="98"/>
      <c r="O1" s="98"/>
      <c r="P1" s="98"/>
      <c r="Q1" s="98"/>
      <c r="R1" s="98"/>
      <c r="S1" s="98"/>
      <c r="T1" s="98"/>
      <c r="U1" s="98"/>
      <c r="V1" s="98"/>
      <c r="W1" s="98"/>
      <c r="X1" s="98"/>
      <c r="Y1" s="98"/>
      <c r="Z1" s="98"/>
      <c r="AA1" s="98"/>
      <c r="AB1" s="98"/>
      <c r="AC1" s="98"/>
      <c r="AD1" s="98"/>
    </row>
    <row r="2" spans="1:30" s="94" customFormat="1" x14ac:dyDescent="0.3">
      <c r="A2" s="139" t="s">
        <v>39</v>
      </c>
      <c r="B2" s="140">
        <v>0</v>
      </c>
      <c r="C2" s="140">
        <v>0</v>
      </c>
      <c r="D2" s="140">
        <v>0</v>
      </c>
      <c r="E2" s="169">
        <v>0</v>
      </c>
      <c r="F2" s="140">
        <v>0</v>
      </c>
      <c r="G2" s="140" t="s">
        <v>43</v>
      </c>
      <c r="H2" s="140" t="s">
        <v>44</v>
      </c>
      <c r="I2" s="161" t="s">
        <v>46</v>
      </c>
      <c r="J2" s="170"/>
      <c r="K2" s="170"/>
      <c r="L2" s="170"/>
      <c r="M2" s="170"/>
      <c r="N2" s="170"/>
      <c r="O2" s="170"/>
      <c r="P2" s="170"/>
      <c r="Q2" s="170"/>
      <c r="R2" s="170"/>
      <c r="S2" s="170"/>
      <c r="T2" s="170"/>
      <c r="U2" s="170"/>
      <c r="V2" s="170"/>
      <c r="W2" s="170"/>
      <c r="X2" s="170"/>
      <c r="Y2" s="170"/>
      <c r="Z2" s="170"/>
      <c r="AA2" s="170"/>
      <c r="AB2" s="170"/>
      <c r="AC2" s="170"/>
      <c r="AD2" s="170"/>
    </row>
    <row r="3" spans="1:30" x14ac:dyDescent="0.3">
      <c r="A3" s="98" t="s">
        <v>47</v>
      </c>
      <c r="B3" s="98" t="s">
        <v>48</v>
      </c>
      <c r="C3" s="98" t="s">
        <v>49</v>
      </c>
      <c r="D3" s="98" t="s">
        <v>50</v>
      </c>
      <c r="E3" s="165" t="s">
        <v>55</v>
      </c>
      <c r="F3" s="98" t="s">
        <v>54</v>
      </c>
      <c r="G3" s="142">
        <v>510</v>
      </c>
      <c r="H3" s="98" t="s">
        <v>478</v>
      </c>
      <c r="I3" s="173">
        <v>4</v>
      </c>
      <c r="J3" s="98"/>
      <c r="K3" s="170"/>
      <c r="L3" s="170"/>
      <c r="M3" s="170"/>
      <c r="N3" s="170"/>
      <c r="O3" s="170"/>
      <c r="P3" s="170"/>
      <c r="Q3" s="170"/>
      <c r="R3" s="170"/>
      <c r="S3" s="170"/>
      <c r="T3" s="98"/>
      <c r="U3" s="98"/>
      <c r="V3" s="98"/>
      <c r="W3" s="98"/>
      <c r="X3" s="98"/>
      <c r="Y3" s="98"/>
      <c r="Z3" s="98"/>
      <c r="AA3" s="98"/>
      <c r="AB3" s="98"/>
      <c r="AC3" s="98"/>
      <c r="AD3" s="98"/>
    </row>
    <row r="4" spans="1:30" x14ac:dyDescent="0.3">
      <c r="A4" s="98" t="s">
        <v>56</v>
      </c>
      <c r="B4" s="98" t="s">
        <v>57</v>
      </c>
      <c r="C4" s="98" t="s">
        <v>58</v>
      </c>
      <c r="D4" s="98" t="s">
        <v>59</v>
      </c>
      <c r="E4" s="165" t="s">
        <v>55</v>
      </c>
      <c r="F4" s="98" t="s">
        <v>63</v>
      </c>
      <c r="G4" s="142" t="s">
        <v>479</v>
      </c>
      <c r="H4" s="98" t="s">
        <v>480</v>
      </c>
      <c r="I4" s="173">
        <v>8</v>
      </c>
      <c r="J4" s="98"/>
      <c r="K4" s="170"/>
      <c r="L4" s="170"/>
      <c r="M4" s="170"/>
      <c r="N4" s="170"/>
      <c r="O4" s="170"/>
      <c r="P4" s="170"/>
      <c r="Q4" s="170"/>
      <c r="R4" s="170"/>
      <c r="S4" s="170"/>
      <c r="T4" s="98"/>
      <c r="U4" s="98"/>
      <c r="V4" s="98"/>
      <c r="W4" s="98"/>
      <c r="X4" s="98"/>
      <c r="Y4" s="98"/>
      <c r="Z4" s="98"/>
      <c r="AA4" s="98"/>
      <c r="AB4" s="98"/>
      <c r="AC4" s="98"/>
      <c r="AD4" s="98"/>
    </row>
    <row r="5" spans="1:30" x14ac:dyDescent="0.3">
      <c r="A5" s="98" t="s">
        <v>64</v>
      </c>
      <c r="B5" s="98" t="s">
        <v>65</v>
      </c>
      <c r="C5" s="98" t="s">
        <v>66</v>
      </c>
      <c r="D5" s="98" t="s">
        <v>67</v>
      </c>
      <c r="E5" s="165" t="s">
        <v>55</v>
      </c>
      <c r="F5" s="98" t="s">
        <v>71</v>
      </c>
      <c r="G5" s="142">
        <v>1200</v>
      </c>
      <c r="H5" s="90" t="s">
        <v>481</v>
      </c>
      <c r="I5" s="173">
        <v>6</v>
      </c>
      <c r="J5" s="98"/>
      <c r="K5" s="170"/>
      <c r="L5" s="170"/>
      <c r="M5" s="170"/>
      <c r="N5" s="170"/>
      <c r="O5" s="170"/>
      <c r="P5" s="170"/>
      <c r="Q5" s="170"/>
      <c r="R5" s="170"/>
      <c r="S5" s="170"/>
      <c r="T5" s="98"/>
      <c r="U5" s="98"/>
      <c r="V5" s="98"/>
      <c r="W5" s="98"/>
      <c r="X5" s="98"/>
      <c r="Y5" s="98"/>
      <c r="Z5" s="98"/>
      <c r="AA5" s="98"/>
      <c r="AB5" s="98"/>
      <c r="AC5" s="98"/>
      <c r="AD5" s="98"/>
    </row>
    <row r="6" spans="1:30" x14ac:dyDescent="0.3">
      <c r="A6" s="98" t="s">
        <v>72</v>
      </c>
      <c r="B6" s="98" t="s">
        <v>48</v>
      </c>
      <c r="C6" s="98" t="s">
        <v>49</v>
      </c>
      <c r="D6" s="98" t="s">
        <v>73</v>
      </c>
      <c r="E6" s="165" t="s">
        <v>55</v>
      </c>
      <c r="F6" s="98" t="s">
        <v>54</v>
      </c>
      <c r="G6" s="142">
        <v>510</v>
      </c>
      <c r="H6" s="98" t="s">
        <v>482</v>
      </c>
      <c r="I6" s="173">
        <v>4</v>
      </c>
      <c r="J6" s="98"/>
      <c r="K6" s="170"/>
      <c r="L6" s="170"/>
      <c r="M6" s="170"/>
      <c r="N6" s="170"/>
      <c r="O6" s="170"/>
      <c r="P6" s="170"/>
      <c r="Q6" s="170"/>
      <c r="R6" s="170"/>
      <c r="S6" s="170"/>
      <c r="T6" s="98"/>
      <c r="U6" s="98"/>
      <c r="V6" s="98"/>
      <c r="W6" s="98"/>
      <c r="X6" s="98"/>
      <c r="Y6" s="98"/>
      <c r="Z6" s="98"/>
      <c r="AA6" s="98"/>
      <c r="AB6" s="98"/>
      <c r="AC6" s="98"/>
      <c r="AD6" s="98"/>
    </row>
    <row r="7" spans="1:30" x14ac:dyDescent="0.3">
      <c r="A7" s="98" t="s">
        <v>77</v>
      </c>
      <c r="B7" s="98" t="s">
        <v>48</v>
      </c>
      <c r="C7" s="98" t="s">
        <v>49</v>
      </c>
      <c r="D7" s="98" t="s">
        <v>78</v>
      </c>
      <c r="E7" s="165" t="s">
        <v>55</v>
      </c>
      <c r="F7" s="98" t="s">
        <v>82</v>
      </c>
      <c r="G7" s="142">
        <v>535</v>
      </c>
      <c r="H7" s="98" t="s">
        <v>483</v>
      </c>
      <c r="I7" s="173">
        <v>2</v>
      </c>
      <c r="J7" s="98"/>
      <c r="K7" s="170"/>
      <c r="L7" s="170"/>
      <c r="M7" s="170"/>
      <c r="N7" s="170"/>
      <c r="O7" s="170"/>
      <c r="P7" s="170"/>
      <c r="Q7" s="170"/>
      <c r="R7" s="170"/>
      <c r="S7" s="170"/>
      <c r="T7" s="98"/>
      <c r="U7" s="98"/>
      <c r="V7" s="98"/>
      <c r="W7" s="98"/>
      <c r="X7" s="98"/>
      <c r="Y7" s="98"/>
      <c r="Z7" s="98"/>
      <c r="AA7" s="98"/>
      <c r="AB7" s="98"/>
      <c r="AC7" s="98"/>
      <c r="AD7" s="98"/>
    </row>
    <row r="8" spans="1:30" x14ac:dyDescent="0.3">
      <c r="A8" s="98" t="s">
        <v>83</v>
      </c>
      <c r="B8" s="98" t="s">
        <v>57</v>
      </c>
      <c r="C8" s="98" t="s">
        <v>84</v>
      </c>
      <c r="D8" s="98" t="s">
        <v>85</v>
      </c>
      <c r="E8" s="165" t="s">
        <v>55</v>
      </c>
      <c r="F8" s="98" t="s">
        <v>63</v>
      </c>
      <c r="G8" s="142">
        <v>288</v>
      </c>
      <c r="H8" s="98" t="s">
        <v>484</v>
      </c>
      <c r="I8" s="173">
        <v>8</v>
      </c>
      <c r="J8" s="98"/>
      <c r="K8" s="170"/>
      <c r="L8" s="170"/>
      <c r="M8" s="170"/>
      <c r="N8" s="170"/>
      <c r="O8" s="170"/>
      <c r="P8" s="170"/>
      <c r="Q8" s="170"/>
      <c r="R8" s="170"/>
      <c r="S8" s="170"/>
      <c r="T8" s="98"/>
      <c r="U8" s="98"/>
      <c r="V8" s="98"/>
      <c r="W8" s="98"/>
      <c r="X8" s="98"/>
      <c r="Y8" s="98"/>
      <c r="Z8" s="98"/>
      <c r="AA8" s="98"/>
      <c r="AB8" s="98"/>
      <c r="AC8" s="98"/>
      <c r="AD8" s="98"/>
    </row>
    <row r="9" spans="1:30" x14ac:dyDescent="0.3">
      <c r="A9" s="98" t="s">
        <v>89</v>
      </c>
      <c r="B9" s="98" t="s">
        <v>57</v>
      </c>
      <c r="C9" s="98" t="s">
        <v>90</v>
      </c>
      <c r="D9" s="98" t="s">
        <v>91</v>
      </c>
      <c r="E9" s="165" t="s">
        <v>55</v>
      </c>
      <c r="F9" s="98" t="s">
        <v>94</v>
      </c>
      <c r="G9" s="142">
        <v>310</v>
      </c>
      <c r="H9" s="98" t="s">
        <v>485</v>
      </c>
      <c r="I9" s="173">
        <v>7</v>
      </c>
      <c r="J9" s="98"/>
      <c r="K9" s="170"/>
      <c r="L9" s="170"/>
      <c r="M9" s="170"/>
      <c r="N9" s="170"/>
      <c r="O9" s="170"/>
      <c r="P9" s="170"/>
      <c r="Q9" s="170"/>
      <c r="R9" s="170"/>
      <c r="S9" s="170"/>
      <c r="T9" s="98"/>
      <c r="U9" s="98"/>
      <c r="V9" s="98"/>
      <c r="W9" s="98"/>
      <c r="X9" s="98"/>
      <c r="Y9" s="98"/>
      <c r="Z9" s="98"/>
      <c r="AA9" s="98"/>
      <c r="AB9" s="98"/>
      <c r="AC9" s="98"/>
      <c r="AD9" s="98"/>
    </row>
    <row r="10" spans="1:30" x14ac:dyDescent="0.3">
      <c r="A10" s="98" t="s">
        <v>95</v>
      </c>
      <c r="B10" s="98" t="s">
        <v>57</v>
      </c>
      <c r="C10" s="98" t="s">
        <v>96</v>
      </c>
      <c r="D10" s="98" t="s">
        <v>97</v>
      </c>
      <c r="E10" s="165" t="s">
        <v>55</v>
      </c>
      <c r="F10" s="98" t="s">
        <v>63</v>
      </c>
      <c r="G10" s="142">
        <v>313</v>
      </c>
      <c r="H10" s="98" t="s">
        <v>486</v>
      </c>
      <c r="I10" s="173">
        <v>8</v>
      </c>
      <c r="J10" s="98"/>
      <c r="K10" s="98"/>
      <c r="L10" s="170"/>
      <c r="M10" s="170"/>
      <c r="N10" s="170"/>
      <c r="O10" s="170"/>
      <c r="P10" s="170"/>
      <c r="Q10" s="170"/>
      <c r="R10" s="170"/>
      <c r="S10" s="170"/>
      <c r="T10" s="98"/>
      <c r="U10" s="98"/>
      <c r="V10" s="98"/>
      <c r="W10" s="98"/>
      <c r="X10" s="98"/>
      <c r="Y10" s="98"/>
      <c r="Z10" s="98"/>
      <c r="AA10" s="98"/>
      <c r="AB10" s="98"/>
      <c r="AC10" s="98"/>
      <c r="AD10" s="98"/>
    </row>
    <row r="11" spans="1:30" x14ac:dyDescent="0.3">
      <c r="A11" s="98" t="s">
        <v>100</v>
      </c>
      <c r="B11" s="98" t="s">
        <v>57</v>
      </c>
      <c r="C11" s="98" t="s">
        <v>58</v>
      </c>
      <c r="D11" s="98" t="s">
        <v>101</v>
      </c>
      <c r="E11" s="165" t="s">
        <v>55</v>
      </c>
      <c r="F11" s="98" t="s">
        <v>63</v>
      </c>
      <c r="G11" s="142">
        <v>326</v>
      </c>
      <c r="H11" s="98" t="s">
        <v>487</v>
      </c>
      <c r="I11" s="173">
        <v>8</v>
      </c>
      <c r="J11" s="98"/>
      <c r="K11" s="98"/>
      <c r="L11" s="170"/>
      <c r="M11" s="170"/>
      <c r="N11" s="170"/>
      <c r="O11" s="170"/>
      <c r="P11" s="170"/>
      <c r="Q11" s="170"/>
      <c r="R11" s="170"/>
      <c r="S11" s="170"/>
      <c r="T11" s="98"/>
      <c r="U11" s="98"/>
      <c r="V11" s="98"/>
      <c r="W11" s="98"/>
      <c r="X11" s="98"/>
      <c r="Y11" s="98"/>
      <c r="Z11" s="98"/>
      <c r="AA11" s="98"/>
      <c r="AB11" s="98"/>
      <c r="AC11" s="98"/>
      <c r="AD11" s="98"/>
    </row>
    <row r="12" spans="1:30" x14ac:dyDescent="0.3">
      <c r="A12" s="98" t="s">
        <v>104</v>
      </c>
      <c r="B12" s="98" t="s">
        <v>105</v>
      </c>
      <c r="C12" s="98" t="s">
        <v>113</v>
      </c>
      <c r="D12" s="166" t="s">
        <v>107</v>
      </c>
      <c r="E12" s="165" t="s">
        <v>55</v>
      </c>
      <c r="F12" s="98" t="s">
        <v>111</v>
      </c>
      <c r="G12" s="142">
        <v>670</v>
      </c>
      <c r="H12" s="98" t="s">
        <v>488</v>
      </c>
      <c r="I12" s="173">
        <v>3</v>
      </c>
      <c r="J12" s="98"/>
      <c r="K12" s="98"/>
      <c r="L12" s="170"/>
      <c r="M12" s="170"/>
      <c r="N12" s="170"/>
      <c r="O12" s="170"/>
      <c r="P12" s="170"/>
      <c r="Q12" s="170"/>
      <c r="R12" s="170"/>
      <c r="S12" s="170"/>
      <c r="T12" s="98"/>
      <c r="U12" s="98"/>
      <c r="V12" s="98"/>
      <c r="W12" s="98"/>
      <c r="X12" s="98"/>
      <c r="Y12" s="98"/>
      <c r="Z12" s="98"/>
      <c r="AA12" s="98"/>
      <c r="AB12" s="98"/>
      <c r="AC12" s="98"/>
      <c r="AD12" s="98"/>
    </row>
    <row r="13" spans="1:30" x14ac:dyDescent="0.3">
      <c r="A13" s="98" t="s">
        <v>112</v>
      </c>
      <c r="B13" s="98" t="s">
        <v>105</v>
      </c>
      <c r="C13" s="98" t="s">
        <v>113</v>
      </c>
      <c r="D13" s="98" t="s">
        <v>114</v>
      </c>
      <c r="E13" s="165" t="s">
        <v>55</v>
      </c>
      <c r="F13" s="98" t="s">
        <v>116</v>
      </c>
      <c r="G13" s="142">
        <v>700</v>
      </c>
      <c r="H13" s="98">
        <v>0</v>
      </c>
      <c r="I13" s="173">
        <v>5</v>
      </c>
      <c r="J13" s="98"/>
      <c r="K13" s="98"/>
      <c r="L13" s="170"/>
      <c r="M13" s="170"/>
      <c r="N13" s="170"/>
      <c r="O13" s="170"/>
      <c r="P13" s="170"/>
      <c r="Q13" s="170"/>
      <c r="R13" s="170"/>
      <c r="S13" s="170"/>
      <c r="T13" s="98"/>
      <c r="U13" s="98"/>
      <c r="V13" s="98"/>
      <c r="W13" s="98"/>
      <c r="X13" s="98"/>
      <c r="Y13" s="98"/>
      <c r="Z13" s="98"/>
      <c r="AA13" s="98"/>
      <c r="AB13" s="98"/>
      <c r="AC13" s="98"/>
      <c r="AD13" s="98"/>
    </row>
    <row r="14" spans="1:30" x14ac:dyDescent="0.3">
      <c r="A14" s="98" t="s">
        <v>117</v>
      </c>
      <c r="B14" s="98" t="s">
        <v>57</v>
      </c>
      <c r="C14" s="98" t="s">
        <v>118</v>
      </c>
      <c r="D14" s="98" t="s">
        <v>119</v>
      </c>
      <c r="E14" s="165" t="s">
        <v>55</v>
      </c>
      <c r="F14" s="98" t="s">
        <v>63</v>
      </c>
      <c r="G14" s="142">
        <v>98</v>
      </c>
      <c r="H14" s="98">
        <v>0</v>
      </c>
      <c r="I14" s="173">
        <v>8</v>
      </c>
      <c r="J14" s="98"/>
      <c r="K14" s="98"/>
      <c r="L14" s="170"/>
      <c r="M14" s="170"/>
      <c r="N14" s="170"/>
      <c r="O14" s="170"/>
      <c r="P14" s="170"/>
      <c r="Q14" s="170"/>
      <c r="R14" s="170"/>
      <c r="S14" s="170"/>
      <c r="T14" s="98"/>
      <c r="U14" s="98"/>
      <c r="V14" s="98"/>
      <c r="W14" s="98"/>
      <c r="X14" s="98"/>
      <c r="Y14" s="98"/>
      <c r="Z14" s="98"/>
      <c r="AA14" s="98"/>
      <c r="AB14" s="98"/>
      <c r="AC14" s="98"/>
      <c r="AD14" s="98"/>
    </row>
    <row r="15" spans="1:30" x14ac:dyDescent="0.3">
      <c r="A15" s="98" t="s">
        <v>121</v>
      </c>
      <c r="B15" s="98" t="s">
        <v>65</v>
      </c>
      <c r="C15" s="98" t="s">
        <v>122</v>
      </c>
      <c r="D15" s="98" t="s">
        <v>123</v>
      </c>
      <c r="E15" s="165" t="s">
        <v>55</v>
      </c>
      <c r="F15" s="98" t="s">
        <v>126</v>
      </c>
      <c r="G15" s="142">
        <v>850</v>
      </c>
      <c r="H15" s="90" t="s">
        <v>489</v>
      </c>
      <c r="I15" s="173">
        <v>9</v>
      </c>
      <c r="J15" s="98"/>
      <c r="K15" s="98"/>
      <c r="L15" s="170"/>
      <c r="M15" s="170"/>
      <c r="N15" s="170"/>
      <c r="O15" s="170"/>
      <c r="P15" s="170"/>
      <c r="Q15" s="170"/>
      <c r="R15" s="170"/>
      <c r="S15" s="170"/>
      <c r="T15" s="98"/>
      <c r="U15" s="98"/>
      <c r="V15" s="98"/>
      <c r="W15" s="98"/>
      <c r="X15" s="98"/>
      <c r="Y15" s="98"/>
      <c r="Z15" s="98"/>
      <c r="AA15" s="98"/>
      <c r="AB15" s="98"/>
      <c r="AC15" s="98"/>
      <c r="AD15" s="98"/>
    </row>
    <row r="16" spans="1:30" x14ac:dyDescent="0.3">
      <c r="A16" s="98" t="s">
        <v>127</v>
      </c>
      <c r="B16" s="98" t="s">
        <v>65</v>
      </c>
      <c r="C16" s="98" t="s">
        <v>122</v>
      </c>
      <c r="D16" s="98" t="s">
        <v>128</v>
      </c>
      <c r="E16" s="165" t="s">
        <v>55</v>
      </c>
      <c r="F16" s="98" t="s">
        <v>126</v>
      </c>
      <c r="G16" s="142">
        <v>800</v>
      </c>
      <c r="H16" s="90" t="s">
        <v>481</v>
      </c>
      <c r="I16" s="173">
        <v>9</v>
      </c>
      <c r="J16" s="98"/>
      <c r="K16" s="98"/>
      <c r="L16" s="170"/>
      <c r="M16" s="170"/>
      <c r="N16" s="170"/>
      <c r="O16" s="170"/>
      <c r="P16" s="170"/>
      <c r="Q16" s="170"/>
      <c r="R16" s="170"/>
      <c r="S16" s="170"/>
      <c r="T16" s="98"/>
      <c r="U16" s="98"/>
      <c r="V16" s="98"/>
      <c r="W16" s="98"/>
      <c r="X16" s="98"/>
      <c r="Y16" s="98"/>
      <c r="Z16" s="98"/>
      <c r="AA16" s="98"/>
      <c r="AB16" s="98"/>
      <c r="AC16" s="98"/>
      <c r="AD16" s="98"/>
    </row>
    <row r="17" spans="1:30" x14ac:dyDescent="0.3">
      <c r="A17" s="98" t="s">
        <v>130</v>
      </c>
      <c r="B17" s="98" t="s">
        <v>105</v>
      </c>
      <c r="C17" s="98" t="s">
        <v>113</v>
      </c>
      <c r="D17" s="98" t="s">
        <v>131</v>
      </c>
      <c r="E17" s="165" t="s">
        <v>55</v>
      </c>
      <c r="F17" s="98" t="s">
        <v>134</v>
      </c>
      <c r="G17" s="142">
        <v>704</v>
      </c>
      <c r="H17" s="98" t="s">
        <v>490</v>
      </c>
      <c r="I17" s="173">
        <v>3</v>
      </c>
      <c r="J17" s="98"/>
      <c r="K17" s="98"/>
      <c r="L17" s="170"/>
      <c r="M17" s="170"/>
      <c r="N17" s="170"/>
      <c r="O17" s="170"/>
      <c r="P17" s="170"/>
      <c r="Q17" s="170"/>
      <c r="R17" s="170"/>
      <c r="S17" s="170"/>
      <c r="T17" s="98"/>
      <c r="U17" s="98"/>
      <c r="V17" s="98"/>
      <c r="W17" s="98"/>
      <c r="X17" s="98"/>
      <c r="Y17" s="98"/>
      <c r="Z17" s="98"/>
      <c r="AA17" s="98"/>
      <c r="AB17" s="98"/>
      <c r="AC17" s="98"/>
      <c r="AD17" s="98"/>
    </row>
    <row r="18" spans="1:30" x14ac:dyDescent="0.3">
      <c r="A18" s="98" t="s">
        <v>135</v>
      </c>
      <c r="B18" s="98" t="s">
        <v>65</v>
      </c>
      <c r="C18" s="98" t="s">
        <v>136</v>
      </c>
      <c r="D18" s="98" t="s">
        <v>137</v>
      </c>
      <c r="E18" s="165" t="s">
        <v>55</v>
      </c>
      <c r="F18" s="98" t="s">
        <v>71</v>
      </c>
      <c r="G18" s="142">
        <v>900</v>
      </c>
      <c r="H18" s="90" t="s">
        <v>481</v>
      </c>
      <c r="I18" s="173">
        <v>6</v>
      </c>
      <c r="J18" s="98"/>
      <c r="K18" s="98"/>
      <c r="L18" s="170"/>
      <c r="M18" s="170"/>
      <c r="N18" s="170"/>
      <c r="O18" s="170"/>
      <c r="P18" s="170"/>
      <c r="Q18" s="170"/>
      <c r="R18" s="170"/>
      <c r="S18" s="170"/>
      <c r="T18" s="98"/>
      <c r="U18" s="98"/>
      <c r="V18" s="98"/>
      <c r="W18" s="98"/>
      <c r="X18" s="98"/>
      <c r="Y18" s="98"/>
      <c r="Z18" s="98"/>
      <c r="AA18" s="98"/>
      <c r="AB18" s="98"/>
      <c r="AC18" s="98"/>
      <c r="AD18" s="98"/>
    </row>
    <row r="19" spans="1:30" x14ac:dyDescent="0.3">
      <c r="A19" s="98" t="s">
        <v>139</v>
      </c>
      <c r="B19" s="98" t="s">
        <v>65</v>
      </c>
      <c r="C19" s="98" t="s">
        <v>136</v>
      </c>
      <c r="D19" s="98" t="s">
        <v>140</v>
      </c>
      <c r="E19" s="165" t="s">
        <v>55</v>
      </c>
      <c r="F19" s="98" t="s">
        <v>71</v>
      </c>
      <c r="G19" s="142">
        <v>850</v>
      </c>
      <c r="H19" s="98" t="s">
        <v>491</v>
      </c>
      <c r="I19" s="173">
        <v>6</v>
      </c>
      <c r="J19" s="98"/>
      <c r="K19" s="98"/>
      <c r="L19" s="170"/>
      <c r="M19" s="170"/>
      <c r="N19" s="170"/>
      <c r="O19" s="170"/>
      <c r="P19" s="170"/>
      <c r="Q19" s="170"/>
      <c r="R19" s="170"/>
      <c r="S19" s="170"/>
      <c r="T19" s="98"/>
      <c r="U19" s="98"/>
      <c r="V19" s="98"/>
      <c r="W19" s="98"/>
      <c r="X19" s="98"/>
      <c r="Y19" s="98"/>
      <c r="Z19" s="98"/>
      <c r="AA19" s="98"/>
      <c r="AB19" s="98"/>
      <c r="AC19" s="98"/>
      <c r="AD19" s="98"/>
    </row>
    <row r="20" spans="1:30" x14ac:dyDescent="0.3">
      <c r="A20" s="98" t="s">
        <v>143</v>
      </c>
      <c r="B20" s="98" t="s">
        <v>57</v>
      </c>
      <c r="C20" s="98" t="s">
        <v>96</v>
      </c>
      <c r="D20" s="98" t="s">
        <v>144</v>
      </c>
      <c r="E20" s="165" t="s">
        <v>55</v>
      </c>
      <c r="F20" s="98" t="s">
        <v>63</v>
      </c>
      <c r="G20" s="142">
        <v>120</v>
      </c>
      <c r="H20" s="98">
        <v>0</v>
      </c>
      <c r="I20" s="173">
        <v>8</v>
      </c>
      <c r="J20" s="98"/>
      <c r="K20" s="98"/>
      <c r="L20" s="170"/>
      <c r="M20" s="170"/>
      <c r="N20" s="170"/>
      <c r="O20" s="170"/>
      <c r="P20" s="170"/>
      <c r="Q20" s="170"/>
      <c r="R20" s="170"/>
      <c r="S20" s="170"/>
      <c r="T20" s="98"/>
      <c r="U20" s="98"/>
      <c r="V20" s="98"/>
      <c r="W20" s="98"/>
      <c r="X20" s="98"/>
      <c r="Y20" s="98"/>
      <c r="Z20" s="98"/>
      <c r="AA20" s="98"/>
      <c r="AB20" s="98"/>
      <c r="AC20" s="98"/>
      <c r="AD20" s="98"/>
    </row>
    <row r="21" spans="1:30" x14ac:dyDescent="0.3">
      <c r="A21" s="98" t="s">
        <v>146</v>
      </c>
      <c r="B21" s="98" t="s">
        <v>65</v>
      </c>
      <c r="C21" s="98" t="s">
        <v>66</v>
      </c>
      <c r="D21" s="98" t="s">
        <v>147</v>
      </c>
      <c r="E21" s="165" t="s">
        <v>55</v>
      </c>
      <c r="F21" s="98" t="s">
        <v>71</v>
      </c>
      <c r="G21" s="142">
        <v>750</v>
      </c>
      <c r="H21" s="98" t="s">
        <v>482</v>
      </c>
      <c r="I21" s="173">
        <v>6</v>
      </c>
      <c r="J21" s="98"/>
      <c r="K21" s="98"/>
      <c r="L21" s="170"/>
      <c r="M21" s="170"/>
      <c r="N21" s="170"/>
      <c r="O21" s="170"/>
      <c r="P21" s="170"/>
      <c r="Q21" s="170"/>
      <c r="R21" s="170"/>
      <c r="S21" s="170"/>
      <c r="T21" s="98"/>
      <c r="U21" s="98"/>
      <c r="V21" s="98"/>
      <c r="W21" s="98"/>
      <c r="X21" s="98"/>
      <c r="Y21" s="98"/>
      <c r="Z21" s="98"/>
      <c r="AA21" s="98"/>
      <c r="AB21" s="98"/>
      <c r="AC21" s="98"/>
      <c r="AD21" s="98"/>
    </row>
    <row r="22" spans="1:30" x14ac:dyDescent="0.3">
      <c r="A22" s="98" t="s">
        <v>149</v>
      </c>
      <c r="B22" s="98" t="s">
        <v>65</v>
      </c>
      <c r="C22" s="98" t="s">
        <v>66</v>
      </c>
      <c r="D22" s="98" t="s">
        <v>150</v>
      </c>
      <c r="E22" s="165" t="s">
        <v>55</v>
      </c>
      <c r="F22" s="98" t="s">
        <v>71</v>
      </c>
      <c r="G22" s="142">
        <v>700</v>
      </c>
      <c r="H22" s="98" t="s">
        <v>492</v>
      </c>
      <c r="I22" s="173">
        <v>6</v>
      </c>
      <c r="J22" s="98"/>
      <c r="K22" s="98"/>
      <c r="L22" s="98"/>
      <c r="M22" s="98"/>
      <c r="N22" s="98"/>
      <c r="O22" s="98"/>
      <c r="P22" s="98"/>
      <c r="Q22" s="98"/>
      <c r="R22" s="98"/>
      <c r="S22" s="98"/>
      <c r="T22" s="98"/>
      <c r="U22" s="98"/>
      <c r="V22" s="98"/>
      <c r="W22" s="98"/>
      <c r="X22" s="98"/>
      <c r="Y22" s="98"/>
      <c r="Z22" s="98"/>
      <c r="AA22" s="98"/>
      <c r="AB22" s="98"/>
      <c r="AC22" s="98"/>
      <c r="AD22" s="98"/>
    </row>
    <row r="23" spans="1:30" x14ac:dyDescent="0.3">
      <c r="A23" s="98" t="s">
        <v>153</v>
      </c>
      <c r="B23" s="98" t="s">
        <v>65</v>
      </c>
      <c r="C23" s="98" t="s">
        <v>66</v>
      </c>
      <c r="D23" s="98" t="s">
        <v>150</v>
      </c>
      <c r="E23" s="165" t="s">
        <v>55</v>
      </c>
      <c r="F23" s="98" t="s">
        <v>71</v>
      </c>
      <c r="G23" s="142">
        <v>750</v>
      </c>
      <c r="H23" s="98" t="s">
        <v>493</v>
      </c>
      <c r="I23" s="173">
        <v>6</v>
      </c>
      <c r="J23" s="98"/>
      <c r="K23" s="98"/>
      <c r="L23" s="98"/>
      <c r="M23" s="98"/>
      <c r="N23" s="98"/>
      <c r="O23" s="98"/>
      <c r="P23" s="98"/>
      <c r="Q23" s="98"/>
      <c r="R23" s="98"/>
      <c r="S23" s="98"/>
      <c r="T23" s="98"/>
      <c r="U23" s="98"/>
      <c r="V23" s="98"/>
      <c r="W23" s="98"/>
      <c r="X23" s="98"/>
      <c r="Y23" s="98"/>
      <c r="Z23" s="98"/>
      <c r="AA23" s="98"/>
      <c r="AB23" s="98"/>
      <c r="AC23" s="98"/>
      <c r="AD23" s="98"/>
    </row>
    <row r="24" spans="1:30" x14ac:dyDescent="0.3">
      <c r="A24" s="98" t="s">
        <v>155</v>
      </c>
      <c r="B24" s="98" t="s">
        <v>65</v>
      </c>
      <c r="C24" s="98" t="s">
        <v>136</v>
      </c>
      <c r="D24" s="98" t="s">
        <v>156</v>
      </c>
      <c r="E24" s="165" t="s">
        <v>55</v>
      </c>
      <c r="F24" s="98" t="s">
        <v>71</v>
      </c>
      <c r="G24" s="142">
        <v>850</v>
      </c>
      <c r="H24" s="98">
        <v>0</v>
      </c>
      <c r="I24" s="173">
        <v>6</v>
      </c>
      <c r="J24" s="98"/>
      <c r="K24" s="98"/>
      <c r="L24" s="98"/>
      <c r="M24" s="98"/>
      <c r="N24" s="98"/>
      <c r="O24" s="98"/>
      <c r="P24" s="98"/>
      <c r="Q24" s="98"/>
      <c r="R24" s="98"/>
      <c r="S24" s="98"/>
      <c r="T24" s="98"/>
      <c r="U24" s="98"/>
      <c r="V24" s="98"/>
      <c r="W24" s="98"/>
      <c r="X24" s="98"/>
      <c r="Y24" s="98"/>
      <c r="Z24" s="98"/>
      <c r="AA24" s="98"/>
      <c r="AB24" s="98"/>
      <c r="AC24" s="98"/>
      <c r="AD24" s="98"/>
    </row>
    <row r="25" spans="1:30" x14ac:dyDescent="0.3">
      <c r="A25" s="98" t="s">
        <v>158</v>
      </c>
      <c r="B25" s="98" t="s">
        <v>57</v>
      </c>
      <c r="C25" s="98" t="s">
        <v>96</v>
      </c>
      <c r="D25" s="98" t="s">
        <v>159</v>
      </c>
      <c r="E25" s="165" t="s">
        <v>55</v>
      </c>
      <c r="F25" s="98" t="s">
        <v>63</v>
      </c>
      <c r="G25" s="142">
        <v>345</v>
      </c>
      <c r="H25" s="98" t="s">
        <v>482</v>
      </c>
      <c r="I25" s="173">
        <v>8</v>
      </c>
      <c r="J25" s="98"/>
      <c r="K25" s="98"/>
      <c r="L25" s="98"/>
      <c r="M25" s="98"/>
      <c r="N25" s="98"/>
      <c r="O25" s="98"/>
      <c r="P25" s="98"/>
      <c r="Q25" s="98"/>
      <c r="R25" s="98"/>
      <c r="S25" s="98"/>
      <c r="T25" s="98"/>
      <c r="U25" s="98"/>
      <c r="V25" s="98"/>
      <c r="W25" s="98"/>
      <c r="X25" s="98"/>
      <c r="Y25" s="98"/>
      <c r="Z25" s="98"/>
      <c r="AA25" s="98"/>
      <c r="AB25" s="98"/>
      <c r="AC25" s="98"/>
      <c r="AD25" s="98"/>
    </row>
    <row r="26" spans="1:30" x14ac:dyDescent="0.3">
      <c r="A26" s="98" t="s">
        <v>161</v>
      </c>
      <c r="B26" s="98" t="s">
        <v>105</v>
      </c>
      <c r="C26" s="98" t="s">
        <v>113</v>
      </c>
      <c r="D26" s="98" t="s">
        <v>162</v>
      </c>
      <c r="E26" s="165" t="s">
        <v>55</v>
      </c>
      <c r="F26" s="98" t="s">
        <v>165</v>
      </c>
      <c r="G26" s="142">
        <v>700</v>
      </c>
      <c r="H26" s="93" t="s">
        <v>494</v>
      </c>
      <c r="I26" s="173">
        <v>3</v>
      </c>
      <c r="J26" s="98"/>
      <c r="K26" s="98"/>
      <c r="L26" s="98"/>
      <c r="M26" s="98"/>
      <c r="N26" s="98"/>
      <c r="O26" s="98"/>
      <c r="P26" s="98"/>
      <c r="Q26" s="98"/>
      <c r="R26" s="98"/>
      <c r="S26" s="98"/>
      <c r="T26" s="98"/>
      <c r="U26" s="98"/>
      <c r="V26" s="98"/>
      <c r="W26" s="98"/>
      <c r="X26" s="98"/>
      <c r="Y26" s="98"/>
      <c r="Z26" s="98"/>
      <c r="AA26" s="98"/>
      <c r="AB26" s="98"/>
      <c r="AC26" s="98"/>
      <c r="AD26" s="98"/>
    </row>
    <row r="27" spans="1:30" x14ac:dyDescent="0.3">
      <c r="A27" s="98" t="s">
        <v>166</v>
      </c>
      <c r="B27" s="98" t="s">
        <v>57</v>
      </c>
      <c r="C27" s="98" t="s">
        <v>58</v>
      </c>
      <c r="D27" s="98" t="s">
        <v>167</v>
      </c>
      <c r="E27" s="165" t="s">
        <v>55</v>
      </c>
      <c r="F27" s="98" t="s">
        <v>63</v>
      </c>
      <c r="G27" s="142" t="s">
        <v>495</v>
      </c>
      <c r="H27" s="98" t="s">
        <v>496</v>
      </c>
      <c r="I27" s="173">
        <v>8</v>
      </c>
      <c r="J27" s="98"/>
      <c r="K27" s="98"/>
      <c r="L27" s="98"/>
      <c r="M27" s="98"/>
      <c r="N27" s="98"/>
      <c r="O27" s="98"/>
      <c r="P27" s="98"/>
      <c r="Q27" s="98"/>
      <c r="R27" s="98"/>
      <c r="S27" s="98"/>
      <c r="T27" s="98"/>
      <c r="U27" s="98"/>
      <c r="V27" s="98"/>
      <c r="W27" s="98"/>
      <c r="X27" s="98"/>
      <c r="Y27" s="98"/>
      <c r="Z27" s="98"/>
      <c r="AA27" s="98"/>
      <c r="AB27" s="98"/>
      <c r="AC27" s="98"/>
      <c r="AD27" s="98"/>
    </row>
    <row r="28" spans="1:30" x14ac:dyDescent="0.3">
      <c r="A28" s="98" t="s">
        <v>170</v>
      </c>
      <c r="B28" s="98" t="s">
        <v>65</v>
      </c>
      <c r="C28" s="98" t="s">
        <v>136</v>
      </c>
      <c r="D28" s="98" t="s">
        <v>171</v>
      </c>
      <c r="E28" s="165" t="s">
        <v>55</v>
      </c>
      <c r="F28" s="98" t="s">
        <v>71</v>
      </c>
      <c r="G28" s="142">
        <v>700</v>
      </c>
      <c r="H28" s="98">
        <v>0</v>
      </c>
      <c r="I28" s="173">
        <v>6</v>
      </c>
      <c r="J28" s="98"/>
      <c r="K28" s="98"/>
      <c r="L28" s="98"/>
      <c r="M28" s="98"/>
      <c r="N28" s="98"/>
      <c r="O28" s="98"/>
      <c r="P28" s="98"/>
      <c r="Q28" s="98"/>
      <c r="R28" s="98"/>
      <c r="S28" s="98"/>
      <c r="T28" s="98"/>
      <c r="U28" s="98"/>
      <c r="V28" s="98"/>
      <c r="W28" s="98"/>
      <c r="X28" s="98"/>
      <c r="Y28" s="98"/>
      <c r="Z28" s="98"/>
      <c r="AA28" s="98"/>
      <c r="AB28" s="98"/>
      <c r="AC28" s="98"/>
      <c r="AD28" s="98"/>
    </row>
    <row r="29" spans="1:30" x14ac:dyDescent="0.3">
      <c r="A29" s="98" t="s">
        <v>174</v>
      </c>
      <c r="B29" s="98" t="s">
        <v>57</v>
      </c>
      <c r="C29" s="98" t="s">
        <v>84</v>
      </c>
      <c r="D29" s="98" t="s">
        <v>175</v>
      </c>
      <c r="E29" s="165" t="s">
        <v>55</v>
      </c>
      <c r="F29" s="98" t="s">
        <v>63</v>
      </c>
      <c r="G29" s="142">
        <v>286</v>
      </c>
      <c r="H29" s="98" t="s">
        <v>497</v>
      </c>
      <c r="I29" s="173">
        <v>8</v>
      </c>
      <c r="J29" s="98"/>
      <c r="K29" s="98"/>
      <c r="L29" s="98"/>
      <c r="M29" s="98"/>
      <c r="N29" s="98"/>
      <c r="O29" s="98"/>
      <c r="P29" s="98"/>
      <c r="Q29" s="98"/>
      <c r="R29" s="98"/>
      <c r="S29" s="98"/>
      <c r="T29" s="98"/>
      <c r="U29" s="98"/>
      <c r="V29" s="98"/>
      <c r="W29" s="98"/>
      <c r="X29" s="98"/>
      <c r="Y29" s="98"/>
      <c r="Z29" s="98"/>
      <c r="AA29" s="98"/>
      <c r="AB29" s="98"/>
      <c r="AC29" s="98"/>
      <c r="AD29" s="98"/>
    </row>
    <row r="30" spans="1:30" x14ac:dyDescent="0.3">
      <c r="A30" s="98" t="s">
        <v>177</v>
      </c>
      <c r="B30" s="98" t="s">
        <v>57</v>
      </c>
      <c r="C30" s="98" t="s">
        <v>84</v>
      </c>
      <c r="D30" s="98" t="s">
        <v>178</v>
      </c>
      <c r="E30" s="165" t="s">
        <v>55</v>
      </c>
      <c r="F30" s="98" t="s">
        <v>63</v>
      </c>
      <c r="G30" s="142">
        <v>286</v>
      </c>
      <c r="H30" s="98" t="s">
        <v>497</v>
      </c>
      <c r="I30" s="173">
        <v>8</v>
      </c>
      <c r="J30" s="98"/>
      <c r="K30" s="98"/>
      <c r="L30" s="98"/>
      <c r="M30" s="98"/>
      <c r="N30" s="98"/>
      <c r="O30" s="98"/>
      <c r="P30" s="98"/>
      <c r="Q30" s="98"/>
      <c r="R30" s="98"/>
      <c r="S30" s="98"/>
      <c r="T30" s="98"/>
      <c r="U30" s="98"/>
      <c r="V30" s="98"/>
      <c r="W30" s="98"/>
      <c r="X30" s="98"/>
      <c r="Y30" s="98"/>
      <c r="Z30" s="98"/>
      <c r="AA30" s="98"/>
      <c r="AB30" s="98"/>
      <c r="AC30" s="98"/>
      <c r="AD30" s="98"/>
    </row>
    <row r="31" spans="1:30" x14ac:dyDescent="0.3">
      <c r="A31" s="98" t="s">
        <v>179</v>
      </c>
      <c r="B31" s="98" t="s">
        <v>105</v>
      </c>
      <c r="C31" s="98" t="s">
        <v>264</v>
      </c>
      <c r="D31" s="98" t="s">
        <v>181</v>
      </c>
      <c r="E31" s="165" t="s">
        <v>55</v>
      </c>
      <c r="F31" s="98" t="s">
        <v>498</v>
      </c>
      <c r="G31" s="142">
        <v>650</v>
      </c>
      <c r="H31" s="98" t="s">
        <v>499</v>
      </c>
      <c r="I31" s="173">
        <v>5</v>
      </c>
      <c r="J31" s="98"/>
      <c r="K31" s="98"/>
      <c r="L31" s="98"/>
      <c r="M31" s="98"/>
      <c r="N31" s="98"/>
      <c r="O31" s="98"/>
      <c r="P31" s="98"/>
      <c r="Q31" s="98"/>
      <c r="R31" s="98"/>
      <c r="S31" s="98"/>
      <c r="T31" s="98"/>
      <c r="U31" s="98"/>
      <c r="V31" s="98"/>
      <c r="W31" s="98"/>
      <c r="X31" s="98"/>
      <c r="Y31" s="98"/>
      <c r="Z31" s="98"/>
      <c r="AA31" s="98"/>
      <c r="AB31" s="98"/>
      <c r="AC31" s="98"/>
      <c r="AD31" s="98"/>
    </row>
    <row r="32" spans="1:30" x14ac:dyDescent="0.3">
      <c r="A32" s="98" t="s">
        <v>184</v>
      </c>
      <c r="B32" s="98" t="s">
        <v>48</v>
      </c>
      <c r="C32" s="98" t="s">
        <v>49</v>
      </c>
      <c r="D32" s="98" t="s">
        <v>185</v>
      </c>
      <c r="E32" s="165" t="s">
        <v>55</v>
      </c>
      <c r="F32" s="98" t="s">
        <v>82</v>
      </c>
      <c r="G32" s="142">
        <v>530</v>
      </c>
      <c r="H32" s="98" t="s">
        <v>500</v>
      </c>
      <c r="I32" s="173">
        <v>2</v>
      </c>
      <c r="J32" s="98"/>
      <c r="K32" s="98"/>
      <c r="L32" s="98"/>
      <c r="M32" s="98"/>
      <c r="N32" s="98"/>
      <c r="O32" s="98"/>
      <c r="P32" s="98"/>
      <c r="Q32" s="98"/>
      <c r="R32" s="98"/>
      <c r="S32" s="98"/>
      <c r="T32" s="98"/>
      <c r="U32" s="98"/>
      <c r="V32" s="98"/>
      <c r="W32" s="98"/>
      <c r="X32" s="98"/>
      <c r="Y32" s="98"/>
      <c r="Z32" s="98"/>
      <c r="AA32" s="98"/>
      <c r="AB32" s="98"/>
      <c r="AC32" s="98"/>
      <c r="AD32" s="98"/>
    </row>
    <row r="33" spans="1:30" x14ac:dyDescent="0.3">
      <c r="A33" s="98" t="s">
        <v>188</v>
      </c>
      <c r="B33" s="98" t="s">
        <v>105</v>
      </c>
      <c r="C33" s="98" t="s">
        <v>113</v>
      </c>
      <c r="D33" s="98" t="s">
        <v>189</v>
      </c>
      <c r="E33" s="165" t="s">
        <v>55</v>
      </c>
      <c r="F33" s="98" t="s">
        <v>190</v>
      </c>
      <c r="G33" s="142">
        <v>650</v>
      </c>
      <c r="H33" s="98" t="s">
        <v>500</v>
      </c>
      <c r="I33" s="173">
        <v>3</v>
      </c>
      <c r="J33" s="98"/>
      <c r="K33" s="98"/>
      <c r="L33" s="98"/>
      <c r="M33" s="98"/>
      <c r="N33" s="98"/>
      <c r="O33" s="98"/>
      <c r="P33" s="98"/>
      <c r="Q33" s="98"/>
      <c r="R33" s="98"/>
      <c r="S33" s="98"/>
      <c r="T33" s="98"/>
      <c r="U33" s="98"/>
      <c r="V33" s="98"/>
      <c r="W33" s="98"/>
      <c r="X33" s="98"/>
      <c r="Y33" s="98"/>
      <c r="Z33" s="98"/>
      <c r="AA33" s="98"/>
      <c r="AB33" s="98"/>
      <c r="AC33" s="98"/>
      <c r="AD33" s="98"/>
    </row>
    <row r="34" spans="1:30" x14ac:dyDescent="0.3">
      <c r="A34" s="98" t="s">
        <v>191</v>
      </c>
      <c r="B34" s="98" t="s">
        <v>105</v>
      </c>
      <c r="C34" s="98" t="s">
        <v>192</v>
      </c>
      <c r="D34" s="98" t="s">
        <v>193</v>
      </c>
      <c r="E34" s="165" t="s">
        <v>55</v>
      </c>
      <c r="F34" s="98" t="s">
        <v>195</v>
      </c>
      <c r="G34" s="142">
        <v>750</v>
      </c>
      <c r="H34" s="98" t="s">
        <v>488</v>
      </c>
      <c r="I34" s="173">
        <v>3</v>
      </c>
      <c r="J34" s="98"/>
      <c r="K34" s="98"/>
      <c r="L34" s="98"/>
      <c r="M34" s="98"/>
      <c r="N34" s="98"/>
      <c r="O34" s="98"/>
      <c r="P34" s="98"/>
      <c r="Q34" s="98"/>
      <c r="R34" s="98"/>
      <c r="S34" s="98"/>
      <c r="T34" s="98"/>
      <c r="U34" s="98"/>
      <c r="V34" s="98"/>
      <c r="W34" s="98"/>
      <c r="X34" s="98"/>
      <c r="Y34" s="98"/>
      <c r="Z34" s="98"/>
      <c r="AA34" s="98"/>
      <c r="AB34" s="98"/>
      <c r="AC34" s="98"/>
      <c r="AD34" s="98"/>
    </row>
    <row r="35" spans="1:30" x14ac:dyDescent="0.3">
      <c r="A35" s="98" t="s">
        <v>196</v>
      </c>
      <c r="B35" s="98" t="s">
        <v>65</v>
      </c>
      <c r="C35" s="98" t="s">
        <v>197</v>
      </c>
      <c r="D35" s="98" t="s">
        <v>198</v>
      </c>
      <c r="E35" s="165" t="s">
        <v>55</v>
      </c>
      <c r="F35" s="98" t="s">
        <v>71</v>
      </c>
      <c r="G35" s="142">
        <v>950</v>
      </c>
      <c r="H35" s="98" t="s">
        <v>501</v>
      </c>
      <c r="I35" s="173">
        <v>6</v>
      </c>
      <c r="J35" s="98"/>
      <c r="K35" s="98"/>
      <c r="L35" s="98"/>
      <c r="M35" s="98"/>
      <c r="N35" s="98"/>
      <c r="O35" s="98"/>
      <c r="P35" s="98"/>
      <c r="Q35" s="98"/>
      <c r="R35" s="98"/>
      <c r="S35" s="98"/>
      <c r="T35" s="98"/>
      <c r="U35" s="98"/>
      <c r="V35" s="98"/>
      <c r="W35" s="98"/>
      <c r="X35" s="98"/>
      <c r="Y35" s="98"/>
      <c r="Z35" s="98"/>
      <c r="AA35" s="98"/>
      <c r="AB35" s="98"/>
      <c r="AC35" s="98"/>
      <c r="AD35" s="98"/>
    </row>
    <row r="36" spans="1:30" x14ac:dyDescent="0.3">
      <c r="A36" s="98" t="s">
        <v>200</v>
      </c>
      <c r="B36" s="98" t="s">
        <v>65</v>
      </c>
      <c r="C36" s="98" t="s">
        <v>197</v>
      </c>
      <c r="D36" s="98" t="s">
        <v>201</v>
      </c>
      <c r="E36" s="165" t="s">
        <v>55</v>
      </c>
      <c r="F36" s="98" t="s">
        <v>71</v>
      </c>
      <c r="G36" s="142">
        <v>950</v>
      </c>
      <c r="H36" s="98" t="s">
        <v>502</v>
      </c>
      <c r="I36" s="173">
        <v>6</v>
      </c>
      <c r="J36" s="98"/>
      <c r="K36" s="98"/>
      <c r="L36" s="98"/>
      <c r="M36" s="98"/>
      <c r="N36" s="98"/>
      <c r="O36" s="98"/>
      <c r="P36" s="98"/>
      <c r="Q36" s="98"/>
      <c r="R36" s="98"/>
      <c r="S36" s="98"/>
      <c r="T36" s="98"/>
      <c r="U36" s="98"/>
      <c r="V36" s="98"/>
      <c r="W36" s="98"/>
      <c r="X36" s="98"/>
      <c r="Y36" s="98"/>
      <c r="Z36" s="98"/>
      <c r="AA36" s="98"/>
      <c r="AB36" s="98"/>
      <c r="AC36" s="98"/>
      <c r="AD36" s="98"/>
    </row>
    <row r="37" spans="1:30" x14ac:dyDescent="0.3">
      <c r="A37" s="98" t="s">
        <v>203</v>
      </c>
      <c r="B37" s="98" t="s">
        <v>48</v>
      </c>
      <c r="C37" s="98" t="s">
        <v>204</v>
      </c>
      <c r="D37" s="98" t="s">
        <v>205</v>
      </c>
      <c r="E37" s="165" t="s">
        <v>55</v>
      </c>
      <c r="F37" s="98" t="s">
        <v>503</v>
      </c>
      <c r="G37" s="142">
        <v>350</v>
      </c>
      <c r="H37" s="98" t="s">
        <v>478</v>
      </c>
      <c r="I37" s="173">
        <v>2</v>
      </c>
      <c r="J37" s="98"/>
      <c r="K37" s="98"/>
      <c r="L37" s="98"/>
      <c r="M37" s="98"/>
      <c r="N37" s="98"/>
      <c r="O37" s="98"/>
      <c r="P37" s="98"/>
      <c r="Q37" s="98"/>
      <c r="R37" s="98"/>
      <c r="S37" s="98"/>
      <c r="T37" s="98"/>
      <c r="U37" s="98"/>
      <c r="V37" s="98"/>
      <c r="W37" s="98"/>
      <c r="X37" s="98"/>
      <c r="Y37" s="98"/>
      <c r="Z37" s="98"/>
      <c r="AA37" s="98"/>
      <c r="AB37" s="98"/>
      <c r="AC37" s="98"/>
      <c r="AD37" s="98"/>
    </row>
    <row r="38" spans="1:30" x14ac:dyDescent="0.3">
      <c r="A38" s="98" t="s">
        <v>208</v>
      </c>
      <c r="B38" s="98" t="s">
        <v>105</v>
      </c>
      <c r="C38" s="98" t="s">
        <v>209</v>
      </c>
      <c r="D38" s="98" t="s">
        <v>210</v>
      </c>
      <c r="E38" s="165" t="s">
        <v>55</v>
      </c>
      <c r="F38" s="98" t="s">
        <v>498</v>
      </c>
      <c r="G38" s="142">
        <v>700</v>
      </c>
      <c r="H38" s="98" t="s">
        <v>504</v>
      </c>
      <c r="I38" s="173">
        <v>5</v>
      </c>
      <c r="J38" s="98"/>
      <c r="K38" s="98"/>
      <c r="L38" s="98"/>
      <c r="M38" s="98"/>
      <c r="N38" s="98"/>
      <c r="O38" s="98"/>
      <c r="P38" s="98"/>
      <c r="Q38" s="98"/>
      <c r="R38" s="98"/>
      <c r="S38" s="98"/>
      <c r="T38" s="98"/>
      <c r="U38" s="98"/>
      <c r="V38" s="98"/>
      <c r="W38" s="98"/>
      <c r="X38" s="98"/>
      <c r="Y38" s="98"/>
      <c r="Z38" s="98"/>
      <c r="AA38" s="98"/>
      <c r="AB38" s="98"/>
      <c r="AC38" s="98"/>
      <c r="AD38" s="98"/>
    </row>
    <row r="39" spans="1:30" x14ac:dyDescent="0.3">
      <c r="A39" s="98" t="s">
        <v>213</v>
      </c>
      <c r="B39" s="98" t="s">
        <v>57</v>
      </c>
      <c r="C39" s="98" t="s">
        <v>58</v>
      </c>
      <c r="D39" s="98" t="s">
        <v>214</v>
      </c>
      <c r="E39" s="165" t="s">
        <v>55</v>
      </c>
      <c r="F39" s="98" t="s">
        <v>63</v>
      </c>
      <c r="G39" s="142" t="s">
        <v>505</v>
      </c>
      <c r="H39" s="98" t="s">
        <v>506</v>
      </c>
      <c r="I39" s="173">
        <v>8</v>
      </c>
      <c r="J39" s="98"/>
      <c r="K39" s="98"/>
      <c r="L39" s="98"/>
      <c r="M39" s="98"/>
      <c r="N39" s="98"/>
      <c r="O39" s="98"/>
      <c r="P39" s="98"/>
      <c r="Q39" s="98"/>
      <c r="R39" s="98"/>
      <c r="S39" s="98"/>
      <c r="T39" s="98"/>
      <c r="U39" s="98"/>
      <c r="V39" s="98"/>
      <c r="W39" s="98"/>
      <c r="X39" s="98"/>
      <c r="Y39" s="98"/>
      <c r="Z39" s="98"/>
      <c r="AA39" s="98"/>
      <c r="AB39" s="98"/>
      <c r="AC39" s="98"/>
      <c r="AD39" s="98"/>
    </row>
    <row r="40" spans="1:30" x14ac:dyDescent="0.3">
      <c r="A40" s="98" t="s">
        <v>215</v>
      </c>
      <c r="B40" s="98" t="s">
        <v>57</v>
      </c>
      <c r="C40" s="98" t="s">
        <v>58</v>
      </c>
      <c r="D40" s="98" t="s">
        <v>216</v>
      </c>
      <c r="E40" s="165" t="s">
        <v>55</v>
      </c>
      <c r="F40" s="98" t="s">
        <v>63</v>
      </c>
      <c r="G40" s="142">
        <v>280</v>
      </c>
      <c r="H40" s="98">
        <v>0</v>
      </c>
      <c r="I40" s="173">
        <v>8</v>
      </c>
      <c r="J40" s="98"/>
      <c r="K40" s="98"/>
      <c r="L40" s="98"/>
      <c r="M40" s="98"/>
      <c r="N40" s="98"/>
      <c r="O40" s="98"/>
      <c r="P40" s="98"/>
      <c r="Q40" s="98"/>
      <c r="R40" s="98"/>
      <c r="S40" s="98"/>
      <c r="T40" s="98"/>
      <c r="U40" s="98"/>
      <c r="V40" s="98"/>
      <c r="W40" s="98"/>
      <c r="X40" s="98"/>
      <c r="Y40" s="98"/>
      <c r="Z40" s="98"/>
      <c r="AA40" s="98"/>
      <c r="AB40" s="98"/>
      <c r="AC40" s="98"/>
      <c r="AD40" s="98"/>
    </row>
    <row r="41" spans="1:30" x14ac:dyDescent="0.3">
      <c r="A41" s="98" t="s">
        <v>218</v>
      </c>
      <c r="B41" s="98" t="s">
        <v>57</v>
      </c>
      <c r="C41" s="98" t="s">
        <v>58</v>
      </c>
      <c r="D41" s="98" t="s">
        <v>219</v>
      </c>
      <c r="E41" s="165" t="s">
        <v>55</v>
      </c>
      <c r="F41" s="98" t="s">
        <v>63</v>
      </c>
      <c r="G41" s="142">
        <v>307</v>
      </c>
      <c r="H41" s="98">
        <v>0</v>
      </c>
      <c r="I41" s="173">
        <v>8</v>
      </c>
      <c r="J41" s="98"/>
      <c r="K41" s="98"/>
      <c r="L41" s="98"/>
      <c r="M41" s="98"/>
      <c r="N41" s="98"/>
      <c r="O41" s="98"/>
      <c r="P41" s="98"/>
      <c r="Q41" s="98"/>
      <c r="R41" s="98"/>
      <c r="S41" s="98"/>
      <c r="T41" s="98"/>
      <c r="U41" s="98"/>
      <c r="V41" s="98"/>
      <c r="W41" s="98"/>
      <c r="X41" s="98"/>
      <c r="Y41" s="98"/>
      <c r="Z41" s="98"/>
      <c r="AA41" s="98"/>
      <c r="AB41" s="98"/>
      <c r="AC41" s="98"/>
      <c r="AD41" s="98"/>
    </row>
    <row r="42" spans="1:30" x14ac:dyDescent="0.3">
      <c r="A42" s="98" t="s">
        <v>221</v>
      </c>
      <c r="B42" s="98" t="s">
        <v>57</v>
      </c>
      <c r="C42" s="98" t="s">
        <v>96</v>
      </c>
      <c r="D42" s="98" t="s">
        <v>222</v>
      </c>
      <c r="E42" s="165" t="s">
        <v>55</v>
      </c>
      <c r="F42" s="98" t="s">
        <v>63</v>
      </c>
      <c r="G42" s="142">
        <v>312</v>
      </c>
      <c r="H42" s="98" t="s">
        <v>507</v>
      </c>
      <c r="I42" s="173">
        <v>8</v>
      </c>
      <c r="J42" s="98"/>
      <c r="K42" s="98"/>
      <c r="L42" s="98"/>
      <c r="M42" s="98"/>
      <c r="N42" s="98"/>
      <c r="O42" s="98"/>
      <c r="P42" s="98"/>
      <c r="Q42" s="98"/>
      <c r="R42" s="98"/>
      <c r="S42" s="98"/>
      <c r="T42" s="98"/>
      <c r="U42" s="98"/>
      <c r="V42" s="98"/>
      <c r="W42" s="98"/>
      <c r="X42" s="98"/>
      <c r="Y42" s="98"/>
      <c r="Z42" s="98"/>
      <c r="AA42" s="98"/>
      <c r="AB42" s="98"/>
      <c r="AC42" s="98"/>
      <c r="AD42" s="98"/>
    </row>
    <row r="43" spans="1:30" x14ac:dyDescent="0.3">
      <c r="A43" s="98" t="s">
        <v>224</v>
      </c>
      <c r="B43" s="98" t="s">
        <v>65</v>
      </c>
      <c r="C43" s="98" t="s">
        <v>66</v>
      </c>
      <c r="D43" s="98" t="s">
        <v>225</v>
      </c>
      <c r="E43" s="165" t="s">
        <v>55</v>
      </c>
      <c r="F43" s="98" t="s">
        <v>71</v>
      </c>
      <c r="G43" s="142">
        <v>900</v>
      </c>
      <c r="H43" s="98" t="s">
        <v>508</v>
      </c>
      <c r="I43" s="173">
        <v>6</v>
      </c>
      <c r="J43" s="98"/>
      <c r="K43" s="98"/>
      <c r="L43" s="98"/>
      <c r="M43" s="98"/>
      <c r="N43" s="98"/>
      <c r="O43" s="98"/>
      <c r="P43" s="98"/>
      <c r="Q43" s="98"/>
      <c r="R43" s="98"/>
      <c r="S43" s="98"/>
      <c r="T43" s="98"/>
      <c r="U43" s="98"/>
      <c r="V43" s="98"/>
      <c r="W43" s="98"/>
      <c r="X43" s="98"/>
      <c r="Y43" s="98"/>
      <c r="Z43" s="98"/>
      <c r="AA43" s="98"/>
      <c r="AB43" s="98"/>
      <c r="AC43" s="98"/>
      <c r="AD43" s="98"/>
    </row>
    <row r="44" spans="1:30" x14ac:dyDescent="0.3">
      <c r="A44" s="98" t="s">
        <v>227</v>
      </c>
      <c r="B44" s="98" t="s">
        <v>65</v>
      </c>
      <c r="C44" s="98" t="s">
        <v>66</v>
      </c>
      <c r="D44" s="166" t="s">
        <v>228</v>
      </c>
      <c r="E44" s="165" t="s">
        <v>55</v>
      </c>
      <c r="F44" s="98" t="s">
        <v>71</v>
      </c>
      <c r="G44" s="142">
        <v>750</v>
      </c>
      <c r="H44" s="98">
        <v>0</v>
      </c>
      <c r="I44" s="173">
        <v>6</v>
      </c>
      <c r="J44" s="98"/>
      <c r="K44" s="98"/>
      <c r="L44" s="98"/>
      <c r="M44" s="98"/>
      <c r="N44" s="98"/>
      <c r="O44" s="98"/>
      <c r="P44" s="98"/>
      <c r="Q44" s="98"/>
      <c r="R44" s="98"/>
      <c r="S44" s="98"/>
      <c r="T44" s="98"/>
      <c r="U44" s="98"/>
      <c r="V44" s="98"/>
      <c r="W44" s="98"/>
      <c r="X44" s="98"/>
      <c r="Y44" s="98"/>
      <c r="Z44" s="98"/>
      <c r="AA44" s="98"/>
      <c r="AB44" s="98"/>
      <c r="AC44" s="98"/>
      <c r="AD44" s="98"/>
    </row>
    <row r="45" spans="1:30" x14ac:dyDescent="0.3">
      <c r="A45" s="98" t="s">
        <v>231</v>
      </c>
      <c r="B45" s="98" t="s">
        <v>57</v>
      </c>
      <c r="C45" s="98" t="s">
        <v>58</v>
      </c>
      <c r="D45" s="98" t="s">
        <v>232</v>
      </c>
      <c r="E45" s="165" t="s">
        <v>55</v>
      </c>
      <c r="F45" s="98" t="s">
        <v>63</v>
      </c>
      <c r="G45" s="142">
        <v>321</v>
      </c>
      <c r="H45" s="98" t="s">
        <v>509</v>
      </c>
      <c r="I45" s="173">
        <v>8</v>
      </c>
      <c r="J45" s="98"/>
      <c r="K45" s="98"/>
      <c r="L45" s="98"/>
      <c r="M45" s="98"/>
      <c r="N45" s="98"/>
      <c r="O45" s="98"/>
      <c r="P45" s="98"/>
      <c r="Q45" s="98"/>
      <c r="R45" s="98"/>
      <c r="S45" s="98"/>
      <c r="T45" s="98"/>
      <c r="U45" s="98"/>
      <c r="V45" s="98"/>
      <c r="W45" s="98"/>
      <c r="X45" s="98"/>
      <c r="Y45" s="98"/>
      <c r="Z45" s="98"/>
      <c r="AA45" s="98"/>
      <c r="AB45" s="98"/>
      <c r="AC45" s="98"/>
      <c r="AD45" s="98"/>
    </row>
    <row r="46" spans="1:30" x14ac:dyDescent="0.3">
      <c r="A46" s="98" t="s">
        <v>236</v>
      </c>
      <c r="B46" s="98" t="s">
        <v>57</v>
      </c>
      <c r="C46" s="98" t="s">
        <v>96</v>
      </c>
      <c r="D46" s="98" t="s">
        <v>237</v>
      </c>
      <c r="E46" s="165" t="s">
        <v>55</v>
      </c>
      <c r="F46" s="98" t="s">
        <v>63</v>
      </c>
      <c r="G46" s="142">
        <v>325</v>
      </c>
      <c r="H46" s="98" t="s">
        <v>510</v>
      </c>
      <c r="I46" s="173">
        <v>8</v>
      </c>
      <c r="J46" s="98"/>
      <c r="K46" s="98"/>
      <c r="L46" s="98"/>
      <c r="M46" s="98"/>
      <c r="N46" s="98"/>
      <c r="O46" s="98"/>
      <c r="P46" s="98"/>
      <c r="Q46" s="98"/>
      <c r="R46" s="98"/>
      <c r="S46" s="98"/>
      <c r="T46" s="98"/>
      <c r="U46" s="98"/>
      <c r="V46" s="98"/>
      <c r="W46" s="98"/>
      <c r="X46" s="98"/>
      <c r="Y46" s="98"/>
      <c r="Z46" s="98"/>
      <c r="AA46" s="98"/>
      <c r="AB46" s="98"/>
      <c r="AC46" s="98"/>
      <c r="AD46" s="98"/>
    </row>
    <row r="47" spans="1:30" x14ac:dyDescent="0.3">
      <c r="A47" s="98" t="s">
        <v>240</v>
      </c>
      <c r="B47" s="98" t="s">
        <v>57</v>
      </c>
      <c r="C47" s="98" t="s">
        <v>118</v>
      </c>
      <c r="D47" s="98" t="s">
        <v>241</v>
      </c>
      <c r="E47" s="165" t="s">
        <v>55</v>
      </c>
      <c r="F47" s="98" t="s">
        <v>63</v>
      </c>
      <c r="G47" s="142">
        <v>102</v>
      </c>
      <c r="H47" s="98">
        <v>0</v>
      </c>
      <c r="I47" s="173">
        <v>8</v>
      </c>
      <c r="J47" s="98"/>
      <c r="K47" s="98"/>
      <c r="L47" s="98"/>
      <c r="M47" s="98"/>
      <c r="N47" s="98"/>
      <c r="O47" s="98"/>
      <c r="P47" s="98"/>
      <c r="Q47" s="98"/>
      <c r="R47" s="98"/>
      <c r="S47" s="98"/>
      <c r="T47" s="98"/>
      <c r="U47" s="98"/>
      <c r="V47" s="98"/>
      <c r="W47" s="98"/>
      <c r="X47" s="98"/>
      <c r="Y47" s="98"/>
      <c r="Z47" s="98"/>
      <c r="AA47" s="98"/>
      <c r="AB47" s="98"/>
      <c r="AC47" s="98"/>
      <c r="AD47" s="98"/>
    </row>
    <row r="48" spans="1:30" x14ac:dyDescent="0.3">
      <c r="A48" s="98" t="s">
        <v>243</v>
      </c>
      <c r="B48" s="98" t="s">
        <v>65</v>
      </c>
      <c r="C48" s="98" t="s">
        <v>136</v>
      </c>
      <c r="D48" s="98" t="s">
        <v>244</v>
      </c>
      <c r="E48" s="165" t="s">
        <v>55</v>
      </c>
      <c r="F48" s="98" t="s">
        <v>71</v>
      </c>
      <c r="G48" s="142">
        <v>750</v>
      </c>
      <c r="H48" s="98" t="s">
        <v>511</v>
      </c>
      <c r="I48" s="173">
        <v>6</v>
      </c>
      <c r="J48" s="98"/>
      <c r="K48" s="98"/>
      <c r="L48" s="98"/>
      <c r="M48" s="98"/>
      <c r="N48" s="98"/>
      <c r="O48" s="98"/>
      <c r="P48" s="98"/>
      <c r="Q48" s="98"/>
      <c r="R48" s="98"/>
      <c r="S48" s="98"/>
      <c r="T48" s="98"/>
      <c r="U48" s="98"/>
      <c r="V48" s="98"/>
      <c r="W48" s="98"/>
      <c r="X48" s="98"/>
      <c r="Y48" s="98"/>
      <c r="Z48" s="98"/>
      <c r="AA48" s="98"/>
      <c r="AB48" s="98"/>
      <c r="AC48" s="98"/>
      <c r="AD48" s="98"/>
    </row>
    <row r="49" spans="1:30" x14ac:dyDescent="0.3">
      <c r="A49" s="98" t="s">
        <v>247</v>
      </c>
      <c r="B49" s="98" t="s">
        <v>48</v>
      </c>
      <c r="C49" s="98" t="s">
        <v>248</v>
      </c>
      <c r="D49" s="98" t="s">
        <v>249</v>
      </c>
      <c r="E49" s="165" t="s">
        <v>55</v>
      </c>
      <c r="F49" s="98" t="s">
        <v>82</v>
      </c>
      <c r="G49" s="142">
        <v>550</v>
      </c>
      <c r="H49" s="98" t="s">
        <v>512</v>
      </c>
      <c r="I49" s="173">
        <v>2</v>
      </c>
      <c r="J49" s="98"/>
      <c r="K49" s="98"/>
      <c r="L49" s="98"/>
      <c r="M49" s="98"/>
      <c r="N49" s="98"/>
      <c r="O49" s="98"/>
      <c r="P49" s="98"/>
      <c r="Q49" s="98"/>
      <c r="R49" s="98"/>
      <c r="S49" s="98"/>
      <c r="T49" s="98"/>
      <c r="U49" s="98"/>
      <c r="V49" s="98"/>
      <c r="W49" s="98"/>
      <c r="X49" s="98"/>
      <c r="Y49" s="98"/>
      <c r="Z49" s="98"/>
      <c r="AA49" s="98"/>
      <c r="AB49" s="98"/>
      <c r="AC49" s="98"/>
      <c r="AD49" s="98"/>
    </row>
    <row r="50" spans="1:30" x14ac:dyDescent="0.3">
      <c r="A50" s="98" t="s">
        <v>252</v>
      </c>
      <c r="B50" s="98" t="s">
        <v>57</v>
      </c>
      <c r="C50" s="98" t="s">
        <v>58</v>
      </c>
      <c r="D50" s="98" t="s">
        <v>253</v>
      </c>
      <c r="E50" s="165" t="s">
        <v>55</v>
      </c>
      <c r="F50" s="98" t="s">
        <v>63</v>
      </c>
      <c r="G50" s="142">
        <v>322</v>
      </c>
      <c r="H50" s="98" t="s">
        <v>513</v>
      </c>
      <c r="I50" s="173">
        <v>8</v>
      </c>
      <c r="J50" s="98"/>
      <c r="K50" s="98"/>
      <c r="L50" s="98"/>
      <c r="M50" s="98"/>
      <c r="N50" s="98"/>
      <c r="O50" s="98"/>
      <c r="P50" s="98"/>
      <c r="Q50" s="98"/>
      <c r="R50" s="98"/>
      <c r="S50" s="98"/>
      <c r="T50" s="98"/>
      <c r="U50" s="98"/>
      <c r="V50" s="98"/>
      <c r="W50" s="98"/>
      <c r="X50" s="98"/>
      <c r="Y50" s="98"/>
      <c r="Z50" s="98"/>
      <c r="AA50" s="98"/>
      <c r="AB50" s="98"/>
      <c r="AC50" s="98"/>
      <c r="AD50" s="98"/>
    </row>
    <row r="51" spans="1:30" x14ac:dyDescent="0.3">
      <c r="A51" s="98" t="s">
        <v>256</v>
      </c>
      <c r="B51" s="98" t="s">
        <v>57</v>
      </c>
      <c r="C51" s="98" t="s">
        <v>96</v>
      </c>
      <c r="D51" s="98" t="s">
        <v>257</v>
      </c>
      <c r="E51" s="165" t="s">
        <v>55</v>
      </c>
      <c r="F51" s="98" t="s">
        <v>63</v>
      </c>
      <c r="G51" s="142">
        <v>321</v>
      </c>
      <c r="H51" s="98" t="s">
        <v>514</v>
      </c>
      <c r="I51" s="173">
        <v>8</v>
      </c>
      <c r="J51" s="98"/>
      <c r="K51" s="98"/>
      <c r="L51" s="98"/>
      <c r="M51" s="98"/>
      <c r="N51" s="98"/>
      <c r="O51" s="98"/>
      <c r="P51" s="98"/>
      <c r="Q51" s="98"/>
      <c r="R51" s="98"/>
      <c r="S51" s="98"/>
      <c r="T51" s="98"/>
      <c r="U51" s="98"/>
      <c r="V51" s="98"/>
      <c r="W51" s="98"/>
      <c r="X51" s="98"/>
      <c r="Y51" s="98"/>
      <c r="Z51" s="98"/>
      <c r="AA51" s="98"/>
      <c r="AB51" s="98"/>
      <c r="AC51" s="98"/>
      <c r="AD51" s="98"/>
    </row>
    <row r="52" spans="1:30" x14ac:dyDescent="0.3">
      <c r="A52" s="98" t="s">
        <v>259</v>
      </c>
      <c r="B52" s="98" t="s">
        <v>105</v>
      </c>
      <c r="C52" s="98" t="s">
        <v>113</v>
      </c>
      <c r="D52" s="98" t="s">
        <v>260</v>
      </c>
      <c r="E52" s="165" t="s">
        <v>55</v>
      </c>
      <c r="F52" s="98" t="s">
        <v>515</v>
      </c>
      <c r="G52" s="142">
        <v>700</v>
      </c>
      <c r="H52" s="98" t="s">
        <v>493</v>
      </c>
      <c r="I52" s="173">
        <v>3</v>
      </c>
      <c r="J52" s="98"/>
      <c r="K52" s="98"/>
      <c r="L52" s="98"/>
      <c r="M52" s="98"/>
      <c r="N52" s="98"/>
      <c r="O52" s="98"/>
      <c r="P52" s="98"/>
      <c r="Q52" s="98"/>
      <c r="R52" s="98"/>
      <c r="S52" s="98"/>
      <c r="T52" s="98"/>
      <c r="U52" s="98"/>
      <c r="V52" s="98"/>
      <c r="W52" s="98"/>
      <c r="X52" s="98"/>
      <c r="Y52" s="98"/>
      <c r="Z52" s="98"/>
      <c r="AA52" s="98"/>
      <c r="AB52" s="98"/>
      <c r="AC52" s="98"/>
      <c r="AD52" s="98"/>
    </row>
    <row r="53" spans="1:30" x14ac:dyDescent="0.3">
      <c r="A53" s="98" t="s">
        <v>263</v>
      </c>
      <c r="B53" s="98" t="s">
        <v>105</v>
      </c>
      <c r="C53" s="98" t="s">
        <v>264</v>
      </c>
      <c r="D53" s="98" t="s">
        <v>265</v>
      </c>
      <c r="E53" s="165" t="s">
        <v>55</v>
      </c>
      <c r="F53" s="166" t="s">
        <v>268</v>
      </c>
      <c r="G53" s="142">
        <v>795</v>
      </c>
      <c r="H53" s="98" t="s">
        <v>488</v>
      </c>
      <c r="I53" s="173">
        <v>3</v>
      </c>
      <c r="J53" s="98"/>
      <c r="K53" s="98"/>
      <c r="L53" s="98"/>
      <c r="M53" s="98"/>
      <c r="N53" s="98"/>
      <c r="O53" s="98"/>
      <c r="P53" s="98"/>
      <c r="Q53" s="98"/>
      <c r="R53" s="98"/>
      <c r="S53" s="98"/>
      <c r="T53" s="98"/>
      <c r="U53" s="98"/>
      <c r="V53" s="98"/>
      <c r="W53" s="98"/>
      <c r="X53" s="98"/>
      <c r="Y53" s="98"/>
      <c r="Z53" s="98"/>
      <c r="AA53" s="98"/>
      <c r="AB53" s="98"/>
      <c r="AC53" s="98"/>
      <c r="AD53" s="98"/>
    </row>
    <row r="54" spans="1:30" x14ac:dyDescent="0.3">
      <c r="A54" s="98" t="s">
        <v>269</v>
      </c>
      <c r="B54" s="98" t="s">
        <v>105</v>
      </c>
      <c r="C54" s="98" t="s">
        <v>516</v>
      </c>
      <c r="D54" s="98" t="s">
        <v>271</v>
      </c>
      <c r="E54" s="165" t="s">
        <v>55</v>
      </c>
      <c r="F54" s="98" t="s">
        <v>273</v>
      </c>
      <c r="G54" s="142">
        <v>625</v>
      </c>
      <c r="H54" s="98" t="s">
        <v>488</v>
      </c>
      <c r="I54" s="173">
        <v>3</v>
      </c>
      <c r="J54" s="98"/>
      <c r="K54" s="98"/>
      <c r="L54" s="98"/>
      <c r="M54" s="98"/>
      <c r="N54" s="98"/>
      <c r="O54" s="98"/>
      <c r="P54" s="98"/>
      <c r="Q54" s="98"/>
      <c r="R54" s="98"/>
      <c r="S54" s="98"/>
      <c r="T54" s="98"/>
      <c r="U54" s="98"/>
      <c r="V54" s="98"/>
      <c r="W54" s="98"/>
      <c r="X54" s="98"/>
      <c r="Y54" s="98"/>
      <c r="Z54" s="98"/>
      <c r="AA54" s="98"/>
      <c r="AB54" s="98"/>
      <c r="AC54" s="98"/>
      <c r="AD54" s="98"/>
    </row>
    <row r="55" spans="1:30" x14ac:dyDescent="0.3">
      <c r="A55" s="98" t="s">
        <v>274</v>
      </c>
      <c r="B55" s="98" t="s">
        <v>57</v>
      </c>
      <c r="C55" s="98" t="s">
        <v>275</v>
      </c>
      <c r="D55" s="98" t="s">
        <v>276</v>
      </c>
      <c r="E55" s="165" t="s">
        <v>55</v>
      </c>
      <c r="F55" s="98" t="s">
        <v>63</v>
      </c>
      <c r="G55" s="142">
        <v>300</v>
      </c>
      <c r="H55" s="98" t="s">
        <v>478</v>
      </c>
      <c r="I55" s="173">
        <v>8</v>
      </c>
      <c r="J55" s="98"/>
      <c r="K55" s="98"/>
      <c r="L55" s="98"/>
      <c r="M55" s="98"/>
      <c r="N55" s="98"/>
      <c r="O55" s="98"/>
      <c r="P55" s="98"/>
      <c r="Q55" s="98"/>
      <c r="R55" s="98"/>
      <c r="S55" s="98"/>
      <c r="T55" s="98"/>
      <c r="U55" s="98"/>
      <c r="V55" s="98"/>
      <c r="W55" s="98"/>
      <c r="X55" s="98"/>
      <c r="Y55" s="98"/>
      <c r="Z55" s="98"/>
      <c r="AA55" s="98"/>
      <c r="AB55" s="98"/>
      <c r="AC55" s="98"/>
      <c r="AD55" s="98"/>
    </row>
    <row r="56" spans="1:30" x14ac:dyDescent="0.3">
      <c r="A56" s="98" t="s">
        <v>279</v>
      </c>
      <c r="B56" s="98" t="s">
        <v>65</v>
      </c>
      <c r="C56" s="98" t="s">
        <v>136</v>
      </c>
      <c r="D56" s="98" t="s">
        <v>280</v>
      </c>
      <c r="E56" s="165" t="s">
        <v>55</v>
      </c>
      <c r="F56" s="98" t="s">
        <v>71</v>
      </c>
      <c r="G56" s="142">
        <v>750</v>
      </c>
      <c r="H56" s="98" t="s">
        <v>488</v>
      </c>
      <c r="I56" s="173">
        <v>6</v>
      </c>
      <c r="J56" s="98"/>
      <c r="K56" s="98"/>
      <c r="L56" s="98"/>
      <c r="M56" s="98"/>
      <c r="N56" s="98"/>
      <c r="O56" s="98"/>
      <c r="P56" s="98"/>
      <c r="Q56" s="98"/>
      <c r="R56" s="98"/>
      <c r="S56" s="98"/>
      <c r="T56" s="98"/>
      <c r="U56" s="98"/>
      <c r="V56" s="98"/>
      <c r="W56" s="98"/>
      <c r="X56" s="98"/>
      <c r="Y56" s="98"/>
      <c r="Z56" s="98"/>
      <c r="AA56" s="98"/>
      <c r="AB56" s="98"/>
      <c r="AC56" s="98"/>
      <c r="AD56" s="98"/>
    </row>
    <row r="57" spans="1:30" x14ac:dyDescent="0.3">
      <c r="A57" s="98" t="s">
        <v>283</v>
      </c>
      <c r="B57" s="98" t="s">
        <v>48</v>
      </c>
      <c r="C57" s="98" t="s">
        <v>248</v>
      </c>
      <c r="D57" s="98" t="s">
        <v>284</v>
      </c>
      <c r="E57" s="165" t="s">
        <v>55</v>
      </c>
      <c r="F57" s="98" t="s">
        <v>286</v>
      </c>
      <c r="G57" s="142">
        <v>485</v>
      </c>
      <c r="H57" s="98" t="s">
        <v>517</v>
      </c>
      <c r="I57" s="173">
        <v>2</v>
      </c>
      <c r="J57" s="98"/>
      <c r="K57" s="98"/>
      <c r="L57" s="98"/>
      <c r="M57" s="98"/>
      <c r="N57" s="98"/>
      <c r="O57" s="98"/>
      <c r="P57" s="98"/>
      <c r="Q57" s="98"/>
      <c r="R57" s="98"/>
      <c r="S57" s="98"/>
      <c r="T57" s="98"/>
      <c r="U57" s="98"/>
      <c r="V57" s="98"/>
      <c r="W57" s="98"/>
      <c r="X57" s="98"/>
      <c r="Y57" s="98"/>
      <c r="Z57" s="98"/>
      <c r="AA57" s="98"/>
      <c r="AB57" s="98"/>
      <c r="AC57" s="98"/>
      <c r="AD57" s="98"/>
    </row>
    <row r="58" spans="1:30" x14ac:dyDescent="0.3">
      <c r="A58" s="98" t="s">
        <v>287</v>
      </c>
      <c r="B58" s="98" t="s">
        <v>57</v>
      </c>
      <c r="C58" s="98" t="s">
        <v>288</v>
      </c>
      <c r="D58" s="98" t="s">
        <v>289</v>
      </c>
      <c r="E58" s="165" t="s">
        <v>55</v>
      </c>
      <c r="F58" s="98" t="s">
        <v>94</v>
      </c>
      <c r="G58" s="142">
        <v>192</v>
      </c>
      <c r="H58" s="98">
        <v>0</v>
      </c>
      <c r="I58" s="173">
        <v>7</v>
      </c>
      <c r="J58" s="98"/>
      <c r="K58" s="98"/>
      <c r="L58" s="98"/>
      <c r="M58" s="98"/>
      <c r="N58" s="98"/>
      <c r="O58" s="98"/>
      <c r="P58" s="98"/>
      <c r="Q58" s="98"/>
      <c r="R58" s="98"/>
      <c r="S58" s="98"/>
      <c r="T58" s="98"/>
      <c r="U58" s="98"/>
      <c r="V58" s="98"/>
      <c r="W58" s="98"/>
      <c r="X58" s="98"/>
      <c r="Y58" s="98"/>
      <c r="Z58" s="98"/>
      <c r="AA58" s="98"/>
      <c r="AB58" s="98"/>
      <c r="AC58" s="98"/>
      <c r="AD58" s="98"/>
    </row>
    <row r="59" spans="1:30" x14ac:dyDescent="0.3">
      <c r="A59" s="98" t="s">
        <v>292</v>
      </c>
      <c r="B59" s="98" t="s">
        <v>105</v>
      </c>
      <c r="C59" s="98" t="s">
        <v>113</v>
      </c>
      <c r="D59" s="98" t="s">
        <v>293</v>
      </c>
      <c r="E59" s="165" t="s">
        <v>55</v>
      </c>
      <c r="F59" s="98" t="s">
        <v>296</v>
      </c>
      <c r="G59" s="142">
        <v>704</v>
      </c>
      <c r="H59" s="98" t="s">
        <v>518</v>
      </c>
      <c r="I59" s="173">
        <v>3</v>
      </c>
      <c r="J59" s="98"/>
      <c r="K59" s="98"/>
      <c r="L59" s="98"/>
      <c r="M59" s="98"/>
      <c r="N59" s="98"/>
      <c r="O59" s="98"/>
      <c r="P59" s="98"/>
      <c r="Q59" s="98"/>
      <c r="R59" s="98"/>
      <c r="S59" s="98"/>
      <c r="T59" s="98"/>
      <c r="U59" s="98"/>
      <c r="V59" s="98"/>
      <c r="W59" s="98"/>
      <c r="X59" s="98"/>
      <c r="Y59" s="98"/>
      <c r="Z59" s="98"/>
      <c r="AA59" s="98"/>
      <c r="AB59" s="98"/>
      <c r="AC59" s="98"/>
      <c r="AD59" s="98"/>
    </row>
    <row r="60" spans="1:30" x14ac:dyDescent="0.3">
      <c r="A60" s="98" t="s">
        <v>297</v>
      </c>
      <c r="B60" s="98" t="s">
        <v>105</v>
      </c>
      <c r="C60" s="98" t="s">
        <v>113</v>
      </c>
      <c r="D60" s="98" t="s">
        <v>298</v>
      </c>
      <c r="E60" s="165" t="s">
        <v>55</v>
      </c>
      <c r="F60" s="98" t="s">
        <v>301</v>
      </c>
      <c r="G60" s="142">
        <v>800</v>
      </c>
      <c r="H60" s="98" t="s">
        <v>488</v>
      </c>
      <c r="I60" s="173">
        <v>3</v>
      </c>
      <c r="J60" s="98"/>
      <c r="K60" s="98"/>
      <c r="L60" s="98"/>
      <c r="M60" s="98"/>
      <c r="N60" s="98"/>
      <c r="O60" s="98"/>
      <c r="P60" s="98"/>
      <c r="Q60" s="98"/>
      <c r="R60" s="98"/>
      <c r="S60" s="98"/>
      <c r="T60" s="98"/>
      <c r="U60" s="98"/>
      <c r="V60" s="98"/>
      <c r="W60" s="98"/>
      <c r="X60" s="98"/>
      <c r="Y60" s="98"/>
      <c r="Z60" s="98"/>
      <c r="AA60" s="98"/>
      <c r="AB60" s="98"/>
      <c r="AC60" s="98"/>
      <c r="AD60" s="98"/>
    </row>
    <row r="61" spans="1:30" x14ac:dyDescent="0.3">
      <c r="A61" s="98" t="s">
        <v>302</v>
      </c>
      <c r="B61" s="98" t="s">
        <v>57</v>
      </c>
      <c r="C61" s="98" t="s">
        <v>84</v>
      </c>
      <c r="D61" s="98" t="s">
        <v>303</v>
      </c>
      <c r="E61" s="165" t="s">
        <v>55</v>
      </c>
      <c r="F61" s="98" t="s">
        <v>63</v>
      </c>
      <c r="G61" s="142">
        <v>285</v>
      </c>
      <c r="H61" s="98" t="s">
        <v>478</v>
      </c>
      <c r="I61" s="173">
        <v>8</v>
      </c>
      <c r="J61" s="98"/>
      <c r="K61" s="98"/>
      <c r="L61" s="98"/>
      <c r="M61" s="98"/>
      <c r="N61" s="98"/>
      <c r="O61" s="98"/>
      <c r="P61" s="98"/>
      <c r="Q61" s="98"/>
      <c r="R61" s="98"/>
      <c r="S61" s="98"/>
      <c r="T61" s="98"/>
      <c r="U61" s="98"/>
      <c r="V61" s="98"/>
      <c r="W61" s="98"/>
      <c r="X61" s="98"/>
      <c r="Y61" s="98"/>
      <c r="Z61" s="98"/>
      <c r="AA61" s="98"/>
      <c r="AB61" s="98"/>
      <c r="AC61" s="98"/>
      <c r="AD61" s="98"/>
    </row>
    <row r="62" spans="1:30" x14ac:dyDescent="0.3">
      <c r="A62" s="98" t="s">
        <v>305</v>
      </c>
      <c r="B62" s="98" t="s">
        <v>57</v>
      </c>
      <c r="C62" s="98" t="s">
        <v>58</v>
      </c>
      <c r="D62" s="98" t="s">
        <v>306</v>
      </c>
      <c r="E62" s="165" t="s">
        <v>55</v>
      </c>
      <c r="F62" s="98" t="s">
        <v>63</v>
      </c>
      <c r="G62" s="142">
        <v>316</v>
      </c>
      <c r="H62" s="98" t="s">
        <v>519</v>
      </c>
      <c r="I62" s="173">
        <v>8</v>
      </c>
      <c r="J62" s="98"/>
      <c r="K62" s="98"/>
      <c r="L62" s="98"/>
      <c r="M62" s="98"/>
      <c r="N62" s="98"/>
      <c r="O62" s="98"/>
      <c r="P62" s="98"/>
      <c r="Q62" s="98"/>
      <c r="R62" s="98"/>
      <c r="S62" s="98"/>
      <c r="T62" s="98"/>
      <c r="U62" s="98"/>
      <c r="V62" s="98"/>
      <c r="W62" s="98"/>
      <c r="X62" s="98"/>
      <c r="Y62" s="98"/>
      <c r="Z62" s="98"/>
      <c r="AA62" s="98"/>
      <c r="AB62" s="98"/>
      <c r="AC62" s="98"/>
      <c r="AD62" s="98"/>
    </row>
    <row r="63" spans="1:30" x14ac:dyDescent="0.3">
      <c r="A63" s="98" t="s">
        <v>309</v>
      </c>
      <c r="B63" s="98" t="s">
        <v>48</v>
      </c>
      <c r="C63" s="98" t="s">
        <v>49</v>
      </c>
      <c r="D63" s="98" t="s">
        <v>310</v>
      </c>
      <c r="E63" s="165" t="s">
        <v>55</v>
      </c>
      <c r="F63" s="98" t="s">
        <v>312</v>
      </c>
      <c r="G63" s="142">
        <v>650</v>
      </c>
      <c r="H63" s="98" t="s">
        <v>520</v>
      </c>
      <c r="I63" s="173">
        <v>2</v>
      </c>
      <c r="J63" s="98"/>
      <c r="K63" s="98"/>
      <c r="L63" s="98"/>
      <c r="M63" s="98"/>
      <c r="N63" s="98"/>
      <c r="O63" s="98"/>
      <c r="P63" s="98"/>
      <c r="Q63" s="98"/>
      <c r="R63" s="98"/>
      <c r="S63" s="98"/>
      <c r="T63" s="98"/>
      <c r="U63" s="98"/>
      <c r="V63" s="98"/>
      <c r="W63" s="98"/>
      <c r="X63" s="98"/>
      <c r="Y63" s="98"/>
      <c r="Z63" s="98"/>
      <c r="AA63" s="98"/>
      <c r="AB63" s="98"/>
      <c r="AC63" s="98"/>
      <c r="AD63" s="98"/>
    </row>
    <row r="64" spans="1:30" x14ac:dyDescent="0.3">
      <c r="A64" s="98" t="s">
        <v>313</v>
      </c>
      <c r="B64" s="98" t="s">
        <v>57</v>
      </c>
      <c r="C64" s="98" t="s">
        <v>58</v>
      </c>
      <c r="D64" s="98" t="s">
        <v>314</v>
      </c>
      <c r="E64" s="165" t="s">
        <v>55</v>
      </c>
      <c r="F64" s="98" t="s">
        <v>63</v>
      </c>
      <c r="G64" s="142">
        <v>324</v>
      </c>
      <c r="H64" s="98" t="s">
        <v>521</v>
      </c>
      <c r="I64" s="173">
        <v>8</v>
      </c>
      <c r="J64" s="98"/>
      <c r="K64" s="98"/>
      <c r="L64" s="98"/>
      <c r="M64" s="98"/>
      <c r="N64" s="98"/>
      <c r="O64" s="98"/>
      <c r="P64" s="98"/>
      <c r="Q64" s="98"/>
      <c r="R64" s="98"/>
      <c r="S64" s="98"/>
      <c r="T64" s="98"/>
      <c r="U64" s="98"/>
      <c r="V64" s="98"/>
      <c r="W64" s="98"/>
      <c r="X64" s="98"/>
      <c r="Y64" s="98"/>
      <c r="Z64" s="98"/>
      <c r="AA64" s="98"/>
      <c r="AB64" s="98"/>
      <c r="AC64" s="98"/>
      <c r="AD64" s="98"/>
    </row>
    <row r="65" spans="1:30" x14ac:dyDescent="0.3">
      <c r="A65" s="98" t="s">
        <v>316</v>
      </c>
      <c r="B65" s="98" t="s">
        <v>65</v>
      </c>
      <c r="C65" s="98" t="s">
        <v>66</v>
      </c>
      <c r="D65" s="98" t="s">
        <v>317</v>
      </c>
      <c r="E65" s="165" t="s">
        <v>55</v>
      </c>
      <c r="F65" s="98" t="s">
        <v>71</v>
      </c>
      <c r="G65" s="142">
        <v>750</v>
      </c>
      <c r="H65" s="98" t="s">
        <v>508</v>
      </c>
      <c r="I65" s="173">
        <v>6</v>
      </c>
      <c r="J65" s="98"/>
      <c r="K65" s="98"/>
      <c r="L65" s="98"/>
      <c r="M65" s="98"/>
      <c r="N65" s="98"/>
      <c r="O65" s="98"/>
      <c r="P65" s="98"/>
      <c r="Q65" s="98"/>
      <c r="R65" s="98"/>
      <c r="S65" s="98"/>
      <c r="T65" s="98"/>
      <c r="U65" s="98"/>
      <c r="V65" s="98"/>
      <c r="W65" s="98"/>
      <c r="X65" s="98"/>
      <c r="Y65" s="98"/>
      <c r="Z65" s="98"/>
      <c r="AA65" s="98"/>
      <c r="AB65" s="98"/>
      <c r="AC65" s="98"/>
      <c r="AD65" s="98"/>
    </row>
    <row r="66" spans="1:30" x14ac:dyDescent="0.3">
      <c r="A66" s="98"/>
      <c r="B66" s="98"/>
      <c r="C66" s="98"/>
      <c r="D66" s="98"/>
      <c r="E66" s="165"/>
      <c r="F66" s="98"/>
      <c r="G66" s="142"/>
      <c r="H66" s="98"/>
      <c r="I66" s="173"/>
      <c r="J66" s="98"/>
      <c r="K66" s="98"/>
      <c r="L66" s="98"/>
      <c r="M66" s="98"/>
      <c r="N66" s="98"/>
      <c r="O66" s="98"/>
      <c r="P66" s="98"/>
      <c r="Q66" s="98"/>
      <c r="R66" s="98"/>
      <c r="S66" s="98"/>
      <c r="T66" s="98"/>
      <c r="U66" s="98"/>
      <c r="V66" s="98"/>
      <c r="W66" s="98"/>
      <c r="X66" s="98"/>
      <c r="Y66" s="98"/>
      <c r="Z66" s="98"/>
      <c r="AA66" s="98"/>
      <c r="AB66" s="98"/>
      <c r="AC66" s="98"/>
      <c r="AD66" s="98"/>
    </row>
    <row r="67" spans="1:30" x14ac:dyDescent="0.3">
      <c r="A67" s="98"/>
      <c r="B67" s="98"/>
      <c r="C67" s="98"/>
      <c r="D67" s="98"/>
      <c r="E67" s="165"/>
      <c r="F67" s="98"/>
      <c r="G67" s="142"/>
      <c r="H67" s="98"/>
      <c r="I67" s="173"/>
      <c r="J67" s="98"/>
      <c r="K67" s="98"/>
      <c r="L67" s="98"/>
      <c r="M67" s="98"/>
      <c r="N67" s="98"/>
      <c r="O67" s="98"/>
      <c r="P67" s="98"/>
      <c r="Q67" s="98"/>
      <c r="R67" s="98"/>
      <c r="S67" s="98"/>
      <c r="T67" s="98"/>
      <c r="U67" s="98"/>
      <c r="V67" s="98"/>
      <c r="W67" s="98"/>
      <c r="X67" s="98"/>
      <c r="Y67" s="98"/>
      <c r="Z67" s="98"/>
      <c r="AA67" s="98"/>
      <c r="AB67" s="98"/>
      <c r="AC67" s="98"/>
      <c r="AD67" s="98"/>
    </row>
  </sheetData>
  <autoFilter ref="A2:I2" xr:uid="{933BC8AD-D2D7-432A-89EF-E968A15E084B}"/>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DFE3D-7943-455B-8F08-1F3F57151D77}">
  <sheetPr>
    <tabColor rgb="FFFF0000"/>
  </sheetPr>
  <dimension ref="A1"/>
  <sheetViews>
    <sheetView workbookViewId="0">
      <selection activeCell="H15" sqref="H15"/>
    </sheetView>
  </sheetViews>
  <sheetFormatPr baseColWidth="10" defaultColWidth="8.88671875" defaultRowHeight="14.4" x14ac:dyDescent="0.3"/>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4A3E5-8AD4-46C4-AB58-F7196C5771D9}">
  <dimension ref="A1:R66"/>
  <sheetViews>
    <sheetView workbookViewId="0">
      <selection activeCell="L8" sqref="L8"/>
    </sheetView>
  </sheetViews>
  <sheetFormatPr baseColWidth="10" defaultColWidth="11.44140625" defaultRowHeight="14.4" x14ac:dyDescent="0.3"/>
  <cols>
    <col min="1" max="1" width="15.6640625" customWidth="1"/>
    <col min="2" max="2" width="16.88671875" customWidth="1"/>
    <col min="4" max="4" width="13.88671875" customWidth="1"/>
    <col min="5" max="5" width="24.44140625" customWidth="1"/>
    <col min="13" max="13" width="38.44140625" customWidth="1"/>
    <col min="14" max="14" width="24.44140625" customWidth="1"/>
  </cols>
  <sheetData>
    <row r="1" spans="1:18" ht="43.2" x14ac:dyDescent="0.3">
      <c r="A1" s="188" t="s">
        <v>7</v>
      </c>
      <c r="B1" s="201" t="s">
        <v>17</v>
      </c>
      <c r="C1" s="201" t="s">
        <v>24</v>
      </c>
      <c r="D1" s="201" t="s">
        <v>522</v>
      </c>
      <c r="E1" s="201" t="s">
        <v>8</v>
      </c>
      <c r="F1" s="201" t="s">
        <v>523</v>
      </c>
      <c r="G1" s="201" t="s">
        <v>11</v>
      </c>
      <c r="H1" s="201" t="s">
        <v>524</v>
      </c>
      <c r="I1" s="201" t="s">
        <v>525</v>
      </c>
      <c r="M1" s="211"/>
      <c r="N1" s="211"/>
      <c r="O1" s="211"/>
      <c r="P1" s="211"/>
      <c r="Q1" s="211"/>
      <c r="R1" s="211"/>
    </row>
    <row r="2" spans="1:18" x14ac:dyDescent="0.3">
      <c r="A2" s="189" t="s">
        <v>39</v>
      </c>
      <c r="B2" s="202" t="s">
        <v>40</v>
      </c>
      <c r="C2" s="203" t="s">
        <v>526</v>
      </c>
      <c r="D2" s="202" t="s">
        <v>351</v>
      </c>
      <c r="E2" s="202" t="s">
        <v>351</v>
      </c>
      <c r="F2" s="203" t="s">
        <v>351</v>
      </c>
      <c r="G2" s="202" t="s">
        <v>351</v>
      </c>
      <c r="H2" s="202" t="s">
        <v>351</v>
      </c>
      <c r="I2" s="202" t="s">
        <v>351</v>
      </c>
      <c r="M2" s="211"/>
      <c r="N2" s="211"/>
      <c r="O2" s="211"/>
      <c r="P2" s="211"/>
      <c r="Q2" s="211"/>
      <c r="R2" s="211"/>
    </row>
    <row r="3" spans="1:18" ht="14.4" customHeight="1" x14ac:dyDescent="0.3">
      <c r="A3" s="196" t="s">
        <v>47</v>
      </c>
      <c r="B3" s="196">
        <v>10</v>
      </c>
      <c r="C3" s="197">
        <v>20</v>
      </c>
      <c r="D3" s="197">
        <v>10</v>
      </c>
      <c r="E3" s="196" t="s">
        <v>48</v>
      </c>
      <c r="F3" s="196">
        <v>4</v>
      </c>
      <c r="G3" s="196" t="s">
        <v>51</v>
      </c>
      <c r="H3" s="196">
        <v>2</v>
      </c>
      <c r="I3" s="196">
        <v>6.7</v>
      </c>
      <c r="M3" s="211"/>
      <c r="N3" s="211"/>
      <c r="O3" s="211"/>
      <c r="P3" s="211"/>
      <c r="Q3" s="211"/>
      <c r="R3" s="211"/>
    </row>
    <row r="4" spans="1:18" ht="14.4" customHeight="1" x14ac:dyDescent="0.3">
      <c r="A4" s="196" t="s">
        <v>56</v>
      </c>
      <c r="B4" s="196">
        <v>125</v>
      </c>
      <c r="C4" s="197">
        <v>250</v>
      </c>
      <c r="D4" s="197">
        <v>9</v>
      </c>
      <c r="E4" s="196" t="s">
        <v>57</v>
      </c>
      <c r="F4" s="196">
        <v>1</v>
      </c>
      <c r="G4" s="196" t="s">
        <v>60</v>
      </c>
      <c r="H4" s="196">
        <v>1</v>
      </c>
      <c r="I4" s="196">
        <v>4.5999999999999996</v>
      </c>
      <c r="M4" s="211"/>
      <c r="N4" s="211"/>
      <c r="O4" s="211"/>
      <c r="P4" s="211"/>
      <c r="Q4" s="211"/>
      <c r="R4" s="211"/>
    </row>
    <row r="5" spans="1:18" ht="14.4" customHeight="1" x14ac:dyDescent="0.3">
      <c r="A5" s="196" t="s">
        <v>64</v>
      </c>
      <c r="B5" s="196">
        <v>50</v>
      </c>
      <c r="C5" s="197">
        <v>100</v>
      </c>
      <c r="D5" s="197">
        <v>10</v>
      </c>
      <c r="E5" s="196" t="s">
        <v>65</v>
      </c>
      <c r="F5" s="196">
        <v>2</v>
      </c>
      <c r="G5" s="196" t="s">
        <v>68</v>
      </c>
      <c r="H5" s="196">
        <v>2</v>
      </c>
      <c r="I5" s="196">
        <v>5.8</v>
      </c>
      <c r="M5" s="211"/>
      <c r="N5" s="211"/>
      <c r="O5" s="211"/>
      <c r="P5" s="211"/>
      <c r="Q5" s="211"/>
      <c r="R5" s="211"/>
    </row>
    <row r="6" spans="1:18" ht="14.4" customHeight="1" x14ac:dyDescent="0.3">
      <c r="A6" s="196" t="s">
        <v>72</v>
      </c>
      <c r="B6" s="196">
        <v>100</v>
      </c>
      <c r="C6" s="197">
        <v>200</v>
      </c>
      <c r="D6" s="197">
        <v>9</v>
      </c>
      <c r="E6" s="196" t="s">
        <v>48</v>
      </c>
      <c r="F6" s="196">
        <v>4</v>
      </c>
      <c r="G6" s="196" t="s">
        <v>74</v>
      </c>
      <c r="H6" s="196">
        <v>1</v>
      </c>
      <c r="I6" s="196">
        <v>5.8</v>
      </c>
      <c r="M6" s="211"/>
      <c r="N6" s="211"/>
      <c r="O6" s="211"/>
      <c r="P6" s="211"/>
      <c r="Q6" s="211"/>
      <c r="R6" s="211"/>
    </row>
    <row r="7" spans="1:18" ht="14.4" customHeight="1" x14ac:dyDescent="0.3">
      <c r="A7" s="196" t="s">
        <v>77</v>
      </c>
      <c r="B7" s="196">
        <v>300</v>
      </c>
      <c r="C7" s="197">
        <v>600</v>
      </c>
      <c r="D7" s="197">
        <v>8</v>
      </c>
      <c r="E7" s="196" t="s">
        <v>48</v>
      </c>
      <c r="F7" s="196">
        <v>4</v>
      </c>
      <c r="G7" s="196" t="s">
        <v>79</v>
      </c>
      <c r="H7" s="196">
        <v>3</v>
      </c>
      <c r="I7" s="196">
        <v>6.3</v>
      </c>
      <c r="M7" s="211"/>
      <c r="N7" s="211"/>
      <c r="O7" s="211"/>
      <c r="P7" s="211"/>
      <c r="Q7" s="211"/>
      <c r="R7" s="211"/>
    </row>
    <row r="8" spans="1:18" ht="14.4" customHeight="1" x14ac:dyDescent="0.3">
      <c r="A8" s="196" t="s">
        <v>83</v>
      </c>
      <c r="B8" s="196">
        <v>280</v>
      </c>
      <c r="C8" s="197">
        <v>560</v>
      </c>
      <c r="D8" s="197">
        <v>1</v>
      </c>
      <c r="E8" s="196" t="s">
        <v>57</v>
      </c>
      <c r="F8" s="196">
        <v>1</v>
      </c>
      <c r="G8" s="196" t="s">
        <v>86</v>
      </c>
      <c r="H8" s="196">
        <v>2</v>
      </c>
      <c r="I8" s="196">
        <v>1.7</v>
      </c>
      <c r="M8" s="211"/>
      <c r="N8" s="211"/>
      <c r="O8" s="211"/>
      <c r="P8" s="211"/>
      <c r="Q8" s="211"/>
      <c r="R8" s="211"/>
    </row>
    <row r="9" spans="1:18" ht="14.4" customHeight="1" x14ac:dyDescent="0.3">
      <c r="A9" s="196" t="s">
        <v>89</v>
      </c>
      <c r="B9" s="196">
        <v>300</v>
      </c>
      <c r="C9" s="197">
        <v>600</v>
      </c>
      <c r="D9" s="197">
        <v>8</v>
      </c>
      <c r="E9" s="196" t="s">
        <v>57</v>
      </c>
      <c r="F9" s="196">
        <v>1</v>
      </c>
      <c r="G9" s="196" t="s">
        <v>74</v>
      </c>
      <c r="H9" s="196">
        <v>1</v>
      </c>
      <c r="I9" s="196">
        <v>4.2</v>
      </c>
      <c r="M9" s="211"/>
      <c r="N9" s="211"/>
      <c r="O9" s="211"/>
      <c r="P9" s="211"/>
      <c r="Q9" s="211"/>
      <c r="R9" s="211"/>
    </row>
    <row r="10" spans="1:18" ht="14.4" customHeight="1" x14ac:dyDescent="0.3">
      <c r="A10" s="196" t="s">
        <v>95</v>
      </c>
      <c r="B10" s="196">
        <v>200</v>
      </c>
      <c r="C10" s="197">
        <v>400</v>
      </c>
      <c r="D10" s="197">
        <v>9</v>
      </c>
      <c r="E10" s="196" t="s">
        <v>57</v>
      </c>
      <c r="F10" s="196">
        <v>1</v>
      </c>
      <c r="G10" s="196" t="s">
        <v>60</v>
      </c>
      <c r="H10" s="196">
        <v>1</v>
      </c>
      <c r="I10" s="196">
        <v>4.5999999999999996</v>
      </c>
      <c r="M10" s="211"/>
      <c r="N10" s="211"/>
      <c r="O10" s="211"/>
      <c r="P10" s="211"/>
      <c r="Q10" s="211"/>
      <c r="R10" s="211"/>
    </row>
    <row r="11" spans="1:18" ht="14.4" customHeight="1" x14ac:dyDescent="0.3">
      <c r="A11" s="196" t="s">
        <v>100</v>
      </c>
      <c r="B11" s="196">
        <v>30</v>
      </c>
      <c r="C11" s="197">
        <v>60</v>
      </c>
      <c r="D11" s="197">
        <v>10</v>
      </c>
      <c r="E11" s="196" t="s">
        <v>57</v>
      </c>
      <c r="F11" s="196">
        <v>1</v>
      </c>
      <c r="G11" s="196" t="s">
        <v>102</v>
      </c>
      <c r="H11" s="196">
        <v>10</v>
      </c>
      <c r="I11" s="196">
        <v>8.8000000000000007</v>
      </c>
      <c r="M11" s="211"/>
      <c r="N11" s="211"/>
      <c r="O11" s="211"/>
      <c r="P11" s="211"/>
      <c r="Q11" s="211"/>
      <c r="R11" s="211"/>
    </row>
    <row r="12" spans="1:18" ht="14.4" customHeight="1" x14ac:dyDescent="0.3">
      <c r="A12" s="196" t="s">
        <v>104</v>
      </c>
      <c r="B12" s="196">
        <v>100</v>
      </c>
      <c r="C12" s="197">
        <v>200</v>
      </c>
      <c r="D12" s="197">
        <v>9</v>
      </c>
      <c r="E12" s="196" t="s">
        <v>105</v>
      </c>
      <c r="F12" s="196">
        <v>3</v>
      </c>
      <c r="G12" s="196" t="s">
        <v>108</v>
      </c>
      <c r="H12" s="196">
        <v>0</v>
      </c>
      <c r="I12" s="196">
        <v>5</v>
      </c>
      <c r="M12" s="211"/>
      <c r="N12" s="211"/>
      <c r="O12" s="211"/>
      <c r="P12" s="211"/>
      <c r="Q12" s="211"/>
      <c r="R12" s="211"/>
    </row>
    <row r="13" spans="1:18" x14ac:dyDescent="0.3">
      <c r="A13" s="196" t="s">
        <v>112</v>
      </c>
      <c r="B13" s="196">
        <v>0</v>
      </c>
      <c r="C13" s="197">
        <v>0</v>
      </c>
      <c r="D13" s="197">
        <v>10</v>
      </c>
      <c r="E13" s="196" t="s">
        <v>105</v>
      </c>
      <c r="F13" s="196">
        <v>3</v>
      </c>
      <c r="G13" s="196" t="s">
        <v>108</v>
      </c>
      <c r="H13" s="196">
        <v>0</v>
      </c>
      <c r="I13" s="196">
        <v>5.4</v>
      </c>
      <c r="M13" s="211"/>
      <c r="N13" s="211"/>
      <c r="O13" s="211"/>
      <c r="P13" s="211"/>
      <c r="Q13" s="211"/>
      <c r="R13" s="211"/>
    </row>
    <row r="14" spans="1:18" x14ac:dyDescent="0.3">
      <c r="A14" s="196" t="s">
        <v>117</v>
      </c>
      <c r="B14" s="196">
        <v>0</v>
      </c>
      <c r="C14" s="197">
        <v>0</v>
      </c>
      <c r="D14" s="197">
        <v>10</v>
      </c>
      <c r="E14" s="196" t="s">
        <v>57</v>
      </c>
      <c r="F14" s="196">
        <v>1</v>
      </c>
      <c r="G14" s="196" t="s">
        <v>60</v>
      </c>
      <c r="H14" s="196">
        <v>1</v>
      </c>
      <c r="I14" s="196">
        <v>5</v>
      </c>
      <c r="M14" s="211"/>
      <c r="N14" s="211"/>
      <c r="O14" s="211"/>
      <c r="P14" s="211"/>
      <c r="Q14" s="211"/>
      <c r="R14" s="211"/>
    </row>
    <row r="15" spans="1:18" ht="14.4" customHeight="1" x14ac:dyDescent="0.3">
      <c r="A15" s="196" t="s">
        <v>121</v>
      </c>
      <c r="B15" s="196">
        <v>265</v>
      </c>
      <c r="C15" s="197">
        <v>530</v>
      </c>
      <c r="D15" s="197">
        <v>8</v>
      </c>
      <c r="E15" s="196" t="s">
        <v>65</v>
      </c>
      <c r="F15" s="196">
        <v>2</v>
      </c>
      <c r="G15" s="196" t="s">
        <v>124</v>
      </c>
      <c r="H15" s="196">
        <v>2</v>
      </c>
      <c r="I15" s="196">
        <v>5</v>
      </c>
      <c r="M15" s="211"/>
      <c r="N15" s="211"/>
      <c r="O15" s="211"/>
      <c r="P15" s="211"/>
      <c r="Q15" s="211"/>
      <c r="R15" s="211"/>
    </row>
    <row r="16" spans="1:18" ht="14.4" customHeight="1" x14ac:dyDescent="0.3">
      <c r="A16" s="196" t="s">
        <v>127</v>
      </c>
      <c r="B16" s="196">
        <v>50</v>
      </c>
      <c r="C16" s="197">
        <v>100</v>
      </c>
      <c r="D16" s="197">
        <v>1</v>
      </c>
      <c r="E16" s="196" t="s">
        <v>65</v>
      </c>
      <c r="F16" s="196">
        <v>2</v>
      </c>
      <c r="G16" s="196" t="s">
        <v>124</v>
      </c>
      <c r="H16" s="196">
        <v>2</v>
      </c>
      <c r="I16" s="196">
        <v>2.1</v>
      </c>
      <c r="M16" s="211"/>
      <c r="N16" s="211"/>
      <c r="O16" s="211"/>
      <c r="P16" s="211"/>
      <c r="Q16" s="211"/>
      <c r="R16" s="211"/>
    </row>
    <row r="17" spans="1:16" x14ac:dyDescent="0.3">
      <c r="A17" s="196" t="s">
        <v>130</v>
      </c>
      <c r="B17" s="196">
        <v>200</v>
      </c>
      <c r="C17" s="197">
        <v>400</v>
      </c>
      <c r="D17" s="197">
        <v>1</v>
      </c>
      <c r="E17" s="196" t="s">
        <v>105</v>
      </c>
      <c r="F17" s="196">
        <v>3</v>
      </c>
      <c r="G17" s="196" t="s">
        <v>51</v>
      </c>
      <c r="H17" s="196">
        <v>2</v>
      </c>
      <c r="I17" s="196">
        <v>2.5</v>
      </c>
    </row>
    <row r="18" spans="1:16" x14ac:dyDescent="0.3">
      <c r="A18" s="196" t="s">
        <v>135</v>
      </c>
      <c r="B18" s="196">
        <v>300</v>
      </c>
      <c r="C18" s="197">
        <v>600</v>
      </c>
      <c r="D18" s="197">
        <v>8</v>
      </c>
      <c r="E18" s="196" t="s">
        <v>65</v>
      </c>
      <c r="F18" s="196">
        <v>2</v>
      </c>
      <c r="G18" s="196" t="s">
        <v>51</v>
      </c>
      <c r="H18" s="196">
        <v>2</v>
      </c>
      <c r="I18" s="196">
        <v>5</v>
      </c>
    </row>
    <row r="19" spans="1:16" ht="16.5" customHeight="1" x14ac:dyDescent="0.3">
      <c r="A19" s="196" t="s">
        <v>139</v>
      </c>
      <c r="B19" s="196">
        <v>288</v>
      </c>
      <c r="C19" s="197">
        <v>576</v>
      </c>
      <c r="D19" s="197">
        <v>8</v>
      </c>
      <c r="E19" s="196" t="s">
        <v>65</v>
      </c>
      <c r="F19" s="196">
        <v>2</v>
      </c>
      <c r="G19" s="196" t="s">
        <v>79</v>
      </c>
      <c r="H19" s="196">
        <v>3</v>
      </c>
      <c r="I19" s="196">
        <v>5.4</v>
      </c>
      <c r="M19" s="190" t="s">
        <v>527</v>
      </c>
      <c r="N19" s="191" t="s">
        <v>528</v>
      </c>
      <c r="O19" s="191" t="s">
        <v>529</v>
      </c>
      <c r="P19" s="191" t="s">
        <v>337</v>
      </c>
    </row>
    <row r="20" spans="1:16" ht="15" customHeight="1" x14ac:dyDescent="0.3">
      <c r="A20" s="196" t="s">
        <v>143</v>
      </c>
      <c r="B20" s="196">
        <v>0</v>
      </c>
      <c r="C20" s="197">
        <v>0</v>
      </c>
      <c r="D20" s="197">
        <v>10</v>
      </c>
      <c r="E20" s="196" t="s">
        <v>57</v>
      </c>
      <c r="F20" s="196">
        <v>1</v>
      </c>
      <c r="G20" s="196" t="s">
        <v>60</v>
      </c>
      <c r="H20" s="196">
        <v>1</v>
      </c>
      <c r="I20" s="196">
        <v>5</v>
      </c>
      <c r="M20" s="192" t="s">
        <v>530</v>
      </c>
      <c r="N20" s="193" t="s">
        <v>531</v>
      </c>
      <c r="O20" s="194">
        <v>4500</v>
      </c>
      <c r="P20" s="195">
        <v>1</v>
      </c>
    </row>
    <row r="21" spans="1:16" ht="13.5" customHeight="1" x14ac:dyDescent="0.3">
      <c r="A21" s="196" t="s">
        <v>146</v>
      </c>
      <c r="B21" s="196">
        <v>35</v>
      </c>
      <c r="C21" s="197">
        <v>70</v>
      </c>
      <c r="D21" s="197">
        <v>10</v>
      </c>
      <c r="E21" s="196" t="s">
        <v>65</v>
      </c>
      <c r="F21" s="196">
        <v>2</v>
      </c>
      <c r="G21" s="196" t="s">
        <v>68</v>
      </c>
      <c r="H21" s="196">
        <v>2</v>
      </c>
      <c r="I21" s="196">
        <v>5.8</v>
      </c>
      <c r="M21" s="192" t="s">
        <v>532</v>
      </c>
      <c r="N21" s="193" t="s">
        <v>533</v>
      </c>
      <c r="O21" s="194">
        <v>5500</v>
      </c>
      <c r="P21" s="195">
        <v>2</v>
      </c>
    </row>
    <row r="22" spans="1:16" ht="15.75" customHeight="1" x14ac:dyDescent="0.3">
      <c r="A22" s="196" t="s">
        <v>149</v>
      </c>
      <c r="B22" s="196">
        <v>2.5</v>
      </c>
      <c r="C22" s="197">
        <v>5</v>
      </c>
      <c r="D22" s="197">
        <v>10</v>
      </c>
      <c r="E22" s="196" t="s">
        <v>65</v>
      </c>
      <c r="F22" s="196">
        <v>2</v>
      </c>
      <c r="G22" s="196" t="s">
        <v>60</v>
      </c>
      <c r="H22" s="196">
        <v>1</v>
      </c>
      <c r="I22" s="196">
        <v>5.4</v>
      </c>
      <c r="M22" s="192" t="s">
        <v>534</v>
      </c>
      <c r="N22" s="193" t="s">
        <v>535</v>
      </c>
      <c r="O22" s="194">
        <v>6500</v>
      </c>
      <c r="P22" s="195">
        <v>3</v>
      </c>
    </row>
    <row r="23" spans="1:16" ht="18" customHeight="1" x14ac:dyDescent="0.3">
      <c r="A23" s="196" t="s">
        <v>153</v>
      </c>
      <c r="B23" s="196">
        <v>210</v>
      </c>
      <c r="C23" s="197">
        <v>420</v>
      </c>
      <c r="D23" s="197">
        <v>8</v>
      </c>
      <c r="E23" s="196" t="s">
        <v>65</v>
      </c>
      <c r="F23" s="196">
        <v>2</v>
      </c>
      <c r="G23" s="196" t="s">
        <v>60</v>
      </c>
      <c r="H23" s="196">
        <v>1</v>
      </c>
      <c r="I23" s="196">
        <v>4.5999999999999996</v>
      </c>
      <c r="M23" s="192" t="s">
        <v>536</v>
      </c>
      <c r="N23" s="193" t="s">
        <v>537</v>
      </c>
      <c r="O23" s="194">
        <v>7000</v>
      </c>
      <c r="P23" s="195">
        <v>4</v>
      </c>
    </row>
    <row r="24" spans="1:16" x14ac:dyDescent="0.3">
      <c r="A24" s="196" t="s">
        <v>155</v>
      </c>
      <c r="B24" s="196">
        <v>0</v>
      </c>
      <c r="C24" s="197">
        <v>0</v>
      </c>
      <c r="D24" s="197">
        <v>1</v>
      </c>
      <c r="E24" s="196" t="s">
        <v>65</v>
      </c>
      <c r="F24" s="196">
        <v>2</v>
      </c>
      <c r="G24" s="196" t="s">
        <v>51</v>
      </c>
      <c r="H24" s="196">
        <v>2</v>
      </c>
      <c r="I24" s="196">
        <v>2.1</v>
      </c>
      <c r="M24" s="196"/>
      <c r="N24" s="197"/>
      <c r="O24" s="197"/>
      <c r="P24" s="196"/>
    </row>
    <row r="25" spans="1:16" x14ac:dyDescent="0.3">
      <c r="A25" s="196" t="s">
        <v>158</v>
      </c>
      <c r="B25" s="196">
        <v>350</v>
      </c>
      <c r="C25" s="197">
        <v>700</v>
      </c>
      <c r="D25" s="197">
        <v>1</v>
      </c>
      <c r="E25" s="196" t="s">
        <v>57</v>
      </c>
      <c r="F25" s="196">
        <v>1</v>
      </c>
      <c r="G25" s="196" t="s">
        <v>51</v>
      </c>
      <c r="H25" s="196">
        <v>2</v>
      </c>
      <c r="I25" s="196">
        <v>1.7</v>
      </c>
      <c r="M25" s="197"/>
      <c r="N25" s="196"/>
      <c r="O25" s="196"/>
      <c r="P25" s="196"/>
    </row>
    <row r="26" spans="1:16" ht="18.75" customHeight="1" x14ac:dyDescent="0.3">
      <c r="A26" s="196" t="s">
        <v>161</v>
      </c>
      <c r="B26" s="196">
        <v>390</v>
      </c>
      <c r="C26" s="197">
        <v>780</v>
      </c>
      <c r="D26" s="197">
        <v>7</v>
      </c>
      <c r="E26" s="196" t="s">
        <v>105</v>
      </c>
      <c r="F26" s="196">
        <v>3</v>
      </c>
      <c r="G26" s="196" t="s">
        <v>74</v>
      </c>
      <c r="H26" s="196">
        <v>1</v>
      </c>
      <c r="I26" s="196">
        <v>4.5999999999999996</v>
      </c>
      <c r="M26" s="190" t="s">
        <v>11</v>
      </c>
      <c r="N26" s="191" t="s">
        <v>538</v>
      </c>
      <c r="O26" s="191" t="s">
        <v>337</v>
      </c>
      <c r="P26" s="196"/>
    </row>
    <row r="27" spans="1:16" x14ac:dyDescent="0.3">
      <c r="A27" s="196" t="s">
        <v>166</v>
      </c>
      <c r="B27" s="196">
        <v>170</v>
      </c>
      <c r="C27" s="197">
        <v>340</v>
      </c>
      <c r="D27" s="197">
        <v>9</v>
      </c>
      <c r="E27" s="196" t="s">
        <v>57</v>
      </c>
      <c r="F27" s="196">
        <v>1</v>
      </c>
      <c r="G27" s="196" t="s">
        <v>168</v>
      </c>
      <c r="H27" s="196">
        <v>2</v>
      </c>
      <c r="I27" s="196">
        <v>5</v>
      </c>
      <c r="M27" s="198" t="s">
        <v>102</v>
      </c>
      <c r="N27" s="199">
        <v>133.80000000000001</v>
      </c>
      <c r="O27" s="195">
        <v>10</v>
      </c>
      <c r="P27" s="196"/>
    </row>
    <row r="28" spans="1:16" x14ac:dyDescent="0.3">
      <c r="A28" s="196" t="s">
        <v>170</v>
      </c>
      <c r="B28" s="196">
        <v>0</v>
      </c>
      <c r="C28" s="197">
        <v>0</v>
      </c>
      <c r="D28" s="197">
        <v>10</v>
      </c>
      <c r="E28" s="196" t="s">
        <v>65</v>
      </c>
      <c r="F28" s="196">
        <v>2</v>
      </c>
      <c r="G28" s="196" t="s">
        <v>172</v>
      </c>
      <c r="H28" s="196">
        <v>3</v>
      </c>
      <c r="I28" s="196">
        <v>6.3</v>
      </c>
      <c r="M28" s="198" t="s">
        <v>74</v>
      </c>
      <c r="N28" s="199">
        <v>1.6</v>
      </c>
      <c r="O28" s="195">
        <v>1</v>
      </c>
      <c r="P28" s="196"/>
    </row>
    <row r="29" spans="1:16" x14ac:dyDescent="0.3">
      <c r="A29" s="196" t="s">
        <v>174</v>
      </c>
      <c r="B29" s="196">
        <v>100</v>
      </c>
      <c r="C29" s="197">
        <v>200</v>
      </c>
      <c r="D29" s="197">
        <v>9</v>
      </c>
      <c r="E29" s="196" t="s">
        <v>57</v>
      </c>
      <c r="F29" s="196">
        <v>1</v>
      </c>
      <c r="G29" s="196" t="s">
        <v>79</v>
      </c>
      <c r="H29" s="196">
        <v>3</v>
      </c>
      <c r="I29" s="196">
        <v>5.4</v>
      </c>
      <c r="M29" s="198" t="s">
        <v>60</v>
      </c>
      <c r="N29" s="199">
        <v>-0.5</v>
      </c>
      <c r="O29" s="195">
        <v>1</v>
      </c>
      <c r="P29" s="196"/>
    </row>
    <row r="30" spans="1:16" x14ac:dyDescent="0.3">
      <c r="A30" s="196" t="s">
        <v>177</v>
      </c>
      <c r="B30" s="196">
        <v>50</v>
      </c>
      <c r="C30" s="197">
        <v>100</v>
      </c>
      <c r="D30" s="197">
        <v>10</v>
      </c>
      <c r="E30" s="196" t="s">
        <v>57</v>
      </c>
      <c r="F30" s="196">
        <v>1</v>
      </c>
      <c r="G30" s="196" t="s">
        <v>79</v>
      </c>
      <c r="H30" s="196">
        <v>3</v>
      </c>
      <c r="I30" s="196">
        <v>5.8</v>
      </c>
      <c r="M30" s="198" t="s">
        <v>290</v>
      </c>
      <c r="N30" s="199">
        <v>8.6</v>
      </c>
      <c r="O30" s="195">
        <v>4</v>
      </c>
      <c r="P30" s="196"/>
    </row>
    <row r="31" spans="1:16" x14ac:dyDescent="0.3">
      <c r="A31" s="196" t="s">
        <v>179</v>
      </c>
      <c r="B31" s="196">
        <v>140</v>
      </c>
      <c r="C31" s="197">
        <v>280</v>
      </c>
      <c r="D31" s="197">
        <v>9</v>
      </c>
      <c r="E31" s="196" t="s">
        <v>105</v>
      </c>
      <c r="F31" s="196">
        <v>3</v>
      </c>
      <c r="G31" s="196" t="s">
        <v>124</v>
      </c>
      <c r="H31" s="196">
        <v>2</v>
      </c>
      <c r="I31" s="196">
        <v>5.8</v>
      </c>
      <c r="M31" s="198" t="s">
        <v>108</v>
      </c>
      <c r="N31" s="199">
        <v>-3.5</v>
      </c>
      <c r="O31" s="195">
        <v>0</v>
      </c>
      <c r="P31" s="196"/>
    </row>
    <row r="32" spans="1:16" x14ac:dyDescent="0.3">
      <c r="A32" s="196" t="s">
        <v>184</v>
      </c>
      <c r="B32" s="196">
        <v>200</v>
      </c>
      <c r="C32" s="197">
        <v>400</v>
      </c>
      <c r="D32" s="197">
        <v>1</v>
      </c>
      <c r="E32" s="196" t="s">
        <v>48</v>
      </c>
      <c r="F32" s="196">
        <v>4</v>
      </c>
      <c r="G32" s="196" t="s">
        <v>186</v>
      </c>
      <c r="H32" s="196">
        <v>3</v>
      </c>
      <c r="I32" s="196">
        <v>3.3</v>
      </c>
      <c r="M32" s="198" t="s">
        <v>172</v>
      </c>
      <c r="N32" s="199">
        <v>5.5</v>
      </c>
      <c r="O32" s="195">
        <v>3</v>
      </c>
      <c r="P32" s="196"/>
    </row>
    <row r="33" spans="1:16" x14ac:dyDescent="0.3">
      <c r="A33" s="196" t="s">
        <v>188</v>
      </c>
      <c r="B33" s="196">
        <v>250</v>
      </c>
      <c r="C33" s="197">
        <v>500</v>
      </c>
      <c r="D33" s="197">
        <v>8</v>
      </c>
      <c r="E33" s="196" t="s">
        <v>105</v>
      </c>
      <c r="F33" s="196">
        <v>3</v>
      </c>
      <c r="G33" s="196" t="s">
        <v>124</v>
      </c>
      <c r="H33" s="196">
        <v>2</v>
      </c>
      <c r="I33" s="196">
        <v>5.4</v>
      </c>
      <c r="M33" s="198" t="s">
        <v>229</v>
      </c>
      <c r="N33" s="199">
        <v>1.5</v>
      </c>
      <c r="O33" s="195">
        <v>1</v>
      </c>
      <c r="P33" s="196"/>
    </row>
    <row r="34" spans="1:16" x14ac:dyDescent="0.3">
      <c r="A34" s="196" t="s">
        <v>191</v>
      </c>
      <c r="B34" s="196">
        <v>1200</v>
      </c>
      <c r="C34" s="197">
        <v>2400</v>
      </c>
      <c r="D34" s="197">
        <v>1</v>
      </c>
      <c r="E34" s="196" t="s">
        <v>105</v>
      </c>
      <c r="F34" s="196">
        <v>3</v>
      </c>
      <c r="G34" s="196" t="s">
        <v>124</v>
      </c>
      <c r="H34" s="196">
        <v>2</v>
      </c>
      <c r="I34" s="196">
        <v>2.5</v>
      </c>
      <c r="M34" s="198" t="s">
        <v>186</v>
      </c>
      <c r="N34" s="199">
        <v>5.3</v>
      </c>
      <c r="O34" s="195">
        <v>3</v>
      </c>
      <c r="P34" s="196"/>
    </row>
    <row r="35" spans="1:16" x14ac:dyDescent="0.3">
      <c r="A35" s="196" t="s">
        <v>196</v>
      </c>
      <c r="B35" s="196">
        <v>87</v>
      </c>
      <c r="C35" s="197">
        <v>174</v>
      </c>
      <c r="D35" s="197">
        <v>9</v>
      </c>
      <c r="E35" s="196" t="s">
        <v>65</v>
      </c>
      <c r="F35" s="196">
        <v>2</v>
      </c>
      <c r="G35" s="196" t="s">
        <v>79</v>
      </c>
      <c r="H35" s="196">
        <v>3</v>
      </c>
      <c r="I35" s="196">
        <v>5.8</v>
      </c>
      <c r="M35" s="198" t="s">
        <v>51</v>
      </c>
      <c r="N35" s="199">
        <v>3.8</v>
      </c>
      <c r="O35" s="195">
        <v>2</v>
      </c>
      <c r="P35" s="196"/>
    </row>
    <row r="36" spans="1:16" x14ac:dyDescent="0.3">
      <c r="A36" s="196" t="s">
        <v>200</v>
      </c>
      <c r="B36" s="196">
        <v>822</v>
      </c>
      <c r="C36" s="197">
        <v>1644</v>
      </c>
      <c r="D36" s="197">
        <v>4</v>
      </c>
      <c r="E36" s="196" t="s">
        <v>65</v>
      </c>
      <c r="F36" s="196">
        <v>2</v>
      </c>
      <c r="G36" s="196" t="s">
        <v>79</v>
      </c>
      <c r="H36" s="196">
        <v>3</v>
      </c>
      <c r="I36" s="196">
        <v>3.8</v>
      </c>
      <c r="M36" s="198" t="s">
        <v>299</v>
      </c>
      <c r="N36" s="199">
        <v>7.8</v>
      </c>
      <c r="O36" s="195">
        <v>3</v>
      </c>
      <c r="P36" s="196"/>
    </row>
    <row r="37" spans="1:16" x14ac:dyDescent="0.3">
      <c r="A37" s="196" t="s">
        <v>203</v>
      </c>
      <c r="B37" s="196">
        <v>20</v>
      </c>
      <c r="C37" s="197">
        <v>40</v>
      </c>
      <c r="D37" s="197">
        <v>10</v>
      </c>
      <c r="E37" s="196" t="s">
        <v>48</v>
      </c>
      <c r="F37" s="196">
        <v>4</v>
      </c>
      <c r="G37" s="196" t="s">
        <v>168</v>
      </c>
      <c r="H37" s="196">
        <v>2</v>
      </c>
      <c r="I37" s="196">
        <v>6.7</v>
      </c>
      <c r="M37" s="198" t="s">
        <v>168</v>
      </c>
      <c r="N37" s="199">
        <v>2.1</v>
      </c>
      <c r="O37" s="195">
        <v>2</v>
      </c>
      <c r="P37" s="196"/>
    </row>
    <row r="38" spans="1:16" x14ac:dyDescent="0.3">
      <c r="A38" s="196" t="s">
        <v>208</v>
      </c>
      <c r="B38" s="196">
        <v>100</v>
      </c>
      <c r="C38" s="197">
        <v>200</v>
      </c>
      <c r="D38" s="197">
        <v>9</v>
      </c>
      <c r="E38" s="196" t="s">
        <v>105</v>
      </c>
      <c r="F38" s="196">
        <v>3</v>
      </c>
      <c r="G38" s="196" t="s">
        <v>124</v>
      </c>
      <c r="H38" s="196">
        <v>2</v>
      </c>
      <c r="I38" s="196">
        <v>5.8</v>
      </c>
      <c r="M38" s="198" t="s">
        <v>79</v>
      </c>
      <c r="N38" s="199">
        <v>7.1</v>
      </c>
      <c r="O38" s="195">
        <v>3</v>
      </c>
      <c r="P38" s="196"/>
    </row>
    <row r="39" spans="1:16" x14ac:dyDescent="0.3">
      <c r="A39" s="196" t="s">
        <v>213</v>
      </c>
      <c r="B39" s="196">
        <v>195</v>
      </c>
      <c r="C39" s="197">
        <v>390</v>
      </c>
      <c r="D39" s="197">
        <v>9</v>
      </c>
      <c r="E39" s="196" t="s">
        <v>57</v>
      </c>
      <c r="F39" s="196">
        <v>1</v>
      </c>
      <c r="G39" s="196" t="s">
        <v>124</v>
      </c>
      <c r="H39" s="196">
        <v>2</v>
      </c>
      <c r="I39" s="196">
        <v>5</v>
      </c>
      <c r="M39" s="198" t="s">
        <v>68</v>
      </c>
      <c r="N39" s="199">
        <v>4.5</v>
      </c>
      <c r="O39" s="195">
        <v>2</v>
      </c>
      <c r="P39" s="196"/>
    </row>
    <row r="40" spans="1:16" x14ac:dyDescent="0.3">
      <c r="A40" s="196" t="s">
        <v>215</v>
      </c>
      <c r="B40" s="196">
        <v>0</v>
      </c>
      <c r="C40" s="197">
        <v>0</v>
      </c>
      <c r="D40" s="197">
        <v>10</v>
      </c>
      <c r="E40" s="196" t="s">
        <v>57</v>
      </c>
      <c r="F40" s="196">
        <v>1</v>
      </c>
      <c r="G40" s="196" t="s">
        <v>60</v>
      </c>
      <c r="H40" s="196">
        <v>1</v>
      </c>
      <c r="I40" s="196">
        <v>5</v>
      </c>
      <c r="M40" s="198" t="s">
        <v>250</v>
      </c>
      <c r="N40" s="199">
        <v>5.6</v>
      </c>
      <c r="O40" s="195">
        <v>3</v>
      </c>
      <c r="P40" s="196"/>
    </row>
    <row r="41" spans="1:16" x14ac:dyDescent="0.3">
      <c r="A41" s="196" t="s">
        <v>218</v>
      </c>
      <c r="B41" s="196">
        <v>340</v>
      </c>
      <c r="C41" s="197">
        <v>680</v>
      </c>
      <c r="D41" s="197">
        <v>7</v>
      </c>
      <c r="E41" s="196" t="s">
        <v>57</v>
      </c>
      <c r="F41" s="196">
        <v>1</v>
      </c>
      <c r="G41" s="196" t="s">
        <v>172</v>
      </c>
      <c r="H41" s="196">
        <v>3</v>
      </c>
      <c r="I41" s="196">
        <v>4.5999999999999996</v>
      </c>
      <c r="M41" s="198" t="s">
        <v>277</v>
      </c>
      <c r="N41" s="199">
        <v>1</v>
      </c>
      <c r="O41" s="195">
        <v>1</v>
      </c>
      <c r="P41" s="196"/>
    </row>
    <row r="42" spans="1:16" x14ac:dyDescent="0.3">
      <c r="A42" s="196" t="s">
        <v>221</v>
      </c>
      <c r="B42" s="196">
        <v>22</v>
      </c>
      <c r="C42" s="197">
        <v>44</v>
      </c>
      <c r="D42" s="197">
        <v>10</v>
      </c>
      <c r="E42" s="196" t="s">
        <v>57</v>
      </c>
      <c r="F42" s="196">
        <v>1</v>
      </c>
      <c r="G42" s="196" t="s">
        <v>124</v>
      </c>
      <c r="H42" s="196">
        <v>2</v>
      </c>
      <c r="I42" s="196">
        <v>5.4</v>
      </c>
      <c r="M42" s="198" t="s">
        <v>238</v>
      </c>
      <c r="N42" s="199">
        <v>7.1</v>
      </c>
      <c r="O42" s="195">
        <v>3</v>
      </c>
      <c r="P42" s="196"/>
    </row>
    <row r="43" spans="1:16" x14ac:dyDescent="0.3">
      <c r="A43" s="196" t="s">
        <v>224</v>
      </c>
      <c r="B43" s="196">
        <v>165</v>
      </c>
      <c r="C43" s="197">
        <v>330</v>
      </c>
      <c r="D43" s="197">
        <v>9</v>
      </c>
      <c r="E43" s="196" t="s">
        <v>65</v>
      </c>
      <c r="F43" s="196">
        <v>2</v>
      </c>
      <c r="G43" s="196" t="s">
        <v>68</v>
      </c>
      <c r="H43" s="196">
        <v>2</v>
      </c>
      <c r="I43" s="196">
        <v>5.4</v>
      </c>
      <c r="M43" s="200" t="s">
        <v>124</v>
      </c>
      <c r="N43" s="199">
        <v>3.6</v>
      </c>
      <c r="O43" s="195">
        <v>2</v>
      </c>
      <c r="P43" s="196"/>
    </row>
    <row r="44" spans="1:16" x14ac:dyDescent="0.3">
      <c r="A44" s="196" t="s">
        <v>227</v>
      </c>
      <c r="B44" s="196">
        <v>0</v>
      </c>
      <c r="C44" s="197">
        <v>0</v>
      </c>
      <c r="D44" s="197">
        <v>10</v>
      </c>
      <c r="E44" s="196" t="s">
        <v>65</v>
      </c>
      <c r="F44" s="196">
        <v>2</v>
      </c>
      <c r="G44" s="196" t="s">
        <v>229</v>
      </c>
      <c r="H44" s="196">
        <v>1</v>
      </c>
      <c r="I44" s="196">
        <v>5.4</v>
      </c>
    </row>
    <row r="45" spans="1:16" x14ac:dyDescent="0.3">
      <c r="A45" s="196" t="s">
        <v>231</v>
      </c>
      <c r="B45" s="196">
        <v>55</v>
      </c>
      <c r="C45" s="197">
        <v>110</v>
      </c>
      <c r="D45" s="197">
        <v>10</v>
      </c>
      <c r="E45" s="196" t="s">
        <v>57</v>
      </c>
      <c r="F45" s="196">
        <v>1</v>
      </c>
      <c r="G45" s="196" t="s">
        <v>79</v>
      </c>
      <c r="H45" s="196">
        <v>3</v>
      </c>
      <c r="I45" s="196">
        <v>5.8</v>
      </c>
    </row>
    <row r="46" spans="1:16" x14ac:dyDescent="0.3">
      <c r="A46" s="196" t="s">
        <v>236</v>
      </c>
      <c r="B46" s="196">
        <v>470</v>
      </c>
      <c r="C46" s="197">
        <v>940</v>
      </c>
      <c r="D46" s="197">
        <v>6</v>
      </c>
      <c r="E46" s="196" t="s">
        <v>57</v>
      </c>
      <c r="F46" s="196">
        <v>1</v>
      </c>
      <c r="G46" s="196" t="s">
        <v>238</v>
      </c>
      <c r="H46" s="196">
        <v>3</v>
      </c>
      <c r="I46" s="196">
        <v>4.2</v>
      </c>
    </row>
    <row r="47" spans="1:16" x14ac:dyDescent="0.3">
      <c r="A47" s="196" t="s">
        <v>240</v>
      </c>
      <c r="B47" s="196">
        <v>0</v>
      </c>
      <c r="C47" s="197">
        <v>0</v>
      </c>
      <c r="D47" s="197">
        <v>10</v>
      </c>
      <c r="E47" s="196" t="s">
        <v>57</v>
      </c>
      <c r="F47" s="196">
        <v>1</v>
      </c>
      <c r="G47" s="196" t="s">
        <v>79</v>
      </c>
      <c r="H47" s="196">
        <v>3</v>
      </c>
      <c r="I47" s="196">
        <v>5.8</v>
      </c>
    </row>
    <row r="48" spans="1:16" x14ac:dyDescent="0.3">
      <c r="A48" s="196" t="s">
        <v>243</v>
      </c>
      <c r="B48" s="196">
        <v>272</v>
      </c>
      <c r="C48" s="197">
        <v>544</v>
      </c>
      <c r="D48" s="197">
        <v>8</v>
      </c>
      <c r="E48" s="196" t="s">
        <v>65</v>
      </c>
      <c r="F48" s="196">
        <v>2</v>
      </c>
      <c r="G48" s="196" t="s">
        <v>124</v>
      </c>
      <c r="H48" s="196">
        <v>2</v>
      </c>
      <c r="I48" s="196">
        <v>5</v>
      </c>
    </row>
    <row r="49" spans="1:9" x14ac:dyDescent="0.3">
      <c r="A49" s="196" t="s">
        <v>247</v>
      </c>
      <c r="B49" s="196">
        <v>55</v>
      </c>
      <c r="C49" s="197">
        <v>110</v>
      </c>
      <c r="D49" s="197">
        <v>10</v>
      </c>
      <c r="E49" s="196" t="s">
        <v>48</v>
      </c>
      <c r="F49" s="196">
        <v>4</v>
      </c>
      <c r="G49" s="196" t="s">
        <v>250</v>
      </c>
      <c r="H49" s="196">
        <v>3</v>
      </c>
      <c r="I49" s="196">
        <v>7.1</v>
      </c>
    </row>
    <row r="50" spans="1:9" x14ac:dyDescent="0.3">
      <c r="A50" s="196" t="s">
        <v>252</v>
      </c>
      <c r="B50" s="196">
        <v>107</v>
      </c>
      <c r="C50" s="197">
        <v>214</v>
      </c>
      <c r="D50" s="197">
        <v>9</v>
      </c>
      <c r="E50" s="196" t="s">
        <v>57</v>
      </c>
      <c r="F50" s="196">
        <v>1</v>
      </c>
      <c r="G50" s="196" t="s">
        <v>254</v>
      </c>
      <c r="H50" s="196">
        <v>2</v>
      </c>
      <c r="I50" s="196">
        <v>5</v>
      </c>
    </row>
    <row r="51" spans="1:9" x14ac:dyDescent="0.3">
      <c r="A51" s="196" t="s">
        <v>256</v>
      </c>
      <c r="B51" s="196">
        <v>160</v>
      </c>
      <c r="C51" s="197">
        <v>320</v>
      </c>
      <c r="D51" s="197">
        <v>9</v>
      </c>
      <c r="E51" s="196" t="s">
        <v>57</v>
      </c>
      <c r="F51" s="196">
        <v>1</v>
      </c>
      <c r="G51" s="196" t="s">
        <v>124</v>
      </c>
      <c r="H51" s="196">
        <v>2</v>
      </c>
      <c r="I51" s="196">
        <v>5</v>
      </c>
    </row>
    <row r="52" spans="1:9" x14ac:dyDescent="0.3">
      <c r="A52" s="196" t="s">
        <v>259</v>
      </c>
      <c r="B52" s="196">
        <v>168</v>
      </c>
      <c r="C52" s="197">
        <v>336</v>
      </c>
      <c r="D52" s="197">
        <v>9</v>
      </c>
      <c r="E52" s="196" t="s">
        <v>105</v>
      </c>
      <c r="F52" s="196">
        <v>3</v>
      </c>
      <c r="G52" s="196" t="s">
        <v>60</v>
      </c>
      <c r="H52" s="196">
        <v>1</v>
      </c>
      <c r="I52" s="196">
        <v>5.4</v>
      </c>
    </row>
    <row r="53" spans="1:9" x14ac:dyDescent="0.3">
      <c r="A53" s="196" t="s">
        <v>263</v>
      </c>
      <c r="B53" s="196">
        <v>16</v>
      </c>
      <c r="C53" s="197">
        <v>32</v>
      </c>
      <c r="D53" s="197">
        <v>10</v>
      </c>
      <c r="E53" s="196" t="s">
        <v>105</v>
      </c>
      <c r="F53" s="196">
        <v>3</v>
      </c>
      <c r="G53" s="196" t="s">
        <v>238</v>
      </c>
      <c r="H53" s="196">
        <v>3</v>
      </c>
      <c r="I53" s="196">
        <v>6.7</v>
      </c>
    </row>
    <row r="54" spans="1:9" x14ac:dyDescent="0.3">
      <c r="A54" s="196" t="s">
        <v>269</v>
      </c>
      <c r="B54" s="196">
        <v>300</v>
      </c>
      <c r="C54" s="197">
        <v>600</v>
      </c>
      <c r="D54" s="197">
        <v>8</v>
      </c>
      <c r="E54" s="196" t="s">
        <v>105</v>
      </c>
      <c r="F54" s="196">
        <v>3</v>
      </c>
      <c r="G54" s="196" t="s">
        <v>74</v>
      </c>
      <c r="H54" s="196">
        <v>1</v>
      </c>
      <c r="I54" s="196">
        <v>5</v>
      </c>
    </row>
    <row r="55" spans="1:9" x14ac:dyDescent="0.3">
      <c r="A55" s="196" t="s">
        <v>274</v>
      </c>
      <c r="B55" s="196">
        <v>10</v>
      </c>
      <c r="C55" s="197">
        <v>20</v>
      </c>
      <c r="D55" s="197">
        <v>10</v>
      </c>
      <c r="E55" s="196" t="s">
        <v>57</v>
      </c>
      <c r="F55" s="196">
        <v>1</v>
      </c>
      <c r="G55" s="196" t="s">
        <v>277</v>
      </c>
      <c r="H55" s="196">
        <v>1</v>
      </c>
      <c r="I55" s="196">
        <v>5</v>
      </c>
    </row>
    <row r="56" spans="1:9" x14ac:dyDescent="0.3">
      <c r="A56" s="196" t="s">
        <v>279</v>
      </c>
      <c r="B56" s="196">
        <v>60</v>
      </c>
      <c r="C56" s="197">
        <v>120</v>
      </c>
      <c r="D56" s="197">
        <v>10</v>
      </c>
      <c r="E56" s="196" t="s">
        <v>65</v>
      </c>
      <c r="F56" s="196">
        <v>2</v>
      </c>
      <c r="G56" s="196" t="s">
        <v>74</v>
      </c>
      <c r="H56" s="196">
        <v>1</v>
      </c>
      <c r="I56" s="196">
        <v>5.4</v>
      </c>
    </row>
    <row r="57" spans="1:9" x14ac:dyDescent="0.3">
      <c r="A57" s="196" t="s">
        <v>283</v>
      </c>
      <c r="B57" s="196">
        <v>100</v>
      </c>
      <c r="C57" s="197">
        <v>200</v>
      </c>
      <c r="D57" s="197">
        <v>9</v>
      </c>
      <c r="E57" s="196" t="s">
        <v>48</v>
      </c>
      <c r="F57" s="196">
        <v>4</v>
      </c>
      <c r="G57" s="196" t="s">
        <v>79</v>
      </c>
      <c r="H57" s="196">
        <v>3</v>
      </c>
      <c r="I57" s="196">
        <v>6.7</v>
      </c>
    </row>
    <row r="58" spans="1:9" x14ac:dyDescent="0.3">
      <c r="A58" s="196" t="s">
        <v>287</v>
      </c>
      <c r="B58" s="196">
        <v>0</v>
      </c>
      <c r="C58" s="197">
        <v>0</v>
      </c>
      <c r="D58" s="197">
        <v>10</v>
      </c>
      <c r="E58" s="196" t="s">
        <v>57</v>
      </c>
      <c r="F58" s="196">
        <v>1</v>
      </c>
      <c r="G58" s="196" t="s">
        <v>290</v>
      </c>
      <c r="H58" s="196">
        <v>4</v>
      </c>
      <c r="I58" s="196">
        <v>6.3</v>
      </c>
    </row>
    <row r="59" spans="1:9" x14ac:dyDescent="0.3">
      <c r="A59" s="196" t="s">
        <v>292</v>
      </c>
      <c r="B59" s="196">
        <v>250</v>
      </c>
      <c r="C59" s="197">
        <v>500</v>
      </c>
      <c r="D59" s="197">
        <v>1</v>
      </c>
      <c r="E59" s="196" t="s">
        <v>105</v>
      </c>
      <c r="F59" s="196">
        <v>3</v>
      </c>
      <c r="G59" s="196" t="s">
        <v>294</v>
      </c>
      <c r="H59" s="196">
        <v>1</v>
      </c>
      <c r="I59" s="196">
        <v>2.1</v>
      </c>
    </row>
    <row r="60" spans="1:9" x14ac:dyDescent="0.3">
      <c r="A60" s="196" t="s">
        <v>297</v>
      </c>
      <c r="B60" s="196">
        <v>120</v>
      </c>
      <c r="C60" s="197">
        <v>240</v>
      </c>
      <c r="D60" s="197">
        <v>1</v>
      </c>
      <c r="E60" s="196" t="s">
        <v>105</v>
      </c>
      <c r="F60" s="196">
        <v>3</v>
      </c>
      <c r="G60" s="196" t="s">
        <v>299</v>
      </c>
      <c r="H60" s="196">
        <v>3</v>
      </c>
      <c r="I60" s="196">
        <v>2.9</v>
      </c>
    </row>
    <row r="61" spans="1:9" x14ac:dyDescent="0.3">
      <c r="A61" s="196" t="s">
        <v>302</v>
      </c>
      <c r="B61" s="196">
        <v>250</v>
      </c>
      <c r="C61" s="197">
        <v>500</v>
      </c>
      <c r="D61" s="197">
        <v>8</v>
      </c>
      <c r="E61" s="196" t="s">
        <v>57</v>
      </c>
      <c r="F61" s="196">
        <v>1</v>
      </c>
      <c r="G61" s="196" t="s">
        <v>79</v>
      </c>
      <c r="H61" s="196">
        <v>3</v>
      </c>
      <c r="I61" s="196">
        <v>5</v>
      </c>
    </row>
    <row r="62" spans="1:9" x14ac:dyDescent="0.3">
      <c r="A62" s="196" t="s">
        <v>305</v>
      </c>
      <c r="B62" s="196">
        <v>77</v>
      </c>
      <c r="C62" s="197">
        <v>154</v>
      </c>
      <c r="D62" s="197">
        <v>9</v>
      </c>
      <c r="E62" s="196" t="s">
        <v>57</v>
      </c>
      <c r="F62" s="196">
        <v>1</v>
      </c>
      <c r="G62" s="196" t="s">
        <v>124</v>
      </c>
      <c r="H62" s="196">
        <v>2</v>
      </c>
      <c r="I62" s="196">
        <v>5</v>
      </c>
    </row>
    <row r="63" spans="1:9" x14ac:dyDescent="0.3">
      <c r="A63" s="196" t="s">
        <v>309</v>
      </c>
      <c r="B63" s="196">
        <v>450</v>
      </c>
      <c r="C63" s="197">
        <v>900</v>
      </c>
      <c r="D63" s="197">
        <v>7</v>
      </c>
      <c r="E63" s="196" t="s">
        <v>48</v>
      </c>
      <c r="F63" s="196">
        <v>4</v>
      </c>
      <c r="G63" s="196" t="s">
        <v>124</v>
      </c>
      <c r="H63" s="196">
        <v>2</v>
      </c>
      <c r="I63" s="196">
        <v>5.4</v>
      </c>
    </row>
    <row r="64" spans="1:9" x14ac:dyDescent="0.3">
      <c r="A64" s="196" t="s">
        <v>313</v>
      </c>
      <c r="B64" s="196">
        <v>225</v>
      </c>
      <c r="C64" s="197">
        <v>450</v>
      </c>
      <c r="D64" s="197">
        <v>8</v>
      </c>
      <c r="E64" s="196" t="s">
        <v>57</v>
      </c>
      <c r="F64" s="196">
        <v>1</v>
      </c>
      <c r="G64" s="196" t="s">
        <v>124</v>
      </c>
      <c r="H64" s="196">
        <v>2</v>
      </c>
      <c r="I64" s="196">
        <v>4.5999999999999996</v>
      </c>
    </row>
    <row r="65" spans="1:9" x14ac:dyDescent="0.3">
      <c r="A65" s="196" t="s">
        <v>316</v>
      </c>
      <c r="B65" s="196">
        <v>82.5</v>
      </c>
      <c r="C65" s="197">
        <v>165</v>
      </c>
      <c r="D65" s="197">
        <v>9</v>
      </c>
      <c r="E65" s="196" t="s">
        <v>65</v>
      </c>
      <c r="F65" s="196">
        <v>2</v>
      </c>
      <c r="G65" s="196" t="s">
        <v>124</v>
      </c>
      <c r="H65" s="196">
        <v>2</v>
      </c>
      <c r="I65" s="196">
        <v>5.4</v>
      </c>
    </row>
    <row r="66" spans="1:9" x14ac:dyDescent="0.3">
      <c r="A66" s="98"/>
      <c r="B66" s="98"/>
      <c r="C66" s="187">
        <v>2400</v>
      </c>
      <c r="D66" s="98"/>
      <c r="E66" s="98"/>
      <c r="F66" s="98"/>
      <c r="G66" s="98"/>
      <c r="H66" s="98"/>
      <c r="I66" s="98"/>
    </row>
  </sheetData>
  <mergeCells count="1">
    <mergeCell ref="M1:R16"/>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CA7951-3408-4C43-B9CE-235FDEE8A60D}">
  <dimension ref="A1:F3"/>
  <sheetViews>
    <sheetView workbookViewId="0">
      <selection activeCell="B12" sqref="B12"/>
    </sheetView>
  </sheetViews>
  <sheetFormatPr baseColWidth="10" defaultColWidth="11.44140625" defaultRowHeight="14.4" x14ac:dyDescent="0.3"/>
  <sheetData>
    <row r="1" spans="1:6" x14ac:dyDescent="0.3">
      <c r="A1" s="206" t="s">
        <v>539</v>
      </c>
      <c r="B1" s="205"/>
      <c r="C1" s="205"/>
      <c r="D1" s="205"/>
      <c r="E1" s="205"/>
      <c r="F1" s="205"/>
    </row>
    <row r="2" spans="1:6" x14ac:dyDescent="0.3">
      <c r="A2" s="205"/>
      <c r="B2" s="205"/>
      <c r="C2" s="205"/>
      <c r="D2" s="205"/>
      <c r="E2" s="205"/>
      <c r="F2" s="205"/>
    </row>
    <row r="3" spans="1:6" x14ac:dyDescent="0.3">
      <c r="A3" s="205"/>
      <c r="B3" s="205"/>
      <c r="C3" s="205"/>
      <c r="D3" s="205"/>
      <c r="E3" s="205"/>
      <c r="F3" s="205"/>
    </row>
  </sheetData>
  <mergeCells count="1">
    <mergeCell ref="A1:F3"/>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D1E757-B804-4215-A5E9-FE0A729BD88C}">
  <dimension ref="A1:R66"/>
  <sheetViews>
    <sheetView topLeftCell="A42" workbookViewId="0">
      <selection activeCell="A3" sqref="A3:A65"/>
    </sheetView>
  </sheetViews>
  <sheetFormatPr baseColWidth="10" defaultColWidth="11.44140625" defaultRowHeight="14.4" x14ac:dyDescent="0.3"/>
  <cols>
    <col min="1" max="1" width="15.6640625" style="94" customWidth="1"/>
    <col min="2" max="2" width="25.109375" style="94" customWidth="1"/>
    <col min="3" max="3" width="11.44140625" style="94"/>
    <col min="4" max="4" width="13.88671875" customWidth="1"/>
  </cols>
  <sheetData>
    <row r="1" spans="1:18" ht="28.8" x14ac:dyDescent="0.3">
      <c r="A1" s="110" t="s">
        <v>7</v>
      </c>
      <c r="B1" s="96" t="s">
        <v>540</v>
      </c>
      <c r="C1" s="96" t="s">
        <v>525</v>
      </c>
      <c r="D1" s="146"/>
      <c r="E1" s="95"/>
      <c r="F1" s="95"/>
      <c r="M1" s="211" t="s">
        <v>541</v>
      </c>
      <c r="N1" s="211"/>
      <c r="O1" s="211"/>
      <c r="P1" s="211"/>
      <c r="Q1" s="211"/>
      <c r="R1" s="211"/>
    </row>
    <row r="2" spans="1:18" x14ac:dyDescent="0.3">
      <c r="A2" s="103" t="s">
        <v>39</v>
      </c>
      <c r="B2" s="103" t="s">
        <v>542</v>
      </c>
      <c r="C2" s="103" t="s">
        <v>46</v>
      </c>
      <c r="D2" s="94"/>
      <c r="E2" s="95"/>
      <c r="F2" s="95"/>
      <c r="M2" s="211"/>
      <c r="N2" s="211"/>
      <c r="O2" s="211"/>
      <c r="P2" s="211"/>
      <c r="Q2" s="211"/>
      <c r="R2" s="211"/>
    </row>
    <row r="3" spans="1:18" x14ac:dyDescent="0.3">
      <c r="A3" s="147" t="s">
        <v>56</v>
      </c>
      <c r="B3" s="147">
        <v>0</v>
      </c>
      <c r="C3" s="148">
        <v>4.5</v>
      </c>
      <c r="D3" s="95"/>
      <c r="E3" s="95"/>
      <c r="F3" s="95"/>
      <c r="M3" s="211"/>
      <c r="N3" s="211"/>
      <c r="O3" s="211"/>
      <c r="P3" s="211"/>
      <c r="Q3" s="211"/>
      <c r="R3" s="211"/>
    </row>
    <row r="4" spans="1:18" ht="14.4" customHeight="1" x14ac:dyDescent="0.3">
      <c r="A4" s="147" t="s">
        <v>100</v>
      </c>
      <c r="B4" s="147">
        <v>0</v>
      </c>
      <c r="C4" s="148">
        <v>4.5</v>
      </c>
      <c r="D4" s="95"/>
      <c r="M4" s="211"/>
      <c r="N4" s="211"/>
      <c r="O4" s="211"/>
      <c r="P4" s="211"/>
      <c r="Q4" s="211"/>
      <c r="R4" s="211"/>
    </row>
    <row r="5" spans="1:18" ht="14.4" customHeight="1" x14ac:dyDescent="0.3">
      <c r="A5" s="147" t="s">
        <v>256</v>
      </c>
      <c r="B5" s="147">
        <v>0</v>
      </c>
      <c r="C5" s="148">
        <v>4.5</v>
      </c>
      <c r="D5" s="95"/>
      <c r="F5" s="95"/>
      <c r="M5" s="211"/>
      <c r="N5" s="211"/>
      <c r="O5" s="211"/>
      <c r="P5" s="211"/>
      <c r="Q5" s="211"/>
      <c r="R5" s="211"/>
    </row>
    <row r="6" spans="1:18" ht="14.4" customHeight="1" x14ac:dyDescent="0.3">
      <c r="A6" s="147" t="s">
        <v>305</v>
      </c>
      <c r="B6" s="147">
        <v>0</v>
      </c>
      <c r="C6" s="148">
        <v>4.5</v>
      </c>
      <c r="D6" s="95"/>
      <c r="F6" s="95"/>
      <c r="M6" s="211"/>
      <c r="N6" s="211"/>
      <c r="O6" s="211"/>
      <c r="P6" s="211"/>
      <c r="Q6" s="211"/>
      <c r="R6" s="211"/>
    </row>
    <row r="7" spans="1:18" ht="14.4" customHeight="1" x14ac:dyDescent="0.3">
      <c r="A7" s="147" t="s">
        <v>231</v>
      </c>
      <c r="B7" s="147">
        <v>0</v>
      </c>
      <c r="C7" s="148">
        <v>4.5</v>
      </c>
      <c r="D7" s="95"/>
      <c r="M7" s="211"/>
      <c r="N7" s="211"/>
      <c r="O7" s="211"/>
      <c r="P7" s="211"/>
      <c r="Q7" s="211"/>
      <c r="R7" s="211"/>
    </row>
    <row r="8" spans="1:18" ht="14.4" customHeight="1" x14ac:dyDescent="0.3">
      <c r="A8" s="147" t="s">
        <v>143</v>
      </c>
      <c r="B8" s="147">
        <v>0</v>
      </c>
      <c r="C8" s="148">
        <v>4.5</v>
      </c>
      <c r="D8" s="95"/>
      <c r="M8" s="211"/>
      <c r="N8" s="211"/>
      <c r="O8" s="211"/>
      <c r="P8" s="211"/>
      <c r="Q8" s="211"/>
      <c r="R8" s="211"/>
    </row>
    <row r="9" spans="1:18" ht="14.4" customHeight="1" x14ac:dyDescent="0.3">
      <c r="A9" s="147" t="s">
        <v>83</v>
      </c>
      <c r="B9" s="147">
        <v>0</v>
      </c>
      <c r="C9" s="148">
        <v>4.5</v>
      </c>
      <c r="D9" s="95"/>
      <c r="M9" s="211"/>
      <c r="N9" s="211"/>
      <c r="O9" s="211"/>
      <c r="P9" s="211"/>
      <c r="Q9" s="211"/>
      <c r="R9" s="211"/>
    </row>
    <row r="10" spans="1:18" ht="14.4" customHeight="1" x14ac:dyDescent="0.3">
      <c r="A10" s="147" t="s">
        <v>236</v>
      </c>
      <c r="B10" s="147">
        <v>0</v>
      </c>
      <c r="C10" s="148">
        <v>4.5</v>
      </c>
      <c r="D10" s="95"/>
      <c r="M10" s="211"/>
      <c r="N10" s="211"/>
      <c r="O10" s="211"/>
      <c r="P10" s="211"/>
      <c r="Q10" s="211"/>
      <c r="R10" s="211"/>
    </row>
    <row r="11" spans="1:18" ht="14.4" customHeight="1" x14ac:dyDescent="0.3">
      <c r="A11" s="147" t="s">
        <v>302</v>
      </c>
      <c r="B11" s="147">
        <v>0</v>
      </c>
      <c r="C11" s="148">
        <v>4.5</v>
      </c>
      <c r="D11" s="95"/>
      <c r="M11" s="211"/>
      <c r="N11" s="211"/>
      <c r="O11" s="211"/>
      <c r="P11" s="211"/>
      <c r="Q11" s="211"/>
      <c r="R11" s="211"/>
    </row>
    <row r="12" spans="1:18" ht="14.4" customHeight="1" x14ac:dyDescent="0.3">
      <c r="A12" s="147" t="s">
        <v>252</v>
      </c>
      <c r="B12" s="147">
        <v>0</v>
      </c>
      <c r="C12" s="148">
        <v>4.5</v>
      </c>
      <c r="D12" s="95"/>
      <c r="M12" s="211"/>
      <c r="N12" s="211"/>
      <c r="O12" s="211"/>
      <c r="P12" s="211"/>
      <c r="Q12" s="211"/>
      <c r="R12" s="211"/>
    </row>
    <row r="13" spans="1:18" ht="14.4" customHeight="1" x14ac:dyDescent="0.3">
      <c r="A13" s="147" t="s">
        <v>221</v>
      </c>
      <c r="B13" s="147">
        <v>0</v>
      </c>
      <c r="C13" s="148">
        <v>4.5</v>
      </c>
      <c r="D13" s="95"/>
      <c r="M13" s="211"/>
      <c r="N13" s="211"/>
      <c r="O13" s="211"/>
      <c r="P13" s="211"/>
      <c r="Q13" s="211"/>
      <c r="R13" s="211"/>
    </row>
    <row r="14" spans="1:18" x14ac:dyDescent="0.3">
      <c r="A14" s="147" t="s">
        <v>313</v>
      </c>
      <c r="B14" s="147">
        <v>0</v>
      </c>
      <c r="C14" s="148">
        <v>4.5</v>
      </c>
      <c r="D14" s="95"/>
      <c r="M14" s="211"/>
      <c r="N14" s="211"/>
      <c r="O14" s="211"/>
      <c r="P14" s="211"/>
      <c r="Q14" s="211"/>
      <c r="R14" s="211"/>
    </row>
    <row r="15" spans="1:18" x14ac:dyDescent="0.3">
      <c r="A15" s="147" t="s">
        <v>158</v>
      </c>
      <c r="B15" s="147">
        <v>0</v>
      </c>
      <c r="C15" s="148">
        <v>4.5</v>
      </c>
      <c r="D15" s="95"/>
      <c r="M15" s="211"/>
      <c r="N15" s="211"/>
      <c r="O15" s="211"/>
      <c r="P15" s="211"/>
      <c r="Q15" s="211"/>
      <c r="R15" s="211"/>
    </row>
    <row r="16" spans="1:18" ht="14.4" customHeight="1" x14ac:dyDescent="0.3">
      <c r="A16" s="147" t="s">
        <v>287</v>
      </c>
      <c r="B16" s="147">
        <v>0</v>
      </c>
      <c r="C16" s="148">
        <v>4.5</v>
      </c>
      <c r="D16" s="95"/>
      <c r="M16" s="211"/>
      <c r="N16" s="211"/>
      <c r="O16" s="211"/>
      <c r="P16" s="211"/>
      <c r="Q16" s="211"/>
      <c r="R16" s="211"/>
    </row>
    <row r="17" spans="1:18" ht="14.4" customHeight="1" x14ac:dyDescent="0.3">
      <c r="A17" s="147" t="s">
        <v>240</v>
      </c>
      <c r="B17" s="147">
        <v>0</v>
      </c>
      <c r="C17" s="148">
        <v>4.5</v>
      </c>
      <c r="D17" s="95"/>
      <c r="M17" s="211"/>
      <c r="N17" s="211"/>
      <c r="O17" s="211"/>
      <c r="P17" s="211"/>
      <c r="Q17" s="211"/>
      <c r="R17" s="211"/>
    </row>
    <row r="18" spans="1:18" x14ac:dyDescent="0.3">
      <c r="A18" s="147" t="s">
        <v>177</v>
      </c>
      <c r="B18" s="147">
        <v>0</v>
      </c>
      <c r="C18" s="148">
        <v>4.5</v>
      </c>
      <c r="D18" s="95"/>
    </row>
    <row r="19" spans="1:18" x14ac:dyDescent="0.3">
      <c r="A19" s="147" t="s">
        <v>218</v>
      </c>
      <c r="B19" s="147">
        <v>1</v>
      </c>
      <c r="C19" s="148">
        <v>5.5</v>
      </c>
      <c r="D19" s="95"/>
    </row>
    <row r="20" spans="1:18" x14ac:dyDescent="0.3">
      <c r="A20" s="147" t="s">
        <v>89</v>
      </c>
      <c r="B20" s="147">
        <v>0</v>
      </c>
      <c r="C20" s="148">
        <v>4.5</v>
      </c>
      <c r="D20" s="95"/>
    </row>
    <row r="21" spans="1:18" x14ac:dyDescent="0.3">
      <c r="A21" s="147" t="s">
        <v>213</v>
      </c>
      <c r="B21" s="147">
        <v>0</v>
      </c>
      <c r="C21" s="148">
        <v>4.5</v>
      </c>
      <c r="D21" s="95"/>
    </row>
    <row r="22" spans="1:18" x14ac:dyDescent="0.3">
      <c r="A22" s="147" t="s">
        <v>166</v>
      </c>
      <c r="B22" s="147">
        <v>0</v>
      </c>
      <c r="C22" s="148">
        <v>4.5</v>
      </c>
      <c r="D22" s="95"/>
    </row>
    <row r="23" spans="1:18" x14ac:dyDescent="0.3">
      <c r="A23" s="147" t="s">
        <v>174</v>
      </c>
      <c r="B23" s="147">
        <v>0</v>
      </c>
      <c r="C23" s="148">
        <v>4.5</v>
      </c>
      <c r="D23" s="95"/>
    </row>
    <row r="24" spans="1:18" x14ac:dyDescent="0.3">
      <c r="A24" s="147" t="s">
        <v>117</v>
      </c>
      <c r="B24" s="147">
        <v>0</v>
      </c>
      <c r="C24" s="148">
        <v>4.5</v>
      </c>
      <c r="D24" s="95"/>
    </row>
    <row r="25" spans="1:18" x14ac:dyDescent="0.3">
      <c r="A25" s="147" t="s">
        <v>215</v>
      </c>
      <c r="B25" s="147">
        <v>0</v>
      </c>
      <c r="C25" s="148">
        <v>4.5</v>
      </c>
      <c r="D25" s="95"/>
    </row>
    <row r="26" spans="1:18" x14ac:dyDescent="0.3">
      <c r="A26" s="147" t="s">
        <v>95</v>
      </c>
      <c r="B26" s="147">
        <v>0</v>
      </c>
      <c r="C26" s="148">
        <v>4.5</v>
      </c>
      <c r="D26" s="95"/>
    </row>
    <row r="27" spans="1:18" x14ac:dyDescent="0.3">
      <c r="A27" s="147" t="s">
        <v>274</v>
      </c>
      <c r="B27" s="147">
        <v>0</v>
      </c>
      <c r="C27" s="148">
        <v>4.5</v>
      </c>
      <c r="D27" s="95"/>
    </row>
    <row r="28" spans="1:18" x14ac:dyDescent="0.3">
      <c r="A28" s="147" t="s">
        <v>279</v>
      </c>
      <c r="B28" s="94">
        <v>1</v>
      </c>
      <c r="C28" s="148">
        <v>5.5</v>
      </c>
      <c r="D28" s="95"/>
    </row>
    <row r="29" spans="1:18" x14ac:dyDescent="0.3">
      <c r="A29" s="147" t="s">
        <v>153</v>
      </c>
      <c r="B29" s="147">
        <v>1</v>
      </c>
      <c r="C29" s="148">
        <v>5.5</v>
      </c>
      <c r="D29" s="95"/>
    </row>
    <row r="30" spans="1:18" x14ac:dyDescent="0.3">
      <c r="A30" s="147" t="s">
        <v>191</v>
      </c>
      <c r="B30" s="94">
        <v>0</v>
      </c>
      <c r="C30" s="148">
        <v>4.5</v>
      </c>
      <c r="D30" s="95"/>
    </row>
    <row r="31" spans="1:18" x14ac:dyDescent="0.3">
      <c r="A31" s="147" t="s">
        <v>297</v>
      </c>
      <c r="B31" s="94">
        <v>0</v>
      </c>
      <c r="C31" s="148">
        <v>4.5</v>
      </c>
      <c r="D31" s="95"/>
    </row>
    <row r="32" spans="1:18" x14ac:dyDescent="0.3">
      <c r="A32" s="147" t="s">
        <v>170</v>
      </c>
      <c r="B32" s="94">
        <v>0</v>
      </c>
      <c r="C32" s="148">
        <v>4.5</v>
      </c>
      <c r="D32" s="95"/>
    </row>
    <row r="33" spans="1:4" x14ac:dyDescent="0.3">
      <c r="A33" s="147" t="s">
        <v>135</v>
      </c>
      <c r="B33" s="94">
        <v>0</v>
      </c>
      <c r="C33" s="148">
        <v>4.5</v>
      </c>
      <c r="D33" s="95"/>
    </row>
    <row r="34" spans="1:4" x14ac:dyDescent="0.3">
      <c r="A34" s="147" t="s">
        <v>200</v>
      </c>
      <c r="B34" s="94">
        <v>1</v>
      </c>
      <c r="C34" s="148">
        <v>5.5</v>
      </c>
      <c r="D34" s="95"/>
    </row>
    <row r="35" spans="1:4" x14ac:dyDescent="0.3">
      <c r="A35" s="147" t="s">
        <v>243</v>
      </c>
      <c r="B35" s="94">
        <v>0</v>
      </c>
      <c r="C35" s="148">
        <v>5.5</v>
      </c>
      <c r="D35" s="95"/>
    </row>
    <row r="36" spans="1:4" x14ac:dyDescent="0.3">
      <c r="A36" s="147" t="s">
        <v>139</v>
      </c>
      <c r="B36" s="94">
        <v>0</v>
      </c>
      <c r="C36" s="148">
        <v>5.5</v>
      </c>
      <c r="D36" s="95"/>
    </row>
    <row r="37" spans="1:4" x14ac:dyDescent="0.3">
      <c r="A37" s="147" t="s">
        <v>292</v>
      </c>
      <c r="B37" s="94">
        <v>0</v>
      </c>
      <c r="C37" s="148">
        <v>4.5</v>
      </c>
      <c r="D37" s="95"/>
    </row>
    <row r="38" spans="1:4" x14ac:dyDescent="0.3">
      <c r="A38" s="147" t="s">
        <v>121</v>
      </c>
      <c r="B38" s="94">
        <v>0</v>
      </c>
      <c r="C38" s="148">
        <v>4.5</v>
      </c>
      <c r="D38" s="95"/>
    </row>
    <row r="39" spans="1:4" x14ac:dyDescent="0.3">
      <c r="A39" s="147" t="s">
        <v>130</v>
      </c>
      <c r="B39" s="94">
        <v>0</v>
      </c>
      <c r="C39" s="148">
        <v>4.5</v>
      </c>
      <c r="D39" s="95"/>
    </row>
    <row r="40" spans="1:4" x14ac:dyDescent="0.3">
      <c r="A40" s="147" t="s">
        <v>161</v>
      </c>
      <c r="B40" s="94">
        <v>0</v>
      </c>
      <c r="C40" s="148">
        <v>4.5</v>
      </c>
      <c r="D40" s="95"/>
    </row>
    <row r="41" spans="1:4" x14ac:dyDescent="0.3">
      <c r="A41" s="147" t="s">
        <v>224</v>
      </c>
      <c r="B41" s="94">
        <v>0</v>
      </c>
      <c r="C41" s="148">
        <v>4.5</v>
      </c>
      <c r="D41" s="95"/>
    </row>
    <row r="42" spans="1:4" x14ac:dyDescent="0.3">
      <c r="A42" s="147" t="s">
        <v>259</v>
      </c>
      <c r="B42" s="94">
        <v>0</v>
      </c>
      <c r="C42" s="148">
        <v>4.5</v>
      </c>
      <c r="D42" s="95"/>
    </row>
    <row r="43" spans="1:4" x14ac:dyDescent="0.3">
      <c r="A43" s="147" t="s">
        <v>208</v>
      </c>
      <c r="B43" s="94">
        <v>0</v>
      </c>
      <c r="C43" s="148">
        <v>4.5</v>
      </c>
      <c r="D43" s="95"/>
    </row>
    <row r="44" spans="1:4" x14ac:dyDescent="0.3">
      <c r="A44" s="147" t="s">
        <v>196</v>
      </c>
      <c r="B44" s="94">
        <v>0</v>
      </c>
      <c r="C44" s="148">
        <v>4.5</v>
      </c>
      <c r="D44" s="95"/>
    </row>
    <row r="45" spans="1:4" x14ac:dyDescent="0.3">
      <c r="A45" s="147" t="s">
        <v>309</v>
      </c>
      <c r="B45" s="94">
        <v>0</v>
      </c>
      <c r="C45" s="148">
        <v>4.5</v>
      </c>
      <c r="D45" s="95"/>
    </row>
    <row r="46" spans="1:4" x14ac:dyDescent="0.3">
      <c r="A46" s="147" t="s">
        <v>72</v>
      </c>
      <c r="B46" s="94">
        <v>0</v>
      </c>
      <c r="C46" s="148">
        <v>4.5</v>
      </c>
      <c r="D46" s="95"/>
    </row>
    <row r="47" spans="1:4" x14ac:dyDescent="0.3">
      <c r="A47" s="147" t="s">
        <v>47</v>
      </c>
      <c r="B47" s="94">
        <v>0</v>
      </c>
      <c r="C47" s="148">
        <v>4.5</v>
      </c>
      <c r="D47" s="95"/>
    </row>
    <row r="48" spans="1:4" x14ac:dyDescent="0.3">
      <c r="A48" s="147" t="s">
        <v>203</v>
      </c>
      <c r="B48" s="94">
        <v>0</v>
      </c>
      <c r="C48" s="148">
        <v>4.5</v>
      </c>
      <c r="D48" s="95"/>
    </row>
    <row r="49" spans="1:4" x14ac:dyDescent="0.3">
      <c r="A49" s="147" t="s">
        <v>77</v>
      </c>
      <c r="B49" s="94">
        <v>0</v>
      </c>
      <c r="C49" s="148">
        <v>4.5</v>
      </c>
      <c r="D49" s="95"/>
    </row>
    <row r="50" spans="1:4" x14ac:dyDescent="0.3">
      <c r="A50" s="147" t="s">
        <v>184</v>
      </c>
      <c r="B50" s="94">
        <v>0</v>
      </c>
      <c r="C50" s="148">
        <v>4.5</v>
      </c>
      <c r="D50" s="95"/>
    </row>
    <row r="51" spans="1:4" x14ac:dyDescent="0.3">
      <c r="A51" s="147" t="s">
        <v>283</v>
      </c>
      <c r="B51" s="94">
        <v>0</v>
      </c>
      <c r="C51" s="148">
        <v>4.5</v>
      </c>
      <c r="D51" s="95"/>
    </row>
    <row r="52" spans="1:4" x14ac:dyDescent="0.3">
      <c r="A52" s="147" t="s">
        <v>247</v>
      </c>
      <c r="B52" s="94">
        <v>0</v>
      </c>
      <c r="C52" s="148">
        <v>4.5</v>
      </c>
      <c r="D52" s="95"/>
    </row>
    <row r="53" spans="1:4" x14ac:dyDescent="0.3">
      <c r="A53" s="147" t="s">
        <v>336</v>
      </c>
      <c r="B53" s="94">
        <v>0</v>
      </c>
      <c r="C53" s="148">
        <v>4.5</v>
      </c>
      <c r="D53" s="95"/>
    </row>
    <row r="54" spans="1:4" x14ac:dyDescent="0.3">
      <c r="A54" s="147" t="s">
        <v>64</v>
      </c>
      <c r="B54" s="94">
        <v>0</v>
      </c>
      <c r="C54" s="148">
        <v>4.5</v>
      </c>
      <c r="D54" s="95"/>
    </row>
    <row r="55" spans="1:4" x14ac:dyDescent="0.3">
      <c r="A55" s="147" t="s">
        <v>146</v>
      </c>
      <c r="B55" s="94">
        <v>0</v>
      </c>
      <c r="C55" s="148">
        <v>4.5</v>
      </c>
      <c r="D55" s="95"/>
    </row>
    <row r="56" spans="1:4" x14ac:dyDescent="0.3">
      <c r="A56" s="147" t="s">
        <v>127</v>
      </c>
      <c r="B56" s="94">
        <v>0</v>
      </c>
      <c r="C56" s="148">
        <v>4.5</v>
      </c>
      <c r="D56" s="95"/>
    </row>
    <row r="57" spans="1:4" x14ac:dyDescent="0.3">
      <c r="A57" s="147" t="s">
        <v>269</v>
      </c>
      <c r="B57" s="94">
        <v>0</v>
      </c>
      <c r="C57" s="148">
        <v>4.5</v>
      </c>
      <c r="D57" s="95"/>
    </row>
    <row r="58" spans="1:4" x14ac:dyDescent="0.3">
      <c r="A58" s="147" t="s">
        <v>188</v>
      </c>
      <c r="B58" s="94">
        <v>0</v>
      </c>
      <c r="C58" s="148">
        <v>4.5</v>
      </c>
      <c r="D58" s="95"/>
    </row>
    <row r="59" spans="1:4" x14ac:dyDescent="0.3">
      <c r="A59" s="147" t="s">
        <v>112</v>
      </c>
      <c r="B59" s="94">
        <v>0</v>
      </c>
      <c r="C59" s="148">
        <v>4.5</v>
      </c>
      <c r="D59" s="95"/>
    </row>
    <row r="60" spans="1:4" x14ac:dyDescent="0.3">
      <c r="A60" s="147" t="s">
        <v>227</v>
      </c>
      <c r="B60" s="94">
        <v>0</v>
      </c>
      <c r="C60" s="148">
        <v>4.5</v>
      </c>
      <c r="D60" s="95"/>
    </row>
    <row r="61" spans="1:4" x14ac:dyDescent="0.3">
      <c r="A61" s="147" t="s">
        <v>263</v>
      </c>
      <c r="B61" s="94">
        <v>0</v>
      </c>
      <c r="C61" s="148">
        <v>4.5</v>
      </c>
      <c r="D61" s="95"/>
    </row>
    <row r="62" spans="1:4" x14ac:dyDescent="0.3">
      <c r="A62" s="147" t="s">
        <v>179</v>
      </c>
      <c r="B62" s="94">
        <v>0</v>
      </c>
      <c r="C62" s="148">
        <v>4.5</v>
      </c>
      <c r="D62" s="95"/>
    </row>
    <row r="63" spans="1:4" x14ac:dyDescent="0.3">
      <c r="A63" s="147" t="s">
        <v>104</v>
      </c>
      <c r="B63" s="94">
        <v>0</v>
      </c>
      <c r="C63" s="148">
        <v>4.5</v>
      </c>
      <c r="D63" s="95"/>
    </row>
    <row r="64" spans="1:4" x14ac:dyDescent="0.3">
      <c r="A64" s="147" t="s">
        <v>155</v>
      </c>
      <c r="B64" s="94">
        <v>0</v>
      </c>
      <c r="C64" s="148">
        <v>4.5</v>
      </c>
      <c r="D64" s="95"/>
    </row>
    <row r="65" spans="1:4" x14ac:dyDescent="0.3">
      <c r="A65" s="147" t="s">
        <v>149</v>
      </c>
      <c r="B65" s="94">
        <v>0</v>
      </c>
      <c r="C65" s="148">
        <v>4.5</v>
      </c>
      <c r="D65" s="95"/>
    </row>
    <row r="66" spans="1:4" x14ac:dyDescent="0.3">
      <c r="C66" s="148"/>
    </row>
  </sheetData>
  <mergeCells count="1">
    <mergeCell ref="M1:R17"/>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1E2802-D24D-4906-AD12-D56D1B7F48A1}">
  <dimension ref="A1:Y67"/>
  <sheetViews>
    <sheetView topLeftCell="A19" zoomScale="60" zoomScaleNormal="85" workbookViewId="0">
      <selection activeCell="H28" sqref="H28"/>
    </sheetView>
  </sheetViews>
  <sheetFormatPr baseColWidth="10" defaultColWidth="11.44140625" defaultRowHeight="14.4" x14ac:dyDescent="0.3"/>
  <cols>
    <col min="1" max="1" width="21.44140625" customWidth="1"/>
    <col min="2" max="2" width="24.88671875" bestFit="1" customWidth="1"/>
    <col min="3" max="3" width="27" bestFit="1" customWidth="1"/>
    <col min="4" max="4" width="50.88671875" style="13" bestFit="1" customWidth="1"/>
    <col min="5" max="5" width="17.88671875" style="145" customWidth="1"/>
    <col min="6" max="6" width="13" style="145" customWidth="1"/>
    <col min="7" max="7" width="35.44140625" customWidth="1"/>
    <col min="8" max="8" width="14.109375" style="145" customWidth="1"/>
    <col min="9" max="9" width="12" bestFit="1" customWidth="1"/>
    <col min="12" max="12" width="39.6640625" bestFit="1" customWidth="1"/>
    <col min="13" max="13" width="11.5546875" bestFit="1" customWidth="1"/>
    <col min="23" max="23" width="24.109375" bestFit="1" customWidth="1"/>
  </cols>
  <sheetData>
    <row r="1" spans="1:25" x14ac:dyDescent="0.3">
      <c r="A1" s="43" t="s">
        <v>7</v>
      </c>
      <c r="B1" s="43" t="s">
        <v>8</v>
      </c>
      <c r="C1" s="43" t="s">
        <v>12</v>
      </c>
      <c r="D1" s="149" t="s">
        <v>13</v>
      </c>
      <c r="E1" s="158" t="s">
        <v>543</v>
      </c>
      <c r="F1" s="158" t="s">
        <v>544</v>
      </c>
      <c r="G1" s="158" t="s">
        <v>545</v>
      </c>
      <c r="H1" s="158" t="s">
        <v>546</v>
      </c>
      <c r="I1">
        <f>10/9</f>
        <v>1.1111111111111112</v>
      </c>
      <c r="W1" t="s">
        <v>547</v>
      </c>
      <c r="X1" t="s">
        <v>548</v>
      </c>
      <c r="Y1" t="s">
        <v>549</v>
      </c>
    </row>
    <row r="2" spans="1:25" ht="14.4" customHeight="1" x14ac:dyDescent="0.3">
      <c r="A2" s="46" t="s">
        <v>56</v>
      </c>
      <c r="B2" t="s">
        <v>57</v>
      </c>
      <c r="C2" s="46" t="s">
        <v>61</v>
      </c>
      <c r="D2" s="47" t="s">
        <v>550</v>
      </c>
      <c r="E2" s="94">
        <v>8</v>
      </c>
      <c r="F2" s="145">
        <v>8</v>
      </c>
      <c r="G2" t="s">
        <v>80</v>
      </c>
      <c r="H2" s="159">
        <f>F2*$I$1</f>
        <v>8.8888888888888893</v>
      </c>
      <c r="L2" s="204" t="s">
        <v>551</v>
      </c>
      <c r="M2" s="204" t="s">
        <v>552</v>
      </c>
      <c r="W2" t="s">
        <v>57</v>
      </c>
      <c r="X2" t="s">
        <v>553</v>
      </c>
      <c r="Y2">
        <v>4.8</v>
      </c>
    </row>
    <row r="3" spans="1:25" x14ac:dyDescent="0.3">
      <c r="A3" s="46" t="s">
        <v>100</v>
      </c>
      <c r="B3" t="s">
        <v>57</v>
      </c>
      <c r="C3" s="46" t="s">
        <v>61</v>
      </c>
      <c r="D3" s="47" t="s">
        <v>103</v>
      </c>
      <c r="E3" s="94">
        <v>8</v>
      </c>
      <c r="F3" s="145">
        <v>8</v>
      </c>
      <c r="G3" t="s">
        <v>80</v>
      </c>
      <c r="H3" s="159">
        <f t="shared" ref="H3:H64" si="0">F3*$I$1</f>
        <v>8.8888888888888893</v>
      </c>
      <c r="L3" t="s">
        <v>281</v>
      </c>
      <c r="M3" s="145">
        <v>1</v>
      </c>
      <c r="W3" t="s">
        <v>65</v>
      </c>
      <c r="X3" t="s">
        <v>554</v>
      </c>
      <c r="Y3" s="160">
        <v>4.3684210526315788</v>
      </c>
    </row>
    <row r="4" spans="1:25" x14ac:dyDescent="0.3">
      <c r="A4" s="150" t="s">
        <v>256</v>
      </c>
      <c r="B4" t="s">
        <v>57</v>
      </c>
      <c r="C4" s="150" t="s">
        <v>141</v>
      </c>
      <c r="D4" s="151" t="s">
        <v>555</v>
      </c>
      <c r="E4" s="94" t="s">
        <v>556</v>
      </c>
      <c r="F4" s="153">
        <v>5</v>
      </c>
      <c r="G4" s="52" t="s">
        <v>557</v>
      </c>
      <c r="H4" s="159">
        <f t="shared" si="0"/>
        <v>5.5555555555555554</v>
      </c>
      <c r="L4" s="46" t="s">
        <v>92</v>
      </c>
      <c r="M4" s="145">
        <v>2</v>
      </c>
      <c r="W4" t="s">
        <v>105</v>
      </c>
      <c r="X4" t="s">
        <v>558</v>
      </c>
      <c r="Y4" s="160">
        <v>4.0294117647058822</v>
      </c>
    </row>
    <row r="5" spans="1:25" x14ac:dyDescent="0.3">
      <c r="A5" s="46" t="s">
        <v>305</v>
      </c>
      <c r="B5" t="s">
        <v>57</v>
      </c>
      <c r="C5" s="46" t="s">
        <v>307</v>
      </c>
      <c r="D5" s="47" t="s">
        <v>559</v>
      </c>
      <c r="E5" s="94">
        <v>8</v>
      </c>
      <c r="F5" s="145">
        <v>8</v>
      </c>
      <c r="G5" t="s">
        <v>560</v>
      </c>
      <c r="H5" s="159">
        <f t="shared" si="0"/>
        <v>8.8888888888888893</v>
      </c>
      <c r="L5" s="46" t="s">
        <v>69</v>
      </c>
      <c r="M5" s="145">
        <v>3</v>
      </c>
      <c r="W5" t="s">
        <v>48</v>
      </c>
      <c r="X5" t="s">
        <v>561</v>
      </c>
      <c r="Y5">
        <v>4.5</v>
      </c>
    </row>
    <row r="6" spans="1:25" x14ac:dyDescent="0.3">
      <c r="A6" s="46" t="s">
        <v>231</v>
      </c>
      <c r="B6" t="s">
        <v>57</v>
      </c>
      <c r="C6" s="46" t="s">
        <v>233</v>
      </c>
      <c r="D6" s="47" t="s">
        <v>562</v>
      </c>
      <c r="E6" s="145" t="s">
        <v>563</v>
      </c>
      <c r="F6" s="145">
        <v>7</v>
      </c>
      <c r="G6" t="s">
        <v>564</v>
      </c>
      <c r="H6" s="159">
        <f t="shared" si="0"/>
        <v>7.7777777777777786</v>
      </c>
      <c r="L6" s="46" t="s">
        <v>565</v>
      </c>
      <c r="M6" s="145">
        <v>4</v>
      </c>
    </row>
    <row r="7" spans="1:25" x14ac:dyDescent="0.3">
      <c r="A7" s="46" t="s">
        <v>143</v>
      </c>
      <c r="B7" t="s">
        <v>57</v>
      </c>
      <c r="C7" s="46" t="s">
        <v>87</v>
      </c>
      <c r="D7" s="47" t="s">
        <v>145</v>
      </c>
      <c r="E7" s="145" t="s">
        <v>563</v>
      </c>
      <c r="F7" s="145">
        <v>6</v>
      </c>
      <c r="G7" t="s">
        <v>566</v>
      </c>
      <c r="H7" s="159">
        <f t="shared" si="0"/>
        <v>6.666666666666667</v>
      </c>
      <c r="L7" s="46" t="s">
        <v>141</v>
      </c>
      <c r="M7" s="145">
        <v>5</v>
      </c>
    </row>
    <row r="8" spans="1:25" x14ac:dyDescent="0.3">
      <c r="A8" s="46" t="s">
        <v>83</v>
      </c>
      <c r="B8" t="s">
        <v>57</v>
      </c>
      <c r="C8" s="46" t="s">
        <v>87</v>
      </c>
      <c r="D8" s="47" t="s">
        <v>88</v>
      </c>
      <c r="E8" s="145" t="s">
        <v>563</v>
      </c>
      <c r="F8" s="145">
        <v>7</v>
      </c>
      <c r="G8" t="s">
        <v>567</v>
      </c>
      <c r="H8" s="159">
        <f t="shared" si="0"/>
        <v>7.7777777777777786</v>
      </c>
      <c r="L8" s="46" t="s">
        <v>87</v>
      </c>
      <c r="M8" s="145">
        <v>6</v>
      </c>
    </row>
    <row r="9" spans="1:25" x14ac:dyDescent="0.3">
      <c r="A9" s="46" t="s">
        <v>236</v>
      </c>
      <c r="B9" t="s">
        <v>57</v>
      </c>
      <c r="C9" s="46" t="s">
        <v>87</v>
      </c>
      <c r="D9" s="47" t="s">
        <v>239</v>
      </c>
      <c r="E9" s="145" t="s">
        <v>563</v>
      </c>
      <c r="F9" s="145">
        <v>7</v>
      </c>
      <c r="G9" t="s">
        <v>568</v>
      </c>
      <c r="H9" s="159">
        <f t="shared" si="0"/>
        <v>7.7777777777777786</v>
      </c>
      <c r="L9" s="46" t="s">
        <v>233</v>
      </c>
      <c r="M9" s="145">
        <v>7</v>
      </c>
    </row>
    <row r="10" spans="1:25" x14ac:dyDescent="0.3">
      <c r="A10" s="150" t="s">
        <v>302</v>
      </c>
      <c r="B10" t="s">
        <v>57</v>
      </c>
      <c r="C10" s="46" t="s">
        <v>87</v>
      </c>
      <c r="D10" s="152" t="s">
        <v>569</v>
      </c>
      <c r="E10" s="145" t="s">
        <v>563</v>
      </c>
      <c r="F10" s="145">
        <v>4</v>
      </c>
      <c r="G10" t="s">
        <v>570</v>
      </c>
      <c r="H10" s="159">
        <f t="shared" si="0"/>
        <v>4.4444444444444446</v>
      </c>
      <c r="L10" s="46" t="s">
        <v>571</v>
      </c>
      <c r="M10" s="145">
        <v>8</v>
      </c>
    </row>
    <row r="11" spans="1:25" x14ac:dyDescent="0.3">
      <c r="A11" s="46" t="s">
        <v>252</v>
      </c>
      <c r="B11" t="s">
        <v>57</v>
      </c>
      <c r="C11" s="46" t="s">
        <v>87</v>
      </c>
      <c r="D11" s="47" t="s">
        <v>255</v>
      </c>
      <c r="E11" s="145" t="s">
        <v>563</v>
      </c>
      <c r="F11" s="145">
        <v>6</v>
      </c>
      <c r="G11" t="s">
        <v>572</v>
      </c>
      <c r="H11" s="159">
        <f t="shared" si="0"/>
        <v>6.666666666666667</v>
      </c>
      <c r="L11" s="46" t="s">
        <v>573</v>
      </c>
      <c r="M11" s="145">
        <v>9</v>
      </c>
    </row>
    <row r="12" spans="1:25" x14ac:dyDescent="0.3">
      <c r="A12" s="46" t="s">
        <v>221</v>
      </c>
      <c r="B12" t="s">
        <v>57</v>
      </c>
      <c r="C12" s="46" t="s">
        <v>87</v>
      </c>
      <c r="D12" s="47" t="s">
        <v>223</v>
      </c>
      <c r="E12" s="145" t="s">
        <v>563</v>
      </c>
      <c r="F12" s="154">
        <v>7</v>
      </c>
      <c r="G12" t="s">
        <v>574</v>
      </c>
      <c r="H12" s="159">
        <f t="shared" si="0"/>
        <v>7.7777777777777786</v>
      </c>
    </row>
    <row r="13" spans="1:25" x14ac:dyDescent="0.3">
      <c r="A13" s="46" t="s">
        <v>313</v>
      </c>
      <c r="B13" t="s">
        <v>57</v>
      </c>
      <c r="C13" s="46" t="s">
        <v>69</v>
      </c>
      <c r="D13" s="47" t="s">
        <v>315</v>
      </c>
      <c r="E13" s="94">
        <v>3</v>
      </c>
      <c r="F13" s="145">
        <v>3</v>
      </c>
      <c r="G13" t="s">
        <v>575</v>
      </c>
      <c r="H13" s="159">
        <f t="shared" si="0"/>
        <v>3.3333333333333335</v>
      </c>
    </row>
    <row r="14" spans="1:25" x14ac:dyDescent="0.3">
      <c r="A14" s="150" t="s">
        <v>158</v>
      </c>
      <c r="B14" t="s">
        <v>57</v>
      </c>
      <c r="C14" s="46" t="s">
        <v>69</v>
      </c>
      <c r="D14" s="152" t="s">
        <v>576</v>
      </c>
      <c r="E14" s="94">
        <v>3</v>
      </c>
      <c r="F14" s="145">
        <v>3</v>
      </c>
      <c r="G14" t="s">
        <v>575</v>
      </c>
      <c r="H14" s="159">
        <f t="shared" si="0"/>
        <v>3.3333333333333335</v>
      </c>
    </row>
    <row r="15" spans="1:25" x14ac:dyDescent="0.3">
      <c r="A15" s="46" t="s">
        <v>287</v>
      </c>
      <c r="B15" t="s">
        <v>57</v>
      </c>
      <c r="C15" s="46" t="s">
        <v>92</v>
      </c>
      <c r="D15" s="47" t="s">
        <v>291</v>
      </c>
      <c r="E15" s="94" t="s">
        <v>577</v>
      </c>
      <c r="F15" s="145">
        <v>4</v>
      </c>
      <c r="G15" t="s">
        <v>578</v>
      </c>
      <c r="H15" s="159">
        <f t="shared" si="0"/>
        <v>4.4444444444444446</v>
      </c>
    </row>
    <row r="16" spans="1:25" x14ac:dyDescent="0.3">
      <c r="A16" s="46" t="s">
        <v>240</v>
      </c>
      <c r="B16" t="s">
        <v>57</v>
      </c>
      <c r="C16" s="46" t="s">
        <v>92</v>
      </c>
      <c r="D16" s="47" t="s">
        <v>242</v>
      </c>
      <c r="E16" s="94" t="s">
        <v>577</v>
      </c>
      <c r="F16" s="145">
        <v>3</v>
      </c>
      <c r="G16" t="s">
        <v>575</v>
      </c>
      <c r="H16" s="159">
        <f t="shared" si="0"/>
        <v>3.3333333333333335</v>
      </c>
    </row>
    <row r="17" spans="1:8" x14ac:dyDescent="0.3">
      <c r="A17" s="46" t="s">
        <v>177</v>
      </c>
      <c r="B17" t="s">
        <v>57</v>
      </c>
      <c r="C17" s="46" t="s">
        <v>92</v>
      </c>
      <c r="D17" s="47" t="s">
        <v>176</v>
      </c>
      <c r="E17" s="94" t="s">
        <v>577</v>
      </c>
      <c r="F17" s="145">
        <v>2</v>
      </c>
      <c r="G17" t="s">
        <v>579</v>
      </c>
      <c r="H17" s="159">
        <f t="shared" si="0"/>
        <v>2.2222222222222223</v>
      </c>
    </row>
    <row r="18" spans="1:8" x14ac:dyDescent="0.3">
      <c r="A18" s="46" t="s">
        <v>218</v>
      </c>
      <c r="B18" t="s">
        <v>57</v>
      </c>
      <c r="C18" s="46" t="s">
        <v>92</v>
      </c>
      <c r="D18" s="47" t="s">
        <v>220</v>
      </c>
      <c r="E18" s="94" t="s">
        <v>577</v>
      </c>
      <c r="F18" s="145">
        <v>4</v>
      </c>
      <c r="G18" t="s">
        <v>580</v>
      </c>
      <c r="H18" s="159">
        <f t="shared" si="0"/>
        <v>4.4444444444444446</v>
      </c>
    </row>
    <row r="19" spans="1:8" x14ac:dyDescent="0.3">
      <c r="A19" s="46" t="s">
        <v>89</v>
      </c>
      <c r="B19" t="s">
        <v>57</v>
      </c>
      <c r="C19" s="46" t="s">
        <v>92</v>
      </c>
      <c r="D19" s="47" t="s">
        <v>93</v>
      </c>
      <c r="E19" s="94" t="s">
        <v>577</v>
      </c>
      <c r="F19" s="145">
        <v>3</v>
      </c>
      <c r="G19" t="s">
        <v>581</v>
      </c>
      <c r="H19" s="159">
        <f t="shared" si="0"/>
        <v>3.3333333333333335</v>
      </c>
    </row>
    <row r="20" spans="1:8" x14ac:dyDescent="0.3">
      <c r="A20" s="46" t="s">
        <v>213</v>
      </c>
      <c r="B20" t="s">
        <v>57</v>
      </c>
      <c r="C20" s="46" t="s">
        <v>92</v>
      </c>
      <c r="D20" s="47" t="s">
        <v>582</v>
      </c>
      <c r="E20" s="94" t="s">
        <v>577</v>
      </c>
      <c r="F20" s="145">
        <v>2</v>
      </c>
      <c r="G20" t="s">
        <v>583</v>
      </c>
      <c r="H20" s="159">
        <f t="shared" si="0"/>
        <v>2.2222222222222223</v>
      </c>
    </row>
    <row r="21" spans="1:8" x14ac:dyDescent="0.3">
      <c r="A21" s="46" t="s">
        <v>166</v>
      </c>
      <c r="B21" t="s">
        <v>57</v>
      </c>
      <c r="C21" s="46" t="s">
        <v>92</v>
      </c>
      <c r="D21" s="47" t="s">
        <v>169</v>
      </c>
      <c r="E21" s="94" t="s">
        <v>577</v>
      </c>
      <c r="F21" s="145">
        <v>3</v>
      </c>
      <c r="G21" t="s">
        <v>584</v>
      </c>
      <c r="H21" s="159">
        <f t="shared" si="0"/>
        <v>3.3333333333333335</v>
      </c>
    </row>
    <row r="22" spans="1:8" x14ac:dyDescent="0.3">
      <c r="A22" s="46" t="s">
        <v>174</v>
      </c>
      <c r="B22" t="s">
        <v>57</v>
      </c>
      <c r="C22" s="46" t="s">
        <v>92</v>
      </c>
      <c r="D22" s="47" t="s">
        <v>176</v>
      </c>
      <c r="E22" s="94" t="s">
        <v>577</v>
      </c>
      <c r="F22" s="145">
        <v>2</v>
      </c>
      <c r="G22" t="s">
        <v>585</v>
      </c>
      <c r="H22" s="159">
        <f t="shared" si="0"/>
        <v>2.2222222222222223</v>
      </c>
    </row>
    <row r="23" spans="1:8" x14ac:dyDescent="0.3">
      <c r="A23" s="46" t="s">
        <v>117</v>
      </c>
      <c r="B23" t="s">
        <v>57</v>
      </c>
      <c r="C23" s="46" t="s">
        <v>98</v>
      </c>
      <c r="D23" s="47" t="s">
        <v>120</v>
      </c>
      <c r="E23" s="94" t="s">
        <v>556</v>
      </c>
      <c r="F23" s="145">
        <v>5</v>
      </c>
      <c r="G23" t="s">
        <v>586</v>
      </c>
      <c r="H23" s="159">
        <f t="shared" si="0"/>
        <v>5.5555555555555554</v>
      </c>
    </row>
    <row r="24" spans="1:8" x14ac:dyDescent="0.3">
      <c r="A24" s="46" t="s">
        <v>215</v>
      </c>
      <c r="B24" t="s">
        <v>57</v>
      </c>
      <c r="C24" s="46" t="s">
        <v>98</v>
      </c>
      <c r="D24" s="47" t="s">
        <v>217</v>
      </c>
      <c r="E24" s="94" t="s">
        <v>556</v>
      </c>
      <c r="F24" s="145">
        <v>4</v>
      </c>
      <c r="G24" t="s">
        <v>587</v>
      </c>
      <c r="H24" s="159">
        <f t="shared" si="0"/>
        <v>4.4444444444444446</v>
      </c>
    </row>
    <row r="25" spans="1:8" x14ac:dyDescent="0.3">
      <c r="A25" s="46" t="s">
        <v>95</v>
      </c>
      <c r="B25" t="s">
        <v>57</v>
      </c>
      <c r="C25" s="46" t="s">
        <v>98</v>
      </c>
      <c r="D25" s="47" t="s">
        <v>99</v>
      </c>
      <c r="E25" s="94" t="s">
        <v>556</v>
      </c>
      <c r="F25" s="145">
        <v>4</v>
      </c>
      <c r="G25" t="s">
        <v>588</v>
      </c>
      <c r="H25" s="159">
        <f t="shared" si="0"/>
        <v>4.4444444444444446</v>
      </c>
    </row>
    <row r="26" spans="1:8" x14ac:dyDescent="0.3">
      <c r="A26" s="46" t="s">
        <v>274</v>
      </c>
      <c r="B26" t="s">
        <v>57</v>
      </c>
      <c r="C26" s="46" t="s">
        <v>98</v>
      </c>
      <c r="D26" s="47" t="s">
        <v>278</v>
      </c>
      <c r="E26" s="94" t="s">
        <v>556</v>
      </c>
      <c r="F26" s="145">
        <v>5</v>
      </c>
      <c r="G26" t="s">
        <v>589</v>
      </c>
      <c r="H26" s="159">
        <f t="shared" si="0"/>
        <v>5.5555555555555554</v>
      </c>
    </row>
    <row r="27" spans="1:8" x14ac:dyDescent="0.3">
      <c r="A27" s="46" t="s">
        <v>279</v>
      </c>
      <c r="B27" t="s">
        <v>65</v>
      </c>
      <c r="C27" t="s">
        <v>281</v>
      </c>
      <c r="D27" s="13" t="s">
        <v>282</v>
      </c>
      <c r="E27" s="94">
        <v>1</v>
      </c>
      <c r="F27" s="145">
        <v>2</v>
      </c>
      <c r="G27" t="s">
        <v>282</v>
      </c>
      <c r="H27" s="159">
        <f t="shared" si="0"/>
        <v>2.2222222222222223</v>
      </c>
    </row>
    <row r="28" spans="1:8" x14ac:dyDescent="0.3">
      <c r="A28" s="46" t="s">
        <v>153</v>
      </c>
      <c r="B28" t="s">
        <v>65</v>
      </c>
      <c r="C28" s="46" t="s">
        <v>154</v>
      </c>
      <c r="D28" s="47">
        <v>2022</v>
      </c>
      <c r="E28" s="94">
        <v>9</v>
      </c>
      <c r="F28" s="145">
        <v>9</v>
      </c>
      <c r="G28" t="s">
        <v>590</v>
      </c>
      <c r="H28" s="159">
        <f t="shared" si="0"/>
        <v>10</v>
      </c>
    </row>
    <row r="29" spans="1:8" x14ac:dyDescent="0.3">
      <c r="A29" s="46" t="s">
        <v>591</v>
      </c>
      <c r="B29" t="s">
        <v>105</v>
      </c>
      <c r="C29" t="s">
        <v>187</v>
      </c>
      <c r="D29" s="13" t="s">
        <v>194</v>
      </c>
      <c r="E29" s="94" t="s">
        <v>577</v>
      </c>
      <c r="F29" s="145">
        <v>2</v>
      </c>
      <c r="G29" t="s">
        <v>592</v>
      </c>
      <c r="H29" s="159">
        <f t="shared" si="0"/>
        <v>2.2222222222222223</v>
      </c>
    </row>
    <row r="30" spans="1:8" x14ac:dyDescent="0.3">
      <c r="A30" s="46" t="s">
        <v>297</v>
      </c>
      <c r="B30" t="s">
        <v>105</v>
      </c>
      <c r="C30" t="s">
        <v>187</v>
      </c>
      <c r="D30" s="13" t="s">
        <v>300</v>
      </c>
      <c r="E30" s="94" t="s">
        <v>577</v>
      </c>
      <c r="F30" s="145">
        <v>3</v>
      </c>
      <c r="G30" t="s">
        <v>593</v>
      </c>
      <c r="H30" s="159">
        <f t="shared" si="0"/>
        <v>3.3333333333333335</v>
      </c>
    </row>
    <row r="31" spans="1:8" x14ac:dyDescent="0.3">
      <c r="A31" s="46" t="s">
        <v>170</v>
      </c>
      <c r="B31" t="s">
        <v>65</v>
      </c>
      <c r="C31" t="s">
        <v>87</v>
      </c>
      <c r="D31" s="13" t="s">
        <v>594</v>
      </c>
      <c r="E31" s="145" t="s">
        <v>563</v>
      </c>
      <c r="F31" s="145">
        <v>7</v>
      </c>
      <c r="G31" t="s">
        <v>595</v>
      </c>
      <c r="H31" s="159">
        <f t="shared" si="0"/>
        <v>7.7777777777777786</v>
      </c>
    </row>
    <row r="32" spans="1:8" x14ac:dyDescent="0.3">
      <c r="A32" s="46" t="s">
        <v>135</v>
      </c>
      <c r="B32" t="s">
        <v>65</v>
      </c>
      <c r="C32" t="s">
        <v>98</v>
      </c>
      <c r="D32" s="13" t="s">
        <v>138</v>
      </c>
      <c r="E32" s="94" t="s">
        <v>556</v>
      </c>
      <c r="F32" s="145">
        <v>5</v>
      </c>
      <c r="G32" t="s">
        <v>596</v>
      </c>
      <c r="H32" s="159">
        <f t="shared" si="0"/>
        <v>5.5555555555555554</v>
      </c>
    </row>
    <row r="33" spans="1:8" x14ac:dyDescent="0.3">
      <c r="A33" s="46" t="s">
        <v>200</v>
      </c>
      <c r="B33" t="s">
        <v>65</v>
      </c>
      <c r="C33" t="s">
        <v>92</v>
      </c>
      <c r="D33" s="13" t="s">
        <v>597</v>
      </c>
      <c r="E33" s="94" t="s">
        <v>577</v>
      </c>
      <c r="F33" s="145">
        <v>3</v>
      </c>
      <c r="G33" t="s">
        <v>598</v>
      </c>
      <c r="H33" s="159">
        <f t="shared" si="0"/>
        <v>3.3333333333333335</v>
      </c>
    </row>
    <row r="34" spans="1:8" x14ac:dyDescent="0.3">
      <c r="A34" s="46" t="s">
        <v>243</v>
      </c>
      <c r="B34" t="s">
        <v>65</v>
      </c>
      <c r="C34" t="s">
        <v>245</v>
      </c>
      <c r="D34" s="13" t="s">
        <v>246</v>
      </c>
      <c r="E34" s="94" t="s">
        <v>556</v>
      </c>
      <c r="F34" s="145">
        <v>5</v>
      </c>
      <c r="G34" t="s">
        <v>599</v>
      </c>
      <c r="H34" s="159">
        <f t="shared" si="0"/>
        <v>5.5555555555555554</v>
      </c>
    </row>
    <row r="35" spans="1:8" x14ac:dyDescent="0.3">
      <c r="A35" s="46" t="s">
        <v>139</v>
      </c>
      <c r="B35" t="s">
        <v>65</v>
      </c>
      <c r="C35" t="s">
        <v>141</v>
      </c>
      <c r="D35" s="13" t="s">
        <v>142</v>
      </c>
      <c r="E35" s="94" t="s">
        <v>556</v>
      </c>
      <c r="F35" s="145">
        <v>5</v>
      </c>
      <c r="G35" t="s">
        <v>600</v>
      </c>
      <c r="H35" s="159">
        <f t="shared" si="0"/>
        <v>5.5555555555555554</v>
      </c>
    </row>
    <row r="36" spans="1:8" x14ac:dyDescent="0.3">
      <c r="A36" s="46" t="s">
        <v>292</v>
      </c>
      <c r="B36" t="s">
        <v>105</v>
      </c>
      <c r="C36" t="s">
        <v>601</v>
      </c>
      <c r="D36" s="13" t="s">
        <v>295</v>
      </c>
      <c r="E36" s="94" t="s">
        <v>556</v>
      </c>
      <c r="F36" s="145">
        <v>5</v>
      </c>
      <c r="G36" t="s">
        <v>602</v>
      </c>
      <c r="H36" s="159">
        <f t="shared" si="0"/>
        <v>5.5555555555555554</v>
      </c>
    </row>
    <row r="37" spans="1:8" x14ac:dyDescent="0.3">
      <c r="A37" s="46" t="s">
        <v>121</v>
      </c>
      <c r="B37" t="s">
        <v>65</v>
      </c>
      <c r="C37" t="s">
        <v>92</v>
      </c>
      <c r="D37" s="13" t="s">
        <v>125</v>
      </c>
      <c r="E37" s="94" t="s">
        <v>577</v>
      </c>
      <c r="F37" s="145">
        <v>3</v>
      </c>
      <c r="G37" t="s">
        <v>603</v>
      </c>
      <c r="H37" s="159">
        <f t="shared" si="0"/>
        <v>3.3333333333333335</v>
      </c>
    </row>
    <row r="38" spans="1:8" x14ac:dyDescent="0.3">
      <c r="A38" s="46" t="s">
        <v>130</v>
      </c>
      <c r="B38" t="s">
        <v>105</v>
      </c>
      <c r="C38" t="s">
        <v>601</v>
      </c>
      <c r="D38" s="13" t="s">
        <v>604</v>
      </c>
      <c r="E38" s="94" t="s">
        <v>556</v>
      </c>
      <c r="F38" s="145">
        <v>5</v>
      </c>
      <c r="G38" t="s">
        <v>605</v>
      </c>
      <c r="H38" s="159">
        <f t="shared" si="0"/>
        <v>5.5555555555555554</v>
      </c>
    </row>
    <row r="39" spans="1:8" x14ac:dyDescent="0.3">
      <c r="A39" s="46" t="s">
        <v>161</v>
      </c>
      <c r="B39" t="s">
        <v>105</v>
      </c>
      <c r="C39" t="s">
        <v>52</v>
      </c>
      <c r="D39" s="13" t="s">
        <v>164</v>
      </c>
      <c r="E39" s="145" t="s">
        <v>563</v>
      </c>
      <c r="F39" s="145">
        <v>7</v>
      </c>
      <c r="G39" t="s">
        <v>164</v>
      </c>
      <c r="H39" s="159">
        <f t="shared" si="0"/>
        <v>7.7777777777777786</v>
      </c>
    </row>
    <row r="40" spans="1:8" x14ac:dyDescent="0.3">
      <c r="A40" s="46" t="s">
        <v>224</v>
      </c>
      <c r="B40" t="s">
        <v>65</v>
      </c>
      <c r="C40" t="s">
        <v>141</v>
      </c>
      <c r="D40" s="13" t="s">
        <v>606</v>
      </c>
      <c r="E40" s="94" t="s">
        <v>556</v>
      </c>
      <c r="F40" s="145">
        <v>4</v>
      </c>
      <c r="G40" t="s">
        <v>607</v>
      </c>
      <c r="H40" s="159">
        <f t="shared" si="0"/>
        <v>4.4444444444444446</v>
      </c>
    </row>
    <row r="41" spans="1:8" x14ac:dyDescent="0.3">
      <c r="A41" s="46" t="s">
        <v>608</v>
      </c>
      <c r="B41" t="s">
        <v>105</v>
      </c>
      <c r="C41" t="s">
        <v>609</v>
      </c>
      <c r="D41" s="13" t="s">
        <v>261</v>
      </c>
      <c r="E41" s="94">
        <v>1</v>
      </c>
      <c r="F41" s="145">
        <v>1</v>
      </c>
      <c r="G41" t="s">
        <v>610</v>
      </c>
      <c r="H41" s="159">
        <f t="shared" si="0"/>
        <v>1.1111111111111112</v>
      </c>
    </row>
    <row r="42" spans="1:8" x14ac:dyDescent="0.3">
      <c r="A42" s="46" t="s">
        <v>611</v>
      </c>
      <c r="B42" t="s">
        <v>105</v>
      </c>
      <c r="C42" t="s">
        <v>609</v>
      </c>
      <c r="D42" s="13" t="s">
        <v>212</v>
      </c>
      <c r="E42" s="94">
        <v>1</v>
      </c>
      <c r="F42" s="145">
        <v>1</v>
      </c>
      <c r="G42" t="s">
        <v>575</v>
      </c>
      <c r="H42" s="159">
        <f t="shared" si="0"/>
        <v>1.1111111111111112</v>
      </c>
    </row>
    <row r="43" spans="1:8" x14ac:dyDescent="0.3">
      <c r="A43" s="46" t="s">
        <v>196</v>
      </c>
      <c r="B43" t="s">
        <v>65</v>
      </c>
      <c r="C43" t="s">
        <v>92</v>
      </c>
      <c r="D43" s="13" t="s">
        <v>199</v>
      </c>
      <c r="E43" s="94" t="s">
        <v>577</v>
      </c>
      <c r="F43" s="145">
        <v>3</v>
      </c>
      <c r="G43" t="s">
        <v>612</v>
      </c>
      <c r="H43" s="159">
        <f t="shared" si="0"/>
        <v>3.3333333333333335</v>
      </c>
    </row>
    <row r="44" spans="1:8" x14ac:dyDescent="0.3">
      <c r="A44" s="47" t="s">
        <v>309</v>
      </c>
      <c r="B44" t="s">
        <v>48</v>
      </c>
      <c r="C44" s="47" t="s">
        <v>187</v>
      </c>
      <c r="D44" s="47" t="s">
        <v>311</v>
      </c>
      <c r="E44" s="94" t="s">
        <v>577</v>
      </c>
      <c r="F44" s="145">
        <v>3</v>
      </c>
      <c r="G44" t="s">
        <v>613</v>
      </c>
      <c r="H44" s="159">
        <f t="shared" si="0"/>
        <v>3.3333333333333335</v>
      </c>
    </row>
    <row r="45" spans="1:8" x14ac:dyDescent="0.3">
      <c r="A45" s="47" t="s">
        <v>72</v>
      </c>
      <c r="B45" t="s">
        <v>48</v>
      </c>
      <c r="C45" s="47" t="s">
        <v>75</v>
      </c>
      <c r="D45" s="47" t="s">
        <v>76</v>
      </c>
      <c r="E45" s="94" t="s">
        <v>556</v>
      </c>
      <c r="F45" s="145">
        <v>5</v>
      </c>
      <c r="G45" t="s">
        <v>614</v>
      </c>
      <c r="H45" s="159">
        <f t="shared" si="0"/>
        <v>5.5555555555555554</v>
      </c>
    </row>
    <row r="46" spans="1:8" x14ac:dyDescent="0.3">
      <c r="A46" s="47" t="s">
        <v>47</v>
      </c>
      <c r="B46" t="s">
        <v>48</v>
      </c>
      <c r="C46" s="47" t="s">
        <v>52</v>
      </c>
      <c r="D46" s="47" t="s">
        <v>615</v>
      </c>
      <c r="E46" s="145" t="s">
        <v>563</v>
      </c>
      <c r="F46" s="145">
        <v>6</v>
      </c>
      <c r="G46" t="s">
        <v>616</v>
      </c>
      <c r="H46" s="159">
        <f t="shared" si="0"/>
        <v>6.666666666666667</v>
      </c>
    </row>
    <row r="47" spans="1:8" x14ac:dyDescent="0.3">
      <c r="A47" s="47" t="s">
        <v>203</v>
      </c>
      <c r="B47" t="s">
        <v>48</v>
      </c>
      <c r="C47" s="47" t="s">
        <v>187</v>
      </c>
      <c r="D47" s="47" t="s">
        <v>206</v>
      </c>
      <c r="E47" s="94" t="s">
        <v>577</v>
      </c>
      <c r="F47" s="145">
        <v>2</v>
      </c>
      <c r="G47" t="s">
        <v>617</v>
      </c>
      <c r="H47" s="159">
        <f t="shared" si="0"/>
        <v>2.2222222222222223</v>
      </c>
    </row>
    <row r="48" spans="1:8" x14ac:dyDescent="0.3">
      <c r="A48" s="47" t="s">
        <v>77</v>
      </c>
      <c r="B48" t="s">
        <v>48</v>
      </c>
      <c r="C48" s="47" t="s">
        <v>80</v>
      </c>
      <c r="D48" s="47" t="s">
        <v>81</v>
      </c>
      <c r="E48" s="94">
        <v>8</v>
      </c>
      <c r="F48" s="145">
        <v>8</v>
      </c>
      <c r="G48" t="s">
        <v>80</v>
      </c>
      <c r="H48" s="159">
        <f t="shared" si="0"/>
        <v>8.8888888888888893</v>
      </c>
    </row>
    <row r="49" spans="1:8" x14ac:dyDescent="0.3">
      <c r="A49" s="47" t="s">
        <v>184</v>
      </c>
      <c r="B49" t="s">
        <v>48</v>
      </c>
      <c r="C49" s="47" t="s">
        <v>187</v>
      </c>
      <c r="D49" s="47" t="s">
        <v>582</v>
      </c>
      <c r="E49" s="94" t="s">
        <v>577</v>
      </c>
      <c r="F49" s="145">
        <v>2</v>
      </c>
      <c r="G49" t="s">
        <v>618</v>
      </c>
      <c r="H49" s="159">
        <f t="shared" si="0"/>
        <v>2.2222222222222223</v>
      </c>
    </row>
    <row r="50" spans="1:8" x14ac:dyDescent="0.3">
      <c r="A50" s="47" t="s">
        <v>283</v>
      </c>
      <c r="B50" t="s">
        <v>48</v>
      </c>
      <c r="C50" s="47" t="s">
        <v>52</v>
      </c>
      <c r="D50" s="47" t="s">
        <v>285</v>
      </c>
      <c r="E50" s="145" t="s">
        <v>563</v>
      </c>
      <c r="F50" s="145">
        <v>7</v>
      </c>
      <c r="G50" t="s">
        <v>619</v>
      </c>
      <c r="H50" s="159">
        <f t="shared" si="0"/>
        <v>7.7777777777777786</v>
      </c>
    </row>
    <row r="51" spans="1:8" x14ac:dyDescent="0.3">
      <c r="A51" s="47" t="s">
        <v>247</v>
      </c>
      <c r="B51" t="s">
        <v>48</v>
      </c>
      <c r="C51" t="s">
        <v>187</v>
      </c>
      <c r="D51" s="47" t="s">
        <v>620</v>
      </c>
      <c r="E51" s="94" t="s">
        <v>577</v>
      </c>
      <c r="F51" s="145">
        <v>3</v>
      </c>
      <c r="G51" t="s">
        <v>621</v>
      </c>
      <c r="H51" s="159">
        <f t="shared" si="0"/>
        <v>3.3333333333333335</v>
      </c>
    </row>
    <row r="52" spans="1:8" x14ac:dyDescent="0.3">
      <c r="A52" s="46" t="s">
        <v>316</v>
      </c>
      <c r="B52" t="s">
        <v>65</v>
      </c>
      <c r="C52" t="s">
        <v>98</v>
      </c>
      <c r="D52" s="13" t="s">
        <v>318</v>
      </c>
      <c r="E52" s="94" t="s">
        <v>556</v>
      </c>
      <c r="F52" s="145">
        <v>5</v>
      </c>
      <c r="G52" t="s">
        <v>622</v>
      </c>
      <c r="H52" s="159">
        <f t="shared" si="0"/>
        <v>5.5555555555555554</v>
      </c>
    </row>
    <row r="53" spans="1:8" x14ac:dyDescent="0.3">
      <c r="A53" s="46" t="s">
        <v>64</v>
      </c>
      <c r="B53" t="s">
        <v>65</v>
      </c>
      <c r="C53" t="s">
        <v>69</v>
      </c>
      <c r="D53" s="13" t="s">
        <v>70</v>
      </c>
      <c r="E53" s="94">
        <v>3</v>
      </c>
      <c r="F53" s="145">
        <v>3</v>
      </c>
      <c r="G53" t="s">
        <v>623</v>
      </c>
      <c r="H53" s="159">
        <f t="shared" si="0"/>
        <v>3.3333333333333335</v>
      </c>
    </row>
    <row r="54" spans="1:8" x14ac:dyDescent="0.3">
      <c r="A54" s="46" t="s">
        <v>146</v>
      </c>
      <c r="B54" t="s">
        <v>65</v>
      </c>
      <c r="C54" t="s">
        <v>98</v>
      </c>
      <c r="D54" s="13" t="s">
        <v>148</v>
      </c>
      <c r="E54" s="94" t="s">
        <v>556</v>
      </c>
      <c r="F54" s="145">
        <v>4</v>
      </c>
      <c r="G54" t="s">
        <v>624</v>
      </c>
      <c r="H54" s="159">
        <f t="shared" si="0"/>
        <v>4.4444444444444446</v>
      </c>
    </row>
    <row r="55" spans="1:8" x14ac:dyDescent="0.3">
      <c r="A55" s="46" t="s">
        <v>127</v>
      </c>
      <c r="B55" t="s">
        <v>65</v>
      </c>
      <c r="C55" t="s">
        <v>187</v>
      </c>
      <c r="D55" s="13" t="s">
        <v>129</v>
      </c>
      <c r="E55" s="94" t="s">
        <v>577</v>
      </c>
      <c r="F55" s="145">
        <v>4</v>
      </c>
      <c r="G55" t="s">
        <v>625</v>
      </c>
      <c r="H55" s="159">
        <f t="shared" si="0"/>
        <v>4.4444444444444446</v>
      </c>
    </row>
    <row r="56" spans="1:8" x14ac:dyDescent="0.3">
      <c r="A56" s="46" t="s">
        <v>269</v>
      </c>
      <c r="B56" t="s">
        <v>105</v>
      </c>
      <c r="C56" t="s">
        <v>187</v>
      </c>
      <c r="D56" s="13" t="s">
        <v>626</v>
      </c>
      <c r="E56" s="94" t="s">
        <v>577</v>
      </c>
      <c r="F56" s="145">
        <v>3</v>
      </c>
      <c r="G56" t="s">
        <v>627</v>
      </c>
      <c r="H56" s="159">
        <f t="shared" si="0"/>
        <v>3.3333333333333335</v>
      </c>
    </row>
    <row r="57" spans="1:8" x14ac:dyDescent="0.3">
      <c r="A57" s="46" t="s">
        <v>188</v>
      </c>
      <c r="B57" t="s">
        <v>105</v>
      </c>
      <c r="C57" t="s">
        <v>187</v>
      </c>
      <c r="D57" s="47" t="s">
        <v>582</v>
      </c>
      <c r="E57" s="94" t="s">
        <v>577</v>
      </c>
      <c r="F57" s="145">
        <v>2</v>
      </c>
      <c r="G57" t="s">
        <v>628</v>
      </c>
      <c r="H57" s="159">
        <f t="shared" si="0"/>
        <v>2.2222222222222223</v>
      </c>
    </row>
    <row r="58" spans="1:8" x14ac:dyDescent="0.3">
      <c r="A58" s="46" t="s">
        <v>112</v>
      </c>
      <c r="B58" t="s">
        <v>105</v>
      </c>
      <c r="C58" t="s">
        <v>52</v>
      </c>
      <c r="D58" s="13" t="s">
        <v>115</v>
      </c>
      <c r="E58" s="145" t="s">
        <v>563</v>
      </c>
      <c r="F58" s="145">
        <v>7</v>
      </c>
      <c r="G58" t="s">
        <v>629</v>
      </c>
      <c r="H58" s="159">
        <f t="shared" si="0"/>
        <v>7.7777777777777786</v>
      </c>
    </row>
    <row r="59" spans="1:8" x14ac:dyDescent="0.3">
      <c r="A59" s="46" t="s">
        <v>227</v>
      </c>
      <c r="B59" t="s">
        <v>65</v>
      </c>
      <c r="C59" t="s">
        <v>92</v>
      </c>
      <c r="D59" s="13" t="s">
        <v>230</v>
      </c>
      <c r="E59" s="94" t="s">
        <v>577</v>
      </c>
      <c r="F59" s="145">
        <v>2</v>
      </c>
      <c r="G59" t="s">
        <v>630</v>
      </c>
      <c r="H59" s="159">
        <f t="shared" si="0"/>
        <v>2.2222222222222223</v>
      </c>
    </row>
    <row r="60" spans="1:8" x14ac:dyDescent="0.3">
      <c r="A60" s="46" t="s">
        <v>631</v>
      </c>
      <c r="B60" t="s">
        <v>105</v>
      </c>
      <c r="C60" t="s">
        <v>632</v>
      </c>
      <c r="D60" s="13" t="s">
        <v>633</v>
      </c>
      <c r="E60" s="94" t="s">
        <v>556</v>
      </c>
      <c r="F60" s="145">
        <v>5</v>
      </c>
      <c r="G60" t="s">
        <v>634</v>
      </c>
      <c r="H60" s="159">
        <f t="shared" si="0"/>
        <v>5.5555555555555554</v>
      </c>
    </row>
    <row r="61" spans="1:8" x14ac:dyDescent="0.3">
      <c r="A61" s="46" t="s">
        <v>179</v>
      </c>
      <c r="B61" t="s">
        <v>105</v>
      </c>
      <c r="C61" t="s">
        <v>187</v>
      </c>
      <c r="D61" s="13" t="s">
        <v>635</v>
      </c>
      <c r="E61" s="94" t="s">
        <v>577</v>
      </c>
      <c r="F61" s="145">
        <v>4</v>
      </c>
      <c r="G61" t="s">
        <v>635</v>
      </c>
      <c r="H61" s="159">
        <f t="shared" si="0"/>
        <v>4.4444444444444446</v>
      </c>
    </row>
    <row r="62" spans="1:8" x14ac:dyDescent="0.3">
      <c r="A62" s="46" t="s">
        <v>104</v>
      </c>
      <c r="B62" t="s">
        <v>105</v>
      </c>
      <c r="C62" t="s">
        <v>187</v>
      </c>
      <c r="D62" s="13" t="s">
        <v>110</v>
      </c>
      <c r="E62" s="94" t="s">
        <v>577</v>
      </c>
      <c r="F62" s="145">
        <v>3</v>
      </c>
      <c r="G62" t="s">
        <v>636</v>
      </c>
      <c r="H62" s="159">
        <f t="shared" si="0"/>
        <v>3.3333333333333335</v>
      </c>
    </row>
    <row r="63" spans="1:8" x14ac:dyDescent="0.3">
      <c r="A63" s="46" t="s">
        <v>155</v>
      </c>
      <c r="B63" t="s">
        <v>65</v>
      </c>
      <c r="C63" t="s">
        <v>154</v>
      </c>
      <c r="D63" s="13" t="s">
        <v>157</v>
      </c>
      <c r="E63" s="94">
        <v>9</v>
      </c>
      <c r="F63" s="145">
        <v>9</v>
      </c>
      <c r="G63" t="s">
        <v>637</v>
      </c>
      <c r="H63" s="159">
        <f t="shared" si="0"/>
        <v>10</v>
      </c>
    </row>
    <row r="64" spans="1:8" x14ac:dyDescent="0.3">
      <c r="A64" s="46" t="s">
        <v>149</v>
      </c>
      <c r="B64" t="s">
        <v>65</v>
      </c>
      <c r="C64" t="s">
        <v>151</v>
      </c>
      <c r="D64" s="13" t="s">
        <v>152</v>
      </c>
      <c r="E64" s="94">
        <v>9</v>
      </c>
      <c r="F64" s="145">
        <v>9</v>
      </c>
      <c r="G64" t="s">
        <v>638</v>
      </c>
      <c r="H64" s="159">
        <f t="shared" si="0"/>
        <v>10</v>
      </c>
    </row>
    <row r="65" spans="7:7" x14ac:dyDescent="0.3">
      <c r="G65" s="155"/>
    </row>
    <row r="66" spans="7:7" x14ac:dyDescent="0.3">
      <c r="G66" s="156"/>
    </row>
    <row r="67" spans="7:7" x14ac:dyDescent="0.3">
      <c r="G67" s="157"/>
    </row>
  </sheetData>
  <conditionalFormatting sqref="F2:F1048576">
    <cfRule type="colorScale" priority="2">
      <colorScale>
        <cfvo type="num" val="1"/>
        <cfvo type="num" val="5"/>
        <cfvo type="num" val="9"/>
        <color rgb="FFF8696B"/>
        <color rgb="FFFFEB84"/>
        <color rgb="FF63BE7B"/>
      </colorScale>
    </cfRule>
  </conditionalFormatting>
  <conditionalFormatting sqref="M3:M11">
    <cfRule type="colorScale" priority="1">
      <colorScale>
        <cfvo type="num" val="0"/>
        <cfvo type="percentile" val="50"/>
        <cfvo type="num" val="9"/>
        <color rgb="FFFF0000"/>
        <color rgb="FFFFC000"/>
        <color rgb="FF63BE7B"/>
      </colorScale>
    </cfRule>
  </conditionalFormatting>
  <dataValidations count="1">
    <dataValidation allowBlank="1" showInputMessage="1" showErrorMessage="1" sqref="B2:B64 W2:W5" xr:uid="{3CFBE45E-BC80-4EC9-8613-B60D69061006}"/>
  </dataValidation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EC1F7-9FFB-4D7D-AC15-834B44100353}">
  <dimension ref="A1:P65"/>
  <sheetViews>
    <sheetView zoomScale="66" workbookViewId="0">
      <selection activeCell="D21" sqref="D21"/>
    </sheetView>
  </sheetViews>
  <sheetFormatPr baseColWidth="10" defaultColWidth="8.88671875" defaultRowHeight="14.4" x14ac:dyDescent="0.3"/>
  <cols>
    <col min="1" max="1" width="18.44140625" customWidth="1"/>
    <col min="2" max="2" width="19.44140625" customWidth="1"/>
    <col min="3" max="3" width="13.109375" style="145" customWidth="1"/>
    <col min="4" max="4" width="16.88671875" style="181" bestFit="1" customWidth="1"/>
    <col min="5" max="5" width="7.109375" customWidth="1"/>
    <col min="6" max="6" width="19.5546875" style="145" bestFit="1" customWidth="1"/>
    <col min="7" max="10" width="10.6640625" customWidth="1"/>
    <col min="11" max="11" width="7.109375" customWidth="1"/>
  </cols>
  <sheetData>
    <row r="1" spans="1:16" x14ac:dyDescent="0.3">
      <c r="A1" s="43" t="s">
        <v>7</v>
      </c>
      <c r="B1" s="43" t="s">
        <v>8</v>
      </c>
      <c r="C1" s="158" t="s">
        <v>639</v>
      </c>
      <c r="D1" s="175" t="s">
        <v>640</v>
      </c>
      <c r="E1" s="176" t="s">
        <v>641</v>
      </c>
      <c r="F1" s="145" t="s">
        <v>642</v>
      </c>
      <c r="G1" t="s">
        <v>643</v>
      </c>
      <c r="I1" t="s">
        <v>644</v>
      </c>
      <c r="K1" s="177"/>
    </row>
    <row r="2" spans="1:16" ht="15" thickBot="1" x14ac:dyDescent="0.35">
      <c r="A2" s="45" t="s">
        <v>39</v>
      </c>
      <c r="B2" s="45">
        <v>0</v>
      </c>
      <c r="C2" s="178" t="s">
        <v>645</v>
      </c>
      <c r="D2" s="179" t="s">
        <v>646</v>
      </c>
      <c r="E2" s="45" t="s">
        <v>647</v>
      </c>
      <c r="F2" s="45" t="s">
        <v>647</v>
      </c>
      <c r="G2" s="180" t="s">
        <v>648</v>
      </c>
      <c r="H2" s="180"/>
      <c r="I2" s="180"/>
      <c r="J2" s="180"/>
      <c r="K2" s="180"/>
      <c r="L2" t="s">
        <v>649</v>
      </c>
    </row>
    <row r="3" spans="1:16" ht="15" thickTop="1" x14ac:dyDescent="0.3">
      <c r="A3" s="46" t="s">
        <v>56</v>
      </c>
      <c r="B3" t="s">
        <v>57</v>
      </c>
      <c r="C3" s="145">
        <v>24</v>
      </c>
      <c r="D3" s="181" t="s">
        <v>650</v>
      </c>
      <c r="E3" t="s">
        <v>650</v>
      </c>
      <c r="F3" s="145">
        <f>12/C3</f>
        <v>0.5</v>
      </c>
      <c r="G3" t="e">
        <f>F3*D3*24</f>
        <v>#VALUE!</v>
      </c>
    </row>
    <row r="4" spans="1:16" x14ac:dyDescent="0.3">
      <c r="A4" s="46" t="s">
        <v>100</v>
      </c>
      <c r="B4" t="s">
        <v>57</v>
      </c>
      <c r="C4" s="145">
        <v>14</v>
      </c>
      <c r="D4" s="181" t="s">
        <v>650</v>
      </c>
      <c r="E4" t="s">
        <v>650</v>
      </c>
      <c r="F4" s="145">
        <f>12/C4</f>
        <v>0.8571428571428571</v>
      </c>
      <c r="G4" t="e">
        <f t="shared" ref="G4:G65" si="0">F4*D4*24</f>
        <v>#VALUE!</v>
      </c>
      <c r="L4" t="s">
        <v>651</v>
      </c>
      <c r="O4">
        <v>8760</v>
      </c>
      <c r="P4" t="s">
        <v>648</v>
      </c>
    </row>
    <row r="5" spans="1:16" x14ac:dyDescent="0.3">
      <c r="A5" s="150" t="s">
        <v>256</v>
      </c>
      <c r="B5" t="s">
        <v>57</v>
      </c>
      <c r="C5" s="145">
        <v>24</v>
      </c>
      <c r="D5" s="181">
        <v>10</v>
      </c>
      <c r="E5">
        <f>10^-7</f>
        <v>9.9999999999999995E-8</v>
      </c>
      <c r="F5" s="145">
        <f t="shared" ref="F5:F65" si="1">12/C5</f>
        <v>0.5</v>
      </c>
      <c r="G5">
        <f t="shared" si="0"/>
        <v>120</v>
      </c>
    </row>
    <row r="6" spans="1:16" x14ac:dyDescent="0.3">
      <c r="A6" s="46" t="s">
        <v>305</v>
      </c>
      <c r="B6" t="s">
        <v>57</v>
      </c>
      <c r="C6" s="145">
        <v>18</v>
      </c>
      <c r="D6" s="181">
        <v>10</v>
      </c>
      <c r="E6" t="s">
        <v>650</v>
      </c>
      <c r="F6" s="145">
        <f>12/C6</f>
        <v>0.66666666666666663</v>
      </c>
      <c r="G6">
        <f t="shared" si="0"/>
        <v>160</v>
      </c>
    </row>
    <row r="7" spans="1:16" x14ac:dyDescent="0.3">
      <c r="A7" s="46" t="s">
        <v>231</v>
      </c>
      <c r="B7" t="s">
        <v>57</v>
      </c>
      <c r="C7" s="145" t="s">
        <v>652</v>
      </c>
      <c r="D7" s="181" t="s">
        <v>650</v>
      </c>
      <c r="E7" t="s">
        <v>650</v>
      </c>
      <c r="F7" s="145">
        <f>12/((60+72)/2)</f>
        <v>0.18181818181818182</v>
      </c>
      <c r="G7" t="e">
        <f t="shared" si="0"/>
        <v>#VALUE!</v>
      </c>
    </row>
    <row r="8" spans="1:16" x14ac:dyDescent="0.3">
      <c r="A8" s="46" t="s">
        <v>143</v>
      </c>
      <c r="B8" t="s">
        <v>57</v>
      </c>
      <c r="C8" s="145">
        <v>18</v>
      </c>
      <c r="D8" s="181">
        <f>30*6</f>
        <v>180</v>
      </c>
      <c r="E8" t="s">
        <v>650</v>
      </c>
      <c r="F8" s="145">
        <f t="shared" si="1"/>
        <v>0.66666666666666663</v>
      </c>
      <c r="G8">
        <f t="shared" si="0"/>
        <v>2880</v>
      </c>
      <c r="K8" t="s">
        <v>653</v>
      </c>
    </row>
    <row r="9" spans="1:16" x14ac:dyDescent="0.3">
      <c r="A9" s="46" t="s">
        <v>83</v>
      </c>
      <c r="B9" t="s">
        <v>57</v>
      </c>
      <c r="C9" s="182" t="s">
        <v>654</v>
      </c>
      <c r="D9" s="183" t="s">
        <v>655</v>
      </c>
      <c r="E9">
        <f>10^-7</f>
        <v>9.9999999999999995E-8</v>
      </c>
      <c r="F9" s="145">
        <f>12/((12+24)/2)</f>
        <v>0.66666666666666663</v>
      </c>
      <c r="G9" t="e">
        <f t="shared" si="0"/>
        <v>#VALUE!</v>
      </c>
      <c r="L9" t="s">
        <v>656</v>
      </c>
    </row>
    <row r="10" spans="1:16" x14ac:dyDescent="0.3">
      <c r="A10" s="46" t="s">
        <v>236</v>
      </c>
      <c r="B10" t="s">
        <v>57</v>
      </c>
      <c r="C10" s="145">
        <v>18</v>
      </c>
      <c r="D10" s="181" t="s">
        <v>650</v>
      </c>
      <c r="E10" t="s">
        <v>650</v>
      </c>
      <c r="F10" s="145">
        <f t="shared" si="1"/>
        <v>0.66666666666666663</v>
      </c>
      <c r="G10" t="e">
        <f t="shared" si="0"/>
        <v>#VALUE!</v>
      </c>
      <c r="L10" t="s">
        <v>657</v>
      </c>
    </row>
    <row r="11" spans="1:16" x14ac:dyDescent="0.3">
      <c r="A11" s="150" t="s">
        <v>302</v>
      </c>
      <c r="B11" t="s">
        <v>57</v>
      </c>
      <c r="C11" s="145">
        <v>72</v>
      </c>
      <c r="D11" s="181" t="s">
        <v>650</v>
      </c>
      <c r="E11" t="s">
        <v>650</v>
      </c>
      <c r="F11" s="145">
        <f t="shared" si="1"/>
        <v>0.16666666666666666</v>
      </c>
      <c r="G11" t="e">
        <f t="shared" si="0"/>
        <v>#VALUE!</v>
      </c>
      <c r="L11" t="s">
        <v>658</v>
      </c>
    </row>
    <row r="12" spans="1:16" x14ac:dyDescent="0.3">
      <c r="A12" s="46" t="s">
        <v>252</v>
      </c>
      <c r="B12" t="s">
        <v>57</v>
      </c>
      <c r="C12" s="145">
        <v>30</v>
      </c>
      <c r="D12" s="181" t="s">
        <v>650</v>
      </c>
      <c r="E12">
        <f>2*10^-7</f>
        <v>1.9999999999999999E-7</v>
      </c>
      <c r="F12" s="145">
        <f t="shared" si="1"/>
        <v>0.4</v>
      </c>
      <c r="G12" t="e">
        <f t="shared" si="0"/>
        <v>#VALUE!</v>
      </c>
    </row>
    <row r="13" spans="1:16" x14ac:dyDescent="0.3">
      <c r="A13" s="46" t="s">
        <v>221</v>
      </c>
      <c r="B13" t="s">
        <v>57</v>
      </c>
      <c r="C13" s="145">
        <v>72</v>
      </c>
      <c r="D13" s="181">
        <f>3*30</f>
        <v>90</v>
      </c>
      <c r="E13">
        <f>10^-7</f>
        <v>9.9999999999999995E-8</v>
      </c>
      <c r="F13" s="145">
        <f t="shared" si="1"/>
        <v>0.16666666666666666</v>
      </c>
      <c r="G13">
        <f t="shared" si="0"/>
        <v>360</v>
      </c>
    </row>
    <row r="14" spans="1:16" x14ac:dyDescent="0.3">
      <c r="A14" s="46" t="s">
        <v>313</v>
      </c>
      <c r="B14" t="s">
        <v>57</v>
      </c>
      <c r="C14" s="145">
        <v>24</v>
      </c>
      <c r="D14" s="181" t="s">
        <v>650</v>
      </c>
      <c r="E14">
        <f>5*10^-8</f>
        <v>4.9999999999999998E-8</v>
      </c>
      <c r="F14" s="145">
        <f t="shared" si="1"/>
        <v>0.5</v>
      </c>
      <c r="G14" t="e">
        <f t="shared" si="0"/>
        <v>#VALUE!</v>
      </c>
    </row>
    <row r="15" spans="1:16" x14ac:dyDescent="0.3">
      <c r="A15" s="150" t="s">
        <v>158</v>
      </c>
      <c r="B15" t="s">
        <v>57</v>
      </c>
      <c r="C15" s="145">
        <v>26</v>
      </c>
      <c r="D15" s="181" t="s">
        <v>650</v>
      </c>
      <c r="E15" t="s">
        <v>650</v>
      </c>
      <c r="F15" s="145">
        <f t="shared" si="1"/>
        <v>0.46153846153846156</v>
      </c>
      <c r="G15" t="e">
        <f t="shared" si="0"/>
        <v>#VALUE!</v>
      </c>
    </row>
    <row r="16" spans="1:16" x14ac:dyDescent="0.3">
      <c r="A16" s="46" t="s">
        <v>287</v>
      </c>
      <c r="B16" t="s">
        <v>57</v>
      </c>
      <c r="C16" s="145">
        <v>10</v>
      </c>
      <c r="D16" s="181" t="s">
        <v>650</v>
      </c>
      <c r="E16" t="s">
        <v>650</v>
      </c>
      <c r="F16" s="145">
        <f t="shared" si="1"/>
        <v>1.2</v>
      </c>
      <c r="G16" t="e">
        <f t="shared" si="0"/>
        <v>#VALUE!</v>
      </c>
      <c r="K16" s="184" t="s">
        <v>659</v>
      </c>
    </row>
    <row r="17" spans="1:11" x14ac:dyDescent="0.3">
      <c r="A17" s="46" t="s">
        <v>240</v>
      </c>
      <c r="B17" t="s">
        <v>57</v>
      </c>
      <c r="C17" s="145">
        <v>36</v>
      </c>
      <c r="D17" s="181" t="s">
        <v>650</v>
      </c>
      <c r="E17" t="s">
        <v>650</v>
      </c>
      <c r="F17" s="145">
        <f t="shared" si="1"/>
        <v>0.33333333333333331</v>
      </c>
      <c r="G17" t="e">
        <f t="shared" si="0"/>
        <v>#VALUE!</v>
      </c>
      <c r="K17" t="s">
        <v>660</v>
      </c>
    </row>
    <row r="18" spans="1:11" x14ac:dyDescent="0.3">
      <c r="A18" s="46" t="s">
        <v>177</v>
      </c>
      <c r="B18" t="s">
        <v>57</v>
      </c>
      <c r="C18" s="145">
        <v>84</v>
      </c>
      <c r="D18" s="181" t="s">
        <v>650</v>
      </c>
      <c r="E18" t="s">
        <v>650</v>
      </c>
      <c r="F18" s="145">
        <f t="shared" si="1"/>
        <v>0.14285714285714285</v>
      </c>
      <c r="G18" t="e">
        <f t="shared" si="0"/>
        <v>#VALUE!</v>
      </c>
    </row>
    <row r="19" spans="1:11" x14ac:dyDescent="0.3">
      <c r="A19" s="46" t="s">
        <v>218</v>
      </c>
      <c r="B19" t="s">
        <v>57</v>
      </c>
      <c r="C19" s="145">
        <v>24</v>
      </c>
      <c r="D19" s="181">
        <v>20</v>
      </c>
      <c r="E19" t="s">
        <v>650</v>
      </c>
      <c r="F19" s="145">
        <f t="shared" si="1"/>
        <v>0.5</v>
      </c>
      <c r="G19">
        <f t="shared" si="0"/>
        <v>240</v>
      </c>
    </row>
    <row r="20" spans="1:11" x14ac:dyDescent="0.3">
      <c r="A20" s="46" t="s">
        <v>89</v>
      </c>
      <c r="B20" t="s">
        <v>57</v>
      </c>
      <c r="C20" s="145" t="s">
        <v>661</v>
      </c>
      <c r="D20" s="181">
        <v>0</v>
      </c>
      <c r="F20" s="145" t="e">
        <f t="shared" si="1"/>
        <v>#VALUE!</v>
      </c>
      <c r="G20" s="186" t="e">
        <f t="shared" si="0"/>
        <v>#VALUE!</v>
      </c>
    </row>
    <row r="21" spans="1:11" x14ac:dyDescent="0.3">
      <c r="A21" s="46" t="s">
        <v>213</v>
      </c>
      <c r="B21" t="s">
        <v>57</v>
      </c>
      <c r="C21" s="145">
        <v>24</v>
      </c>
      <c r="D21" s="181" t="s">
        <v>650</v>
      </c>
      <c r="E21" t="s">
        <v>650</v>
      </c>
      <c r="F21" s="145">
        <f t="shared" si="1"/>
        <v>0.5</v>
      </c>
      <c r="G21" t="e">
        <f t="shared" si="0"/>
        <v>#VALUE!</v>
      </c>
    </row>
    <row r="22" spans="1:11" x14ac:dyDescent="0.3">
      <c r="A22" s="46" t="s">
        <v>166</v>
      </c>
      <c r="B22" t="s">
        <v>57</v>
      </c>
      <c r="C22" s="145">
        <v>24</v>
      </c>
      <c r="D22" s="181" t="s">
        <v>650</v>
      </c>
      <c r="E22">
        <f>10^-9</f>
        <v>1.0000000000000001E-9</v>
      </c>
      <c r="F22" s="145">
        <f t="shared" si="1"/>
        <v>0.5</v>
      </c>
      <c r="G22" t="e">
        <f t="shared" si="0"/>
        <v>#VALUE!</v>
      </c>
    </row>
    <row r="23" spans="1:11" x14ac:dyDescent="0.3">
      <c r="A23" s="46" t="s">
        <v>174</v>
      </c>
      <c r="B23" t="s">
        <v>57</v>
      </c>
      <c r="C23" s="145">
        <v>90</v>
      </c>
      <c r="D23" s="181" t="s">
        <v>650</v>
      </c>
      <c r="E23" t="s">
        <v>650</v>
      </c>
      <c r="F23" s="145">
        <f t="shared" si="1"/>
        <v>0.13333333333333333</v>
      </c>
      <c r="G23" t="e">
        <f t="shared" si="0"/>
        <v>#VALUE!</v>
      </c>
    </row>
    <row r="24" spans="1:11" x14ac:dyDescent="0.3">
      <c r="A24" s="46" t="s">
        <v>117</v>
      </c>
      <c r="B24" t="s">
        <v>57</v>
      </c>
      <c r="C24" s="145">
        <v>15</v>
      </c>
      <c r="D24" s="181" t="s">
        <v>650</v>
      </c>
      <c r="E24" t="s">
        <v>650</v>
      </c>
      <c r="F24" s="145">
        <f t="shared" si="1"/>
        <v>0.8</v>
      </c>
      <c r="G24" t="e">
        <f t="shared" si="0"/>
        <v>#VALUE!</v>
      </c>
    </row>
    <row r="25" spans="1:11" x14ac:dyDescent="0.3">
      <c r="A25" s="46" t="s">
        <v>215</v>
      </c>
      <c r="B25" t="s">
        <v>57</v>
      </c>
      <c r="C25" s="145">
        <v>24</v>
      </c>
      <c r="D25" s="181" t="s">
        <v>650</v>
      </c>
      <c r="E25">
        <f>10^-8</f>
        <v>1E-8</v>
      </c>
      <c r="F25" s="145">
        <f t="shared" si="1"/>
        <v>0.5</v>
      </c>
      <c r="G25" t="e">
        <f t="shared" si="0"/>
        <v>#VALUE!</v>
      </c>
    </row>
    <row r="26" spans="1:11" x14ac:dyDescent="0.3">
      <c r="A26" s="46" t="s">
        <v>95</v>
      </c>
      <c r="B26" t="s">
        <v>57</v>
      </c>
      <c r="C26" s="145">
        <v>24</v>
      </c>
      <c r="D26" s="181" t="s">
        <v>650</v>
      </c>
      <c r="E26" t="s">
        <v>650</v>
      </c>
      <c r="F26" s="145">
        <f t="shared" si="1"/>
        <v>0.5</v>
      </c>
      <c r="G26" t="e">
        <f t="shared" si="0"/>
        <v>#VALUE!</v>
      </c>
    </row>
    <row r="27" spans="1:11" x14ac:dyDescent="0.3">
      <c r="A27" s="46" t="s">
        <v>274</v>
      </c>
      <c r="B27" t="s">
        <v>57</v>
      </c>
      <c r="C27" s="145">
        <v>120</v>
      </c>
      <c r="D27" s="181" t="s">
        <v>650</v>
      </c>
      <c r="E27" t="s">
        <v>650</v>
      </c>
      <c r="F27" s="145">
        <f t="shared" si="1"/>
        <v>0.1</v>
      </c>
      <c r="G27" t="e">
        <f t="shared" si="0"/>
        <v>#VALUE!</v>
      </c>
    </row>
    <row r="28" spans="1:11" x14ac:dyDescent="0.3">
      <c r="A28" s="46" t="s">
        <v>279</v>
      </c>
      <c r="B28" t="s">
        <v>65</v>
      </c>
      <c r="C28" s="145">
        <v>60</v>
      </c>
      <c r="D28" s="181" t="s">
        <v>650</v>
      </c>
      <c r="E28" t="s">
        <v>650</v>
      </c>
      <c r="F28" s="145">
        <f t="shared" si="1"/>
        <v>0.2</v>
      </c>
      <c r="G28" t="e">
        <f t="shared" si="0"/>
        <v>#VALUE!</v>
      </c>
    </row>
    <row r="29" spans="1:11" x14ac:dyDescent="0.3">
      <c r="A29" s="46" t="s">
        <v>153</v>
      </c>
      <c r="B29" t="s">
        <v>65</v>
      </c>
      <c r="C29" s="145" t="s">
        <v>661</v>
      </c>
      <c r="D29" s="181">
        <v>0</v>
      </c>
      <c r="E29" t="s">
        <v>650</v>
      </c>
      <c r="F29" s="145" t="e">
        <f t="shared" si="1"/>
        <v>#VALUE!</v>
      </c>
      <c r="G29" t="e">
        <f t="shared" si="0"/>
        <v>#VALUE!</v>
      </c>
    </row>
    <row r="30" spans="1:11" x14ac:dyDescent="0.3">
      <c r="A30" s="46" t="s">
        <v>591</v>
      </c>
      <c r="B30" t="s">
        <v>105</v>
      </c>
      <c r="C30" s="182" t="s">
        <v>662</v>
      </c>
      <c r="D30" s="181" t="s">
        <v>650</v>
      </c>
      <c r="E30" t="s">
        <v>650</v>
      </c>
      <c r="F30" s="145" t="e">
        <f t="shared" si="1"/>
        <v>#VALUE!</v>
      </c>
      <c r="G30" t="e">
        <f t="shared" si="0"/>
        <v>#VALUE!</v>
      </c>
    </row>
    <row r="31" spans="1:11" x14ac:dyDescent="0.3">
      <c r="A31" s="46" t="s">
        <v>297</v>
      </c>
      <c r="B31" t="s">
        <v>105</v>
      </c>
      <c r="C31" s="182" t="s">
        <v>663</v>
      </c>
      <c r="D31" s="181" t="s">
        <v>650</v>
      </c>
      <c r="E31" t="s">
        <v>650</v>
      </c>
      <c r="F31" s="145" t="e">
        <f t="shared" si="1"/>
        <v>#VALUE!</v>
      </c>
      <c r="G31" t="e">
        <f t="shared" si="0"/>
        <v>#VALUE!</v>
      </c>
      <c r="H31" t="s">
        <v>664</v>
      </c>
    </row>
    <row r="32" spans="1:11" x14ac:dyDescent="0.3">
      <c r="A32" s="46" t="s">
        <v>170</v>
      </c>
      <c r="B32" t="s">
        <v>65</v>
      </c>
      <c r="C32" s="145" t="s">
        <v>665</v>
      </c>
      <c r="D32" s="181">
        <v>0</v>
      </c>
      <c r="E32" t="s">
        <v>650</v>
      </c>
      <c r="F32" s="145" t="e">
        <f t="shared" si="1"/>
        <v>#VALUE!</v>
      </c>
      <c r="G32" t="e">
        <f t="shared" si="0"/>
        <v>#VALUE!</v>
      </c>
      <c r="H32" t="s">
        <v>666</v>
      </c>
    </row>
    <row r="33" spans="1:8" x14ac:dyDescent="0.3">
      <c r="A33" s="46" t="s">
        <v>135</v>
      </c>
      <c r="B33" t="s">
        <v>65</v>
      </c>
      <c r="C33" s="145">
        <v>48</v>
      </c>
      <c r="D33" s="181" t="s">
        <v>650</v>
      </c>
      <c r="E33" t="s">
        <v>650</v>
      </c>
      <c r="F33" s="145">
        <f t="shared" si="1"/>
        <v>0.25</v>
      </c>
      <c r="G33" t="e">
        <f t="shared" si="0"/>
        <v>#VALUE!</v>
      </c>
    </row>
    <row r="34" spans="1:8" x14ac:dyDescent="0.3">
      <c r="A34" s="46" t="s">
        <v>200</v>
      </c>
      <c r="B34" t="s">
        <v>65</v>
      </c>
      <c r="C34" s="145">
        <v>30</v>
      </c>
      <c r="D34" s="181" t="s">
        <v>650</v>
      </c>
      <c r="E34" t="s">
        <v>650</v>
      </c>
      <c r="F34" s="145">
        <f t="shared" si="1"/>
        <v>0.4</v>
      </c>
      <c r="G34" t="e">
        <f t="shared" si="0"/>
        <v>#VALUE!</v>
      </c>
    </row>
    <row r="35" spans="1:8" x14ac:dyDescent="0.3">
      <c r="A35" s="46" t="s">
        <v>243</v>
      </c>
      <c r="B35" t="s">
        <v>65</v>
      </c>
      <c r="C35" s="145">
        <v>18</v>
      </c>
      <c r="D35" s="181">
        <v>18</v>
      </c>
      <c r="E35" t="s">
        <v>650</v>
      </c>
      <c r="F35" s="145">
        <f t="shared" si="1"/>
        <v>0.66666666666666663</v>
      </c>
      <c r="G35">
        <f t="shared" si="0"/>
        <v>288</v>
      </c>
    </row>
    <row r="36" spans="1:8" x14ac:dyDescent="0.3">
      <c r="A36" s="46" t="s">
        <v>139</v>
      </c>
      <c r="B36" t="s">
        <v>65</v>
      </c>
      <c r="C36" s="145">
        <v>25</v>
      </c>
      <c r="D36" s="181" t="s">
        <v>650</v>
      </c>
      <c r="E36" t="s">
        <v>650</v>
      </c>
      <c r="F36" s="145">
        <f t="shared" si="1"/>
        <v>0.48</v>
      </c>
      <c r="G36" t="e">
        <f t="shared" si="0"/>
        <v>#VALUE!</v>
      </c>
    </row>
    <row r="37" spans="1:8" x14ac:dyDescent="0.3">
      <c r="A37" s="46" t="s">
        <v>292</v>
      </c>
      <c r="B37" t="s">
        <v>105</v>
      </c>
      <c r="C37" s="145">
        <v>12</v>
      </c>
      <c r="D37" s="181" t="s">
        <v>650</v>
      </c>
      <c r="E37" t="s">
        <v>650</v>
      </c>
      <c r="F37" s="145">
        <f t="shared" si="1"/>
        <v>1</v>
      </c>
      <c r="G37" t="e">
        <f t="shared" si="0"/>
        <v>#VALUE!</v>
      </c>
      <c r="H37" t="s">
        <v>667</v>
      </c>
    </row>
    <row r="38" spans="1:8" x14ac:dyDescent="0.3">
      <c r="A38" s="46" t="s">
        <v>121</v>
      </c>
      <c r="B38" t="s">
        <v>65</v>
      </c>
      <c r="C38" s="145">
        <v>360</v>
      </c>
      <c r="D38" s="181" t="s">
        <v>650</v>
      </c>
      <c r="E38" t="s">
        <v>650</v>
      </c>
      <c r="F38" s="145">
        <f t="shared" si="1"/>
        <v>3.3333333333333333E-2</v>
      </c>
      <c r="G38" t="e">
        <f t="shared" si="0"/>
        <v>#VALUE!</v>
      </c>
    </row>
    <row r="39" spans="1:8" x14ac:dyDescent="0.3">
      <c r="A39" s="46" t="s">
        <v>130</v>
      </c>
      <c r="B39" t="s">
        <v>105</v>
      </c>
      <c r="C39" s="145" t="s">
        <v>668</v>
      </c>
      <c r="D39" s="181">
        <v>0</v>
      </c>
      <c r="E39" t="s">
        <v>650</v>
      </c>
      <c r="F39" s="145" t="e">
        <f t="shared" si="1"/>
        <v>#VALUE!</v>
      </c>
      <c r="G39" t="e">
        <f t="shared" si="0"/>
        <v>#VALUE!</v>
      </c>
    </row>
    <row r="40" spans="1:8" x14ac:dyDescent="0.3">
      <c r="A40" s="46" t="s">
        <v>161</v>
      </c>
      <c r="B40" t="s">
        <v>105</v>
      </c>
      <c r="C40" s="145">
        <v>84</v>
      </c>
      <c r="D40" s="181" t="s">
        <v>650</v>
      </c>
      <c r="E40">
        <f>10^-5</f>
        <v>1.0000000000000001E-5</v>
      </c>
      <c r="F40" s="145">
        <f t="shared" si="1"/>
        <v>0.14285714285714285</v>
      </c>
      <c r="G40" t="e">
        <f t="shared" si="0"/>
        <v>#VALUE!</v>
      </c>
    </row>
    <row r="41" spans="1:8" x14ac:dyDescent="0.3">
      <c r="A41" s="46" t="s">
        <v>224</v>
      </c>
      <c r="B41" t="s">
        <v>65</v>
      </c>
      <c r="C41" s="185" t="s">
        <v>665</v>
      </c>
      <c r="D41" s="181">
        <v>0</v>
      </c>
      <c r="E41" t="s">
        <v>650</v>
      </c>
      <c r="F41" s="145" t="e">
        <f t="shared" si="1"/>
        <v>#VALUE!</v>
      </c>
      <c r="G41" t="e">
        <f t="shared" si="0"/>
        <v>#VALUE!</v>
      </c>
    </row>
    <row r="42" spans="1:8" x14ac:dyDescent="0.3">
      <c r="A42" s="46" t="s">
        <v>608</v>
      </c>
      <c r="B42" t="s">
        <v>105</v>
      </c>
      <c r="C42" s="145">
        <v>120</v>
      </c>
      <c r="D42" s="181" t="s">
        <v>650</v>
      </c>
      <c r="E42" t="s">
        <v>650</v>
      </c>
      <c r="F42" s="145">
        <f t="shared" si="1"/>
        <v>0.1</v>
      </c>
      <c r="G42" t="e">
        <f t="shared" si="0"/>
        <v>#VALUE!</v>
      </c>
    </row>
    <row r="43" spans="1:8" x14ac:dyDescent="0.3">
      <c r="A43" s="46" t="s">
        <v>611</v>
      </c>
      <c r="B43" t="s">
        <v>105</v>
      </c>
      <c r="C43" s="145" t="s">
        <v>669</v>
      </c>
      <c r="D43" s="181">
        <v>0</v>
      </c>
      <c r="E43" t="s">
        <v>650</v>
      </c>
      <c r="F43" s="145" t="e">
        <f t="shared" si="1"/>
        <v>#VALUE!</v>
      </c>
      <c r="G43" t="e">
        <f t="shared" si="0"/>
        <v>#VALUE!</v>
      </c>
    </row>
    <row r="44" spans="1:8" x14ac:dyDescent="0.3">
      <c r="A44" s="46" t="s">
        <v>196</v>
      </c>
      <c r="B44" t="s">
        <v>65</v>
      </c>
      <c r="C44" s="185" t="s">
        <v>665</v>
      </c>
      <c r="D44" s="181">
        <v>0</v>
      </c>
      <c r="E44" t="s">
        <v>650</v>
      </c>
      <c r="F44" s="145" t="e">
        <f t="shared" si="1"/>
        <v>#VALUE!</v>
      </c>
      <c r="G44" t="e">
        <f t="shared" si="0"/>
        <v>#VALUE!</v>
      </c>
    </row>
    <row r="45" spans="1:8" x14ac:dyDescent="0.3">
      <c r="A45" s="47" t="s">
        <v>309</v>
      </c>
      <c r="B45" t="s">
        <v>48</v>
      </c>
      <c r="C45" s="145" t="s">
        <v>670</v>
      </c>
      <c r="D45" s="181" t="s">
        <v>650</v>
      </c>
      <c r="E45" t="s">
        <v>650</v>
      </c>
      <c r="F45" s="145" t="e">
        <f t="shared" si="1"/>
        <v>#VALUE!</v>
      </c>
      <c r="G45" t="e">
        <f t="shared" si="0"/>
        <v>#VALUE!</v>
      </c>
      <c r="H45" t="s">
        <v>671</v>
      </c>
    </row>
    <row r="46" spans="1:8" x14ac:dyDescent="0.3">
      <c r="A46" s="47" t="s">
        <v>72</v>
      </c>
      <c r="B46" t="s">
        <v>48</v>
      </c>
      <c r="C46" s="145">
        <v>240</v>
      </c>
      <c r="D46" s="181" t="s">
        <v>650</v>
      </c>
      <c r="E46" t="s">
        <v>650</v>
      </c>
      <c r="F46" s="145">
        <f t="shared" si="1"/>
        <v>0.05</v>
      </c>
      <c r="G46" t="e">
        <f t="shared" si="0"/>
        <v>#VALUE!</v>
      </c>
    </row>
    <row r="47" spans="1:8" x14ac:dyDescent="0.3">
      <c r="A47" s="47" t="s">
        <v>47</v>
      </c>
      <c r="B47" t="s">
        <v>48</v>
      </c>
      <c r="C47" s="145" t="s">
        <v>672</v>
      </c>
      <c r="D47" s="181" t="s">
        <v>650</v>
      </c>
      <c r="E47" t="s">
        <v>650</v>
      </c>
      <c r="F47" s="145" t="e">
        <f t="shared" si="1"/>
        <v>#VALUE!</v>
      </c>
      <c r="G47" t="e">
        <f t="shared" si="0"/>
        <v>#VALUE!</v>
      </c>
    </row>
    <row r="48" spans="1:8" x14ac:dyDescent="0.3">
      <c r="A48" s="47" t="s">
        <v>203</v>
      </c>
      <c r="B48" t="s">
        <v>48</v>
      </c>
      <c r="C48" s="145" t="s">
        <v>665</v>
      </c>
      <c r="D48" s="181">
        <v>0</v>
      </c>
      <c r="E48" t="s">
        <v>650</v>
      </c>
      <c r="F48" s="145" t="e">
        <f t="shared" si="1"/>
        <v>#VALUE!</v>
      </c>
      <c r="G48" t="e">
        <f t="shared" si="0"/>
        <v>#VALUE!</v>
      </c>
    </row>
    <row r="49" spans="1:8" x14ac:dyDescent="0.3">
      <c r="A49" s="47" t="s">
        <v>77</v>
      </c>
      <c r="B49" t="s">
        <v>48</v>
      </c>
      <c r="C49" s="145" t="s">
        <v>673</v>
      </c>
      <c r="D49" s="181" t="s">
        <v>650</v>
      </c>
      <c r="E49" t="s">
        <v>650</v>
      </c>
      <c r="F49" s="145" t="e">
        <f t="shared" si="1"/>
        <v>#VALUE!</v>
      </c>
      <c r="G49" t="e">
        <f t="shared" si="0"/>
        <v>#VALUE!</v>
      </c>
    </row>
    <row r="50" spans="1:8" x14ac:dyDescent="0.3">
      <c r="A50" s="47" t="s">
        <v>184</v>
      </c>
      <c r="B50" t="s">
        <v>48</v>
      </c>
      <c r="C50" s="145">
        <v>16</v>
      </c>
      <c r="D50" s="181" t="s">
        <v>650</v>
      </c>
      <c r="E50" t="s">
        <v>650</v>
      </c>
      <c r="F50" s="145">
        <f t="shared" si="1"/>
        <v>0.75</v>
      </c>
      <c r="G50" t="e">
        <f t="shared" si="0"/>
        <v>#VALUE!</v>
      </c>
    </row>
    <row r="51" spans="1:8" x14ac:dyDescent="0.3">
      <c r="A51" s="47" t="s">
        <v>283</v>
      </c>
      <c r="B51" t="s">
        <v>48</v>
      </c>
      <c r="C51" s="145" t="s">
        <v>674</v>
      </c>
      <c r="D51" s="181" t="s">
        <v>650</v>
      </c>
      <c r="E51" t="s">
        <v>650</v>
      </c>
      <c r="F51" s="145" t="e">
        <f t="shared" si="1"/>
        <v>#VALUE!</v>
      </c>
      <c r="G51" t="e">
        <f t="shared" si="0"/>
        <v>#VALUE!</v>
      </c>
      <c r="H51" t="s">
        <v>675</v>
      </c>
    </row>
    <row r="52" spans="1:8" x14ac:dyDescent="0.3">
      <c r="A52" s="47" t="s">
        <v>247</v>
      </c>
      <c r="B52" t="s">
        <v>48</v>
      </c>
      <c r="C52" s="145">
        <v>300</v>
      </c>
      <c r="D52" s="181" t="s">
        <v>650</v>
      </c>
      <c r="E52" t="s">
        <v>650</v>
      </c>
      <c r="F52" s="145">
        <f t="shared" si="1"/>
        <v>0.04</v>
      </c>
      <c r="G52" t="e">
        <f t="shared" si="0"/>
        <v>#VALUE!</v>
      </c>
    </row>
    <row r="53" spans="1:8" x14ac:dyDescent="0.3">
      <c r="A53" s="46" t="s">
        <v>316</v>
      </c>
      <c r="B53" t="s">
        <v>65</v>
      </c>
      <c r="C53" s="145" t="s">
        <v>676</v>
      </c>
      <c r="D53" s="181">
        <v>0</v>
      </c>
      <c r="E53" t="s">
        <v>650</v>
      </c>
      <c r="F53" s="145" t="e">
        <f t="shared" si="1"/>
        <v>#VALUE!</v>
      </c>
      <c r="G53" t="e">
        <f t="shared" si="0"/>
        <v>#VALUE!</v>
      </c>
    </row>
    <row r="54" spans="1:8" x14ac:dyDescent="0.3">
      <c r="A54" s="46" t="s">
        <v>64</v>
      </c>
      <c r="B54" t="s">
        <v>65</v>
      </c>
      <c r="C54" s="145" t="s">
        <v>676</v>
      </c>
      <c r="D54" s="181">
        <v>0</v>
      </c>
      <c r="E54" t="s">
        <v>650</v>
      </c>
      <c r="F54" s="145" t="e">
        <f t="shared" si="1"/>
        <v>#VALUE!</v>
      </c>
      <c r="G54" t="e">
        <f t="shared" si="0"/>
        <v>#VALUE!</v>
      </c>
    </row>
    <row r="55" spans="1:8" x14ac:dyDescent="0.3">
      <c r="A55" s="46" t="s">
        <v>146</v>
      </c>
      <c r="B55" t="s">
        <v>65</v>
      </c>
      <c r="C55" s="145" t="s">
        <v>676</v>
      </c>
      <c r="D55" s="181">
        <v>0</v>
      </c>
      <c r="F55" s="145" t="e">
        <f t="shared" si="1"/>
        <v>#VALUE!</v>
      </c>
      <c r="G55" t="e">
        <f t="shared" si="0"/>
        <v>#VALUE!</v>
      </c>
    </row>
    <row r="56" spans="1:8" x14ac:dyDescent="0.3">
      <c r="A56" s="46" t="s">
        <v>127</v>
      </c>
      <c r="B56" t="s">
        <v>65</v>
      </c>
      <c r="C56" s="145">
        <v>96</v>
      </c>
      <c r="D56" s="181" t="s">
        <v>650</v>
      </c>
      <c r="E56" t="s">
        <v>650</v>
      </c>
      <c r="F56" s="145">
        <f t="shared" si="1"/>
        <v>0.125</v>
      </c>
      <c r="G56" t="e">
        <f t="shared" si="0"/>
        <v>#VALUE!</v>
      </c>
    </row>
    <row r="57" spans="1:8" x14ac:dyDescent="0.3">
      <c r="A57" s="46" t="s">
        <v>269</v>
      </c>
      <c r="B57" t="s">
        <v>105</v>
      </c>
      <c r="C57" s="145" t="s">
        <v>677</v>
      </c>
      <c r="D57" s="181">
        <v>10</v>
      </c>
      <c r="F57" s="145" t="e">
        <f t="shared" si="1"/>
        <v>#VALUE!</v>
      </c>
      <c r="G57" t="e">
        <f t="shared" si="0"/>
        <v>#VALUE!</v>
      </c>
    </row>
    <row r="58" spans="1:8" x14ac:dyDescent="0.3">
      <c r="A58" s="46" t="s">
        <v>188</v>
      </c>
      <c r="B58" t="s">
        <v>105</v>
      </c>
      <c r="C58" s="145" t="s">
        <v>678</v>
      </c>
      <c r="D58" s="181">
        <v>0</v>
      </c>
      <c r="F58" s="145" t="e">
        <f t="shared" si="1"/>
        <v>#VALUE!</v>
      </c>
      <c r="G58" t="e">
        <f t="shared" si="0"/>
        <v>#VALUE!</v>
      </c>
    </row>
    <row r="59" spans="1:8" x14ac:dyDescent="0.3">
      <c r="A59" s="46" t="s">
        <v>112</v>
      </c>
      <c r="B59" t="s">
        <v>105</v>
      </c>
      <c r="C59" s="145" t="s">
        <v>679</v>
      </c>
      <c r="D59" s="181">
        <v>0</v>
      </c>
      <c r="E59" t="s">
        <v>650</v>
      </c>
      <c r="F59" s="145" t="e">
        <f t="shared" si="1"/>
        <v>#VALUE!</v>
      </c>
      <c r="G59" t="e">
        <f t="shared" si="0"/>
        <v>#VALUE!</v>
      </c>
    </row>
    <row r="60" spans="1:8" x14ac:dyDescent="0.3">
      <c r="A60" s="46" t="s">
        <v>227</v>
      </c>
      <c r="B60" t="s">
        <v>65</v>
      </c>
      <c r="C60" s="145" t="s">
        <v>676</v>
      </c>
      <c r="D60" s="181">
        <v>0</v>
      </c>
      <c r="E60" t="s">
        <v>650</v>
      </c>
      <c r="F60" s="145" t="e">
        <f t="shared" si="1"/>
        <v>#VALUE!</v>
      </c>
      <c r="G60" t="e">
        <f t="shared" si="0"/>
        <v>#VALUE!</v>
      </c>
    </row>
    <row r="61" spans="1:8" x14ac:dyDescent="0.3">
      <c r="A61" s="46" t="s">
        <v>631</v>
      </c>
      <c r="B61" t="s">
        <v>105</v>
      </c>
      <c r="C61" s="145">
        <v>240</v>
      </c>
      <c r="D61" s="181" t="s">
        <v>650</v>
      </c>
      <c r="E61" t="s">
        <v>650</v>
      </c>
      <c r="F61" s="145">
        <f t="shared" si="1"/>
        <v>0.05</v>
      </c>
      <c r="G61" t="e">
        <f t="shared" si="0"/>
        <v>#VALUE!</v>
      </c>
    </row>
    <row r="62" spans="1:8" x14ac:dyDescent="0.3">
      <c r="A62" s="46" t="s">
        <v>179</v>
      </c>
      <c r="B62" t="s">
        <v>105</v>
      </c>
      <c r="C62" s="145" t="s">
        <v>676</v>
      </c>
      <c r="D62" s="181">
        <v>0</v>
      </c>
      <c r="E62" t="s">
        <v>650</v>
      </c>
      <c r="F62" s="145" t="e">
        <f t="shared" si="1"/>
        <v>#VALUE!</v>
      </c>
      <c r="G62" t="e">
        <f t="shared" si="0"/>
        <v>#VALUE!</v>
      </c>
    </row>
    <row r="63" spans="1:8" x14ac:dyDescent="0.3">
      <c r="A63" s="46" t="s">
        <v>104</v>
      </c>
      <c r="B63" t="s">
        <v>105</v>
      </c>
      <c r="C63" s="145">
        <v>144</v>
      </c>
      <c r="D63" s="181">
        <v>12</v>
      </c>
      <c r="E63" t="s">
        <v>650</v>
      </c>
      <c r="F63" s="145">
        <f t="shared" si="1"/>
        <v>8.3333333333333329E-2</v>
      </c>
      <c r="G63">
        <f t="shared" si="0"/>
        <v>24</v>
      </c>
    </row>
    <row r="64" spans="1:8" x14ac:dyDescent="0.3">
      <c r="A64" s="46" t="s">
        <v>155</v>
      </c>
      <c r="B64" t="s">
        <v>65</v>
      </c>
      <c r="C64" s="145">
        <f>660/12</f>
        <v>55</v>
      </c>
      <c r="D64" s="181" t="s">
        <v>650</v>
      </c>
      <c r="E64" t="s">
        <v>650</v>
      </c>
      <c r="F64" s="145">
        <f t="shared" si="1"/>
        <v>0.21818181818181817</v>
      </c>
      <c r="G64" t="e">
        <f t="shared" si="0"/>
        <v>#VALUE!</v>
      </c>
    </row>
    <row r="65" spans="1:7" x14ac:dyDescent="0.3">
      <c r="A65" s="46" t="s">
        <v>149</v>
      </c>
      <c r="B65" t="s">
        <v>65</v>
      </c>
      <c r="C65" s="145" t="s">
        <v>676</v>
      </c>
      <c r="D65" s="181">
        <v>0</v>
      </c>
      <c r="E65" t="s">
        <v>650</v>
      </c>
      <c r="F65" s="145" t="e">
        <f t="shared" si="1"/>
        <v>#VALUE!</v>
      </c>
      <c r="G65" t="e">
        <f t="shared" si="0"/>
        <v>#VALUE!</v>
      </c>
    </row>
  </sheetData>
  <dataValidations count="1">
    <dataValidation allowBlank="1" showInputMessage="1" showErrorMessage="1" sqref="B3:B65" xr:uid="{6302669A-514B-4ED9-B1AB-ACA6B77507C5}"/>
  </dataValidation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2D19A6-958C-47E4-ABFD-8004255D6935}">
  <dimension ref="A1:H65"/>
  <sheetViews>
    <sheetView topLeftCell="A36" zoomScale="85" zoomScaleNormal="85" workbookViewId="0">
      <selection activeCell="C68" sqref="C68"/>
    </sheetView>
  </sheetViews>
  <sheetFormatPr baseColWidth="10" defaultColWidth="8.88671875" defaultRowHeight="14.4" x14ac:dyDescent="0.3"/>
  <cols>
    <col min="1" max="1" width="32.44140625" bestFit="1" customWidth="1"/>
    <col min="2" max="2" width="10.109375" style="102" bestFit="1" customWidth="1"/>
    <col min="3" max="3" width="12" style="94" bestFit="1" customWidth="1"/>
    <col min="4" max="4" width="63.33203125" bestFit="1" customWidth="1"/>
    <col min="5" max="5" width="18" customWidth="1"/>
    <col min="8" max="8" width="9.6640625" bestFit="1" customWidth="1"/>
    <col min="10" max="10" width="9.88671875" customWidth="1"/>
    <col min="11" max="11" width="10.33203125" customWidth="1"/>
  </cols>
  <sheetData>
    <row r="1" spans="1:8" x14ac:dyDescent="0.3">
      <c r="A1" s="43" t="s">
        <v>7</v>
      </c>
      <c r="B1" s="101" t="s">
        <v>680</v>
      </c>
      <c r="C1" s="110" t="s">
        <v>337</v>
      </c>
      <c r="D1" s="43" t="s">
        <v>681</v>
      </c>
      <c r="E1" t="s">
        <v>682</v>
      </c>
    </row>
    <row r="2" spans="1:8" ht="16.2" customHeight="1" x14ac:dyDescent="0.3">
      <c r="A2" s="103" t="s">
        <v>39</v>
      </c>
      <c r="B2" s="104" t="s">
        <v>683</v>
      </c>
      <c r="C2" s="103" t="s">
        <v>46</v>
      </c>
      <c r="D2" s="103" t="s">
        <v>684</v>
      </c>
    </row>
    <row r="3" spans="1:8" x14ac:dyDescent="0.3">
      <c r="A3" s="105" t="s">
        <v>56</v>
      </c>
      <c r="B3" s="106">
        <v>200000</v>
      </c>
      <c r="C3" s="111">
        <v>2.5</v>
      </c>
      <c r="D3" s="107"/>
      <c r="H3" s="112" t="s">
        <v>685</v>
      </c>
    </row>
    <row r="4" spans="1:8" x14ac:dyDescent="0.3">
      <c r="A4" s="105" t="s">
        <v>100</v>
      </c>
      <c r="B4" s="106">
        <v>36000</v>
      </c>
      <c r="C4" s="111">
        <f t="shared" ref="C4:C64" si="0">7.5/(B4/20000)</f>
        <v>4.166666666666667</v>
      </c>
      <c r="D4" s="107"/>
      <c r="H4" t="s">
        <v>686</v>
      </c>
    </row>
    <row r="5" spans="1:8" x14ac:dyDescent="0.3">
      <c r="A5" s="105" t="s">
        <v>256</v>
      </c>
      <c r="B5" s="106">
        <v>28000</v>
      </c>
      <c r="C5" s="111">
        <f t="shared" si="0"/>
        <v>5.3571428571428577</v>
      </c>
      <c r="D5" s="107"/>
    </row>
    <row r="6" spans="1:8" x14ac:dyDescent="0.3">
      <c r="A6" s="105" t="s">
        <v>305</v>
      </c>
      <c r="B6" s="106">
        <v>140000</v>
      </c>
      <c r="C6" s="111">
        <v>2.5</v>
      </c>
      <c r="D6" s="107"/>
      <c r="H6" s="102"/>
    </row>
    <row r="7" spans="1:8" x14ac:dyDescent="0.3">
      <c r="A7" s="105" t="s">
        <v>231</v>
      </c>
      <c r="B7" s="106">
        <f>90000/4</f>
        <v>22500</v>
      </c>
      <c r="C7" s="111">
        <f t="shared" si="0"/>
        <v>6.666666666666667</v>
      </c>
      <c r="D7" s="107" t="s">
        <v>687</v>
      </c>
    </row>
    <row r="8" spans="1:8" x14ac:dyDescent="0.3">
      <c r="A8" s="105" t="s">
        <v>143</v>
      </c>
      <c r="B8" s="106">
        <v>1150</v>
      </c>
      <c r="C8" s="111">
        <v>7.5</v>
      </c>
      <c r="D8" s="107"/>
      <c r="H8" s="102"/>
    </row>
    <row r="9" spans="1:8" x14ac:dyDescent="0.3">
      <c r="A9" s="105" t="s">
        <v>83</v>
      </c>
      <c r="B9" s="106">
        <v>9800</v>
      </c>
      <c r="C9" s="111">
        <v>7.5</v>
      </c>
      <c r="D9" s="107"/>
      <c r="H9" s="102"/>
    </row>
    <row r="10" spans="1:8" x14ac:dyDescent="0.3">
      <c r="A10" s="105" t="s">
        <v>236</v>
      </c>
      <c r="B10" s="106">
        <v>40000</v>
      </c>
      <c r="C10" s="111">
        <f t="shared" si="0"/>
        <v>3.75</v>
      </c>
      <c r="D10" s="107"/>
    </row>
    <row r="11" spans="1:8" x14ac:dyDescent="0.3">
      <c r="A11" s="105" t="s">
        <v>302</v>
      </c>
      <c r="B11" s="106">
        <v>40000</v>
      </c>
      <c r="C11" s="111">
        <f t="shared" si="0"/>
        <v>3.75</v>
      </c>
      <c r="D11" s="107"/>
    </row>
    <row r="12" spans="1:8" x14ac:dyDescent="0.3">
      <c r="A12" s="105" t="s">
        <v>252</v>
      </c>
      <c r="B12" s="106">
        <v>90000</v>
      </c>
      <c r="C12" s="111">
        <v>2.5</v>
      </c>
      <c r="D12" s="107"/>
    </row>
    <row r="13" spans="1:8" x14ac:dyDescent="0.3">
      <c r="A13" s="105" t="s">
        <v>221</v>
      </c>
      <c r="B13" s="106">
        <v>2023</v>
      </c>
      <c r="C13" s="111">
        <v>7.5</v>
      </c>
      <c r="D13" s="107"/>
    </row>
    <row r="14" spans="1:8" x14ac:dyDescent="0.3">
      <c r="A14" s="105" t="s">
        <v>313</v>
      </c>
      <c r="B14" s="106">
        <v>65000</v>
      </c>
      <c r="C14" s="111">
        <v>2.5</v>
      </c>
      <c r="D14" s="107"/>
    </row>
    <row r="15" spans="1:8" x14ac:dyDescent="0.3">
      <c r="A15" s="105" t="s">
        <v>158</v>
      </c>
      <c r="B15" s="106">
        <v>4900</v>
      </c>
      <c r="C15" s="111">
        <v>7.5</v>
      </c>
      <c r="D15" s="107"/>
    </row>
    <row r="16" spans="1:8" x14ac:dyDescent="0.3">
      <c r="A16" s="105" t="s">
        <v>287</v>
      </c>
      <c r="B16" s="106">
        <v>2000</v>
      </c>
      <c r="C16" s="111">
        <v>7.5</v>
      </c>
      <c r="D16" s="107"/>
    </row>
    <row r="17" spans="1:4" x14ac:dyDescent="0.3">
      <c r="A17" s="105" t="s">
        <v>240</v>
      </c>
      <c r="B17" s="106">
        <v>100000</v>
      </c>
      <c r="C17" s="111">
        <v>2.5</v>
      </c>
      <c r="D17" s="107"/>
    </row>
    <row r="18" spans="1:4" x14ac:dyDescent="0.3">
      <c r="A18" s="105" t="s">
        <v>177</v>
      </c>
      <c r="B18" s="106">
        <v>9000</v>
      </c>
      <c r="C18" s="111">
        <v>7.5</v>
      </c>
      <c r="D18" s="107"/>
    </row>
    <row r="19" spans="1:4" x14ac:dyDescent="0.3">
      <c r="A19" s="105" t="s">
        <v>218</v>
      </c>
      <c r="B19" s="106">
        <v>3500</v>
      </c>
      <c r="C19" s="111">
        <v>7.5</v>
      </c>
      <c r="D19" s="107" t="s">
        <v>688</v>
      </c>
    </row>
    <row r="20" spans="1:4" x14ac:dyDescent="0.3">
      <c r="A20" s="105" t="s">
        <v>89</v>
      </c>
      <c r="B20" s="106">
        <v>21000</v>
      </c>
      <c r="C20" s="111">
        <f t="shared" si="0"/>
        <v>7.1428571428571423</v>
      </c>
      <c r="D20" s="107"/>
    </row>
    <row r="21" spans="1:4" x14ac:dyDescent="0.3">
      <c r="A21" s="105" t="s">
        <v>213</v>
      </c>
      <c r="B21" s="106">
        <v>157000</v>
      </c>
      <c r="C21" s="111">
        <v>2.5</v>
      </c>
      <c r="D21" s="107"/>
    </row>
    <row r="22" spans="1:4" x14ac:dyDescent="0.3">
      <c r="A22" s="105" t="s">
        <v>166</v>
      </c>
      <c r="B22" s="108"/>
      <c r="C22" s="111">
        <v>5</v>
      </c>
      <c r="D22" s="107"/>
    </row>
    <row r="23" spans="1:4" x14ac:dyDescent="0.3">
      <c r="A23" s="105" t="s">
        <v>174</v>
      </c>
      <c r="B23" s="106">
        <v>22500</v>
      </c>
      <c r="C23" s="111">
        <f t="shared" si="0"/>
        <v>6.666666666666667</v>
      </c>
      <c r="D23" s="107"/>
    </row>
    <row r="24" spans="1:4" x14ac:dyDescent="0.3">
      <c r="A24" s="105" t="s">
        <v>117</v>
      </c>
      <c r="B24" s="106">
        <v>100000</v>
      </c>
      <c r="C24" s="111">
        <v>2.5</v>
      </c>
      <c r="D24" s="107"/>
    </row>
    <row r="25" spans="1:4" x14ac:dyDescent="0.3">
      <c r="A25" s="105" t="s">
        <v>215</v>
      </c>
      <c r="B25" s="108"/>
      <c r="C25" s="111">
        <v>5</v>
      </c>
      <c r="D25" s="107"/>
    </row>
    <row r="26" spans="1:4" x14ac:dyDescent="0.3">
      <c r="A26" s="105" t="s">
        <v>95</v>
      </c>
      <c r="B26" s="108"/>
      <c r="C26" s="111">
        <v>5</v>
      </c>
      <c r="D26" s="107"/>
    </row>
    <row r="27" spans="1:4" x14ac:dyDescent="0.3">
      <c r="A27" s="105" t="s">
        <v>274</v>
      </c>
      <c r="B27" s="106">
        <v>36000</v>
      </c>
      <c r="C27" s="111">
        <f t="shared" si="0"/>
        <v>4.166666666666667</v>
      </c>
      <c r="D27" s="107"/>
    </row>
    <row r="28" spans="1:4" x14ac:dyDescent="0.3">
      <c r="A28" s="105" t="s">
        <v>279</v>
      </c>
      <c r="B28" s="106">
        <v>10000</v>
      </c>
      <c r="C28" s="111">
        <v>7.5</v>
      </c>
      <c r="D28" s="107"/>
    </row>
    <row r="29" spans="1:4" x14ac:dyDescent="0.3">
      <c r="A29" s="105" t="s">
        <v>153</v>
      </c>
      <c r="B29" s="106">
        <v>256100</v>
      </c>
      <c r="C29" s="111">
        <v>2.5</v>
      </c>
      <c r="D29" s="107"/>
    </row>
    <row r="30" spans="1:4" x14ac:dyDescent="0.3">
      <c r="A30" s="105" t="s">
        <v>191</v>
      </c>
      <c r="B30" s="108"/>
      <c r="C30" s="111">
        <v>5</v>
      </c>
      <c r="D30" s="107" t="s">
        <v>689</v>
      </c>
    </row>
    <row r="31" spans="1:4" x14ac:dyDescent="0.3">
      <c r="A31" s="105" t="s">
        <v>297</v>
      </c>
      <c r="B31" s="108"/>
      <c r="C31" s="111">
        <v>5</v>
      </c>
      <c r="D31" s="107"/>
    </row>
    <row r="32" spans="1:4" x14ac:dyDescent="0.3">
      <c r="A32" s="105" t="s">
        <v>170</v>
      </c>
      <c r="B32" s="106">
        <v>150</v>
      </c>
      <c r="C32" s="111">
        <v>7.5</v>
      </c>
      <c r="D32" s="107"/>
    </row>
    <row r="33" spans="1:4" x14ac:dyDescent="0.3">
      <c r="A33" s="105" t="s">
        <v>135</v>
      </c>
      <c r="B33" s="106">
        <f>62500/4</f>
        <v>15625</v>
      </c>
      <c r="C33" s="111">
        <v>7.5</v>
      </c>
      <c r="D33" s="107" t="s">
        <v>690</v>
      </c>
    </row>
    <row r="34" spans="1:4" x14ac:dyDescent="0.3">
      <c r="A34" s="105" t="s">
        <v>200</v>
      </c>
      <c r="B34" s="108"/>
      <c r="C34" s="111">
        <v>5</v>
      </c>
      <c r="D34" s="107"/>
    </row>
    <row r="35" spans="1:4" x14ac:dyDescent="0.3">
      <c r="A35" s="105" t="s">
        <v>243</v>
      </c>
      <c r="B35" s="106">
        <v>8000</v>
      </c>
      <c r="C35" s="111">
        <v>7.5</v>
      </c>
      <c r="D35" s="107"/>
    </row>
    <row r="36" spans="1:4" x14ac:dyDescent="0.3">
      <c r="A36" s="105" t="s">
        <v>139</v>
      </c>
      <c r="B36" s="106">
        <v>9110</v>
      </c>
      <c r="C36" s="111">
        <v>7.5</v>
      </c>
      <c r="D36" s="107"/>
    </row>
    <row r="37" spans="1:4" x14ac:dyDescent="0.3">
      <c r="A37" s="105" t="s">
        <v>292</v>
      </c>
      <c r="B37" s="106">
        <v>10854</v>
      </c>
      <c r="C37" s="111">
        <v>7.5</v>
      </c>
      <c r="D37" s="107"/>
    </row>
    <row r="38" spans="1:4" x14ac:dyDescent="0.3">
      <c r="A38" s="105" t="s">
        <v>121</v>
      </c>
      <c r="B38" s="106">
        <f>90000/4</f>
        <v>22500</v>
      </c>
      <c r="C38" s="111">
        <f t="shared" si="0"/>
        <v>6.666666666666667</v>
      </c>
      <c r="D38" s="107" t="s">
        <v>691</v>
      </c>
    </row>
    <row r="39" spans="1:4" x14ac:dyDescent="0.3">
      <c r="A39" s="105" t="s">
        <v>130</v>
      </c>
      <c r="B39" s="106">
        <v>5000</v>
      </c>
      <c r="C39" s="111">
        <f t="shared" si="0"/>
        <v>30</v>
      </c>
      <c r="D39" s="107"/>
    </row>
    <row r="40" spans="1:4" x14ac:dyDescent="0.3">
      <c r="A40" s="105" t="s">
        <v>161</v>
      </c>
      <c r="B40" s="106">
        <v>45000</v>
      </c>
      <c r="C40" s="111">
        <f t="shared" si="0"/>
        <v>3.3333333333333335</v>
      </c>
      <c r="D40" s="107"/>
    </row>
    <row r="41" spans="1:4" x14ac:dyDescent="0.3">
      <c r="A41" s="105" t="s">
        <v>224</v>
      </c>
      <c r="B41" s="106">
        <v>4200</v>
      </c>
      <c r="C41" s="111">
        <v>7.5</v>
      </c>
      <c r="D41" s="107" t="s">
        <v>692</v>
      </c>
    </row>
    <row r="42" spans="1:4" x14ac:dyDescent="0.3">
      <c r="A42" s="105" t="s">
        <v>259</v>
      </c>
      <c r="B42" s="106">
        <v>40000</v>
      </c>
      <c r="C42" s="111">
        <f t="shared" si="0"/>
        <v>3.75</v>
      </c>
      <c r="D42" s="107"/>
    </row>
    <row r="43" spans="1:4" x14ac:dyDescent="0.3">
      <c r="A43" s="105" t="s">
        <v>208</v>
      </c>
      <c r="B43" s="106">
        <v>45000</v>
      </c>
      <c r="C43" s="111">
        <f t="shared" si="0"/>
        <v>3.3333333333333335</v>
      </c>
      <c r="D43" s="107"/>
    </row>
    <row r="44" spans="1:4" x14ac:dyDescent="0.3">
      <c r="A44" s="105" t="s">
        <v>196</v>
      </c>
      <c r="B44" s="108"/>
      <c r="C44" s="111">
        <v>5</v>
      </c>
      <c r="D44" s="107" t="s">
        <v>693</v>
      </c>
    </row>
    <row r="45" spans="1:4" x14ac:dyDescent="0.3">
      <c r="A45" s="109" t="s">
        <v>309</v>
      </c>
      <c r="B45" s="106">
        <v>40000</v>
      </c>
      <c r="C45" s="111">
        <f t="shared" si="0"/>
        <v>3.75</v>
      </c>
      <c r="D45" s="107" t="s">
        <v>694</v>
      </c>
    </row>
    <row r="46" spans="1:4" x14ac:dyDescent="0.3">
      <c r="A46" s="109" t="s">
        <v>72</v>
      </c>
      <c r="B46" s="106">
        <v>56000</v>
      </c>
      <c r="C46" s="111">
        <f t="shared" si="0"/>
        <v>2.6785714285714288</v>
      </c>
      <c r="D46" s="107"/>
    </row>
    <row r="47" spans="1:4" x14ac:dyDescent="0.3">
      <c r="A47" s="109" t="s">
        <v>47</v>
      </c>
      <c r="B47" s="106">
        <v>157000</v>
      </c>
      <c r="C47" s="111">
        <v>2.5</v>
      </c>
      <c r="D47" s="107"/>
    </row>
    <row r="48" spans="1:4" x14ac:dyDescent="0.3">
      <c r="A48" s="109" t="s">
        <v>203</v>
      </c>
      <c r="B48" s="108"/>
      <c r="C48" s="111">
        <v>5</v>
      </c>
      <c r="D48" s="107"/>
    </row>
    <row r="49" spans="1:4" x14ac:dyDescent="0.3">
      <c r="A49" s="109" t="s">
        <v>77</v>
      </c>
      <c r="B49" s="106">
        <v>6400</v>
      </c>
      <c r="C49" s="111">
        <v>7.5</v>
      </c>
      <c r="D49" s="107"/>
    </row>
    <row r="50" spans="1:4" x14ac:dyDescent="0.3">
      <c r="A50" s="109" t="s">
        <v>184</v>
      </c>
      <c r="B50" s="106">
        <v>1100</v>
      </c>
      <c r="C50" s="111">
        <v>7.5</v>
      </c>
      <c r="D50" s="107" t="s">
        <v>695</v>
      </c>
    </row>
    <row r="51" spans="1:4" x14ac:dyDescent="0.3">
      <c r="A51" s="109" t="s">
        <v>283</v>
      </c>
      <c r="B51" s="106">
        <v>150000</v>
      </c>
      <c r="C51" s="111">
        <v>2.5</v>
      </c>
      <c r="D51" s="107"/>
    </row>
    <row r="52" spans="1:4" x14ac:dyDescent="0.3">
      <c r="A52" s="109" t="s">
        <v>247</v>
      </c>
      <c r="B52" s="106">
        <v>20000</v>
      </c>
      <c r="C52" s="111">
        <f t="shared" si="0"/>
        <v>7.5</v>
      </c>
      <c r="D52" s="107" t="s">
        <v>696</v>
      </c>
    </row>
    <row r="53" spans="1:4" x14ac:dyDescent="0.3">
      <c r="A53" s="105" t="s">
        <v>316</v>
      </c>
      <c r="B53" s="106">
        <v>32725</v>
      </c>
      <c r="C53" s="111">
        <f t="shared" si="0"/>
        <v>4.5836516424751723</v>
      </c>
      <c r="D53" s="107" t="s">
        <v>697</v>
      </c>
    </row>
    <row r="54" spans="1:4" x14ac:dyDescent="0.3">
      <c r="A54" s="105" t="s">
        <v>64</v>
      </c>
      <c r="B54" s="108"/>
      <c r="C54" s="111">
        <v>5</v>
      </c>
      <c r="D54" s="107" t="s">
        <v>698</v>
      </c>
    </row>
    <row r="55" spans="1:4" x14ac:dyDescent="0.3">
      <c r="A55" s="105" t="s">
        <v>146</v>
      </c>
      <c r="B55" s="106">
        <v>5000</v>
      </c>
      <c r="C55" s="111">
        <v>7.5</v>
      </c>
      <c r="D55" s="107" t="s">
        <v>699</v>
      </c>
    </row>
    <row r="56" spans="1:4" x14ac:dyDescent="0.3">
      <c r="A56" s="105" t="s">
        <v>127</v>
      </c>
      <c r="B56" s="106">
        <f>38000/4</f>
        <v>9500</v>
      </c>
      <c r="C56" s="111">
        <v>7.5</v>
      </c>
      <c r="D56" s="107" t="s">
        <v>700</v>
      </c>
    </row>
    <row r="57" spans="1:4" x14ac:dyDescent="0.3">
      <c r="A57" s="105" t="s">
        <v>269</v>
      </c>
      <c r="B57" s="106">
        <v>22500</v>
      </c>
      <c r="C57" s="111">
        <f t="shared" si="0"/>
        <v>6.666666666666667</v>
      </c>
      <c r="D57" s="107"/>
    </row>
    <row r="58" spans="1:4" x14ac:dyDescent="0.3">
      <c r="A58" s="105" t="s">
        <v>188</v>
      </c>
      <c r="B58" s="108"/>
      <c r="C58" s="111">
        <v>5</v>
      </c>
      <c r="D58" s="107"/>
    </row>
    <row r="59" spans="1:4" x14ac:dyDescent="0.3">
      <c r="A59" s="105" t="s">
        <v>112</v>
      </c>
      <c r="B59" s="106">
        <v>2500</v>
      </c>
      <c r="C59" s="111">
        <v>7.5</v>
      </c>
      <c r="D59" s="107"/>
    </row>
    <row r="60" spans="1:4" x14ac:dyDescent="0.3">
      <c r="A60" s="105" t="s">
        <v>227</v>
      </c>
      <c r="B60" s="106">
        <v>24000</v>
      </c>
      <c r="C60" s="111">
        <f t="shared" si="0"/>
        <v>6.25</v>
      </c>
      <c r="D60" s="107"/>
    </row>
    <row r="61" spans="1:4" x14ac:dyDescent="0.3">
      <c r="A61" s="105" t="s">
        <v>263</v>
      </c>
      <c r="B61" s="106">
        <v>100</v>
      </c>
      <c r="C61" s="111">
        <v>7.5</v>
      </c>
      <c r="D61" s="107" t="s">
        <v>701</v>
      </c>
    </row>
    <row r="62" spans="1:4" x14ac:dyDescent="0.3">
      <c r="A62" s="105" t="s">
        <v>179</v>
      </c>
      <c r="B62" s="108"/>
      <c r="C62" s="111">
        <v>5</v>
      </c>
      <c r="D62" s="107"/>
    </row>
    <row r="63" spans="1:4" x14ac:dyDescent="0.3">
      <c r="A63" s="105" t="s">
        <v>104</v>
      </c>
      <c r="B63" s="106">
        <v>5000</v>
      </c>
      <c r="C63" s="111">
        <v>7.5</v>
      </c>
      <c r="D63" s="107" t="s">
        <v>702</v>
      </c>
    </row>
    <row r="64" spans="1:4" x14ac:dyDescent="0.3">
      <c r="A64" s="105" t="s">
        <v>155</v>
      </c>
      <c r="B64" s="106">
        <v>60000</v>
      </c>
      <c r="C64" s="111">
        <f t="shared" si="0"/>
        <v>2.5</v>
      </c>
      <c r="D64" s="107"/>
    </row>
    <row r="65" spans="1:4" x14ac:dyDescent="0.3">
      <c r="A65" s="105" t="s">
        <v>149</v>
      </c>
      <c r="B65" s="106">
        <v>13000</v>
      </c>
      <c r="C65" s="111">
        <v>7.5</v>
      </c>
      <c r="D65" s="107"/>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2796B6-72DF-48DD-B28F-83805C41DE83}">
  <dimension ref="A1:R70"/>
  <sheetViews>
    <sheetView zoomScale="76" zoomScaleNormal="85" workbookViewId="0">
      <selection activeCell="J3" sqref="J3"/>
    </sheetView>
  </sheetViews>
  <sheetFormatPr baseColWidth="10" defaultColWidth="11.44140625" defaultRowHeight="14.4" x14ac:dyDescent="0.3"/>
  <cols>
    <col min="1" max="1" width="30.109375" style="100" bestFit="1" customWidth="1"/>
    <col min="2" max="2" width="17.5546875" style="121" customWidth="1"/>
    <col min="3" max="3" width="14.6640625" style="100" bestFit="1" customWidth="1"/>
    <col min="5" max="5" width="17.44140625" style="100" bestFit="1" customWidth="1"/>
    <col min="6" max="6" width="14.5546875" style="121" bestFit="1" customWidth="1"/>
    <col min="7" max="7" width="14.44140625" style="121" bestFit="1" customWidth="1"/>
    <col min="8" max="8" width="16.33203125" style="121" bestFit="1" customWidth="1"/>
    <col min="9" max="9" width="16.6640625" style="100" bestFit="1" customWidth="1"/>
    <col min="10" max="12" width="11.44140625" style="100"/>
    <col min="13" max="13" width="55.33203125" style="100" bestFit="1" customWidth="1"/>
    <col min="14" max="16384" width="11.44140625" style="100"/>
  </cols>
  <sheetData>
    <row r="1" spans="1:18" ht="28.8" x14ac:dyDescent="0.3">
      <c r="A1" s="99" t="s">
        <v>7</v>
      </c>
      <c r="B1" s="114" t="s">
        <v>703</v>
      </c>
      <c r="C1" s="115" t="s">
        <v>704</v>
      </c>
      <c r="D1" s="115" t="s">
        <v>705</v>
      </c>
      <c r="E1" s="115" t="s">
        <v>706</v>
      </c>
      <c r="F1" s="114" t="s">
        <v>17</v>
      </c>
      <c r="G1" s="116" t="s">
        <v>707</v>
      </c>
      <c r="H1" s="114" t="s">
        <v>708</v>
      </c>
      <c r="I1" s="115" t="s">
        <v>709</v>
      </c>
      <c r="J1" s="115" t="s">
        <v>337</v>
      </c>
    </row>
    <row r="2" spans="1:18" ht="14.4" customHeight="1" thickBot="1" x14ac:dyDescent="0.35">
      <c r="A2" s="117" t="s">
        <v>39</v>
      </c>
      <c r="B2" s="117"/>
      <c r="C2" s="118" t="s">
        <v>710</v>
      </c>
      <c r="D2" s="118" t="s">
        <v>711</v>
      </c>
      <c r="E2" s="118" t="s">
        <v>712</v>
      </c>
      <c r="F2" s="118" t="s">
        <v>40</v>
      </c>
      <c r="G2" s="118" t="s">
        <v>710</v>
      </c>
      <c r="H2" s="118" t="s">
        <v>712</v>
      </c>
      <c r="I2" s="118" t="s">
        <v>712</v>
      </c>
      <c r="J2" s="118" t="s">
        <v>46</v>
      </c>
    </row>
    <row r="3" spans="1:18" ht="14.4" customHeight="1" thickTop="1" x14ac:dyDescent="0.3">
      <c r="A3" s="119" t="s">
        <v>56</v>
      </c>
      <c r="B3" s="120">
        <v>52</v>
      </c>
      <c r="C3" s="121">
        <f>(B3*24)*1000</f>
        <v>1248000</v>
      </c>
      <c r="D3" s="100">
        <f>H3/C3</f>
        <v>49.573317307692307</v>
      </c>
      <c r="E3" s="100">
        <f t="shared" ref="E3:E34" si="0">B3*99274.88987</f>
        <v>5162294.27324</v>
      </c>
      <c r="F3" s="122">
        <v>125</v>
      </c>
      <c r="G3" s="121">
        <f>F3*365*24</f>
        <v>1095000</v>
      </c>
      <c r="H3" s="121">
        <f>G3*56.5</f>
        <v>61867500</v>
      </c>
      <c r="I3" s="100">
        <f>H3-E3</f>
        <v>56705205.72676</v>
      </c>
      <c r="J3" s="100">
        <f>(I3/$M$18)*10</f>
        <v>1.4376446044936135</v>
      </c>
      <c r="M3" s="100" t="s">
        <v>713</v>
      </c>
    </row>
    <row r="4" spans="1:18" x14ac:dyDescent="0.3">
      <c r="A4" s="119" t="s">
        <v>100</v>
      </c>
      <c r="B4" s="120">
        <v>24</v>
      </c>
      <c r="C4" s="121">
        <f t="shared" ref="C4:C66" si="1">(B4*24)*1000</f>
        <v>576000</v>
      </c>
      <c r="D4" s="100">
        <f t="shared" ref="D4:D66" si="2">H4/C4</f>
        <v>25.778124999999999</v>
      </c>
      <c r="E4" s="100">
        <f t="shared" si="0"/>
        <v>2382597.3568799999</v>
      </c>
      <c r="F4" s="122">
        <v>30</v>
      </c>
      <c r="G4" s="121">
        <f t="shared" ref="G4:G65" si="3">F4*365*24</f>
        <v>262800</v>
      </c>
      <c r="H4" s="121">
        <f t="shared" ref="H4:H65" si="4">G4*56.5</f>
        <v>14848200</v>
      </c>
      <c r="I4" s="100">
        <f t="shared" ref="I4:I66" si="5">H4-E4</f>
        <v>12465602.64312</v>
      </c>
      <c r="J4" s="100">
        <f t="shared" ref="J4:J6" si="6">(I4/$M$18)*10</f>
        <v>0.31603987944241901</v>
      </c>
      <c r="M4" s="100" t="s">
        <v>714</v>
      </c>
      <c r="R4" s="100" t="s">
        <v>715</v>
      </c>
    </row>
    <row r="5" spans="1:18" x14ac:dyDescent="0.3">
      <c r="A5" s="119" t="s">
        <v>256</v>
      </c>
      <c r="B5" s="120">
        <v>45</v>
      </c>
      <c r="C5" s="121">
        <f t="shared" si="1"/>
        <v>1080000</v>
      </c>
      <c r="D5" s="100">
        <f t="shared" si="2"/>
        <v>73.324444444444438</v>
      </c>
      <c r="E5" s="100">
        <f t="shared" si="0"/>
        <v>4467370.0441499995</v>
      </c>
      <c r="F5" s="122">
        <v>160</v>
      </c>
      <c r="G5" s="121">
        <f t="shared" si="3"/>
        <v>1401600</v>
      </c>
      <c r="H5" s="121">
        <f t="shared" si="4"/>
        <v>79190400</v>
      </c>
      <c r="I5" s="100">
        <f t="shared" si="5"/>
        <v>74723029.955850005</v>
      </c>
      <c r="J5" s="100">
        <f t="shared" si="6"/>
        <v>1.8944497153415132</v>
      </c>
      <c r="M5" s="100" t="s">
        <v>716</v>
      </c>
      <c r="R5" s="100" t="s">
        <v>717</v>
      </c>
    </row>
    <row r="6" spans="1:18" x14ac:dyDescent="0.3">
      <c r="A6" s="119" t="s">
        <v>305</v>
      </c>
      <c r="B6" s="120">
        <v>45</v>
      </c>
      <c r="C6" s="121">
        <f t="shared" si="1"/>
        <v>1080000</v>
      </c>
      <c r="D6" s="100">
        <f t="shared" si="2"/>
        <v>35.287388888888891</v>
      </c>
      <c r="E6" s="100">
        <f t="shared" si="0"/>
        <v>4467370.0441499995</v>
      </c>
      <c r="F6" s="122">
        <v>77</v>
      </c>
      <c r="G6" s="121">
        <f t="shared" si="3"/>
        <v>674520</v>
      </c>
      <c r="H6" s="121">
        <f t="shared" si="4"/>
        <v>38110380</v>
      </c>
      <c r="I6" s="100">
        <f t="shared" si="5"/>
        <v>33643009.955849998</v>
      </c>
      <c r="J6" s="100">
        <f t="shared" si="6"/>
        <v>0.85294976223193109</v>
      </c>
      <c r="M6" s="100" t="s">
        <v>718</v>
      </c>
    </row>
    <row r="7" spans="1:18" x14ac:dyDescent="0.3">
      <c r="A7" s="119" t="s">
        <v>231</v>
      </c>
      <c r="B7" s="123"/>
      <c r="C7" s="121">
        <f t="shared" si="1"/>
        <v>0</v>
      </c>
      <c r="D7" s="100" t="e">
        <f t="shared" si="2"/>
        <v>#DIV/0!</v>
      </c>
      <c r="E7" s="100">
        <f t="shared" si="0"/>
        <v>0</v>
      </c>
      <c r="F7" s="122">
        <v>55</v>
      </c>
      <c r="G7" s="121">
        <f t="shared" si="3"/>
        <v>481800</v>
      </c>
      <c r="H7" s="121">
        <f t="shared" si="4"/>
        <v>27221700</v>
      </c>
      <c r="I7" s="100">
        <f t="shared" si="5"/>
        <v>27221700</v>
      </c>
      <c r="J7" s="123"/>
      <c r="M7" s="100" t="s">
        <v>719</v>
      </c>
    </row>
    <row r="8" spans="1:18" x14ac:dyDescent="0.3">
      <c r="A8" s="119" t="s">
        <v>143</v>
      </c>
      <c r="B8" s="120">
        <v>40</v>
      </c>
      <c r="C8" s="121">
        <f t="shared" si="1"/>
        <v>960000</v>
      </c>
      <c r="D8" s="100">
        <f t="shared" si="2"/>
        <v>0</v>
      </c>
      <c r="E8" s="100">
        <f t="shared" si="0"/>
        <v>3970995.5948000001</v>
      </c>
      <c r="F8" s="122">
        <v>0</v>
      </c>
      <c r="G8" s="121">
        <f t="shared" si="3"/>
        <v>0</v>
      </c>
      <c r="H8" s="121">
        <f t="shared" si="4"/>
        <v>0</v>
      </c>
      <c r="I8" s="100">
        <f t="shared" si="5"/>
        <v>-3970995.5948000001</v>
      </c>
      <c r="J8" s="100">
        <v>0</v>
      </c>
      <c r="M8" s="100" t="s">
        <v>720</v>
      </c>
    </row>
    <row r="9" spans="1:18" x14ac:dyDescent="0.3">
      <c r="A9" s="119" t="s">
        <v>83</v>
      </c>
      <c r="B9" s="120">
        <v>49.6</v>
      </c>
      <c r="C9" s="121">
        <f t="shared" si="1"/>
        <v>1190400</v>
      </c>
      <c r="D9" s="100">
        <f t="shared" si="2"/>
        <v>116.41733870967742</v>
      </c>
      <c r="E9" s="100">
        <f t="shared" si="0"/>
        <v>4924034.537552</v>
      </c>
      <c r="F9" s="122">
        <v>280</v>
      </c>
      <c r="G9" s="121">
        <f t="shared" si="3"/>
        <v>2452800</v>
      </c>
      <c r="H9" s="121">
        <f t="shared" si="4"/>
        <v>138583200</v>
      </c>
      <c r="I9" s="100">
        <f t="shared" si="5"/>
        <v>133659165.462448</v>
      </c>
      <c r="J9" s="100">
        <f t="shared" ref="J9:J66" si="7">(I9/$M$18)*10</f>
        <v>3.3886549851194196</v>
      </c>
    </row>
    <row r="10" spans="1:18" x14ac:dyDescent="0.3">
      <c r="A10" s="119" t="s">
        <v>236</v>
      </c>
      <c r="B10" s="120">
        <v>60</v>
      </c>
      <c r="C10" s="121">
        <f t="shared" si="1"/>
        <v>1440000</v>
      </c>
      <c r="D10" s="100">
        <f t="shared" si="2"/>
        <v>161.54291666666666</v>
      </c>
      <c r="E10" s="100">
        <f t="shared" si="0"/>
        <v>5956493.3921999997</v>
      </c>
      <c r="F10" s="122">
        <v>470</v>
      </c>
      <c r="G10" s="121">
        <f t="shared" si="3"/>
        <v>4117200</v>
      </c>
      <c r="H10" s="121">
        <f t="shared" si="4"/>
        <v>232621800</v>
      </c>
      <c r="I10" s="100">
        <f t="shared" si="5"/>
        <v>226665306.60780001</v>
      </c>
      <c r="J10" s="100">
        <f t="shared" si="7"/>
        <v>5.7466356200311672</v>
      </c>
      <c r="M10" s="100" t="s">
        <v>721</v>
      </c>
      <c r="R10" s="100" t="s">
        <v>722</v>
      </c>
    </row>
    <row r="11" spans="1:18" x14ac:dyDescent="0.3">
      <c r="A11" s="119" t="s">
        <v>302</v>
      </c>
      <c r="B11" s="120">
        <v>41.4</v>
      </c>
      <c r="C11" s="121">
        <f t="shared" si="1"/>
        <v>993599.99999999988</v>
      </c>
      <c r="D11" s="100">
        <f t="shared" si="2"/>
        <v>124.53200483091788</v>
      </c>
      <c r="E11" s="100">
        <f t="shared" si="0"/>
        <v>4109980.440618</v>
      </c>
      <c r="F11" s="122">
        <v>250</v>
      </c>
      <c r="G11" s="121">
        <f t="shared" si="3"/>
        <v>2190000</v>
      </c>
      <c r="H11" s="121">
        <f t="shared" si="4"/>
        <v>123735000</v>
      </c>
      <c r="I11" s="100">
        <f t="shared" si="5"/>
        <v>119625019.55938201</v>
      </c>
      <c r="J11" s="100">
        <f t="shared" si="7"/>
        <v>3.0328478969053374</v>
      </c>
    </row>
    <row r="12" spans="1:18" x14ac:dyDescent="0.3">
      <c r="A12" s="119" t="s">
        <v>252</v>
      </c>
      <c r="B12" s="120">
        <v>54</v>
      </c>
      <c r="C12" s="121">
        <f t="shared" si="1"/>
        <v>1296000</v>
      </c>
      <c r="D12" s="100">
        <f t="shared" si="2"/>
        <v>40.863101851851852</v>
      </c>
      <c r="E12" s="100">
        <f t="shared" si="0"/>
        <v>5360844.0529800002</v>
      </c>
      <c r="F12" s="122">
        <v>107</v>
      </c>
      <c r="G12" s="121">
        <f t="shared" si="3"/>
        <v>937320</v>
      </c>
      <c r="H12" s="121">
        <f t="shared" si="4"/>
        <v>52958580</v>
      </c>
      <c r="I12" s="100">
        <f t="shared" si="5"/>
        <v>47597735.947020002</v>
      </c>
      <c r="J12" s="100">
        <f t="shared" si="7"/>
        <v>1.2067433208879548</v>
      </c>
    </row>
    <row r="13" spans="1:18" x14ac:dyDescent="0.3">
      <c r="A13" s="119" t="s">
        <v>221</v>
      </c>
      <c r="B13" s="120">
        <v>30</v>
      </c>
      <c r="C13" s="121">
        <f t="shared" si="1"/>
        <v>720000</v>
      </c>
      <c r="D13" s="100">
        <f t="shared" si="2"/>
        <v>15.123166666666666</v>
      </c>
      <c r="E13" s="100">
        <f t="shared" si="0"/>
        <v>2978246.6960999998</v>
      </c>
      <c r="F13" s="122">
        <v>22</v>
      </c>
      <c r="G13" s="121">
        <f t="shared" si="3"/>
        <v>192720</v>
      </c>
      <c r="H13" s="121">
        <f t="shared" si="4"/>
        <v>10888680</v>
      </c>
      <c r="I13" s="100">
        <f t="shared" si="5"/>
        <v>7910433.3038999997</v>
      </c>
      <c r="J13" s="100">
        <f t="shared" si="7"/>
        <v>0.20055287010786085</v>
      </c>
    </row>
    <row r="14" spans="1:18" x14ac:dyDescent="0.3">
      <c r="A14" s="119" t="s">
        <v>313</v>
      </c>
      <c r="B14" s="120">
        <v>62</v>
      </c>
      <c r="C14" s="121">
        <f t="shared" si="1"/>
        <v>1488000</v>
      </c>
      <c r="D14" s="100">
        <f t="shared" si="2"/>
        <v>74.839717741935488</v>
      </c>
      <c r="E14" s="100">
        <f t="shared" si="0"/>
        <v>6155043.1719399998</v>
      </c>
      <c r="F14" s="122">
        <v>225</v>
      </c>
      <c r="G14" s="121">
        <f t="shared" si="3"/>
        <v>1971000</v>
      </c>
      <c r="H14" s="121">
        <f t="shared" si="4"/>
        <v>111361500</v>
      </c>
      <c r="I14" s="100">
        <f t="shared" si="5"/>
        <v>105206456.82806</v>
      </c>
      <c r="J14" s="100">
        <f t="shared" si="7"/>
        <v>2.6672947056318321</v>
      </c>
    </row>
    <row r="15" spans="1:18" x14ac:dyDescent="0.3">
      <c r="A15" s="119" t="s">
        <v>158</v>
      </c>
      <c r="B15" s="120">
        <v>40</v>
      </c>
      <c r="C15" s="121">
        <f t="shared" si="1"/>
        <v>960000</v>
      </c>
      <c r="D15" s="100">
        <f t="shared" si="2"/>
        <v>180.44687500000001</v>
      </c>
      <c r="E15" s="100">
        <f t="shared" si="0"/>
        <v>3970995.5948000001</v>
      </c>
      <c r="F15" s="122">
        <v>350</v>
      </c>
      <c r="G15" s="121">
        <f t="shared" si="3"/>
        <v>3066000</v>
      </c>
      <c r="H15" s="121">
        <f t="shared" si="4"/>
        <v>173229000</v>
      </c>
      <c r="I15" s="100">
        <f t="shared" si="5"/>
        <v>169258004.4052</v>
      </c>
      <c r="J15" s="100">
        <f t="shared" si="7"/>
        <v>4.2911907942458951</v>
      </c>
    </row>
    <row r="16" spans="1:18" x14ac:dyDescent="0.3">
      <c r="A16" s="119" t="s">
        <v>287</v>
      </c>
      <c r="B16" s="120">
        <v>2.2999999999999998</v>
      </c>
      <c r="C16" s="121">
        <f t="shared" si="1"/>
        <v>55199.999999999993</v>
      </c>
      <c r="D16" s="100">
        <f t="shared" si="2"/>
        <v>0</v>
      </c>
      <c r="E16" s="100">
        <f t="shared" si="0"/>
        <v>228332.24670099997</v>
      </c>
      <c r="F16" s="122">
        <v>0</v>
      </c>
      <c r="G16" s="121">
        <f t="shared" si="3"/>
        <v>0</v>
      </c>
      <c r="H16" s="121">
        <f t="shared" si="4"/>
        <v>0</v>
      </c>
      <c r="I16" s="100">
        <f t="shared" si="5"/>
        <v>-228332.24670099997</v>
      </c>
      <c r="J16" s="100">
        <v>0</v>
      </c>
    </row>
    <row r="17" spans="1:13" x14ac:dyDescent="0.3">
      <c r="A17" s="119" t="s">
        <v>240</v>
      </c>
      <c r="B17" s="120">
        <v>30</v>
      </c>
      <c r="C17" s="121">
        <f t="shared" si="1"/>
        <v>720000</v>
      </c>
      <c r="D17" s="100">
        <f t="shared" si="2"/>
        <v>0</v>
      </c>
      <c r="E17" s="100">
        <f t="shared" si="0"/>
        <v>2978246.6960999998</v>
      </c>
      <c r="F17" s="122">
        <v>0</v>
      </c>
      <c r="G17" s="121">
        <f t="shared" si="3"/>
        <v>0</v>
      </c>
      <c r="H17" s="121">
        <f t="shared" si="4"/>
        <v>0</v>
      </c>
      <c r="I17" s="100">
        <f t="shared" si="5"/>
        <v>-2978246.6960999998</v>
      </c>
      <c r="J17" s="100">
        <v>0</v>
      </c>
      <c r="M17" s="100">
        <f>MAX(I3:I66)</f>
        <v>544290555.06500006</v>
      </c>
    </row>
    <row r="18" spans="1:13" x14ac:dyDescent="0.3">
      <c r="A18" s="119" t="s">
        <v>177</v>
      </c>
      <c r="B18" s="120">
        <v>45.9</v>
      </c>
      <c r="C18" s="121">
        <f t="shared" si="1"/>
        <v>1101600</v>
      </c>
      <c r="D18" s="100">
        <f t="shared" si="2"/>
        <v>22.464596949891067</v>
      </c>
      <c r="E18" s="100">
        <f t="shared" si="0"/>
        <v>4556717.4450329999</v>
      </c>
      <c r="F18" s="122">
        <v>50</v>
      </c>
      <c r="G18" s="121">
        <f t="shared" si="3"/>
        <v>438000</v>
      </c>
      <c r="H18" s="121">
        <f t="shared" si="4"/>
        <v>24747000</v>
      </c>
      <c r="I18" s="100">
        <f t="shared" si="5"/>
        <v>20190282.554967001</v>
      </c>
      <c r="J18" s="100">
        <f t="shared" si="7"/>
        <v>0.51188335191334722</v>
      </c>
      <c r="M18" s="100">
        <v>394431318.76625001</v>
      </c>
    </row>
    <row r="19" spans="1:13" x14ac:dyDescent="0.3">
      <c r="A19" s="119" t="s">
        <v>218</v>
      </c>
      <c r="B19" s="123"/>
      <c r="C19" s="121">
        <f t="shared" si="1"/>
        <v>0</v>
      </c>
      <c r="D19" s="100" t="e">
        <f t="shared" si="2"/>
        <v>#DIV/0!</v>
      </c>
      <c r="E19" s="100">
        <f t="shared" si="0"/>
        <v>0</v>
      </c>
      <c r="F19" s="122">
        <v>340</v>
      </c>
      <c r="G19" s="121">
        <f t="shared" si="3"/>
        <v>2978400</v>
      </c>
      <c r="H19" s="121">
        <f t="shared" si="4"/>
        <v>168279600</v>
      </c>
      <c r="I19" s="100">
        <f t="shared" si="5"/>
        <v>168279600</v>
      </c>
      <c r="J19" s="123"/>
    </row>
    <row r="20" spans="1:13" x14ac:dyDescent="0.3">
      <c r="A20" s="119" t="s">
        <v>89</v>
      </c>
      <c r="B20" s="120">
        <v>5.8</v>
      </c>
      <c r="C20" s="121">
        <f t="shared" si="1"/>
        <v>139200</v>
      </c>
      <c r="D20" s="100">
        <f t="shared" si="2"/>
        <v>1066.6810344827586</v>
      </c>
      <c r="E20" s="100">
        <f t="shared" si="0"/>
        <v>575794.36124599993</v>
      </c>
      <c r="F20" s="122">
        <v>300</v>
      </c>
      <c r="G20" s="121">
        <f t="shared" si="3"/>
        <v>2628000</v>
      </c>
      <c r="H20" s="121">
        <f t="shared" si="4"/>
        <v>148482000</v>
      </c>
      <c r="I20" s="100">
        <f t="shared" si="5"/>
        <v>147906205.63875401</v>
      </c>
      <c r="J20" s="100">
        <f t="shared" si="7"/>
        <v>3.7498595725459358</v>
      </c>
    </row>
    <row r="21" spans="1:13" x14ac:dyDescent="0.3">
      <c r="A21" s="119" t="s">
        <v>213</v>
      </c>
      <c r="B21" s="120">
        <v>40</v>
      </c>
      <c r="C21" s="121">
        <f t="shared" si="1"/>
        <v>960000</v>
      </c>
      <c r="D21" s="100">
        <f t="shared" si="2"/>
        <v>100.5346875</v>
      </c>
      <c r="E21" s="100">
        <f t="shared" si="0"/>
        <v>3970995.5948000001</v>
      </c>
      <c r="F21" s="122">
        <v>195</v>
      </c>
      <c r="G21" s="121">
        <f t="shared" si="3"/>
        <v>1708200</v>
      </c>
      <c r="H21" s="121">
        <f t="shared" si="4"/>
        <v>96513300</v>
      </c>
      <c r="I21" s="100">
        <f t="shared" si="5"/>
        <v>92542304.405200005</v>
      </c>
      <c r="J21" s="100">
        <f t="shared" si="7"/>
        <v>2.3462210022942656</v>
      </c>
      <c r="M21" s="100">
        <f>AVERAGE(J:J)</f>
        <v>1.8413675111579584</v>
      </c>
    </row>
    <row r="22" spans="1:13" x14ac:dyDescent="0.3">
      <c r="A22" s="119" t="s">
        <v>166</v>
      </c>
      <c r="B22" s="120">
        <v>62</v>
      </c>
      <c r="C22" s="121">
        <f t="shared" si="1"/>
        <v>1488000</v>
      </c>
      <c r="D22" s="100">
        <f t="shared" si="2"/>
        <v>56.545564516129033</v>
      </c>
      <c r="E22" s="100">
        <f t="shared" si="0"/>
        <v>6155043.1719399998</v>
      </c>
      <c r="F22" s="122">
        <v>170</v>
      </c>
      <c r="G22" s="121">
        <f t="shared" si="3"/>
        <v>1489200</v>
      </c>
      <c r="H22" s="121">
        <f t="shared" si="4"/>
        <v>84139800</v>
      </c>
      <c r="I22" s="100">
        <f t="shared" si="5"/>
        <v>77984756.828060001</v>
      </c>
      <c r="J22" s="100">
        <f t="shared" si="7"/>
        <v>1.9771441342941567</v>
      </c>
    </row>
    <row r="23" spans="1:13" x14ac:dyDescent="0.3">
      <c r="A23" s="119" t="s">
        <v>174</v>
      </c>
      <c r="B23" s="120">
        <v>45.9</v>
      </c>
      <c r="C23" s="121">
        <f t="shared" si="1"/>
        <v>1101600</v>
      </c>
      <c r="D23" s="100">
        <f t="shared" si="2"/>
        <v>44.929193899782135</v>
      </c>
      <c r="E23" s="100">
        <f t="shared" si="0"/>
        <v>4556717.4450329999</v>
      </c>
      <c r="F23" s="122">
        <v>100</v>
      </c>
      <c r="G23" s="121">
        <f t="shared" si="3"/>
        <v>876000</v>
      </c>
      <c r="H23" s="121">
        <f t="shared" si="4"/>
        <v>49494000</v>
      </c>
      <c r="I23" s="100">
        <f t="shared" si="5"/>
        <v>44937282.554967001</v>
      </c>
      <c r="J23" s="100">
        <f t="shared" si="7"/>
        <v>1.1392929622203245</v>
      </c>
    </row>
    <row r="24" spans="1:13" x14ac:dyDescent="0.3">
      <c r="A24" s="119" t="s">
        <v>117</v>
      </c>
      <c r="B24" s="120">
        <v>31</v>
      </c>
      <c r="C24" s="121">
        <f t="shared" si="1"/>
        <v>744000</v>
      </c>
      <c r="D24" s="100">
        <f t="shared" si="2"/>
        <v>0</v>
      </c>
      <c r="E24" s="100">
        <f t="shared" si="0"/>
        <v>3077521.5859699999</v>
      </c>
      <c r="F24" s="122">
        <v>0</v>
      </c>
      <c r="G24" s="121">
        <f t="shared" si="3"/>
        <v>0</v>
      </c>
      <c r="H24" s="121">
        <f t="shared" si="4"/>
        <v>0</v>
      </c>
      <c r="I24" s="100">
        <f t="shared" si="5"/>
        <v>-3077521.5859699999</v>
      </c>
      <c r="J24" s="100">
        <v>0</v>
      </c>
    </row>
    <row r="25" spans="1:13" x14ac:dyDescent="0.3">
      <c r="A25" s="119" t="s">
        <v>215</v>
      </c>
      <c r="B25" s="120">
        <v>30.8</v>
      </c>
      <c r="C25" s="121">
        <f t="shared" si="1"/>
        <v>739200</v>
      </c>
      <c r="D25" s="100">
        <f t="shared" si="2"/>
        <v>0</v>
      </c>
      <c r="E25" s="100">
        <f t="shared" si="0"/>
        <v>3057666.607996</v>
      </c>
      <c r="F25" s="122">
        <v>0</v>
      </c>
      <c r="G25" s="121">
        <f t="shared" si="3"/>
        <v>0</v>
      </c>
      <c r="H25" s="121">
        <f t="shared" si="4"/>
        <v>0</v>
      </c>
      <c r="I25" s="100">
        <f t="shared" si="5"/>
        <v>-3057666.607996</v>
      </c>
      <c r="J25" s="100">
        <v>0</v>
      </c>
    </row>
    <row r="26" spans="1:13" x14ac:dyDescent="0.3">
      <c r="A26" s="119" t="s">
        <v>95</v>
      </c>
      <c r="B26" s="120">
        <v>37</v>
      </c>
      <c r="C26" s="121">
        <f t="shared" si="1"/>
        <v>888000</v>
      </c>
      <c r="D26" s="100">
        <f t="shared" si="2"/>
        <v>111.47297297297297</v>
      </c>
      <c r="E26" s="100">
        <f t="shared" si="0"/>
        <v>3673170.9251899999</v>
      </c>
      <c r="F26" s="122">
        <v>200</v>
      </c>
      <c r="G26" s="121">
        <f t="shared" si="3"/>
        <v>1752000</v>
      </c>
      <c r="H26" s="121">
        <f t="shared" si="4"/>
        <v>98988000</v>
      </c>
      <c r="I26" s="100">
        <f t="shared" si="5"/>
        <v>95314829.074809998</v>
      </c>
      <c r="J26" s="100">
        <f t="shared" si="7"/>
        <v>2.4165126991676837</v>
      </c>
      <c r="M26" s="100">
        <f>(I10/M17)*10</f>
        <v>4.1644174145320463</v>
      </c>
    </row>
    <row r="27" spans="1:13" x14ac:dyDescent="0.3">
      <c r="A27" s="119" t="s">
        <v>274</v>
      </c>
      <c r="B27" s="120">
        <v>60</v>
      </c>
      <c r="C27" s="121">
        <f t="shared" si="1"/>
        <v>1440000</v>
      </c>
      <c r="D27" s="100">
        <f t="shared" si="2"/>
        <v>3.4370833333333333</v>
      </c>
      <c r="E27" s="100">
        <f t="shared" si="0"/>
        <v>5956493.3921999997</v>
      </c>
      <c r="F27" s="122">
        <v>10</v>
      </c>
      <c r="G27" s="121">
        <f t="shared" si="3"/>
        <v>87600</v>
      </c>
      <c r="H27" s="121">
        <f t="shared" si="4"/>
        <v>4949400</v>
      </c>
      <c r="I27" s="100">
        <f t="shared" si="5"/>
        <v>-1007093.3921999997</v>
      </c>
      <c r="J27" s="100">
        <v>0</v>
      </c>
    </row>
    <row r="28" spans="1:13" x14ac:dyDescent="0.3">
      <c r="A28" s="119" t="s">
        <v>279</v>
      </c>
      <c r="B28" s="124">
        <v>60</v>
      </c>
      <c r="C28" s="121">
        <f t="shared" si="1"/>
        <v>1440000</v>
      </c>
      <c r="D28" s="100">
        <f t="shared" si="2"/>
        <v>20.622499999999999</v>
      </c>
      <c r="E28" s="100">
        <f t="shared" si="0"/>
        <v>5956493.3921999997</v>
      </c>
      <c r="F28" s="121">
        <v>60</v>
      </c>
      <c r="G28" s="121">
        <f t="shared" si="3"/>
        <v>525600</v>
      </c>
      <c r="H28" s="121">
        <f t="shared" si="4"/>
        <v>29696400</v>
      </c>
      <c r="I28" s="100">
        <f t="shared" si="5"/>
        <v>23739906.607799999</v>
      </c>
      <c r="J28" s="100">
        <f t="shared" si="7"/>
        <v>0.60187681551395433</v>
      </c>
    </row>
    <row r="29" spans="1:13" x14ac:dyDescent="0.3">
      <c r="A29" s="119" t="s">
        <v>153</v>
      </c>
      <c r="B29" s="120">
        <v>90</v>
      </c>
      <c r="C29" s="121">
        <f t="shared" si="1"/>
        <v>2160000</v>
      </c>
      <c r="D29" s="100">
        <f t="shared" si="2"/>
        <v>48.119166666666665</v>
      </c>
      <c r="E29" s="100">
        <f t="shared" si="0"/>
        <v>8934740.088299999</v>
      </c>
      <c r="F29" s="122">
        <v>210</v>
      </c>
      <c r="G29" s="121">
        <f t="shared" si="3"/>
        <v>1839600</v>
      </c>
      <c r="H29" s="121">
        <f t="shared" si="4"/>
        <v>103937400</v>
      </c>
      <c r="I29" s="100">
        <f t="shared" si="5"/>
        <v>95002659.911699995</v>
      </c>
      <c r="J29" s="100">
        <f t="shared" si="7"/>
        <v>2.4085982880076768</v>
      </c>
    </row>
    <row r="30" spans="1:13" x14ac:dyDescent="0.3">
      <c r="A30" s="119" t="s">
        <v>191</v>
      </c>
      <c r="B30" s="124">
        <v>500</v>
      </c>
      <c r="C30" s="121">
        <f t="shared" si="1"/>
        <v>12000000</v>
      </c>
      <c r="D30" s="100">
        <f t="shared" si="2"/>
        <v>49.494</v>
      </c>
      <c r="E30" s="100">
        <f t="shared" si="0"/>
        <v>49637444.935000002</v>
      </c>
      <c r="F30" s="121">
        <v>1200</v>
      </c>
      <c r="G30" s="121">
        <f t="shared" si="3"/>
        <v>10512000</v>
      </c>
      <c r="H30" s="121">
        <f t="shared" si="4"/>
        <v>593928000</v>
      </c>
      <c r="I30" s="100">
        <f t="shared" si="5"/>
        <v>544290555.06500006</v>
      </c>
      <c r="J30" s="100">
        <f t="shared" si="7"/>
        <v>13.799374673580635</v>
      </c>
    </row>
    <row r="31" spans="1:13" x14ac:dyDescent="0.3">
      <c r="A31" s="119" t="s">
        <v>297</v>
      </c>
      <c r="B31" s="125"/>
      <c r="C31" s="121">
        <f t="shared" si="1"/>
        <v>0</v>
      </c>
      <c r="D31" s="100" t="e">
        <f t="shared" si="2"/>
        <v>#DIV/0!</v>
      </c>
      <c r="E31" s="100">
        <f t="shared" si="0"/>
        <v>0</v>
      </c>
      <c r="F31" s="121">
        <v>120</v>
      </c>
      <c r="G31" s="121">
        <f t="shared" si="3"/>
        <v>1051200</v>
      </c>
      <c r="H31" s="121">
        <f t="shared" si="4"/>
        <v>59392800</v>
      </c>
      <c r="I31" s="100">
        <f t="shared" si="5"/>
        <v>59392800</v>
      </c>
      <c r="J31" s="123"/>
    </row>
    <row r="32" spans="1:13" x14ac:dyDescent="0.3">
      <c r="A32" s="119" t="s">
        <v>170</v>
      </c>
      <c r="B32" s="124">
        <v>110</v>
      </c>
      <c r="C32" s="121">
        <f t="shared" si="1"/>
        <v>2640000</v>
      </c>
      <c r="D32" s="100">
        <f t="shared" si="2"/>
        <v>0</v>
      </c>
      <c r="E32" s="100">
        <f t="shared" si="0"/>
        <v>10920237.8857</v>
      </c>
      <c r="F32" s="121">
        <v>0</v>
      </c>
      <c r="G32" s="121">
        <f t="shared" si="3"/>
        <v>0</v>
      </c>
      <c r="H32" s="121">
        <f t="shared" si="4"/>
        <v>0</v>
      </c>
      <c r="I32" s="100">
        <f t="shared" si="5"/>
        <v>-10920237.8857</v>
      </c>
      <c r="J32" s="100">
        <v>0</v>
      </c>
    </row>
    <row r="33" spans="1:10" x14ac:dyDescent="0.3">
      <c r="A33" s="119" t="s">
        <v>135</v>
      </c>
      <c r="B33" s="124">
        <v>120</v>
      </c>
      <c r="C33" s="121">
        <f t="shared" si="1"/>
        <v>2880000</v>
      </c>
      <c r="D33" s="100">
        <f t="shared" si="2"/>
        <v>51.556249999999999</v>
      </c>
      <c r="E33" s="100">
        <f t="shared" si="0"/>
        <v>11912986.784399999</v>
      </c>
      <c r="F33" s="121">
        <v>300</v>
      </c>
      <c r="G33" s="121">
        <f t="shared" si="3"/>
        <v>2628000</v>
      </c>
      <c r="H33" s="121">
        <f t="shared" si="4"/>
        <v>148482000</v>
      </c>
      <c r="I33" s="100">
        <f t="shared" si="5"/>
        <v>136569013.21560001</v>
      </c>
      <c r="J33" s="100">
        <f t="shared" si="7"/>
        <v>3.4624282281330272</v>
      </c>
    </row>
    <row r="34" spans="1:10" x14ac:dyDescent="0.3">
      <c r="A34" s="119" t="s">
        <v>200</v>
      </c>
      <c r="B34" s="124">
        <v>125</v>
      </c>
      <c r="C34" s="121">
        <f t="shared" si="1"/>
        <v>3000000</v>
      </c>
      <c r="D34" s="100">
        <f t="shared" si="2"/>
        <v>135.61356000000001</v>
      </c>
      <c r="E34" s="100">
        <f t="shared" si="0"/>
        <v>12409361.233750001</v>
      </c>
      <c r="F34" s="121">
        <v>822</v>
      </c>
      <c r="G34" s="121">
        <f t="shared" si="3"/>
        <v>7200720</v>
      </c>
      <c r="H34" s="121">
        <f t="shared" si="4"/>
        <v>406840680</v>
      </c>
      <c r="I34" s="100">
        <f t="shared" si="5"/>
        <v>394431318.76625001</v>
      </c>
      <c r="J34" s="100">
        <f t="shared" si="7"/>
        <v>10</v>
      </c>
    </row>
    <row r="35" spans="1:10" x14ac:dyDescent="0.3">
      <c r="A35" s="119" t="s">
        <v>243</v>
      </c>
      <c r="B35" s="124">
        <v>165</v>
      </c>
      <c r="C35" s="121">
        <f t="shared" si="1"/>
        <v>3960000</v>
      </c>
      <c r="D35" s="100">
        <f t="shared" si="2"/>
        <v>33.995878787878787</v>
      </c>
      <c r="E35" s="100">
        <f t="shared" ref="E35:E66" si="8">B35*99274.88987</f>
        <v>16380356.82855</v>
      </c>
      <c r="F35" s="121">
        <v>272</v>
      </c>
      <c r="G35" s="121">
        <f t="shared" si="3"/>
        <v>2382720</v>
      </c>
      <c r="H35" s="121">
        <f t="shared" si="4"/>
        <v>134623680</v>
      </c>
      <c r="I35" s="100">
        <f t="shared" si="5"/>
        <v>118243323.17145</v>
      </c>
      <c r="J35" s="100">
        <f t="shared" si="7"/>
        <v>2.9978178087203053</v>
      </c>
    </row>
    <row r="36" spans="1:10" x14ac:dyDescent="0.3">
      <c r="A36" s="119" t="s">
        <v>139</v>
      </c>
      <c r="B36" s="124">
        <v>720</v>
      </c>
      <c r="C36" s="121">
        <f t="shared" si="1"/>
        <v>17280000</v>
      </c>
      <c r="D36" s="100">
        <f t="shared" si="2"/>
        <v>8.2490000000000006</v>
      </c>
      <c r="E36" s="100">
        <f t="shared" si="8"/>
        <v>71477920.706399992</v>
      </c>
      <c r="F36" s="121">
        <v>288</v>
      </c>
      <c r="G36" s="121">
        <f t="shared" si="3"/>
        <v>2522880</v>
      </c>
      <c r="H36" s="121">
        <f t="shared" si="4"/>
        <v>142542720</v>
      </c>
      <c r="I36" s="100">
        <f t="shared" si="5"/>
        <v>71064799.293600008</v>
      </c>
      <c r="J36" s="100">
        <f t="shared" si="7"/>
        <v>1.8017027531151706</v>
      </c>
    </row>
    <row r="37" spans="1:10" x14ac:dyDescent="0.3">
      <c r="A37" s="119" t="s">
        <v>292</v>
      </c>
      <c r="B37" s="124">
        <v>145.80000000000001</v>
      </c>
      <c r="C37" s="121">
        <f t="shared" si="1"/>
        <v>3499200.0000000005</v>
      </c>
      <c r="D37" s="100">
        <f t="shared" si="2"/>
        <v>35.360939643347045</v>
      </c>
      <c r="E37" s="100">
        <f t="shared" si="8"/>
        <v>14474278.943046002</v>
      </c>
      <c r="F37" s="121">
        <v>250</v>
      </c>
      <c r="G37" s="121">
        <f t="shared" si="3"/>
        <v>2190000</v>
      </c>
      <c r="H37" s="121">
        <f t="shared" si="4"/>
        <v>123735000</v>
      </c>
      <c r="I37" s="100">
        <f t="shared" si="5"/>
        <v>109260721.056954</v>
      </c>
      <c r="J37" s="100">
        <f t="shared" si="7"/>
        <v>2.7700822895786494</v>
      </c>
    </row>
    <row r="38" spans="1:10" x14ac:dyDescent="0.3">
      <c r="A38" s="119" t="s">
        <v>121</v>
      </c>
      <c r="B38" s="124">
        <v>130</v>
      </c>
      <c r="C38" s="121">
        <f t="shared" si="1"/>
        <v>3120000</v>
      </c>
      <c r="D38" s="100">
        <f t="shared" si="2"/>
        <v>42.03817307692308</v>
      </c>
      <c r="E38" s="100">
        <f t="shared" si="8"/>
        <v>12905735.6831</v>
      </c>
      <c r="F38" s="121">
        <v>265</v>
      </c>
      <c r="G38" s="121">
        <f t="shared" si="3"/>
        <v>2321400</v>
      </c>
      <c r="H38" s="121">
        <f t="shared" si="4"/>
        <v>131159100</v>
      </c>
      <c r="I38" s="100">
        <f t="shared" si="5"/>
        <v>118253364.3169</v>
      </c>
      <c r="J38" s="100">
        <f t="shared" si="7"/>
        <v>2.9980723814424062</v>
      </c>
    </row>
    <row r="39" spans="1:10" x14ac:dyDescent="0.3">
      <c r="A39" s="119" t="s">
        <v>130</v>
      </c>
      <c r="B39" s="125"/>
      <c r="C39" s="121">
        <f t="shared" si="1"/>
        <v>0</v>
      </c>
      <c r="D39" s="100" t="e">
        <f t="shared" si="2"/>
        <v>#DIV/0!</v>
      </c>
      <c r="E39" s="100">
        <f t="shared" si="8"/>
        <v>0</v>
      </c>
      <c r="F39" s="121">
        <v>200</v>
      </c>
      <c r="G39" s="121">
        <f t="shared" si="3"/>
        <v>1752000</v>
      </c>
      <c r="H39" s="121">
        <f t="shared" si="4"/>
        <v>98988000</v>
      </c>
      <c r="I39" s="100">
        <f t="shared" si="5"/>
        <v>98988000</v>
      </c>
      <c r="J39" s="125"/>
    </row>
    <row r="40" spans="1:10" x14ac:dyDescent="0.3">
      <c r="A40" s="119" t="s">
        <v>161</v>
      </c>
      <c r="B40" s="125"/>
      <c r="C40" s="121">
        <f t="shared" si="1"/>
        <v>0</v>
      </c>
      <c r="D40" s="100" t="e">
        <f t="shared" si="2"/>
        <v>#DIV/0!</v>
      </c>
      <c r="E40" s="100">
        <f t="shared" si="8"/>
        <v>0</v>
      </c>
      <c r="F40" s="121">
        <v>390</v>
      </c>
      <c r="G40" s="121">
        <f t="shared" si="3"/>
        <v>3416400</v>
      </c>
      <c r="H40" s="121">
        <f t="shared" si="4"/>
        <v>193026600</v>
      </c>
      <c r="I40" s="100">
        <f t="shared" si="5"/>
        <v>193026600</v>
      </c>
      <c r="J40" s="125"/>
    </row>
    <row r="41" spans="1:10" x14ac:dyDescent="0.3">
      <c r="A41" s="119" t="s">
        <v>224</v>
      </c>
      <c r="B41" s="125"/>
      <c r="C41" s="121">
        <f t="shared" si="1"/>
        <v>0</v>
      </c>
      <c r="D41" s="100" t="e">
        <f t="shared" si="2"/>
        <v>#DIV/0!</v>
      </c>
      <c r="E41" s="100">
        <f t="shared" si="8"/>
        <v>0</v>
      </c>
      <c r="F41" s="121">
        <v>165</v>
      </c>
      <c r="G41" s="121">
        <f t="shared" si="3"/>
        <v>1445400</v>
      </c>
      <c r="H41" s="121">
        <f t="shared" si="4"/>
        <v>81665100</v>
      </c>
      <c r="I41" s="100">
        <f t="shared" si="5"/>
        <v>81665100</v>
      </c>
      <c r="J41" s="125"/>
    </row>
    <row r="42" spans="1:10" x14ac:dyDescent="0.3">
      <c r="A42" s="119" t="s">
        <v>259</v>
      </c>
      <c r="B42" s="124">
        <v>300</v>
      </c>
      <c r="C42" s="121">
        <f t="shared" si="1"/>
        <v>7200000</v>
      </c>
      <c r="D42" s="100">
        <f t="shared" si="2"/>
        <v>11.5486</v>
      </c>
      <c r="E42" s="100">
        <f t="shared" si="8"/>
        <v>29782466.960999999</v>
      </c>
      <c r="F42" s="121">
        <v>168</v>
      </c>
      <c r="G42" s="121">
        <f t="shared" si="3"/>
        <v>1471680</v>
      </c>
      <c r="H42" s="121">
        <f t="shared" si="4"/>
        <v>83149920</v>
      </c>
      <c r="I42" s="100">
        <f t="shared" si="5"/>
        <v>53367453.039000005</v>
      </c>
      <c r="J42" s="100">
        <f t="shared" si="7"/>
        <v>1.3530227063593525</v>
      </c>
    </row>
    <row r="43" spans="1:10" x14ac:dyDescent="0.3">
      <c r="A43" s="119" t="s">
        <v>208</v>
      </c>
      <c r="B43" s="124">
        <v>180</v>
      </c>
      <c r="C43" s="121">
        <f t="shared" si="1"/>
        <v>4320000</v>
      </c>
      <c r="D43" s="100">
        <f t="shared" si="2"/>
        <v>11.456944444444444</v>
      </c>
      <c r="E43" s="100">
        <f t="shared" si="8"/>
        <v>17869480.176599998</v>
      </c>
      <c r="F43" s="121">
        <v>100</v>
      </c>
      <c r="G43" s="121">
        <f t="shared" si="3"/>
        <v>876000</v>
      </c>
      <c r="H43" s="121">
        <f t="shared" si="4"/>
        <v>49494000</v>
      </c>
      <c r="I43" s="100">
        <f t="shared" si="5"/>
        <v>31624519.823400002</v>
      </c>
      <c r="J43" s="100">
        <f t="shared" si="7"/>
        <v>0.80177507005069981</v>
      </c>
    </row>
    <row r="44" spans="1:10" x14ac:dyDescent="0.3">
      <c r="A44" s="119" t="s">
        <v>196</v>
      </c>
      <c r="B44" s="125"/>
      <c r="C44" s="121">
        <f t="shared" si="1"/>
        <v>0</v>
      </c>
      <c r="D44" s="100" t="e">
        <f t="shared" si="2"/>
        <v>#DIV/0!</v>
      </c>
      <c r="E44" s="100">
        <f t="shared" si="8"/>
        <v>0</v>
      </c>
      <c r="F44" s="121">
        <v>87</v>
      </c>
      <c r="G44" s="121">
        <f t="shared" si="3"/>
        <v>762120</v>
      </c>
      <c r="H44" s="121">
        <f t="shared" si="4"/>
        <v>43059780</v>
      </c>
      <c r="I44" s="100">
        <f t="shared" si="5"/>
        <v>43059780</v>
      </c>
      <c r="J44" s="125"/>
    </row>
    <row r="45" spans="1:10" x14ac:dyDescent="0.3">
      <c r="A45" s="126" t="s">
        <v>309</v>
      </c>
      <c r="B45" s="124">
        <v>100</v>
      </c>
      <c r="C45" s="121">
        <f t="shared" si="1"/>
        <v>2400000</v>
      </c>
      <c r="D45" s="100">
        <f t="shared" si="2"/>
        <v>92.801249999999996</v>
      </c>
      <c r="E45" s="100">
        <f t="shared" si="8"/>
        <v>9927488.9869999997</v>
      </c>
      <c r="F45" s="121">
        <v>450</v>
      </c>
      <c r="G45" s="121">
        <f t="shared" si="3"/>
        <v>3942000</v>
      </c>
      <c r="H45" s="121">
        <f t="shared" si="4"/>
        <v>222723000</v>
      </c>
      <c r="I45" s="100">
        <f t="shared" si="5"/>
        <v>212795511.01300001</v>
      </c>
      <c r="J45" s="100">
        <f t="shared" si="7"/>
        <v>5.3949952980054308</v>
      </c>
    </row>
    <row r="46" spans="1:10" x14ac:dyDescent="0.3">
      <c r="A46" s="126" t="s">
        <v>72</v>
      </c>
      <c r="B46" s="124">
        <v>77</v>
      </c>
      <c r="C46" s="121">
        <f t="shared" si="1"/>
        <v>1848000</v>
      </c>
      <c r="D46" s="100">
        <f t="shared" si="2"/>
        <v>26.782467532467532</v>
      </c>
      <c r="E46" s="100">
        <f t="shared" si="8"/>
        <v>7644166.5199899999</v>
      </c>
      <c r="F46" s="121">
        <v>100</v>
      </c>
      <c r="G46" s="121">
        <f t="shared" si="3"/>
        <v>876000</v>
      </c>
      <c r="H46" s="121">
        <f t="shared" si="4"/>
        <v>49494000</v>
      </c>
      <c r="I46" s="100">
        <f t="shared" si="5"/>
        <v>41849833.480010003</v>
      </c>
      <c r="J46" s="100">
        <f t="shared" si="7"/>
        <v>1.0610170006507844</v>
      </c>
    </row>
    <row r="47" spans="1:10" x14ac:dyDescent="0.3">
      <c r="A47" s="126" t="s">
        <v>47</v>
      </c>
      <c r="B47" s="124">
        <v>34</v>
      </c>
      <c r="C47" s="121">
        <f t="shared" si="1"/>
        <v>816000</v>
      </c>
      <c r="D47" s="100">
        <f t="shared" si="2"/>
        <v>6.0654411764705882</v>
      </c>
      <c r="E47" s="100">
        <f t="shared" si="8"/>
        <v>3375346.2555800001</v>
      </c>
      <c r="F47" s="121">
        <v>10</v>
      </c>
      <c r="G47" s="121">
        <f t="shared" si="3"/>
        <v>87600</v>
      </c>
      <c r="H47" s="121">
        <f t="shared" si="4"/>
        <v>4949400</v>
      </c>
      <c r="I47" s="100">
        <f t="shared" si="5"/>
        <v>1574053.7444199999</v>
      </c>
      <c r="J47" s="100">
        <f t="shared" si="7"/>
        <v>3.9906915843891798E-2</v>
      </c>
    </row>
    <row r="48" spans="1:10" x14ac:dyDescent="0.3">
      <c r="A48" s="126" t="s">
        <v>203</v>
      </c>
      <c r="B48" s="124">
        <v>60</v>
      </c>
      <c r="C48" s="121">
        <f t="shared" si="1"/>
        <v>1440000</v>
      </c>
      <c r="D48" s="100">
        <f t="shared" si="2"/>
        <v>6.8741666666666665</v>
      </c>
      <c r="E48" s="100">
        <f t="shared" si="8"/>
        <v>5956493.3921999997</v>
      </c>
      <c r="F48" s="121">
        <v>20</v>
      </c>
      <c r="G48" s="121">
        <f t="shared" si="3"/>
        <v>175200</v>
      </c>
      <c r="H48" s="121">
        <f t="shared" si="4"/>
        <v>9898800</v>
      </c>
      <c r="I48" s="100">
        <f t="shared" si="5"/>
        <v>3942306.6078000003</v>
      </c>
      <c r="J48" s="100">
        <f t="shared" si="7"/>
        <v>9.9949127268372684E-2</v>
      </c>
    </row>
    <row r="49" spans="1:10" x14ac:dyDescent="0.3">
      <c r="A49" s="126" t="s">
        <v>77</v>
      </c>
      <c r="B49" s="124">
        <v>61.45</v>
      </c>
      <c r="C49" s="121">
        <f t="shared" si="1"/>
        <v>1474800.0000000002</v>
      </c>
      <c r="D49" s="100">
        <f t="shared" si="2"/>
        <v>100.67941415785189</v>
      </c>
      <c r="E49" s="100">
        <f t="shared" si="8"/>
        <v>6100441.9825114999</v>
      </c>
      <c r="F49" s="121">
        <v>300</v>
      </c>
      <c r="G49" s="121">
        <f t="shared" si="3"/>
        <v>2628000</v>
      </c>
      <c r="H49" s="121">
        <f t="shared" si="4"/>
        <v>148482000</v>
      </c>
      <c r="I49" s="100">
        <f t="shared" si="5"/>
        <v>142381558.01748851</v>
      </c>
      <c r="J49" s="100">
        <f t="shared" si="7"/>
        <v>3.6097934226634631</v>
      </c>
    </row>
    <row r="50" spans="1:10" x14ac:dyDescent="0.3">
      <c r="A50" s="126" t="s">
        <v>184</v>
      </c>
      <c r="B50" s="124">
        <v>100</v>
      </c>
      <c r="C50" s="121">
        <f t="shared" si="1"/>
        <v>2400000</v>
      </c>
      <c r="D50" s="100">
        <f t="shared" si="2"/>
        <v>41.244999999999997</v>
      </c>
      <c r="E50" s="100">
        <f t="shared" si="8"/>
        <v>9927488.9869999997</v>
      </c>
      <c r="F50" s="121">
        <v>200</v>
      </c>
      <c r="G50" s="121">
        <f t="shared" si="3"/>
        <v>1752000</v>
      </c>
      <c r="H50" s="121">
        <f t="shared" si="4"/>
        <v>98988000</v>
      </c>
      <c r="I50" s="100">
        <f t="shared" si="5"/>
        <v>89060511.012999997</v>
      </c>
      <c r="J50" s="100">
        <f t="shared" si="7"/>
        <v>2.257947246470545</v>
      </c>
    </row>
    <row r="51" spans="1:10" x14ac:dyDescent="0.3">
      <c r="A51" s="126" t="s">
        <v>283</v>
      </c>
      <c r="B51" s="124">
        <v>60</v>
      </c>
      <c r="C51" s="121">
        <f t="shared" si="1"/>
        <v>1440000</v>
      </c>
      <c r="D51" s="100">
        <f t="shared" si="2"/>
        <v>34.37083333333333</v>
      </c>
      <c r="E51" s="100">
        <f t="shared" si="8"/>
        <v>5956493.3921999997</v>
      </c>
      <c r="F51" s="121">
        <v>100</v>
      </c>
      <c r="G51" s="121">
        <f t="shared" si="3"/>
        <v>876000</v>
      </c>
      <c r="H51" s="121">
        <f t="shared" si="4"/>
        <v>49494000</v>
      </c>
      <c r="I51" s="100">
        <f t="shared" si="5"/>
        <v>43537506.607799999</v>
      </c>
      <c r="J51" s="100">
        <f t="shared" si="7"/>
        <v>1.1038045037595361</v>
      </c>
    </row>
    <row r="52" spans="1:10" x14ac:dyDescent="0.3">
      <c r="A52" s="126" t="s">
        <v>247</v>
      </c>
      <c r="B52" s="124">
        <v>60</v>
      </c>
      <c r="C52" s="121">
        <f t="shared" si="1"/>
        <v>1440000</v>
      </c>
      <c r="D52" s="100">
        <f t="shared" si="2"/>
        <v>18.903958333333332</v>
      </c>
      <c r="E52" s="100">
        <f t="shared" si="8"/>
        <v>5956493.3921999997</v>
      </c>
      <c r="F52" s="121">
        <v>55</v>
      </c>
      <c r="G52" s="121">
        <f t="shared" si="3"/>
        <v>481800</v>
      </c>
      <c r="H52" s="121">
        <f t="shared" si="4"/>
        <v>27221700</v>
      </c>
      <c r="I52" s="100">
        <f t="shared" si="5"/>
        <v>21265206.607799999</v>
      </c>
      <c r="J52" s="100">
        <f t="shared" si="7"/>
        <v>0.53913585448325674</v>
      </c>
    </row>
    <row r="53" spans="1:10" x14ac:dyDescent="0.3">
      <c r="A53" s="119" t="s">
        <v>336</v>
      </c>
      <c r="B53" s="124">
        <v>165</v>
      </c>
      <c r="C53" s="121">
        <f t="shared" si="1"/>
        <v>3960000</v>
      </c>
      <c r="D53" s="100">
        <f t="shared" si="2"/>
        <v>10.311249999999999</v>
      </c>
      <c r="E53" s="100">
        <f t="shared" si="8"/>
        <v>16380356.82855</v>
      </c>
      <c r="F53" s="121">
        <v>82.5</v>
      </c>
      <c r="G53" s="121">
        <f t="shared" si="3"/>
        <v>722700</v>
      </c>
      <c r="H53" s="121">
        <f t="shared" si="4"/>
        <v>40832550</v>
      </c>
      <c r="I53" s="100">
        <f t="shared" si="5"/>
        <v>24452193.17145</v>
      </c>
      <c r="J53" s="100">
        <f t="shared" si="7"/>
        <v>0.61993538565686235</v>
      </c>
    </row>
    <row r="54" spans="1:10" x14ac:dyDescent="0.3">
      <c r="A54" s="119" t="s">
        <v>64</v>
      </c>
      <c r="B54" s="124">
        <v>86</v>
      </c>
      <c r="C54" s="121">
        <f t="shared" si="1"/>
        <v>2064000</v>
      </c>
      <c r="D54" s="100">
        <f t="shared" si="2"/>
        <v>11.989825581395349</v>
      </c>
      <c r="E54" s="100">
        <f t="shared" si="8"/>
        <v>8537640.5288200006</v>
      </c>
      <c r="F54" s="121">
        <v>50</v>
      </c>
      <c r="G54" s="121">
        <f t="shared" si="3"/>
        <v>438000</v>
      </c>
      <c r="H54" s="121">
        <f t="shared" si="4"/>
        <v>24747000</v>
      </c>
      <c r="I54" s="100">
        <f t="shared" si="5"/>
        <v>16209359.471179999</v>
      </c>
      <c r="J54" s="100">
        <f t="shared" si="7"/>
        <v>0.41095518281564442</v>
      </c>
    </row>
    <row r="55" spans="1:10" x14ac:dyDescent="0.3">
      <c r="A55" s="119" t="s">
        <v>146</v>
      </c>
      <c r="B55" s="124">
        <v>90</v>
      </c>
      <c r="C55" s="121">
        <f t="shared" si="1"/>
        <v>2160000</v>
      </c>
      <c r="D55" s="100">
        <f t="shared" si="2"/>
        <v>8.019861111111112</v>
      </c>
      <c r="E55" s="100">
        <f t="shared" si="8"/>
        <v>8934740.088299999</v>
      </c>
      <c r="F55" s="121">
        <v>35</v>
      </c>
      <c r="G55" s="121">
        <f t="shared" si="3"/>
        <v>306600</v>
      </c>
      <c r="H55" s="121">
        <f t="shared" si="4"/>
        <v>17322900</v>
      </c>
      <c r="I55" s="100">
        <f t="shared" si="5"/>
        <v>8388159.911700001</v>
      </c>
      <c r="J55" s="100">
        <f t="shared" si="7"/>
        <v>0.21266465193325676</v>
      </c>
    </row>
    <row r="56" spans="1:10" x14ac:dyDescent="0.3">
      <c r="A56" s="119" t="s">
        <v>127</v>
      </c>
      <c r="B56" s="124">
        <v>100</v>
      </c>
      <c r="C56" s="121">
        <f t="shared" si="1"/>
        <v>2400000</v>
      </c>
      <c r="D56" s="100">
        <f t="shared" si="2"/>
        <v>10.311249999999999</v>
      </c>
      <c r="E56" s="100">
        <f t="shared" si="8"/>
        <v>9927488.9869999997</v>
      </c>
      <c r="F56" s="121">
        <v>50</v>
      </c>
      <c r="G56" s="121">
        <f t="shared" si="3"/>
        <v>438000</v>
      </c>
      <c r="H56" s="121">
        <f t="shared" si="4"/>
        <v>24747000</v>
      </c>
      <c r="I56" s="100">
        <f t="shared" si="5"/>
        <v>14819511.013</v>
      </c>
      <c r="J56" s="100">
        <f t="shared" si="7"/>
        <v>0.37571841554961355</v>
      </c>
    </row>
    <row r="57" spans="1:10" x14ac:dyDescent="0.3">
      <c r="A57" s="119" t="s">
        <v>269</v>
      </c>
      <c r="B57" s="124">
        <v>100</v>
      </c>
      <c r="C57" s="121">
        <f t="shared" si="1"/>
        <v>2400000</v>
      </c>
      <c r="D57" s="100">
        <f t="shared" si="2"/>
        <v>61.8675</v>
      </c>
      <c r="E57" s="100">
        <f t="shared" si="8"/>
        <v>9927488.9869999997</v>
      </c>
      <c r="F57" s="121">
        <v>300</v>
      </c>
      <c r="G57" s="121">
        <f t="shared" si="3"/>
        <v>2628000</v>
      </c>
      <c r="H57" s="121">
        <f t="shared" si="4"/>
        <v>148482000</v>
      </c>
      <c r="I57" s="100">
        <f t="shared" si="5"/>
        <v>138554511.01300001</v>
      </c>
      <c r="J57" s="100">
        <f t="shared" si="7"/>
        <v>3.5127664670844991</v>
      </c>
    </row>
    <row r="58" spans="1:10" x14ac:dyDescent="0.3">
      <c r="A58" s="119" t="s">
        <v>188</v>
      </c>
      <c r="B58" s="125"/>
      <c r="C58" s="121">
        <f t="shared" si="1"/>
        <v>0</v>
      </c>
      <c r="D58" s="100" t="e">
        <f t="shared" si="2"/>
        <v>#DIV/0!</v>
      </c>
      <c r="E58" s="100">
        <f t="shared" si="8"/>
        <v>0</v>
      </c>
      <c r="F58" s="121">
        <v>250</v>
      </c>
      <c r="G58" s="121">
        <f t="shared" si="3"/>
        <v>2190000</v>
      </c>
      <c r="H58" s="121">
        <f t="shared" si="4"/>
        <v>123735000</v>
      </c>
      <c r="I58" s="100">
        <f t="shared" si="5"/>
        <v>123735000</v>
      </c>
      <c r="J58" s="125"/>
    </row>
    <row r="59" spans="1:10" x14ac:dyDescent="0.3">
      <c r="A59" s="119" t="s">
        <v>112</v>
      </c>
      <c r="B59" s="124">
        <v>1000</v>
      </c>
      <c r="C59" s="121">
        <f t="shared" si="1"/>
        <v>24000000</v>
      </c>
      <c r="D59" s="100">
        <f t="shared" si="2"/>
        <v>0</v>
      </c>
      <c r="E59" s="100">
        <f t="shared" si="8"/>
        <v>99274889.870000005</v>
      </c>
      <c r="F59" s="121">
        <v>0</v>
      </c>
      <c r="G59" s="121">
        <f t="shared" si="3"/>
        <v>0</v>
      </c>
      <c r="H59" s="121">
        <f t="shared" si="4"/>
        <v>0</v>
      </c>
      <c r="I59" s="100">
        <f t="shared" si="5"/>
        <v>-99274889.870000005</v>
      </c>
      <c r="J59" s="100">
        <v>0</v>
      </c>
    </row>
    <row r="60" spans="1:10" x14ac:dyDescent="0.3">
      <c r="A60" s="119" t="s">
        <v>227</v>
      </c>
      <c r="B60" s="124">
        <v>80</v>
      </c>
      <c r="C60" s="121">
        <f t="shared" si="1"/>
        <v>1920000</v>
      </c>
      <c r="D60" s="100">
        <f t="shared" si="2"/>
        <v>0</v>
      </c>
      <c r="E60" s="100">
        <f t="shared" si="8"/>
        <v>7941991.1896000002</v>
      </c>
      <c r="F60" s="121">
        <v>0</v>
      </c>
      <c r="G60" s="121">
        <f t="shared" si="3"/>
        <v>0</v>
      </c>
      <c r="H60" s="121">
        <f t="shared" si="4"/>
        <v>0</v>
      </c>
      <c r="I60" s="100">
        <f t="shared" si="5"/>
        <v>-7941991.1896000002</v>
      </c>
      <c r="J60" s="100">
        <v>0</v>
      </c>
    </row>
    <row r="61" spans="1:10" x14ac:dyDescent="0.3">
      <c r="A61" s="119" t="s">
        <v>263</v>
      </c>
      <c r="B61" s="124">
        <v>70</v>
      </c>
      <c r="C61" s="121">
        <f t="shared" si="1"/>
        <v>1680000</v>
      </c>
      <c r="D61" s="100">
        <f t="shared" si="2"/>
        <v>4.7137142857142855</v>
      </c>
      <c r="E61" s="100">
        <f t="shared" si="8"/>
        <v>6949242.2909000004</v>
      </c>
      <c r="F61" s="121">
        <v>16</v>
      </c>
      <c r="G61" s="121">
        <f t="shared" si="3"/>
        <v>140160</v>
      </c>
      <c r="H61" s="121">
        <f t="shared" si="4"/>
        <v>7919040</v>
      </c>
      <c r="I61" s="100">
        <f t="shared" si="5"/>
        <v>969797.70909999963</v>
      </c>
      <c r="J61" s="100">
        <f t="shared" si="7"/>
        <v>2.458723896807815E-2</v>
      </c>
    </row>
    <row r="62" spans="1:10" x14ac:dyDescent="0.3">
      <c r="A62" s="119" t="s">
        <v>179</v>
      </c>
      <c r="B62" s="125"/>
      <c r="C62" s="121">
        <f t="shared" si="1"/>
        <v>0</v>
      </c>
      <c r="D62" s="100" t="e">
        <f t="shared" si="2"/>
        <v>#DIV/0!</v>
      </c>
      <c r="E62" s="100">
        <f t="shared" si="8"/>
        <v>0</v>
      </c>
      <c r="F62" s="121">
        <v>140</v>
      </c>
      <c r="G62" s="121">
        <f t="shared" si="3"/>
        <v>1226400</v>
      </c>
      <c r="H62" s="121">
        <f t="shared" si="4"/>
        <v>69291600</v>
      </c>
      <c r="I62" s="100">
        <f t="shared" si="5"/>
        <v>69291600</v>
      </c>
      <c r="J62" s="125"/>
    </row>
    <row r="63" spans="1:10" x14ac:dyDescent="0.3">
      <c r="A63" s="119" t="s">
        <v>104</v>
      </c>
      <c r="B63" s="125"/>
      <c r="C63" s="121">
        <f t="shared" si="1"/>
        <v>0</v>
      </c>
      <c r="D63" s="100" t="e">
        <f t="shared" si="2"/>
        <v>#DIV/0!</v>
      </c>
      <c r="E63" s="100">
        <f t="shared" si="8"/>
        <v>0</v>
      </c>
      <c r="F63" s="121">
        <v>100</v>
      </c>
      <c r="G63" s="121">
        <f t="shared" si="3"/>
        <v>876000</v>
      </c>
      <c r="H63" s="121">
        <f t="shared" si="4"/>
        <v>49494000</v>
      </c>
      <c r="I63" s="100">
        <f t="shared" si="5"/>
        <v>49494000</v>
      </c>
      <c r="J63" s="125"/>
    </row>
    <row r="64" spans="1:10" x14ac:dyDescent="0.3">
      <c r="A64" s="119" t="s">
        <v>155</v>
      </c>
      <c r="B64" s="124">
        <v>33</v>
      </c>
      <c r="C64" s="121">
        <f t="shared" si="1"/>
        <v>792000</v>
      </c>
      <c r="D64" s="100">
        <f t="shared" si="2"/>
        <v>0</v>
      </c>
      <c r="E64" s="100">
        <f t="shared" si="8"/>
        <v>3276071.36571</v>
      </c>
      <c r="F64" s="121">
        <v>0</v>
      </c>
      <c r="G64" s="121">
        <f t="shared" si="3"/>
        <v>0</v>
      </c>
      <c r="H64" s="121">
        <f t="shared" si="4"/>
        <v>0</v>
      </c>
      <c r="I64" s="100">
        <f t="shared" si="5"/>
        <v>-3276071.36571</v>
      </c>
      <c r="J64" s="100">
        <v>0</v>
      </c>
    </row>
    <row r="65" spans="1:10" x14ac:dyDescent="0.3">
      <c r="A65" s="119" t="s">
        <v>149</v>
      </c>
      <c r="B65" s="124">
        <v>80</v>
      </c>
      <c r="C65" s="121">
        <f t="shared" si="1"/>
        <v>1920000</v>
      </c>
      <c r="D65" s="100">
        <f t="shared" si="2"/>
        <v>0.64445312499999996</v>
      </c>
      <c r="E65" s="100">
        <f t="shared" si="8"/>
        <v>7941991.1896000002</v>
      </c>
      <c r="F65" s="121">
        <v>2.5</v>
      </c>
      <c r="G65" s="121">
        <f t="shared" si="3"/>
        <v>21900</v>
      </c>
      <c r="H65" s="121">
        <f t="shared" si="4"/>
        <v>1237350</v>
      </c>
      <c r="I65" s="100">
        <f t="shared" si="5"/>
        <v>-6704641.1896000002</v>
      </c>
      <c r="J65" s="100">
        <v>0</v>
      </c>
    </row>
    <row r="66" spans="1:10" x14ac:dyDescent="0.3">
      <c r="C66" s="121">
        <f t="shared" si="1"/>
        <v>0</v>
      </c>
      <c r="D66" s="100" t="e">
        <f t="shared" si="2"/>
        <v>#DIV/0!</v>
      </c>
      <c r="E66" s="100">
        <f t="shared" si="8"/>
        <v>0</v>
      </c>
      <c r="F66" s="127" t="s">
        <v>333</v>
      </c>
      <c r="G66" s="121">
        <v>0</v>
      </c>
      <c r="H66" s="121">
        <v>0</v>
      </c>
      <c r="I66" s="100">
        <f t="shared" si="5"/>
        <v>0</v>
      </c>
      <c r="J66" s="100">
        <f t="shared" si="7"/>
        <v>0</v>
      </c>
    </row>
    <row r="67" spans="1:10" x14ac:dyDescent="0.3">
      <c r="D67" s="100"/>
    </row>
    <row r="68" spans="1:10" x14ac:dyDescent="0.3">
      <c r="D68" s="100"/>
    </row>
    <row r="69" spans="1:10" x14ac:dyDescent="0.3">
      <c r="A69" s="100" t="s">
        <v>333</v>
      </c>
      <c r="D69" s="100"/>
    </row>
    <row r="70" spans="1:10" x14ac:dyDescent="0.3">
      <c r="A70" s="100" t="s">
        <v>339</v>
      </c>
      <c r="D70" s="10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8D9F1E-2CB1-4C2F-945C-62C7DC15891D}">
  <dimension ref="A1:G21"/>
  <sheetViews>
    <sheetView zoomScale="60" workbookViewId="0">
      <pane ySplit="1" topLeftCell="A2" activePane="bottomLeft" state="frozen"/>
      <selection pane="bottomLeft" activeCell="C33" sqref="C33"/>
    </sheetView>
  </sheetViews>
  <sheetFormatPr baseColWidth="10" defaultColWidth="11.44140625" defaultRowHeight="14.4" x14ac:dyDescent="0.3"/>
  <cols>
    <col min="1" max="1" width="51.5546875" customWidth="1"/>
    <col min="2" max="2" width="25.6640625" customWidth="1"/>
    <col min="3" max="3" width="20.33203125" customWidth="1"/>
    <col min="4" max="4" width="29.33203125" customWidth="1"/>
    <col min="5" max="5" width="35" customWidth="1"/>
    <col min="6" max="6" width="46.44140625" customWidth="1"/>
    <col min="7" max="7" width="47.5546875" customWidth="1"/>
  </cols>
  <sheetData>
    <row r="1" spans="1:6" x14ac:dyDescent="0.3">
      <c r="A1" s="1" t="s">
        <v>8</v>
      </c>
      <c r="B1" s="1" t="s">
        <v>39</v>
      </c>
      <c r="C1" s="1" t="s">
        <v>723</v>
      </c>
      <c r="D1" s="1" t="s">
        <v>724</v>
      </c>
      <c r="E1" s="1" t="s">
        <v>725</v>
      </c>
      <c r="F1" s="1" t="s">
        <v>726</v>
      </c>
    </row>
    <row r="2" spans="1:6" ht="15" customHeight="1" x14ac:dyDescent="0.3">
      <c r="A2" s="212" t="s">
        <v>727</v>
      </c>
      <c r="B2" s="2"/>
      <c r="C2" s="212" t="s">
        <v>728</v>
      </c>
      <c r="D2" s="212" t="s">
        <v>729</v>
      </c>
      <c r="E2" s="212" t="s">
        <v>730</v>
      </c>
      <c r="F2" s="2" t="s">
        <v>731</v>
      </c>
    </row>
    <row r="3" spans="1:6" x14ac:dyDescent="0.3">
      <c r="A3" s="212"/>
      <c r="B3" s="2"/>
      <c r="C3" s="212"/>
      <c r="D3" s="212"/>
      <c r="E3" s="212"/>
      <c r="F3" s="2" t="s">
        <v>732</v>
      </c>
    </row>
    <row r="4" spans="1:6" x14ac:dyDescent="0.3">
      <c r="A4" s="2" t="s">
        <v>733</v>
      </c>
      <c r="B4" s="2"/>
      <c r="C4" s="2" t="s">
        <v>734</v>
      </c>
      <c r="D4" s="2" t="s">
        <v>735</v>
      </c>
      <c r="E4" s="2">
        <v>200</v>
      </c>
      <c r="F4" s="2" t="s">
        <v>736</v>
      </c>
    </row>
    <row r="5" spans="1:6" x14ac:dyDescent="0.3">
      <c r="A5" s="2" t="s">
        <v>737</v>
      </c>
      <c r="B5" s="2"/>
      <c r="C5" s="2" t="s">
        <v>738</v>
      </c>
      <c r="D5" s="2" t="s">
        <v>739</v>
      </c>
      <c r="E5" s="3">
        <v>3333</v>
      </c>
      <c r="F5" s="2" t="s">
        <v>740</v>
      </c>
    </row>
    <row r="6" spans="1:6" x14ac:dyDescent="0.3">
      <c r="A6" s="2" t="s">
        <v>741</v>
      </c>
      <c r="B6" s="2"/>
      <c r="C6" s="2" t="s">
        <v>742</v>
      </c>
      <c r="D6" s="2" t="s">
        <v>743</v>
      </c>
      <c r="E6" s="2" t="s">
        <v>744</v>
      </c>
      <c r="F6" s="2" t="s">
        <v>745</v>
      </c>
    </row>
    <row r="7" spans="1:6" x14ac:dyDescent="0.3">
      <c r="A7" s="2" t="s">
        <v>746</v>
      </c>
      <c r="B7" s="2"/>
      <c r="C7" s="2">
        <v>0.13</v>
      </c>
      <c r="D7" s="2">
        <v>0.25</v>
      </c>
      <c r="E7" s="2">
        <v>0.4</v>
      </c>
      <c r="F7" s="2">
        <v>0.55000000000000004</v>
      </c>
    </row>
    <row r="8" spans="1:6" x14ac:dyDescent="0.3">
      <c r="A8" s="2" t="s">
        <v>747</v>
      </c>
      <c r="B8" s="2"/>
      <c r="C8" s="2" t="s">
        <v>748</v>
      </c>
      <c r="D8" s="2" t="s">
        <v>749</v>
      </c>
      <c r="E8" s="2" t="s">
        <v>750</v>
      </c>
      <c r="F8" s="2" t="s">
        <v>751</v>
      </c>
    </row>
    <row r="9" spans="1:6" x14ac:dyDescent="0.3">
      <c r="A9" s="2" t="s">
        <v>752</v>
      </c>
      <c r="B9" s="2" t="s">
        <v>753</v>
      </c>
      <c r="C9" s="2" t="s">
        <v>754</v>
      </c>
      <c r="D9" s="2">
        <v>5</v>
      </c>
      <c r="E9" s="2">
        <v>20</v>
      </c>
      <c r="F9" s="2">
        <v>600</v>
      </c>
    </row>
    <row r="10" spans="1:6" x14ac:dyDescent="0.3">
      <c r="A10" s="2" t="s">
        <v>755</v>
      </c>
      <c r="B10" s="2" t="s">
        <v>44</v>
      </c>
      <c r="C10" s="2" t="s">
        <v>756</v>
      </c>
      <c r="D10" s="2" t="s">
        <v>757</v>
      </c>
      <c r="E10" s="2" t="s">
        <v>758</v>
      </c>
      <c r="F10" s="2">
        <v>3</v>
      </c>
    </row>
    <row r="11" spans="1:6" ht="15" customHeight="1" x14ac:dyDescent="0.3">
      <c r="A11" s="212" t="s">
        <v>759</v>
      </c>
      <c r="B11" s="2"/>
      <c r="C11" s="212" t="s">
        <v>760</v>
      </c>
      <c r="D11" s="212" t="s">
        <v>761</v>
      </c>
      <c r="E11" s="212" t="s">
        <v>762</v>
      </c>
      <c r="F11" s="2" t="s">
        <v>763</v>
      </c>
    </row>
    <row r="12" spans="1:6" ht="15" customHeight="1" x14ac:dyDescent="0.3">
      <c r="A12" s="212"/>
      <c r="B12" s="2"/>
      <c r="C12" s="212"/>
      <c r="D12" s="212"/>
      <c r="E12" s="212"/>
      <c r="F12" s="2" t="s">
        <v>764</v>
      </c>
    </row>
    <row r="13" spans="1:6" ht="28.8" x14ac:dyDescent="0.3">
      <c r="A13" s="2" t="s">
        <v>765</v>
      </c>
      <c r="B13" s="2"/>
      <c r="C13" s="2" t="s">
        <v>766</v>
      </c>
      <c r="D13" s="2" t="s">
        <v>767</v>
      </c>
      <c r="E13" s="2" t="s">
        <v>768</v>
      </c>
      <c r="F13" s="2" t="s">
        <v>769</v>
      </c>
    </row>
    <row r="14" spans="1:6" x14ac:dyDescent="0.3">
      <c r="A14" s="2" t="s">
        <v>770</v>
      </c>
      <c r="B14" s="2"/>
      <c r="C14" s="2" t="s">
        <v>771</v>
      </c>
      <c r="D14" s="2" t="s">
        <v>772</v>
      </c>
      <c r="E14" s="2" t="s">
        <v>773</v>
      </c>
      <c r="F14" s="2" t="s">
        <v>774</v>
      </c>
    </row>
    <row r="15" spans="1:6" ht="15" customHeight="1" x14ac:dyDescent="0.3">
      <c r="A15" s="212" t="s">
        <v>775</v>
      </c>
      <c r="B15" s="2"/>
      <c r="C15" s="212" t="s">
        <v>776</v>
      </c>
      <c r="D15" s="212" t="s">
        <v>777</v>
      </c>
      <c r="E15" s="212" t="s">
        <v>778</v>
      </c>
      <c r="F15" s="212" t="s">
        <v>779</v>
      </c>
    </row>
    <row r="16" spans="1:6" x14ac:dyDescent="0.3">
      <c r="A16" s="212"/>
      <c r="B16" s="2"/>
      <c r="C16" s="212"/>
      <c r="D16" s="212"/>
      <c r="E16" s="212"/>
      <c r="F16" s="212"/>
    </row>
    <row r="17" spans="1:7" x14ac:dyDescent="0.3">
      <c r="A17" s="14" t="s">
        <v>780</v>
      </c>
      <c r="B17" s="14"/>
      <c r="C17" s="14" t="s">
        <v>781</v>
      </c>
      <c r="D17" s="14" t="s">
        <v>782</v>
      </c>
      <c r="E17" s="14" t="s">
        <v>783</v>
      </c>
      <c r="F17" s="14" t="s">
        <v>784</v>
      </c>
    </row>
    <row r="18" spans="1:7" ht="29.25" customHeight="1" x14ac:dyDescent="0.3">
      <c r="A18" s="213" t="s">
        <v>785</v>
      </c>
      <c r="B18" s="22"/>
      <c r="C18" s="15" t="s">
        <v>786</v>
      </c>
      <c r="D18" s="15" t="s">
        <v>787</v>
      </c>
      <c r="E18" s="16" t="s">
        <v>788</v>
      </c>
      <c r="F18" s="20" t="s">
        <v>789</v>
      </c>
      <c r="G18" s="23" t="s">
        <v>790</v>
      </c>
    </row>
    <row r="19" spans="1:7" ht="57.75" customHeight="1" x14ac:dyDescent="0.3">
      <c r="A19" s="213"/>
      <c r="B19" s="22"/>
      <c r="C19" s="2" t="s">
        <v>791</v>
      </c>
      <c r="D19" s="2" t="s">
        <v>792</v>
      </c>
      <c r="E19" s="143" t="s">
        <v>793</v>
      </c>
      <c r="F19" s="2" t="s">
        <v>794</v>
      </c>
    </row>
    <row r="20" spans="1:7" ht="43.5" customHeight="1" x14ac:dyDescent="0.3">
      <c r="A20" s="213"/>
      <c r="B20" s="22"/>
      <c r="C20" s="2" t="s">
        <v>795</v>
      </c>
      <c r="D20" s="2" t="s">
        <v>795</v>
      </c>
      <c r="E20" s="17" t="s">
        <v>796</v>
      </c>
      <c r="F20" s="21" t="s">
        <v>796</v>
      </c>
    </row>
    <row r="21" spans="1:7" ht="57.75" customHeight="1" x14ac:dyDescent="0.3">
      <c r="A21" s="213"/>
      <c r="B21" s="22"/>
      <c r="C21" s="2" t="s">
        <v>797</v>
      </c>
      <c r="D21" s="2" t="s">
        <v>797</v>
      </c>
      <c r="E21" s="17" t="s">
        <v>798</v>
      </c>
      <c r="F21" s="18" t="s">
        <v>798</v>
      </c>
    </row>
  </sheetData>
  <mergeCells count="14">
    <mergeCell ref="F15:F16"/>
    <mergeCell ref="A18:A21"/>
    <mergeCell ref="A2:A3"/>
    <mergeCell ref="C2:C3"/>
    <mergeCell ref="D2:D3"/>
    <mergeCell ref="E2:E3"/>
    <mergeCell ref="A11:A12"/>
    <mergeCell ref="C11:C12"/>
    <mergeCell ref="D11:D12"/>
    <mergeCell ref="E11:E12"/>
    <mergeCell ref="A15:A16"/>
    <mergeCell ref="C15:C16"/>
    <mergeCell ref="D15:D16"/>
    <mergeCell ref="E15:E16"/>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D41895-3E2F-412D-9B71-5DAFCE1CE797}">
  <dimension ref="A1:AE126"/>
  <sheetViews>
    <sheetView topLeftCell="S3" zoomScale="48" workbookViewId="0">
      <selection activeCell="S4" sqref="S4"/>
    </sheetView>
  </sheetViews>
  <sheetFormatPr baseColWidth="10" defaultColWidth="11.5546875" defaultRowHeight="14.4" x14ac:dyDescent="0.3"/>
  <cols>
    <col min="1" max="1" width="16" customWidth="1"/>
    <col min="2" max="2" width="22.88671875" bestFit="1" customWidth="1"/>
    <col min="4" max="4" width="16.6640625" customWidth="1"/>
    <col min="5" max="5" width="18.6640625" bestFit="1" customWidth="1"/>
    <col min="6" max="6" width="15.88671875" bestFit="1" customWidth="1"/>
    <col min="7" max="10" width="15.88671875" customWidth="1"/>
    <col min="11" max="11" width="20.5546875" bestFit="1" customWidth="1"/>
    <col min="12" max="16" width="16.6640625" customWidth="1"/>
  </cols>
  <sheetData>
    <row r="1" spans="1:31" s="42" customFormat="1" ht="28.95" customHeight="1" x14ac:dyDescent="0.3">
      <c r="A1" s="43" t="s">
        <v>7</v>
      </c>
      <c r="B1" s="43" t="s">
        <v>8</v>
      </c>
      <c r="C1" s="43" t="s">
        <v>9</v>
      </c>
      <c r="D1" s="43" t="s">
        <v>10</v>
      </c>
      <c r="E1" s="44" t="s">
        <v>11</v>
      </c>
      <c r="F1" s="43" t="s">
        <v>12</v>
      </c>
      <c r="G1" s="43" t="s">
        <v>13</v>
      </c>
      <c r="H1" s="43" t="s">
        <v>14</v>
      </c>
      <c r="I1" s="43" t="s">
        <v>15</v>
      </c>
      <c r="J1" s="43" t="s">
        <v>16</v>
      </c>
      <c r="K1" s="43" t="s">
        <v>799</v>
      </c>
      <c r="L1" s="44" t="s">
        <v>800</v>
      </c>
      <c r="M1" s="44" t="s">
        <v>19</v>
      </c>
      <c r="N1" s="44" t="s">
        <v>20</v>
      </c>
      <c r="O1" s="44" t="s">
        <v>21</v>
      </c>
      <c r="P1" s="44" t="s">
        <v>23</v>
      </c>
      <c r="Q1" s="44" t="s">
        <v>24</v>
      </c>
      <c r="R1" s="44" t="s">
        <v>801</v>
      </c>
      <c r="S1" s="44" t="s">
        <v>26</v>
      </c>
      <c r="T1" s="44" t="s">
        <v>27</v>
      </c>
      <c r="U1" s="44" t="s">
        <v>802</v>
      </c>
      <c r="V1" s="44" t="s">
        <v>29</v>
      </c>
      <c r="W1" s="44" t="s">
        <v>30</v>
      </c>
      <c r="X1" s="44" t="s">
        <v>31</v>
      </c>
      <c r="Y1" s="44" t="s">
        <v>32</v>
      </c>
      <c r="Z1" s="44" t="s">
        <v>33</v>
      </c>
      <c r="AA1" s="44" t="s">
        <v>34</v>
      </c>
      <c r="AB1" s="44" t="s">
        <v>35</v>
      </c>
      <c r="AC1" s="44" t="s">
        <v>36</v>
      </c>
      <c r="AD1" s="44" t="s">
        <v>37</v>
      </c>
      <c r="AE1" s="44" t="s">
        <v>38</v>
      </c>
    </row>
    <row r="2" spans="1:31" s="45" customFormat="1" ht="15" thickBot="1" x14ac:dyDescent="0.35">
      <c r="A2" s="45" t="s">
        <v>39</v>
      </c>
      <c r="B2" s="45">
        <v>0</v>
      </c>
      <c r="C2" s="45">
        <v>0</v>
      </c>
      <c r="D2" s="45">
        <v>0</v>
      </c>
      <c r="E2" s="45">
        <v>0</v>
      </c>
      <c r="F2" s="45">
        <v>0</v>
      </c>
      <c r="G2" s="45">
        <v>0</v>
      </c>
      <c r="H2" s="45">
        <v>0</v>
      </c>
      <c r="I2" s="45">
        <v>0</v>
      </c>
      <c r="J2" s="45">
        <v>0</v>
      </c>
      <c r="K2" s="45" t="s">
        <v>40</v>
      </c>
      <c r="L2" s="45" t="s">
        <v>41</v>
      </c>
      <c r="M2" s="45" t="s">
        <v>42</v>
      </c>
      <c r="N2" s="45" t="s">
        <v>43</v>
      </c>
      <c r="O2" s="45" t="s">
        <v>43</v>
      </c>
      <c r="P2" s="45" t="s">
        <v>45</v>
      </c>
      <c r="Q2" s="45" t="s">
        <v>46</v>
      </c>
      <c r="R2" s="45" t="s">
        <v>46</v>
      </c>
      <c r="S2" s="45" t="s">
        <v>46</v>
      </c>
      <c r="T2" s="45" t="s">
        <v>46</v>
      </c>
      <c r="U2" s="45" t="s">
        <v>46</v>
      </c>
      <c r="V2" s="45" t="s">
        <v>46</v>
      </c>
      <c r="W2" s="45" t="s">
        <v>46</v>
      </c>
      <c r="X2" s="45" t="s">
        <v>46</v>
      </c>
      <c r="Y2" s="45">
        <v>10</v>
      </c>
      <c r="Z2" s="45" t="s">
        <v>46</v>
      </c>
      <c r="AA2" s="45" t="s">
        <v>46</v>
      </c>
      <c r="AB2" s="45" t="s">
        <v>46</v>
      </c>
      <c r="AC2" s="45" t="s">
        <v>46</v>
      </c>
      <c r="AD2" s="45" t="s">
        <v>46</v>
      </c>
      <c r="AE2" s="45" t="s">
        <v>46</v>
      </c>
    </row>
    <row r="3" spans="1:31" ht="13.95" customHeight="1" thickTop="1" x14ac:dyDescent="0.3">
      <c r="A3" s="46" t="s">
        <v>56</v>
      </c>
      <c r="B3" s="49" t="s">
        <v>803</v>
      </c>
      <c r="C3" s="48" t="s">
        <v>804</v>
      </c>
      <c r="D3" s="48" t="s">
        <v>804</v>
      </c>
      <c r="E3" s="48" t="s">
        <v>804</v>
      </c>
      <c r="F3" s="48" t="s">
        <v>804</v>
      </c>
      <c r="G3" s="48" t="s">
        <v>804</v>
      </c>
      <c r="H3" s="48" t="s">
        <v>804</v>
      </c>
      <c r="I3" t="s">
        <v>53</v>
      </c>
      <c r="K3" s="31" t="s">
        <v>804</v>
      </c>
      <c r="L3" s="31" t="s">
        <v>804</v>
      </c>
      <c r="M3" s="31" t="s">
        <v>804</v>
      </c>
      <c r="N3" s="31" t="s">
        <v>804</v>
      </c>
      <c r="O3" s="31" t="s">
        <v>804</v>
      </c>
      <c r="P3" s="31" t="s">
        <v>804</v>
      </c>
    </row>
    <row r="4" spans="1:31" ht="72" x14ac:dyDescent="0.3">
      <c r="A4" s="46" t="s">
        <v>100</v>
      </c>
      <c r="B4" s="49" t="s">
        <v>803</v>
      </c>
      <c r="C4" s="48" t="s">
        <v>804</v>
      </c>
      <c r="D4" s="48" t="s">
        <v>804</v>
      </c>
      <c r="E4" s="48" t="s">
        <v>804</v>
      </c>
      <c r="F4" s="48" t="s">
        <v>804</v>
      </c>
      <c r="G4" s="48" t="s">
        <v>804</v>
      </c>
      <c r="H4" s="48" t="s">
        <v>804</v>
      </c>
      <c r="I4" t="s">
        <v>53</v>
      </c>
      <c r="K4" s="31" t="s">
        <v>804</v>
      </c>
      <c r="L4" s="31" t="s">
        <v>804</v>
      </c>
      <c r="M4" s="31" t="s">
        <v>804</v>
      </c>
      <c r="N4" s="31" t="s">
        <v>804</v>
      </c>
      <c r="O4" s="31" t="s">
        <v>804</v>
      </c>
      <c r="P4" s="31" t="s">
        <v>804</v>
      </c>
    </row>
    <row r="5" spans="1:31" ht="72" x14ac:dyDescent="0.3">
      <c r="A5" s="46" t="s">
        <v>256</v>
      </c>
      <c r="B5" s="49" t="s">
        <v>803</v>
      </c>
      <c r="C5" s="48" t="s">
        <v>804</v>
      </c>
      <c r="D5" s="48" t="s">
        <v>804</v>
      </c>
      <c r="E5" s="48" t="s">
        <v>804</v>
      </c>
      <c r="F5" s="48" t="s">
        <v>804</v>
      </c>
      <c r="G5" s="48" t="s">
        <v>804</v>
      </c>
      <c r="H5" s="48" t="s">
        <v>804</v>
      </c>
      <c r="I5" t="s">
        <v>53</v>
      </c>
      <c r="K5" s="31" t="s">
        <v>804</v>
      </c>
      <c r="L5" s="31" t="s">
        <v>804</v>
      </c>
      <c r="M5" s="31" t="s">
        <v>804</v>
      </c>
      <c r="N5" s="31" t="s">
        <v>804</v>
      </c>
      <c r="O5" s="31" t="s">
        <v>804</v>
      </c>
      <c r="P5" s="31" t="s">
        <v>804</v>
      </c>
    </row>
    <row r="6" spans="1:31" ht="72" x14ac:dyDescent="0.3">
      <c r="A6" s="46" t="s">
        <v>305</v>
      </c>
      <c r="B6" s="49" t="s">
        <v>803</v>
      </c>
      <c r="C6" s="48" t="s">
        <v>804</v>
      </c>
      <c r="D6" s="48" t="s">
        <v>804</v>
      </c>
      <c r="E6" s="48" t="s">
        <v>804</v>
      </c>
      <c r="F6" s="48" t="s">
        <v>804</v>
      </c>
      <c r="G6" s="48" t="s">
        <v>804</v>
      </c>
      <c r="H6" s="48" t="s">
        <v>804</v>
      </c>
      <c r="I6" t="s">
        <v>53</v>
      </c>
      <c r="K6" s="31" t="s">
        <v>804</v>
      </c>
      <c r="L6" s="31" t="s">
        <v>804</v>
      </c>
      <c r="M6" s="31" t="s">
        <v>804</v>
      </c>
      <c r="N6" s="31" t="s">
        <v>804</v>
      </c>
      <c r="O6" s="31" t="s">
        <v>804</v>
      </c>
      <c r="P6" s="31" t="s">
        <v>804</v>
      </c>
    </row>
    <row r="7" spans="1:31" ht="72" x14ac:dyDescent="0.3">
      <c r="A7" s="46" t="s">
        <v>231</v>
      </c>
      <c r="B7" s="49" t="s">
        <v>803</v>
      </c>
      <c r="C7" s="48" t="s">
        <v>804</v>
      </c>
      <c r="D7" s="48" t="s">
        <v>804</v>
      </c>
      <c r="E7" s="48" t="s">
        <v>804</v>
      </c>
      <c r="F7" s="48" t="s">
        <v>804</v>
      </c>
      <c r="G7" s="48" t="s">
        <v>804</v>
      </c>
      <c r="H7" s="48" t="s">
        <v>804</v>
      </c>
      <c r="I7" t="s">
        <v>53</v>
      </c>
      <c r="K7" s="31" t="s">
        <v>804</v>
      </c>
      <c r="L7" s="31" t="s">
        <v>804</v>
      </c>
      <c r="M7" s="31" t="s">
        <v>804</v>
      </c>
      <c r="N7" s="31" t="s">
        <v>804</v>
      </c>
      <c r="O7" s="31" t="s">
        <v>804</v>
      </c>
      <c r="P7" s="31" t="s">
        <v>804</v>
      </c>
    </row>
    <row r="8" spans="1:31" ht="72" x14ac:dyDescent="0.3">
      <c r="A8" s="46" t="s">
        <v>143</v>
      </c>
      <c r="B8" s="49" t="s">
        <v>803</v>
      </c>
      <c r="C8" s="48" t="s">
        <v>804</v>
      </c>
      <c r="D8" s="48" t="s">
        <v>804</v>
      </c>
      <c r="E8" s="48" t="s">
        <v>804</v>
      </c>
      <c r="F8" s="48" t="s">
        <v>804</v>
      </c>
      <c r="G8" s="48" t="s">
        <v>804</v>
      </c>
      <c r="H8" s="48" t="s">
        <v>804</v>
      </c>
      <c r="I8" t="s">
        <v>53</v>
      </c>
      <c r="K8" s="31" t="s">
        <v>804</v>
      </c>
      <c r="L8" s="31" t="s">
        <v>804</v>
      </c>
      <c r="M8" s="31" t="s">
        <v>804</v>
      </c>
      <c r="N8" s="31" t="s">
        <v>804</v>
      </c>
      <c r="O8" s="31" t="s">
        <v>804</v>
      </c>
      <c r="P8" s="31" t="s">
        <v>804</v>
      </c>
    </row>
    <row r="9" spans="1:31" ht="72" x14ac:dyDescent="0.3">
      <c r="A9" s="46" t="s">
        <v>83</v>
      </c>
      <c r="B9" s="49" t="s">
        <v>803</v>
      </c>
      <c r="C9" s="48" t="s">
        <v>804</v>
      </c>
      <c r="D9" s="48" t="s">
        <v>804</v>
      </c>
      <c r="E9" s="48" t="s">
        <v>804</v>
      </c>
      <c r="F9" s="48" t="s">
        <v>804</v>
      </c>
      <c r="G9" s="48" t="s">
        <v>804</v>
      </c>
      <c r="H9" s="48" t="s">
        <v>804</v>
      </c>
      <c r="I9" t="s">
        <v>53</v>
      </c>
      <c r="K9" s="31" t="s">
        <v>804</v>
      </c>
      <c r="L9" s="31" t="s">
        <v>804</v>
      </c>
      <c r="M9" s="31" t="s">
        <v>804</v>
      </c>
      <c r="N9" s="31" t="s">
        <v>804</v>
      </c>
      <c r="O9" s="31" t="s">
        <v>804</v>
      </c>
      <c r="P9" s="31" t="s">
        <v>804</v>
      </c>
    </row>
    <row r="10" spans="1:31" ht="72" x14ac:dyDescent="0.3">
      <c r="A10" s="46" t="s">
        <v>236</v>
      </c>
      <c r="B10" s="49" t="s">
        <v>803</v>
      </c>
      <c r="C10" s="48" t="s">
        <v>804</v>
      </c>
      <c r="D10" s="48" t="s">
        <v>804</v>
      </c>
      <c r="E10" s="48" t="s">
        <v>804</v>
      </c>
      <c r="F10" s="48" t="s">
        <v>804</v>
      </c>
      <c r="G10" s="48" t="s">
        <v>804</v>
      </c>
      <c r="H10" s="48" t="s">
        <v>804</v>
      </c>
      <c r="I10" t="s">
        <v>53</v>
      </c>
      <c r="K10" s="31" t="s">
        <v>804</v>
      </c>
      <c r="L10" s="31" t="s">
        <v>804</v>
      </c>
      <c r="M10" s="31" t="s">
        <v>804</v>
      </c>
      <c r="N10" s="31" t="s">
        <v>804</v>
      </c>
      <c r="O10" s="31" t="s">
        <v>804</v>
      </c>
      <c r="P10" s="31" t="s">
        <v>804</v>
      </c>
    </row>
    <row r="11" spans="1:31" ht="72" x14ac:dyDescent="0.3">
      <c r="A11" s="46" t="s">
        <v>302</v>
      </c>
      <c r="B11" s="49" t="s">
        <v>803</v>
      </c>
      <c r="C11" s="48" t="s">
        <v>804</v>
      </c>
      <c r="D11" s="48" t="s">
        <v>804</v>
      </c>
      <c r="E11" s="48" t="s">
        <v>804</v>
      </c>
      <c r="F11" s="48" t="s">
        <v>804</v>
      </c>
      <c r="G11" s="48" t="s">
        <v>804</v>
      </c>
      <c r="H11" s="48" t="s">
        <v>804</v>
      </c>
      <c r="I11" t="s">
        <v>53</v>
      </c>
      <c r="K11" s="31" t="s">
        <v>804</v>
      </c>
      <c r="L11" s="31" t="s">
        <v>804</v>
      </c>
      <c r="M11" s="31" t="s">
        <v>804</v>
      </c>
      <c r="N11" s="31" t="s">
        <v>804</v>
      </c>
      <c r="O11" s="31" t="s">
        <v>804</v>
      </c>
      <c r="P11" s="31" t="s">
        <v>804</v>
      </c>
    </row>
    <row r="12" spans="1:31" ht="72" x14ac:dyDescent="0.3">
      <c r="A12" s="46" t="s">
        <v>252</v>
      </c>
      <c r="B12" s="49" t="s">
        <v>803</v>
      </c>
      <c r="C12" s="48" t="s">
        <v>804</v>
      </c>
      <c r="D12" s="48" t="s">
        <v>804</v>
      </c>
      <c r="E12" s="48" t="s">
        <v>804</v>
      </c>
      <c r="F12" s="48" t="s">
        <v>804</v>
      </c>
      <c r="G12" s="48" t="s">
        <v>804</v>
      </c>
      <c r="H12" s="48" t="s">
        <v>804</v>
      </c>
      <c r="I12" t="s">
        <v>53</v>
      </c>
      <c r="K12" s="31" t="s">
        <v>804</v>
      </c>
      <c r="L12" s="31" t="s">
        <v>804</v>
      </c>
      <c r="M12" s="31" t="s">
        <v>804</v>
      </c>
      <c r="N12" s="31" t="s">
        <v>804</v>
      </c>
      <c r="O12" s="31" t="s">
        <v>804</v>
      </c>
      <c r="P12" s="31" t="s">
        <v>804</v>
      </c>
    </row>
    <row r="13" spans="1:31" ht="72" x14ac:dyDescent="0.3">
      <c r="A13" s="46" t="s">
        <v>221</v>
      </c>
      <c r="B13" s="49" t="s">
        <v>803</v>
      </c>
      <c r="C13" s="48" t="s">
        <v>804</v>
      </c>
      <c r="D13" s="48" t="s">
        <v>804</v>
      </c>
      <c r="E13" s="48" t="s">
        <v>804</v>
      </c>
      <c r="F13" s="48" t="s">
        <v>804</v>
      </c>
      <c r="G13" s="48" t="s">
        <v>804</v>
      </c>
      <c r="H13" s="48" t="s">
        <v>804</v>
      </c>
      <c r="I13" t="s">
        <v>53</v>
      </c>
      <c r="K13" s="31" t="s">
        <v>804</v>
      </c>
      <c r="L13" s="31" t="s">
        <v>804</v>
      </c>
      <c r="M13" s="31" t="s">
        <v>804</v>
      </c>
      <c r="N13" s="31" t="s">
        <v>804</v>
      </c>
      <c r="O13" s="31" t="s">
        <v>804</v>
      </c>
      <c r="P13" s="31" t="s">
        <v>804</v>
      </c>
    </row>
    <row r="14" spans="1:31" ht="72" x14ac:dyDescent="0.3">
      <c r="A14" s="46" t="s">
        <v>313</v>
      </c>
      <c r="B14" s="49" t="s">
        <v>803</v>
      </c>
      <c r="C14" s="48" t="s">
        <v>804</v>
      </c>
      <c r="D14" s="48" t="s">
        <v>804</v>
      </c>
      <c r="E14" s="48" t="s">
        <v>804</v>
      </c>
      <c r="F14" s="48" t="s">
        <v>804</v>
      </c>
      <c r="G14" s="48" t="s">
        <v>804</v>
      </c>
      <c r="H14" s="48" t="s">
        <v>804</v>
      </c>
      <c r="I14" t="s">
        <v>53</v>
      </c>
      <c r="K14" s="31" t="s">
        <v>804</v>
      </c>
      <c r="L14" s="31" t="s">
        <v>804</v>
      </c>
      <c r="M14" s="31" t="s">
        <v>804</v>
      </c>
      <c r="N14" s="31" t="s">
        <v>804</v>
      </c>
      <c r="O14" s="31" t="s">
        <v>804</v>
      </c>
      <c r="P14" s="31" t="s">
        <v>804</v>
      </c>
    </row>
    <row r="15" spans="1:31" ht="72" x14ac:dyDescent="0.3">
      <c r="A15" s="46" t="s">
        <v>158</v>
      </c>
      <c r="B15" s="49" t="s">
        <v>803</v>
      </c>
      <c r="C15" s="48" t="s">
        <v>804</v>
      </c>
      <c r="D15" s="48" t="s">
        <v>804</v>
      </c>
      <c r="E15" s="48" t="s">
        <v>804</v>
      </c>
      <c r="F15" s="48" t="s">
        <v>804</v>
      </c>
      <c r="G15" s="48" t="s">
        <v>804</v>
      </c>
      <c r="H15" s="48" t="s">
        <v>804</v>
      </c>
      <c r="I15" t="s">
        <v>53</v>
      </c>
      <c r="K15" s="31" t="s">
        <v>804</v>
      </c>
      <c r="L15" s="31" t="s">
        <v>804</v>
      </c>
      <c r="M15" s="31" t="s">
        <v>804</v>
      </c>
      <c r="N15" s="31" t="s">
        <v>804</v>
      </c>
      <c r="O15" s="31" t="s">
        <v>804</v>
      </c>
      <c r="P15" s="31" t="s">
        <v>804</v>
      </c>
    </row>
    <row r="16" spans="1:31" ht="72" x14ac:dyDescent="0.3">
      <c r="A16" s="46" t="s">
        <v>287</v>
      </c>
      <c r="B16" s="49" t="s">
        <v>803</v>
      </c>
      <c r="C16" s="48" t="s">
        <v>804</v>
      </c>
      <c r="D16" s="48" t="s">
        <v>804</v>
      </c>
      <c r="E16" s="48" t="s">
        <v>804</v>
      </c>
      <c r="F16" s="48" t="s">
        <v>804</v>
      </c>
      <c r="G16" s="48" t="s">
        <v>804</v>
      </c>
      <c r="H16" s="48" t="s">
        <v>804</v>
      </c>
      <c r="I16" t="s">
        <v>53</v>
      </c>
      <c r="K16" s="31" t="s">
        <v>804</v>
      </c>
      <c r="L16" s="31" t="s">
        <v>804</v>
      </c>
      <c r="M16" s="31" t="s">
        <v>804</v>
      </c>
      <c r="N16" s="31" t="s">
        <v>804</v>
      </c>
      <c r="O16" s="31" t="s">
        <v>804</v>
      </c>
      <c r="P16" s="31" t="s">
        <v>804</v>
      </c>
    </row>
    <row r="17" spans="1:16" ht="72" x14ac:dyDescent="0.3">
      <c r="A17" s="46" t="s">
        <v>240</v>
      </c>
      <c r="B17" s="49" t="s">
        <v>803</v>
      </c>
      <c r="C17" s="48" t="s">
        <v>804</v>
      </c>
      <c r="D17" s="48" t="s">
        <v>804</v>
      </c>
      <c r="E17" s="48" t="s">
        <v>804</v>
      </c>
      <c r="F17" s="48" t="s">
        <v>804</v>
      </c>
      <c r="G17" s="48" t="s">
        <v>804</v>
      </c>
      <c r="H17" s="48" t="s">
        <v>804</v>
      </c>
      <c r="I17" t="s">
        <v>53</v>
      </c>
      <c r="K17" s="31" t="s">
        <v>804</v>
      </c>
      <c r="L17" s="31" t="s">
        <v>804</v>
      </c>
      <c r="M17" s="31" t="s">
        <v>804</v>
      </c>
      <c r="N17" s="31" t="s">
        <v>804</v>
      </c>
      <c r="O17" s="31" t="s">
        <v>804</v>
      </c>
      <c r="P17" s="31" t="s">
        <v>804</v>
      </c>
    </row>
    <row r="18" spans="1:16" ht="72" x14ac:dyDescent="0.3">
      <c r="A18" s="46" t="s">
        <v>177</v>
      </c>
      <c r="B18" s="49" t="s">
        <v>803</v>
      </c>
      <c r="C18" s="48" t="s">
        <v>804</v>
      </c>
      <c r="D18" s="48" t="s">
        <v>804</v>
      </c>
      <c r="E18" s="48" t="s">
        <v>804</v>
      </c>
      <c r="F18" s="48" t="s">
        <v>804</v>
      </c>
      <c r="G18" s="48" t="s">
        <v>804</v>
      </c>
      <c r="H18" s="48" t="s">
        <v>804</v>
      </c>
      <c r="I18" t="s">
        <v>53</v>
      </c>
      <c r="K18" s="31" t="s">
        <v>804</v>
      </c>
      <c r="L18" s="31" t="s">
        <v>804</v>
      </c>
      <c r="M18" s="31" t="s">
        <v>804</v>
      </c>
      <c r="N18" s="31" t="s">
        <v>804</v>
      </c>
      <c r="O18" s="31" t="s">
        <v>804</v>
      </c>
      <c r="P18" s="31" t="s">
        <v>804</v>
      </c>
    </row>
    <row r="19" spans="1:16" ht="72" x14ac:dyDescent="0.3">
      <c r="A19" s="46" t="s">
        <v>218</v>
      </c>
      <c r="B19" s="49" t="s">
        <v>803</v>
      </c>
      <c r="C19" s="48" t="s">
        <v>804</v>
      </c>
      <c r="D19" s="48" t="s">
        <v>804</v>
      </c>
      <c r="E19" s="48" t="s">
        <v>804</v>
      </c>
      <c r="F19" s="48" t="s">
        <v>804</v>
      </c>
      <c r="G19" s="48" t="s">
        <v>804</v>
      </c>
      <c r="H19" s="48" t="s">
        <v>804</v>
      </c>
      <c r="I19" t="s">
        <v>53</v>
      </c>
      <c r="K19" s="31" t="s">
        <v>804</v>
      </c>
      <c r="L19" s="31" t="s">
        <v>804</v>
      </c>
      <c r="M19" s="31" t="s">
        <v>804</v>
      </c>
      <c r="N19" s="31" t="s">
        <v>804</v>
      </c>
      <c r="O19" s="31" t="s">
        <v>804</v>
      </c>
      <c r="P19" s="31" t="s">
        <v>804</v>
      </c>
    </row>
    <row r="20" spans="1:16" ht="72" x14ac:dyDescent="0.3">
      <c r="A20" s="46" t="s">
        <v>89</v>
      </c>
      <c r="B20" s="49" t="s">
        <v>803</v>
      </c>
      <c r="C20" s="48" t="s">
        <v>804</v>
      </c>
      <c r="D20" s="48" t="s">
        <v>804</v>
      </c>
      <c r="E20" s="48" t="s">
        <v>804</v>
      </c>
      <c r="F20" s="48" t="s">
        <v>804</v>
      </c>
      <c r="G20" s="48" t="s">
        <v>804</v>
      </c>
      <c r="H20" s="48" t="s">
        <v>804</v>
      </c>
      <c r="I20" t="s">
        <v>53</v>
      </c>
      <c r="K20" s="31" t="s">
        <v>804</v>
      </c>
      <c r="L20" s="31" t="s">
        <v>804</v>
      </c>
      <c r="M20" s="31" t="s">
        <v>804</v>
      </c>
      <c r="N20" s="31" t="s">
        <v>804</v>
      </c>
      <c r="O20" s="31" t="s">
        <v>804</v>
      </c>
      <c r="P20" s="31" t="s">
        <v>804</v>
      </c>
    </row>
    <row r="21" spans="1:16" ht="72" x14ac:dyDescent="0.3">
      <c r="A21" s="46" t="s">
        <v>213</v>
      </c>
      <c r="B21" s="49" t="s">
        <v>803</v>
      </c>
      <c r="C21" s="48" t="s">
        <v>804</v>
      </c>
      <c r="D21" s="48" t="s">
        <v>804</v>
      </c>
      <c r="E21" s="48" t="s">
        <v>804</v>
      </c>
      <c r="F21" s="48" t="s">
        <v>804</v>
      </c>
      <c r="G21" s="48" t="s">
        <v>804</v>
      </c>
      <c r="H21" s="48" t="s">
        <v>804</v>
      </c>
      <c r="I21" t="s">
        <v>53</v>
      </c>
      <c r="K21" s="31" t="s">
        <v>804</v>
      </c>
      <c r="L21" s="31" t="s">
        <v>804</v>
      </c>
      <c r="M21" s="31" t="s">
        <v>804</v>
      </c>
      <c r="N21" s="31" t="s">
        <v>804</v>
      </c>
      <c r="O21" s="31" t="s">
        <v>804</v>
      </c>
      <c r="P21" s="31" t="s">
        <v>804</v>
      </c>
    </row>
    <row r="22" spans="1:16" ht="72" x14ac:dyDescent="0.3">
      <c r="A22" s="46" t="s">
        <v>166</v>
      </c>
      <c r="B22" s="49" t="s">
        <v>803</v>
      </c>
      <c r="C22" s="48" t="s">
        <v>804</v>
      </c>
      <c r="D22" s="48" t="s">
        <v>804</v>
      </c>
      <c r="E22" s="48" t="s">
        <v>804</v>
      </c>
      <c r="F22" s="48" t="s">
        <v>804</v>
      </c>
      <c r="G22" s="48" t="s">
        <v>804</v>
      </c>
      <c r="H22" s="48" t="s">
        <v>804</v>
      </c>
      <c r="I22" t="s">
        <v>53</v>
      </c>
      <c r="K22" s="31" t="s">
        <v>804</v>
      </c>
      <c r="L22" s="31" t="s">
        <v>804</v>
      </c>
      <c r="M22" s="31" t="s">
        <v>804</v>
      </c>
      <c r="N22" s="31" t="s">
        <v>804</v>
      </c>
      <c r="O22" s="31" t="s">
        <v>804</v>
      </c>
      <c r="P22" s="31" t="s">
        <v>804</v>
      </c>
    </row>
    <row r="23" spans="1:16" ht="72" x14ac:dyDescent="0.3">
      <c r="A23" s="46" t="s">
        <v>174</v>
      </c>
      <c r="B23" s="49" t="s">
        <v>803</v>
      </c>
      <c r="C23" s="48" t="s">
        <v>804</v>
      </c>
      <c r="D23" s="48" t="s">
        <v>804</v>
      </c>
      <c r="E23" s="48" t="s">
        <v>804</v>
      </c>
      <c r="F23" s="48" t="s">
        <v>804</v>
      </c>
      <c r="G23" s="48" t="s">
        <v>804</v>
      </c>
      <c r="H23" s="48" t="s">
        <v>804</v>
      </c>
      <c r="I23" t="s">
        <v>53</v>
      </c>
      <c r="K23" s="31" t="s">
        <v>804</v>
      </c>
      <c r="L23" s="31" t="s">
        <v>804</v>
      </c>
      <c r="M23" s="31" t="s">
        <v>804</v>
      </c>
      <c r="N23" s="31" t="s">
        <v>804</v>
      </c>
      <c r="O23" s="31" t="s">
        <v>804</v>
      </c>
      <c r="P23" s="31" t="s">
        <v>804</v>
      </c>
    </row>
    <row r="24" spans="1:16" ht="72" x14ac:dyDescent="0.3">
      <c r="A24" s="46" t="s">
        <v>117</v>
      </c>
      <c r="B24" s="49" t="s">
        <v>803</v>
      </c>
      <c r="C24" s="48" t="s">
        <v>804</v>
      </c>
      <c r="D24" s="48" t="s">
        <v>804</v>
      </c>
      <c r="E24" s="48" t="s">
        <v>804</v>
      </c>
      <c r="F24" s="48" t="s">
        <v>804</v>
      </c>
      <c r="G24" s="48" t="s">
        <v>804</v>
      </c>
      <c r="H24" s="48" t="s">
        <v>804</v>
      </c>
      <c r="I24" t="s">
        <v>53</v>
      </c>
      <c r="K24" s="31" t="s">
        <v>804</v>
      </c>
      <c r="L24" s="31" t="s">
        <v>804</v>
      </c>
      <c r="M24" s="31" t="s">
        <v>804</v>
      </c>
      <c r="N24" s="31" t="s">
        <v>804</v>
      </c>
      <c r="O24" s="31" t="s">
        <v>804</v>
      </c>
      <c r="P24" s="31" t="s">
        <v>804</v>
      </c>
    </row>
    <row r="25" spans="1:16" ht="72" x14ac:dyDescent="0.3">
      <c r="A25" s="46" t="s">
        <v>215</v>
      </c>
      <c r="B25" s="49" t="s">
        <v>803</v>
      </c>
      <c r="C25" s="48" t="s">
        <v>804</v>
      </c>
      <c r="D25" s="48" t="s">
        <v>804</v>
      </c>
      <c r="E25" s="48" t="s">
        <v>804</v>
      </c>
      <c r="F25" s="48" t="s">
        <v>804</v>
      </c>
      <c r="G25" s="48" t="s">
        <v>804</v>
      </c>
      <c r="H25" s="48" t="s">
        <v>804</v>
      </c>
      <c r="I25" t="s">
        <v>53</v>
      </c>
      <c r="K25" s="31" t="s">
        <v>804</v>
      </c>
      <c r="L25" s="31" t="s">
        <v>804</v>
      </c>
      <c r="M25" s="31" t="s">
        <v>804</v>
      </c>
      <c r="N25" s="31" t="s">
        <v>804</v>
      </c>
      <c r="O25" s="31" t="s">
        <v>804</v>
      </c>
      <c r="P25" s="31" t="s">
        <v>804</v>
      </c>
    </row>
    <row r="26" spans="1:16" ht="72" x14ac:dyDescent="0.3">
      <c r="A26" s="46" t="s">
        <v>95</v>
      </c>
      <c r="B26" s="49" t="s">
        <v>803</v>
      </c>
      <c r="C26" s="48" t="s">
        <v>804</v>
      </c>
      <c r="D26" s="48" t="s">
        <v>804</v>
      </c>
      <c r="E26" s="48" t="s">
        <v>804</v>
      </c>
      <c r="F26" s="48" t="s">
        <v>804</v>
      </c>
      <c r="G26" s="48" t="s">
        <v>804</v>
      </c>
      <c r="H26" s="48" t="s">
        <v>804</v>
      </c>
      <c r="I26" t="s">
        <v>53</v>
      </c>
      <c r="K26" s="31" t="s">
        <v>804</v>
      </c>
      <c r="L26" s="31" t="s">
        <v>804</v>
      </c>
      <c r="M26" s="31" t="s">
        <v>804</v>
      </c>
      <c r="N26" s="31" t="s">
        <v>804</v>
      </c>
      <c r="O26" s="31" t="s">
        <v>804</v>
      </c>
      <c r="P26" s="31" t="s">
        <v>804</v>
      </c>
    </row>
    <row r="27" spans="1:16" ht="72" x14ac:dyDescent="0.3">
      <c r="A27" s="46" t="s">
        <v>274</v>
      </c>
      <c r="B27" s="49" t="s">
        <v>803</v>
      </c>
      <c r="C27" s="48" t="s">
        <v>804</v>
      </c>
      <c r="D27" s="48" t="s">
        <v>804</v>
      </c>
      <c r="E27" s="48" t="s">
        <v>804</v>
      </c>
      <c r="F27" s="48" t="s">
        <v>804</v>
      </c>
      <c r="G27" s="48" t="s">
        <v>804</v>
      </c>
      <c r="H27" s="48" t="s">
        <v>804</v>
      </c>
      <c r="I27" t="s">
        <v>53</v>
      </c>
      <c r="K27" s="31" t="s">
        <v>804</v>
      </c>
      <c r="L27" s="31" t="s">
        <v>804</v>
      </c>
      <c r="M27" s="31" t="s">
        <v>804</v>
      </c>
      <c r="N27" s="31" t="s">
        <v>804</v>
      </c>
      <c r="O27" s="31" t="s">
        <v>804</v>
      </c>
      <c r="P27" s="31" t="s">
        <v>804</v>
      </c>
    </row>
    <row r="28" spans="1:16" ht="72" x14ac:dyDescent="0.3">
      <c r="A28" s="46" t="s">
        <v>153</v>
      </c>
      <c r="B28" s="49" t="s">
        <v>803</v>
      </c>
      <c r="C28" s="48" t="s">
        <v>804</v>
      </c>
      <c r="D28" s="48" t="s">
        <v>804</v>
      </c>
      <c r="E28" s="48" t="s">
        <v>804</v>
      </c>
      <c r="F28" s="48" t="s">
        <v>804</v>
      </c>
      <c r="G28" s="48" t="s">
        <v>804</v>
      </c>
      <c r="H28" s="48" t="s">
        <v>804</v>
      </c>
      <c r="I28" t="s">
        <v>53</v>
      </c>
      <c r="K28" s="31" t="s">
        <v>804</v>
      </c>
      <c r="L28" s="31" t="s">
        <v>804</v>
      </c>
      <c r="M28" s="31" t="s">
        <v>804</v>
      </c>
      <c r="N28" s="31" t="s">
        <v>804</v>
      </c>
      <c r="O28" s="31" t="s">
        <v>804</v>
      </c>
      <c r="P28" s="31" t="s">
        <v>804</v>
      </c>
    </row>
    <row r="29" spans="1:16" ht="72" x14ac:dyDescent="0.3">
      <c r="A29" s="46" t="s">
        <v>279</v>
      </c>
      <c r="B29" s="49" t="s">
        <v>803</v>
      </c>
      <c r="C29" s="48" t="s">
        <v>804</v>
      </c>
      <c r="D29" s="48" t="s">
        <v>804</v>
      </c>
      <c r="E29" s="48" t="s">
        <v>804</v>
      </c>
      <c r="F29" s="48" t="s">
        <v>804</v>
      </c>
      <c r="G29" s="48" t="s">
        <v>804</v>
      </c>
      <c r="H29" s="48" t="s">
        <v>804</v>
      </c>
      <c r="I29" t="s">
        <v>53</v>
      </c>
      <c r="K29" s="31" t="s">
        <v>804</v>
      </c>
      <c r="L29" s="31" t="s">
        <v>804</v>
      </c>
      <c r="M29" s="31" t="s">
        <v>804</v>
      </c>
      <c r="N29" s="31" t="s">
        <v>804</v>
      </c>
      <c r="O29" s="31" t="s">
        <v>804</v>
      </c>
      <c r="P29" s="31" t="s">
        <v>804</v>
      </c>
    </row>
    <row r="30" spans="1:16" ht="72" x14ac:dyDescent="0.3">
      <c r="A30" s="46" t="s">
        <v>170</v>
      </c>
      <c r="B30" s="49" t="s">
        <v>803</v>
      </c>
      <c r="C30" s="48" t="s">
        <v>804</v>
      </c>
      <c r="D30" s="48" t="s">
        <v>804</v>
      </c>
      <c r="E30" s="48" t="s">
        <v>804</v>
      </c>
      <c r="F30" s="48" t="s">
        <v>804</v>
      </c>
      <c r="G30" s="48" t="s">
        <v>804</v>
      </c>
      <c r="H30" s="48" t="s">
        <v>804</v>
      </c>
      <c r="I30" t="s">
        <v>53</v>
      </c>
      <c r="K30" s="31" t="s">
        <v>804</v>
      </c>
      <c r="L30" s="31" t="s">
        <v>804</v>
      </c>
      <c r="M30" s="31" t="s">
        <v>804</v>
      </c>
      <c r="N30" s="31" t="s">
        <v>804</v>
      </c>
      <c r="O30" s="31" t="s">
        <v>804</v>
      </c>
      <c r="P30" s="31" t="s">
        <v>804</v>
      </c>
    </row>
    <row r="31" spans="1:16" ht="72" x14ac:dyDescent="0.3">
      <c r="A31" s="46" t="s">
        <v>135</v>
      </c>
      <c r="B31" s="49" t="s">
        <v>803</v>
      </c>
      <c r="C31" s="48" t="s">
        <v>804</v>
      </c>
      <c r="D31" s="48" t="s">
        <v>804</v>
      </c>
      <c r="E31" s="48" t="s">
        <v>804</v>
      </c>
      <c r="F31" s="48" t="s">
        <v>804</v>
      </c>
      <c r="G31" s="48" t="s">
        <v>804</v>
      </c>
      <c r="H31" s="48" t="s">
        <v>804</v>
      </c>
      <c r="I31" t="s">
        <v>53</v>
      </c>
      <c r="K31" s="31" t="s">
        <v>804</v>
      </c>
      <c r="L31" s="31" t="s">
        <v>804</v>
      </c>
      <c r="M31" s="31" t="s">
        <v>804</v>
      </c>
      <c r="N31" s="31" t="s">
        <v>804</v>
      </c>
      <c r="O31" s="31" t="s">
        <v>804</v>
      </c>
      <c r="P31" s="31" t="s">
        <v>804</v>
      </c>
    </row>
    <row r="32" spans="1:16" ht="72" x14ac:dyDescent="0.3">
      <c r="A32" s="46" t="s">
        <v>139</v>
      </c>
      <c r="B32" s="49" t="s">
        <v>803</v>
      </c>
      <c r="C32" s="48" t="s">
        <v>804</v>
      </c>
      <c r="D32" s="48" t="s">
        <v>804</v>
      </c>
      <c r="E32" s="48" t="s">
        <v>804</v>
      </c>
      <c r="F32" s="48" t="s">
        <v>804</v>
      </c>
      <c r="G32" s="48" t="s">
        <v>804</v>
      </c>
      <c r="H32" s="48" t="s">
        <v>804</v>
      </c>
      <c r="I32" t="s">
        <v>53</v>
      </c>
      <c r="K32" s="31" t="s">
        <v>804</v>
      </c>
      <c r="L32" s="31" t="s">
        <v>804</v>
      </c>
      <c r="M32" s="31" t="s">
        <v>804</v>
      </c>
      <c r="N32" s="31" t="s">
        <v>804</v>
      </c>
      <c r="O32" s="31" t="s">
        <v>804</v>
      </c>
      <c r="P32" s="31" t="s">
        <v>804</v>
      </c>
    </row>
    <row r="33" spans="1:16" ht="72" x14ac:dyDescent="0.3">
      <c r="A33" s="46" t="s">
        <v>200</v>
      </c>
      <c r="B33" s="49" t="s">
        <v>803</v>
      </c>
      <c r="C33" s="48" t="s">
        <v>804</v>
      </c>
      <c r="D33" s="48" t="s">
        <v>804</v>
      </c>
      <c r="E33" s="48" t="s">
        <v>804</v>
      </c>
      <c r="F33" s="48" t="s">
        <v>804</v>
      </c>
      <c r="G33" s="48" t="s">
        <v>804</v>
      </c>
      <c r="H33" s="48" t="s">
        <v>804</v>
      </c>
      <c r="I33" t="s">
        <v>53</v>
      </c>
      <c r="K33" s="31" t="s">
        <v>804</v>
      </c>
      <c r="L33" s="31" t="s">
        <v>804</v>
      </c>
      <c r="M33" s="31" t="s">
        <v>804</v>
      </c>
      <c r="N33" s="31" t="s">
        <v>804</v>
      </c>
      <c r="O33" s="31" t="s">
        <v>804</v>
      </c>
      <c r="P33" s="31" t="s">
        <v>804</v>
      </c>
    </row>
    <row r="34" spans="1:16" ht="72" x14ac:dyDescent="0.3">
      <c r="A34" s="46" t="s">
        <v>196</v>
      </c>
      <c r="B34" s="49" t="s">
        <v>803</v>
      </c>
      <c r="C34" s="48" t="s">
        <v>804</v>
      </c>
      <c r="D34" s="48" t="s">
        <v>804</v>
      </c>
      <c r="E34" s="48" t="s">
        <v>804</v>
      </c>
      <c r="F34" s="48" t="s">
        <v>804</v>
      </c>
      <c r="G34" s="48" t="s">
        <v>804</v>
      </c>
      <c r="H34" s="48" t="s">
        <v>804</v>
      </c>
      <c r="I34" t="s">
        <v>53</v>
      </c>
      <c r="K34" s="31" t="s">
        <v>804</v>
      </c>
      <c r="L34" s="31" t="s">
        <v>804</v>
      </c>
      <c r="M34" s="31" t="s">
        <v>804</v>
      </c>
      <c r="N34" s="31" t="s">
        <v>804</v>
      </c>
      <c r="O34" s="31" t="s">
        <v>804</v>
      </c>
      <c r="P34" s="31" t="s">
        <v>804</v>
      </c>
    </row>
    <row r="35" spans="1:16" ht="72" x14ac:dyDescent="0.3">
      <c r="A35" s="46" t="s">
        <v>64</v>
      </c>
      <c r="B35" s="49" t="s">
        <v>803</v>
      </c>
      <c r="C35" s="48" t="s">
        <v>804</v>
      </c>
      <c r="D35" s="48" t="s">
        <v>804</v>
      </c>
      <c r="E35" s="48" t="s">
        <v>804</v>
      </c>
      <c r="F35" s="48" t="s">
        <v>804</v>
      </c>
      <c r="G35" s="48" t="s">
        <v>804</v>
      </c>
      <c r="H35" s="48" t="s">
        <v>804</v>
      </c>
      <c r="I35" t="s">
        <v>53</v>
      </c>
      <c r="K35" s="31" t="s">
        <v>804</v>
      </c>
      <c r="L35" s="31" t="s">
        <v>804</v>
      </c>
      <c r="M35" s="31" t="s">
        <v>804</v>
      </c>
      <c r="N35" s="31" t="s">
        <v>804</v>
      </c>
      <c r="O35" s="31" t="s">
        <v>804</v>
      </c>
      <c r="P35" s="31" t="s">
        <v>804</v>
      </c>
    </row>
    <row r="36" spans="1:16" ht="72" x14ac:dyDescent="0.3">
      <c r="A36" s="46" t="s">
        <v>224</v>
      </c>
      <c r="B36" s="49" t="s">
        <v>803</v>
      </c>
      <c r="C36" s="48" t="s">
        <v>804</v>
      </c>
      <c r="D36" s="48" t="s">
        <v>804</v>
      </c>
      <c r="E36" s="48" t="s">
        <v>804</v>
      </c>
      <c r="F36" s="48" t="s">
        <v>804</v>
      </c>
      <c r="G36" s="48" t="s">
        <v>804</v>
      </c>
      <c r="H36" s="48" t="s">
        <v>804</v>
      </c>
      <c r="I36" t="s">
        <v>53</v>
      </c>
      <c r="K36" s="31" t="s">
        <v>804</v>
      </c>
      <c r="L36" s="31" t="s">
        <v>804</v>
      </c>
      <c r="M36" s="31" t="s">
        <v>804</v>
      </c>
      <c r="N36" s="31" t="s">
        <v>804</v>
      </c>
      <c r="O36" s="31" t="s">
        <v>804</v>
      </c>
      <c r="P36" s="31" t="s">
        <v>804</v>
      </c>
    </row>
    <row r="37" spans="1:16" ht="72" x14ac:dyDescent="0.3">
      <c r="A37" s="46" t="s">
        <v>146</v>
      </c>
      <c r="B37" s="49" t="s">
        <v>803</v>
      </c>
      <c r="C37" s="48" t="s">
        <v>804</v>
      </c>
      <c r="D37" s="48" t="s">
        <v>804</v>
      </c>
      <c r="E37" s="48" t="s">
        <v>804</v>
      </c>
      <c r="F37" s="48" t="s">
        <v>804</v>
      </c>
      <c r="G37" s="48" t="s">
        <v>804</v>
      </c>
      <c r="H37" s="48" t="s">
        <v>804</v>
      </c>
      <c r="I37" t="s">
        <v>53</v>
      </c>
      <c r="K37" s="31" t="s">
        <v>804</v>
      </c>
      <c r="L37" s="31" t="s">
        <v>804</v>
      </c>
      <c r="M37" s="31" t="s">
        <v>804</v>
      </c>
      <c r="N37" s="31" t="s">
        <v>804</v>
      </c>
      <c r="O37" s="31" t="s">
        <v>804</v>
      </c>
      <c r="P37" s="31" t="s">
        <v>804</v>
      </c>
    </row>
    <row r="38" spans="1:16" ht="72" x14ac:dyDescent="0.3">
      <c r="A38" s="46" t="s">
        <v>121</v>
      </c>
      <c r="B38" s="49" t="s">
        <v>803</v>
      </c>
      <c r="C38" s="48" t="s">
        <v>804</v>
      </c>
      <c r="D38" s="48" t="s">
        <v>804</v>
      </c>
      <c r="E38" s="48" t="s">
        <v>804</v>
      </c>
      <c r="F38" s="48" t="s">
        <v>804</v>
      </c>
      <c r="G38" s="48" t="s">
        <v>804</v>
      </c>
      <c r="H38" s="48" t="s">
        <v>804</v>
      </c>
      <c r="I38" t="s">
        <v>53</v>
      </c>
      <c r="K38" s="31" t="s">
        <v>804</v>
      </c>
      <c r="L38" s="31" t="s">
        <v>804</v>
      </c>
      <c r="M38" s="31" t="s">
        <v>804</v>
      </c>
      <c r="N38" s="31" t="s">
        <v>804</v>
      </c>
      <c r="O38" s="31" t="s">
        <v>804</v>
      </c>
      <c r="P38" s="31" t="s">
        <v>804</v>
      </c>
    </row>
    <row r="39" spans="1:16" ht="72" x14ac:dyDescent="0.3">
      <c r="A39" s="46" t="s">
        <v>127</v>
      </c>
      <c r="B39" s="49" t="s">
        <v>803</v>
      </c>
      <c r="C39" s="48" t="s">
        <v>804</v>
      </c>
      <c r="D39" s="48" t="s">
        <v>804</v>
      </c>
      <c r="E39" s="48" t="s">
        <v>804</v>
      </c>
      <c r="F39" s="48" t="s">
        <v>804</v>
      </c>
      <c r="G39" s="48" t="s">
        <v>804</v>
      </c>
      <c r="H39" s="48" t="s">
        <v>804</v>
      </c>
      <c r="I39" t="s">
        <v>53</v>
      </c>
      <c r="K39" s="31" t="s">
        <v>804</v>
      </c>
      <c r="L39" s="31" t="s">
        <v>804</v>
      </c>
      <c r="M39" s="31" t="s">
        <v>804</v>
      </c>
      <c r="N39" s="31" t="s">
        <v>804</v>
      </c>
      <c r="O39" s="31" t="s">
        <v>804</v>
      </c>
      <c r="P39" s="31" t="s">
        <v>804</v>
      </c>
    </row>
    <row r="40" spans="1:16" ht="72" x14ac:dyDescent="0.3">
      <c r="A40" s="46" t="s">
        <v>336</v>
      </c>
      <c r="B40" s="49" t="s">
        <v>803</v>
      </c>
      <c r="C40" s="48" t="s">
        <v>804</v>
      </c>
      <c r="D40" s="48" t="s">
        <v>804</v>
      </c>
      <c r="E40" s="48" t="s">
        <v>804</v>
      </c>
      <c r="F40" s="48" t="s">
        <v>804</v>
      </c>
      <c r="G40" s="48" t="s">
        <v>804</v>
      </c>
      <c r="H40" s="48" t="s">
        <v>804</v>
      </c>
      <c r="I40" t="s">
        <v>53</v>
      </c>
      <c r="K40" s="31" t="s">
        <v>804</v>
      </c>
      <c r="L40" s="31" t="s">
        <v>804</v>
      </c>
      <c r="M40" s="31" t="s">
        <v>804</v>
      </c>
      <c r="N40" s="31" t="s">
        <v>804</v>
      </c>
      <c r="O40" s="31" t="s">
        <v>804</v>
      </c>
      <c r="P40" s="31" t="s">
        <v>804</v>
      </c>
    </row>
    <row r="41" spans="1:16" ht="72" x14ac:dyDescent="0.3">
      <c r="A41" s="46" t="s">
        <v>243</v>
      </c>
      <c r="B41" s="49" t="s">
        <v>803</v>
      </c>
      <c r="C41" s="48" t="s">
        <v>804</v>
      </c>
      <c r="D41" s="48" t="s">
        <v>804</v>
      </c>
      <c r="E41" s="48" t="s">
        <v>804</v>
      </c>
      <c r="F41" s="48" t="s">
        <v>804</v>
      </c>
      <c r="G41" s="48" t="s">
        <v>804</v>
      </c>
      <c r="H41" s="48" t="s">
        <v>804</v>
      </c>
      <c r="I41" t="s">
        <v>53</v>
      </c>
      <c r="K41" s="31" t="s">
        <v>804</v>
      </c>
      <c r="L41" s="31" t="s">
        <v>804</v>
      </c>
      <c r="M41" s="31" t="s">
        <v>804</v>
      </c>
      <c r="N41" s="31" t="s">
        <v>804</v>
      </c>
      <c r="O41" s="31" t="s">
        <v>804</v>
      </c>
      <c r="P41" s="31" t="s">
        <v>804</v>
      </c>
    </row>
    <row r="42" spans="1:16" ht="72" x14ac:dyDescent="0.3">
      <c r="A42" s="46" t="s">
        <v>805</v>
      </c>
      <c r="B42" s="49" t="s">
        <v>803</v>
      </c>
      <c r="C42" s="48" t="s">
        <v>804</v>
      </c>
      <c r="D42" s="48" t="s">
        <v>804</v>
      </c>
      <c r="E42" s="48" t="s">
        <v>804</v>
      </c>
      <c r="F42" s="48" t="s">
        <v>804</v>
      </c>
      <c r="G42" s="48" t="s">
        <v>804</v>
      </c>
      <c r="H42" s="48" t="s">
        <v>804</v>
      </c>
      <c r="I42" t="s">
        <v>53</v>
      </c>
      <c r="K42" s="31" t="s">
        <v>804</v>
      </c>
      <c r="L42" s="31" t="s">
        <v>804</v>
      </c>
      <c r="M42" s="31" t="s">
        <v>804</v>
      </c>
      <c r="N42" s="31" t="s">
        <v>804</v>
      </c>
      <c r="O42" s="31" t="s">
        <v>804</v>
      </c>
      <c r="P42" s="31" t="s">
        <v>804</v>
      </c>
    </row>
    <row r="43" spans="1:16" ht="72" x14ac:dyDescent="0.3">
      <c r="A43" s="46" t="s">
        <v>149</v>
      </c>
      <c r="B43" s="49" t="s">
        <v>803</v>
      </c>
      <c r="C43" s="48" t="s">
        <v>804</v>
      </c>
      <c r="D43" s="48" t="s">
        <v>804</v>
      </c>
      <c r="E43" s="48" t="s">
        <v>804</v>
      </c>
      <c r="F43" s="48" t="s">
        <v>804</v>
      </c>
      <c r="G43" s="48" t="s">
        <v>804</v>
      </c>
      <c r="H43" s="48" t="s">
        <v>804</v>
      </c>
      <c r="I43" t="s">
        <v>53</v>
      </c>
      <c r="K43" s="31" t="s">
        <v>804</v>
      </c>
      <c r="L43" s="31" t="s">
        <v>804</v>
      </c>
      <c r="M43" s="31" t="s">
        <v>804</v>
      </c>
      <c r="N43" s="31" t="s">
        <v>804</v>
      </c>
      <c r="O43" s="31" t="s">
        <v>804</v>
      </c>
      <c r="P43" s="31" t="s">
        <v>804</v>
      </c>
    </row>
    <row r="44" spans="1:16" ht="72" x14ac:dyDescent="0.3">
      <c r="A44" s="46" t="s">
        <v>155</v>
      </c>
      <c r="B44" s="49" t="s">
        <v>803</v>
      </c>
      <c r="C44" s="48" t="s">
        <v>804</v>
      </c>
      <c r="D44" s="48" t="s">
        <v>804</v>
      </c>
      <c r="E44" s="48" t="s">
        <v>804</v>
      </c>
      <c r="F44" s="48" t="s">
        <v>804</v>
      </c>
      <c r="G44" s="48" t="s">
        <v>804</v>
      </c>
      <c r="H44" s="48" t="s">
        <v>804</v>
      </c>
      <c r="I44" t="s">
        <v>53</v>
      </c>
      <c r="K44" s="31" t="s">
        <v>804</v>
      </c>
      <c r="L44" s="31" t="s">
        <v>804</v>
      </c>
      <c r="M44" s="31" t="s">
        <v>804</v>
      </c>
      <c r="N44" s="31" t="s">
        <v>804</v>
      </c>
      <c r="O44" s="31" t="s">
        <v>804</v>
      </c>
      <c r="P44" s="31" t="s">
        <v>804</v>
      </c>
    </row>
    <row r="45" spans="1:16" ht="72" x14ac:dyDescent="0.3">
      <c r="A45" s="47" t="s">
        <v>309</v>
      </c>
      <c r="B45" s="49" t="s">
        <v>803</v>
      </c>
      <c r="C45" s="48" t="s">
        <v>804</v>
      </c>
      <c r="D45" s="48" t="s">
        <v>804</v>
      </c>
      <c r="E45" s="48" t="s">
        <v>804</v>
      </c>
      <c r="F45" s="48" t="s">
        <v>804</v>
      </c>
      <c r="G45" s="48" t="s">
        <v>804</v>
      </c>
      <c r="H45" s="48" t="s">
        <v>804</v>
      </c>
      <c r="I45" t="s">
        <v>53</v>
      </c>
      <c r="K45" s="31" t="s">
        <v>804</v>
      </c>
      <c r="L45" s="31" t="s">
        <v>804</v>
      </c>
      <c r="M45" s="31" t="s">
        <v>804</v>
      </c>
      <c r="N45" s="31" t="s">
        <v>804</v>
      </c>
      <c r="O45" s="31" t="s">
        <v>804</v>
      </c>
      <c r="P45" s="31" t="s">
        <v>804</v>
      </c>
    </row>
    <row r="46" spans="1:16" ht="72" x14ac:dyDescent="0.3">
      <c r="A46" s="47" t="s">
        <v>72</v>
      </c>
      <c r="B46" s="49" t="s">
        <v>803</v>
      </c>
      <c r="C46" s="48" t="s">
        <v>804</v>
      </c>
      <c r="D46" s="48" t="s">
        <v>804</v>
      </c>
      <c r="E46" s="48" t="s">
        <v>804</v>
      </c>
      <c r="F46" s="48" t="s">
        <v>804</v>
      </c>
      <c r="G46" s="48" t="s">
        <v>804</v>
      </c>
      <c r="H46" s="48" t="s">
        <v>804</v>
      </c>
      <c r="I46" t="s">
        <v>53</v>
      </c>
      <c r="K46" s="31" t="s">
        <v>804</v>
      </c>
      <c r="L46" s="31" t="s">
        <v>804</v>
      </c>
      <c r="M46" s="31" t="s">
        <v>804</v>
      </c>
      <c r="N46" s="31" t="s">
        <v>804</v>
      </c>
      <c r="O46" s="31" t="s">
        <v>804</v>
      </c>
      <c r="P46" s="31" t="s">
        <v>804</v>
      </c>
    </row>
    <row r="47" spans="1:16" ht="72" x14ac:dyDescent="0.3">
      <c r="A47" s="47" t="s">
        <v>47</v>
      </c>
      <c r="B47" s="49" t="s">
        <v>803</v>
      </c>
      <c r="C47" s="48" t="s">
        <v>804</v>
      </c>
      <c r="D47" s="48" t="s">
        <v>804</v>
      </c>
      <c r="E47" s="48" t="s">
        <v>804</v>
      </c>
      <c r="F47" s="48" t="s">
        <v>804</v>
      </c>
      <c r="G47" s="48" t="s">
        <v>804</v>
      </c>
      <c r="H47" s="48" t="s">
        <v>804</v>
      </c>
      <c r="I47" t="s">
        <v>53</v>
      </c>
      <c r="K47" s="31" t="s">
        <v>804</v>
      </c>
      <c r="L47" s="31" t="s">
        <v>804</v>
      </c>
      <c r="M47" s="31" t="s">
        <v>804</v>
      </c>
      <c r="N47" s="31" t="s">
        <v>804</v>
      </c>
      <c r="O47" s="31" t="s">
        <v>804</v>
      </c>
      <c r="P47" s="31" t="s">
        <v>804</v>
      </c>
    </row>
    <row r="48" spans="1:16" ht="72" x14ac:dyDescent="0.3">
      <c r="A48" s="47" t="s">
        <v>203</v>
      </c>
      <c r="B48" s="49" t="s">
        <v>803</v>
      </c>
      <c r="C48" s="48" t="s">
        <v>804</v>
      </c>
      <c r="D48" s="48" t="s">
        <v>804</v>
      </c>
      <c r="E48" s="48" t="s">
        <v>804</v>
      </c>
      <c r="F48" s="48" t="s">
        <v>804</v>
      </c>
      <c r="G48" s="48" t="s">
        <v>804</v>
      </c>
      <c r="H48" s="48" t="s">
        <v>804</v>
      </c>
      <c r="I48" t="s">
        <v>53</v>
      </c>
      <c r="K48" s="31" t="s">
        <v>804</v>
      </c>
      <c r="L48" s="31" t="s">
        <v>804</v>
      </c>
      <c r="M48" s="31" t="s">
        <v>804</v>
      </c>
      <c r="N48" s="31" t="s">
        <v>804</v>
      </c>
      <c r="O48" s="31" t="s">
        <v>804</v>
      </c>
      <c r="P48" s="31" t="s">
        <v>804</v>
      </c>
    </row>
    <row r="49" spans="1:16" ht="72" x14ac:dyDescent="0.3">
      <c r="A49" s="47" t="s">
        <v>77</v>
      </c>
      <c r="B49" s="49" t="s">
        <v>803</v>
      </c>
      <c r="C49" s="48" t="s">
        <v>804</v>
      </c>
      <c r="D49" s="48" t="s">
        <v>804</v>
      </c>
      <c r="E49" s="48" t="s">
        <v>804</v>
      </c>
      <c r="F49" s="48" t="s">
        <v>804</v>
      </c>
      <c r="G49" s="48" t="s">
        <v>804</v>
      </c>
      <c r="H49" s="48" t="s">
        <v>804</v>
      </c>
      <c r="I49" t="s">
        <v>53</v>
      </c>
      <c r="K49" s="31" t="s">
        <v>804</v>
      </c>
      <c r="L49" s="31" t="s">
        <v>804</v>
      </c>
      <c r="M49" s="31" t="s">
        <v>804</v>
      </c>
      <c r="N49" s="31" t="s">
        <v>804</v>
      </c>
      <c r="O49" s="31" t="s">
        <v>804</v>
      </c>
      <c r="P49" s="31" t="s">
        <v>804</v>
      </c>
    </row>
    <row r="50" spans="1:16" ht="72" x14ac:dyDescent="0.3">
      <c r="A50" s="47" t="s">
        <v>184</v>
      </c>
      <c r="B50" s="49" t="s">
        <v>803</v>
      </c>
      <c r="C50" s="48" t="s">
        <v>804</v>
      </c>
      <c r="D50" s="48" t="s">
        <v>804</v>
      </c>
      <c r="E50" s="48" t="s">
        <v>804</v>
      </c>
      <c r="F50" s="48" t="s">
        <v>804</v>
      </c>
      <c r="G50" s="48" t="s">
        <v>804</v>
      </c>
      <c r="H50" s="48" t="s">
        <v>804</v>
      </c>
      <c r="I50" t="s">
        <v>53</v>
      </c>
      <c r="K50" s="31" t="s">
        <v>804</v>
      </c>
      <c r="L50" s="31" t="s">
        <v>804</v>
      </c>
      <c r="M50" s="31" t="s">
        <v>804</v>
      </c>
      <c r="N50" s="31" t="s">
        <v>804</v>
      </c>
      <c r="O50" s="31" t="s">
        <v>804</v>
      </c>
      <c r="P50" s="31" t="s">
        <v>804</v>
      </c>
    </row>
    <row r="51" spans="1:16" ht="72" x14ac:dyDescent="0.3">
      <c r="A51" s="47" t="s">
        <v>283</v>
      </c>
      <c r="B51" s="49" t="s">
        <v>803</v>
      </c>
      <c r="C51" s="48" t="s">
        <v>804</v>
      </c>
      <c r="D51" s="48" t="s">
        <v>804</v>
      </c>
      <c r="E51" s="48" t="s">
        <v>804</v>
      </c>
      <c r="F51" s="48" t="s">
        <v>804</v>
      </c>
      <c r="G51" s="48" t="s">
        <v>804</v>
      </c>
      <c r="H51" s="48" t="s">
        <v>804</v>
      </c>
      <c r="I51" t="s">
        <v>53</v>
      </c>
      <c r="K51" s="31" t="s">
        <v>804</v>
      </c>
      <c r="L51" s="31" t="s">
        <v>804</v>
      </c>
      <c r="M51" s="31" t="s">
        <v>804</v>
      </c>
      <c r="N51" s="31" t="s">
        <v>804</v>
      </c>
      <c r="O51" s="31" t="s">
        <v>804</v>
      </c>
      <c r="P51" s="31" t="s">
        <v>804</v>
      </c>
    </row>
    <row r="52" spans="1:16" ht="72" x14ac:dyDescent="0.3">
      <c r="A52" s="47" t="s">
        <v>247</v>
      </c>
      <c r="B52" s="49" t="s">
        <v>803</v>
      </c>
      <c r="C52" s="48" t="s">
        <v>804</v>
      </c>
      <c r="D52" s="48" t="s">
        <v>804</v>
      </c>
      <c r="E52" s="48" t="s">
        <v>804</v>
      </c>
      <c r="F52" s="48" t="s">
        <v>804</v>
      </c>
      <c r="G52" s="48" t="s">
        <v>804</v>
      </c>
      <c r="H52" s="48" t="s">
        <v>804</v>
      </c>
      <c r="I52" t="s">
        <v>53</v>
      </c>
      <c r="K52" s="31" t="s">
        <v>804</v>
      </c>
      <c r="L52" s="31" t="s">
        <v>804</v>
      </c>
      <c r="M52" s="31" t="s">
        <v>804</v>
      </c>
      <c r="N52" s="31" t="s">
        <v>804</v>
      </c>
      <c r="O52" s="31" t="s">
        <v>804</v>
      </c>
      <c r="P52" s="31" t="s">
        <v>804</v>
      </c>
    </row>
    <row r="53" spans="1:16" ht="72" x14ac:dyDescent="0.3">
      <c r="A53" s="46" t="s">
        <v>112</v>
      </c>
      <c r="B53" s="49" t="s">
        <v>803</v>
      </c>
      <c r="C53" s="48" t="s">
        <v>804</v>
      </c>
      <c r="D53" s="48" t="s">
        <v>804</v>
      </c>
      <c r="E53" s="48" t="s">
        <v>804</v>
      </c>
      <c r="F53" s="48" t="s">
        <v>804</v>
      </c>
      <c r="G53" s="48" t="s">
        <v>804</v>
      </c>
      <c r="H53" s="48" t="s">
        <v>804</v>
      </c>
      <c r="I53" t="s">
        <v>53</v>
      </c>
      <c r="K53" s="31" t="s">
        <v>804</v>
      </c>
      <c r="L53" s="31" t="s">
        <v>804</v>
      </c>
      <c r="M53" s="31" t="s">
        <v>804</v>
      </c>
      <c r="N53" s="31" t="s">
        <v>804</v>
      </c>
      <c r="O53" s="31" t="s">
        <v>804</v>
      </c>
      <c r="P53" s="31" t="s">
        <v>804</v>
      </c>
    </row>
    <row r="54" spans="1:16" ht="72" x14ac:dyDescent="0.3">
      <c r="A54" s="46" t="s">
        <v>191</v>
      </c>
      <c r="B54" s="49" t="s">
        <v>803</v>
      </c>
      <c r="C54" s="48" t="s">
        <v>804</v>
      </c>
      <c r="D54" s="48" t="s">
        <v>804</v>
      </c>
      <c r="E54" s="48" t="s">
        <v>804</v>
      </c>
      <c r="F54" s="48" t="s">
        <v>804</v>
      </c>
      <c r="G54" s="48" t="s">
        <v>804</v>
      </c>
      <c r="H54" s="48" t="s">
        <v>804</v>
      </c>
      <c r="I54" t="s">
        <v>53</v>
      </c>
      <c r="K54" s="31" t="s">
        <v>804</v>
      </c>
      <c r="L54" s="31" t="s">
        <v>804</v>
      </c>
      <c r="M54" s="31" t="s">
        <v>804</v>
      </c>
      <c r="N54" s="31" t="s">
        <v>804</v>
      </c>
      <c r="O54" s="31" t="s">
        <v>804</v>
      </c>
      <c r="P54" s="31" t="s">
        <v>804</v>
      </c>
    </row>
    <row r="55" spans="1:16" ht="72" x14ac:dyDescent="0.3">
      <c r="A55" s="46" t="s">
        <v>297</v>
      </c>
      <c r="B55" s="49" t="s">
        <v>803</v>
      </c>
      <c r="C55" s="48" t="s">
        <v>804</v>
      </c>
      <c r="D55" s="48" t="s">
        <v>804</v>
      </c>
      <c r="E55" s="48" t="s">
        <v>804</v>
      </c>
      <c r="F55" s="48" t="s">
        <v>804</v>
      </c>
      <c r="G55" s="48" t="s">
        <v>804</v>
      </c>
      <c r="H55" s="48" t="s">
        <v>804</v>
      </c>
      <c r="I55" t="s">
        <v>53</v>
      </c>
      <c r="K55" s="31" t="s">
        <v>804</v>
      </c>
      <c r="L55" s="31" t="s">
        <v>804</v>
      </c>
      <c r="M55" s="31" t="s">
        <v>804</v>
      </c>
      <c r="N55" s="31" t="s">
        <v>804</v>
      </c>
      <c r="O55" s="31" t="s">
        <v>804</v>
      </c>
      <c r="P55" s="31" t="s">
        <v>804</v>
      </c>
    </row>
    <row r="56" spans="1:16" ht="72" x14ac:dyDescent="0.3">
      <c r="A56" s="46" t="s">
        <v>161</v>
      </c>
      <c r="B56" s="49" t="s">
        <v>803</v>
      </c>
      <c r="C56" s="48" t="s">
        <v>804</v>
      </c>
      <c r="D56" s="48" t="s">
        <v>804</v>
      </c>
      <c r="E56" s="48" t="s">
        <v>804</v>
      </c>
      <c r="F56" s="48" t="s">
        <v>804</v>
      </c>
      <c r="G56" s="48" t="s">
        <v>804</v>
      </c>
      <c r="H56" s="48" t="s">
        <v>804</v>
      </c>
      <c r="I56" t="s">
        <v>53</v>
      </c>
      <c r="K56" s="31" t="s">
        <v>804</v>
      </c>
      <c r="L56" s="31" t="s">
        <v>804</v>
      </c>
      <c r="M56" s="31" t="s">
        <v>804</v>
      </c>
      <c r="N56" s="31" t="s">
        <v>804</v>
      </c>
      <c r="O56" s="31" t="s">
        <v>804</v>
      </c>
      <c r="P56" s="31" t="s">
        <v>804</v>
      </c>
    </row>
    <row r="57" spans="1:16" ht="72" x14ac:dyDescent="0.3">
      <c r="A57" s="46" t="s">
        <v>269</v>
      </c>
      <c r="B57" s="49" t="s">
        <v>803</v>
      </c>
      <c r="C57" s="48" t="s">
        <v>804</v>
      </c>
      <c r="D57" s="48" t="s">
        <v>804</v>
      </c>
      <c r="E57" s="48" t="s">
        <v>804</v>
      </c>
      <c r="F57" s="48" t="s">
        <v>804</v>
      </c>
      <c r="G57" s="48" t="s">
        <v>804</v>
      </c>
      <c r="H57" s="48" t="s">
        <v>804</v>
      </c>
      <c r="I57" t="s">
        <v>53</v>
      </c>
      <c r="K57" s="31" t="s">
        <v>804</v>
      </c>
      <c r="L57" s="31" t="s">
        <v>804</v>
      </c>
      <c r="M57" s="31" t="s">
        <v>804</v>
      </c>
      <c r="N57" s="31" t="s">
        <v>804</v>
      </c>
      <c r="O57" s="31" t="s">
        <v>804</v>
      </c>
      <c r="P57" s="31" t="s">
        <v>804</v>
      </c>
    </row>
    <row r="58" spans="1:16" ht="72" x14ac:dyDescent="0.3">
      <c r="A58" s="46" t="s">
        <v>188</v>
      </c>
      <c r="B58" s="49" t="s">
        <v>803</v>
      </c>
      <c r="C58" s="48" t="s">
        <v>804</v>
      </c>
      <c r="D58" s="48" t="s">
        <v>804</v>
      </c>
      <c r="E58" s="48" t="s">
        <v>804</v>
      </c>
      <c r="F58" s="48" t="s">
        <v>804</v>
      </c>
      <c r="G58" s="48" t="s">
        <v>804</v>
      </c>
      <c r="H58" s="48" t="s">
        <v>804</v>
      </c>
      <c r="I58" t="s">
        <v>53</v>
      </c>
      <c r="K58" s="31" t="s">
        <v>804</v>
      </c>
      <c r="L58" s="31" t="s">
        <v>804</v>
      </c>
      <c r="M58" s="31" t="s">
        <v>804</v>
      </c>
      <c r="N58" s="31" t="s">
        <v>804</v>
      </c>
      <c r="O58" s="31" t="s">
        <v>804</v>
      </c>
      <c r="P58" s="31" t="s">
        <v>804</v>
      </c>
    </row>
    <row r="59" spans="1:16" ht="72" x14ac:dyDescent="0.3">
      <c r="A59" s="46" t="s">
        <v>292</v>
      </c>
      <c r="B59" s="49" t="s">
        <v>803</v>
      </c>
      <c r="C59" s="48" t="s">
        <v>804</v>
      </c>
      <c r="D59" s="48" t="s">
        <v>804</v>
      </c>
      <c r="E59" s="48" t="s">
        <v>804</v>
      </c>
      <c r="F59" s="48" t="s">
        <v>804</v>
      </c>
      <c r="G59" s="48" t="s">
        <v>804</v>
      </c>
      <c r="H59" s="48" t="s">
        <v>804</v>
      </c>
      <c r="I59" t="s">
        <v>53</v>
      </c>
      <c r="K59" s="31" t="s">
        <v>804</v>
      </c>
      <c r="L59" s="31" t="s">
        <v>804</v>
      </c>
      <c r="M59" s="31" t="s">
        <v>804</v>
      </c>
      <c r="N59" s="31" t="s">
        <v>804</v>
      </c>
      <c r="O59" s="31" t="s">
        <v>804</v>
      </c>
      <c r="P59" s="31" t="s">
        <v>804</v>
      </c>
    </row>
    <row r="60" spans="1:16" ht="72" x14ac:dyDescent="0.3">
      <c r="A60" s="46" t="s">
        <v>130</v>
      </c>
      <c r="B60" s="49" t="s">
        <v>803</v>
      </c>
      <c r="C60" s="48" t="s">
        <v>804</v>
      </c>
      <c r="D60" s="48" t="s">
        <v>804</v>
      </c>
      <c r="E60" s="48" t="s">
        <v>804</v>
      </c>
      <c r="F60" s="48" t="s">
        <v>804</v>
      </c>
      <c r="G60" s="48" t="s">
        <v>804</v>
      </c>
      <c r="H60" s="48" t="s">
        <v>804</v>
      </c>
      <c r="I60" t="s">
        <v>53</v>
      </c>
      <c r="K60" s="31" t="s">
        <v>804</v>
      </c>
      <c r="L60" s="31" t="s">
        <v>804</v>
      </c>
      <c r="M60" s="31" t="s">
        <v>804</v>
      </c>
      <c r="N60" s="31" t="s">
        <v>804</v>
      </c>
      <c r="O60" s="31" t="s">
        <v>804</v>
      </c>
      <c r="P60" s="31" t="s">
        <v>804</v>
      </c>
    </row>
    <row r="61" spans="1:16" ht="72" x14ac:dyDescent="0.3">
      <c r="A61" s="46" t="s">
        <v>259</v>
      </c>
      <c r="B61" s="49" t="s">
        <v>803</v>
      </c>
      <c r="C61" s="48" t="s">
        <v>804</v>
      </c>
      <c r="D61" s="48" t="s">
        <v>804</v>
      </c>
      <c r="E61" s="48" t="s">
        <v>804</v>
      </c>
      <c r="F61" s="48" t="s">
        <v>804</v>
      </c>
      <c r="G61" s="48" t="s">
        <v>804</v>
      </c>
      <c r="H61" s="48" t="s">
        <v>804</v>
      </c>
      <c r="I61" t="s">
        <v>53</v>
      </c>
      <c r="K61" s="31" t="s">
        <v>804</v>
      </c>
      <c r="L61" s="31" t="s">
        <v>804</v>
      </c>
      <c r="M61" s="31" t="s">
        <v>804</v>
      </c>
      <c r="N61" s="31" t="s">
        <v>804</v>
      </c>
      <c r="O61" s="31" t="s">
        <v>804</v>
      </c>
      <c r="P61" s="31" t="s">
        <v>804</v>
      </c>
    </row>
    <row r="62" spans="1:16" ht="72" x14ac:dyDescent="0.3">
      <c r="A62" s="46" t="s">
        <v>179</v>
      </c>
      <c r="B62" s="49" t="s">
        <v>803</v>
      </c>
      <c r="C62" s="48" t="s">
        <v>804</v>
      </c>
      <c r="D62" s="48" t="s">
        <v>804</v>
      </c>
      <c r="E62" s="48" t="s">
        <v>804</v>
      </c>
      <c r="F62" s="48" t="s">
        <v>804</v>
      </c>
      <c r="G62" s="48" t="s">
        <v>804</v>
      </c>
      <c r="H62" s="48" t="s">
        <v>804</v>
      </c>
      <c r="I62" t="s">
        <v>53</v>
      </c>
      <c r="K62" s="31" t="s">
        <v>804</v>
      </c>
      <c r="L62" s="31" t="s">
        <v>804</v>
      </c>
      <c r="M62" s="31" t="s">
        <v>804</v>
      </c>
      <c r="N62" s="31" t="s">
        <v>804</v>
      </c>
      <c r="O62" s="31" t="s">
        <v>804</v>
      </c>
      <c r="P62" s="31" t="s">
        <v>804</v>
      </c>
    </row>
    <row r="63" spans="1:16" ht="72" x14ac:dyDescent="0.3">
      <c r="A63" s="46" t="s">
        <v>104</v>
      </c>
      <c r="B63" s="49" t="s">
        <v>803</v>
      </c>
      <c r="C63" s="48" t="s">
        <v>804</v>
      </c>
      <c r="D63" s="48" t="s">
        <v>804</v>
      </c>
      <c r="E63" s="48" t="s">
        <v>804</v>
      </c>
      <c r="F63" s="48" t="s">
        <v>804</v>
      </c>
      <c r="G63" s="48" t="s">
        <v>804</v>
      </c>
      <c r="H63" s="48" t="s">
        <v>804</v>
      </c>
      <c r="I63" t="s">
        <v>53</v>
      </c>
      <c r="K63" s="31" t="s">
        <v>804</v>
      </c>
      <c r="L63" s="31" t="s">
        <v>804</v>
      </c>
      <c r="M63" s="31" t="s">
        <v>804</v>
      </c>
      <c r="N63" s="31" t="s">
        <v>804</v>
      </c>
      <c r="O63" s="31" t="s">
        <v>804</v>
      </c>
      <c r="P63" s="31" t="s">
        <v>804</v>
      </c>
    </row>
    <row r="64" spans="1:16" ht="72" x14ac:dyDescent="0.3">
      <c r="A64" s="46" t="s">
        <v>208</v>
      </c>
      <c r="B64" s="49" t="s">
        <v>803</v>
      </c>
      <c r="C64" s="48" t="s">
        <v>804</v>
      </c>
      <c r="D64" s="48" t="s">
        <v>804</v>
      </c>
      <c r="E64" s="48" t="s">
        <v>804</v>
      </c>
      <c r="F64" s="48" t="s">
        <v>804</v>
      </c>
      <c r="G64" s="48" t="s">
        <v>804</v>
      </c>
      <c r="H64" s="48" t="s">
        <v>804</v>
      </c>
      <c r="I64" t="s">
        <v>53</v>
      </c>
      <c r="K64" s="31" t="s">
        <v>804</v>
      </c>
      <c r="L64" s="31" t="s">
        <v>804</v>
      </c>
      <c r="M64" s="31" t="s">
        <v>804</v>
      </c>
      <c r="N64" s="31" t="s">
        <v>804</v>
      </c>
      <c r="O64" s="31" t="s">
        <v>804</v>
      </c>
      <c r="P64" s="31" t="s">
        <v>804</v>
      </c>
    </row>
    <row r="65" spans="1:16" ht="72" x14ac:dyDescent="0.3">
      <c r="A65" s="46" t="s">
        <v>263</v>
      </c>
      <c r="B65" s="49" t="s">
        <v>803</v>
      </c>
      <c r="C65" s="48" t="s">
        <v>804</v>
      </c>
      <c r="D65" s="48" t="s">
        <v>804</v>
      </c>
      <c r="E65" s="48" t="s">
        <v>804</v>
      </c>
      <c r="F65" s="48" t="s">
        <v>804</v>
      </c>
      <c r="G65" s="48" t="s">
        <v>804</v>
      </c>
      <c r="H65" s="48" t="s">
        <v>804</v>
      </c>
      <c r="I65" t="s">
        <v>53</v>
      </c>
      <c r="K65" s="31" t="s">
        <v>804</v>
      </c>
      <c r="L65" s="31" t="s">
        <v>804</v>
      </c>
      <c r="M65" s="31" t="s">
        <v>804</v>
      </c>
      <c r="N65" s="31" t="s">
        <v>804</v>
      </c>
      <c r="O65" s="31" t="s">
        <v>804</v>
      </c>
      <c r="P65" s="31" t="s">
        <v>804</v>
      </c>
    </row>
    <row r="66" spans="1:16" x14ac:dyDescent="0.3">
      <c r="B66" s="46"/>
    </row>
    <row r="67" spans="1:16" x14ac:dyDescent="0.3">
      <c r="B67" s="46"/>
    </row>
    <row r="68" spans="1:16" x14ac:dyDescent="0.3">
      <c r="B68" s="46"/>
    </row>
    <row r="69" spans="1:16" x14ac:dyDescent="0.3">
      <c r="B69" s="46"/>
    </row>
    <row r="70" spans="1:16" x14ac:dyDescent="0.3">
      <c r="B70" s="46"/>
    </row>
    <row r="71" spans="1:16" x14ac:dyDescent="0.3">
      <c r="B71" s="46"/>
    </row>
    <row r="72" spans="1:16" x14ac:dyDescent="0.3">
      <c r="B72" s="46"/>
    </row>
    <row r="73" spans="1:16" x14ac:dyDescent="0.3">
      <c r="B73" s="46"/>
    </row>
    <row r="74" spans="1:16" x14ac:dyDescent="0.3">
      <c r="B74" s="46"/>
    </row>
    <row r="75" spans="1:16" x14ac:dyDescent="0.3">
      <c r="B75" s="46"/>
    </row>
    <row r="76" spans="1:16" x14ac:dyDescent="0.3">
      <c r="B76" s="46"/>
    </row>
    <row r="77" spans="1:16" x14ac:dyDescent="0.3">
      <c r="B77" s="46"/>
    </row>
    <row r="78" spans="1:16" x14ac:dyDescent="0.3">
      <c r="B78" s="46"/>
    </row>
    <row r="79" spans="1:16" x14ac:dyDescent="0.3">
      <c r="B79" s="46"/>
    </row>
    <row r="80" spans="1:16" x14ac:dyDescent="0.3">
      <c r="B80" s="46"/>
    </row>
    <row r="81" spans="2:2" x14ac:dyDescent="0.3">
      <c r="B81" s="46"/>
    </row>
    <row r="82" spans="2:2" x14ac:dyDescent="0.3">
      <c r="B82" s="46"/>
    </row>
    <row r="83" spans="2:2" x14ac:dyDescent="0.3">
      <c r="B83" s="46"/>
    </row>
    <row r="84" spans="2:2" x14ac:dyDescent="0.3">
      <c r="B84" s="46"/>
    </row>
    <row r="85" spans="2:2" x14ac:dyDescent="0.3">
      <c r="B85" s="46"/>
    </row>
    <row r="86" spans="2:2" x14ac:dyDescent="0.3">
      <c r="B86" s="46"/>
    </row>
    <row r="87" spans="2:2" x14ac:dyDescent="0.3">
      <c r="B87" s="46"/>
    </row>
    <row r="88" spans="2:2" x14ac:dyDescent="0.3">
      <c r="B88" s="46"/>
    </row>
    <row r="89" spans="2:2" x14ac:dyDescent="0.3">
      <c r="B89" s="46"/>
    </row>
    <row r="90" spans="2:2" x14ac:dyDescent="0.3">
      <c r="B90" s="46"/>
    </row>
    <row r="91" spans="2:2" x14ac:dyDescent="0.3">
      <c r="B91" s="46"/>
    </row>
    <row r="92" spans="2:2" x14ac:dyDescent="0.3">
      <c r="B92" s="46"/>
    </row>
    <row r="93" spans="2:2" x14ac:dyDescent="0.3">
      <c r="B93" s="46"/>
    </row>
    <row r="94" spans="2:2" x14ac:dyDescent="0.3">
      <c r="B94" s="46"/>
    </row>
    <row r="95" spans="2:2" x14ac:dyDescent="0.3">
      <c r="B95" s="46"/>
    </row>
    <row r="96" spans="2:2" x14ac:dyDescent="0.3">
      <c r="B96" s="46"/>
    </row>
    <row r="97" spans="2:2" x14ac:dyDescent="0.3">
      <c r="B97" s="46"/>
    </row>
    <row r="98" spans="2:2" x14ac:dyDescent="0.3">
      <c r="B98" s="46"/>
    </row>
    <row r="99" spans="2:2" x14ac:dyDescent="0.3">
      <c r="B99" s="46"/>
    </row>
    <row r="100" spans="2:2" x14ac:dyDescent="0.3">
      <c r="B100" s="46"/>
    </row>
    <row r="101" spans="2:2" x14ac:dyDescent="0.3">
      <c r="B101" s="46"/>
    </row>
    <row r="102" spans="2:2" x14ac:dyDescent="0.3">
      <c r="B102" s="46"/>
    </row>
    <row r="103" spans="2:2" x14ac:dyDescent="0.3">
      <c r="B103" s="46"/>
    </row>
    <row r="104" spans="2:2" x14ac:dyDescent="0.3">
      <c r="B104" s="46"/>
    </row>
    <row r="105" spans="2:2" x14ac:dyDescent="0.3">
      <c r="B105" s="46"/>
    </row>
    <row r="106" spans="2:2" x14ac:dyDescent="0.3">
      <c r="B106" s="46"/>
    </row>
    <row r="107" spans="2:2" x14ac:dyDescent="0.3">
      <c r="B107" s="46"/>
    </row>
    <row r="108" spans="2:2" x14ac:dyDescent="0.3">
      <c r="B108" s="46"/>
    </row>
    <row r="109" spans="2:2" x14ac:dyDescent="0.3">
      <c r="B109" s="46"/>
    </row>
    <row r="110" spans="2:2" x14ac:dyDescent="0.3">
      <c r="B110" s="46"/>
    </row>
    <row r="111" spans="2:2" x14ac:dyDescent="0.3">
      <c r="B111" s="46"/>
    </row>
    <row r="112" spans="2:2" x14ac:dyDescent="0.3">
      <c r="B112" s="46"/>
    </row>
    <row r="113" spans="2:2" x14ac:dyDescent="0.3">
      <c r="B113" s="46"/>
    </row>
    <row r="114" spans="2:2" x14ac:dyDescent="0.3">
      <c r="B114" s="46"/>
    </row>
    <row r="115" spans="2:2" x14ac:dyDescent="0.3">
      <c r="B115" s="46"/>
    </row>
    <row r="116" spans="2:2" x14ac:dyDescent="0.3">
      <c r="B116" s="46"/>
    </row>
    <row r="117" spans="2:2" x14ac:dyDescent="0.3">
      <c r="B117" s="46"/>
    </row>
    <row r="118" spans="2:2" x14ac:dyDescent="0.3">
      <c r="B118" s="46"/>
    </row>
    <row r="119" spans="2:2" x14ac:dyDescent="0.3">
      <c r="B119" s="46"/>
    </row>
    <row r="120" spans="2:2" x14ac:dyDescent="0.3">
      <c r="B120" s="46"/>
    </row>
    <row r="121" spans="2:2" x14ac:dyDescent="0.3">
      <c r="B121" s="46"/>
    </row>
    <row r="122" spans="2:2" x14ac:dyDescent="0.3">
      <c r="B122" s="46"/>
    </row>
    <row r="123" spans="2:2" x14ac:dyDescent="0.3">
      <c r="B123" s="46"/>
    </row>
    <row r="124" spans="2:2" x14ac:dyDescent="0.3">
      <c r="B124" s="46"/>
    </row>
    <row r="125" spans="2:2" x14ac:dyDescent="0.3">
      <c r="B125" s="46"/>
    </row>
    <row r="126" spans="2:2" x14ac:dyDescent="0.3">
      <c r="B126" s="46"/>
    </row>
  </sheetData>
  <hyperlinks>
    <hyperlink ref="B3" r:id="rId1" xr:uid="{A6ED2022-FD99-4004-9804-A97AD87F62B6}"/>
    <hyperlink ref="C3" r:id="rId2" xr:uid="{4E8D9C18-0D44-4333-974E-BDF6C0E560D8}"/>
    <hyperlink ref="B4:B65" r:id="rId3" display="https://www.iaea.org/newscenter/news/what-are-small-modular-reactors-smrs_x000a_" xr:uid="{413297C6-EFC6-4E30-83A2-05F58E31DEF3}"/>
    <hyperlink ref="D3:H3" r:id="rId4" display="https://aris.iaea.org/Publications/SMR_booklet_2022.pdf" xr:uid="{F9C5CB15-06D9-4F54-9FDC-529914171A61}"/>
    <hyperlink ref="C4" r:id="rId5" xr:uid="{434283F0-CC42-4152-A0D8-BB2638E9312B}"/>
    <hyperlink ref="C5" r:id="rId6" xr:uid="{FB6E1073-73A3-4FA6-87A7-2E868AD390B7}"/>
    <hyperlink ref="C6" r:id="rId7" xr:uid="{26826ED6-9BF9-4548-B60D-254D7B7F9F38}"/>
    <hyperlink ref="C7" r:id="rId8" xr:uid="{5DEEF721-6C70-4710-83EA-78091086D2AA}"/>
    <hyperlink ref="C8" r:id="rId9" xr:uid="{308C5DC5-A6C7-4A59-A7C9-6791B22CF57C}"/>
    <hyperlink ref="C9" r:id="rId10" xr:uid="{1E6EBC14-5F15-44DD-877C-164FB8AAB35E}"/>
    <hyperlink ref="C10" r:id="rId11" xr:uid="{D941C7F6-FF4D-4D06-A7E7-E6AAE1C44226}"/>
    <hyperlink ref="C11" r:id="rId12" xr:uid="{F8C1F92B-8C26-4E7D-B6DF-3041D84808B6}"/>
    <hyperlink ref="C12" r:id="rId13" xr:uid="{8EA25970-F8D9-40CC-A775-BF62991713BF}"/>
    <hyperlink ref="C13" r:id="rId14" xr:uid="{2EF502B4-CD83-4075-B0E0-D9E327DA797D}"/>
    <hyperlink ref="C14" r:id="rId15" xr:uid="{9A6E1834-B742-4287-B2CE-222549997C1C}"/>
    <hyperlink ref="C15" r:id="rId16" xr:uid="{960A13F6-0209-486B-970E-2E6B9BD6F1ED}"/>
    <hyperlink ref="C16" r:id="rId17" xr:uid="{85036C2A-7E6B-442D-B2A3-39C7358A1A56}"/>
    <hyperlink ref="C17" r:id="rId18" xr:uid="{FA0005E2-EBEA-40A2-AFFF-67B083DE03F1}"/>
    <hyperlink ref="C18" r:id="rId19" xr:uid="{6CF06317-4068-4B1E-8BF9-D83B218B8A79}"/>
    <hyperlink ref="C19" r:id="rId20" xr:uid="{37CC2C6A-7DAE-4942-A2FC-48B97A325344}"/>
    <hyperlink ref="C20" r:id="rId21" xr:uid="{637723CF-C02B-4F2E-85B5-A1F9299F287E}"/>
    <hyperlink ref="C21" r:id="rId22" xr:uid="{3BA2A2C5-99CF-4169-831A-8608CA6E61B0}"/>
    <hyperlink ref="C22" r:id="rId23" xr:uid="{8E8E18E7-524E-4CE3-A108-A3118C61464B}"/>
    <hyperlink ref="C23" r:id="rId24" xr:uid="{1FF960E5-B170-48B7-AE25-4A19900ADA36}"/>
    <hyperlink ref="C24" r:id="rId25" xr:uid="{C57268B9-31BC-4155-BBE9-E496059C5E76}"/>
    <hyperlink ref="C25" r:id="rId26" xr:uid="{1CE35E8F-C393-4DEE-9925-547E456F0B0F}"/>
    <hyperlink ref="C26" r:id="rId27" xr:uid="{712E0545-B4FA-4486-8220-EE216A7F6B95}"/>
    <hyperlink ref="C27" r:id="rId28" xr:uid="{44329D03-F82C-4A94-8766-55056C8CECD6}"/>
    <hyperlink ref="C28" r:id="rId29" xr:uid="{20CBA0F5-7798-44E9-A04B-BB4937A385EA}"/>
    <hyperlink ref="C29" r:id="rId30" xr:uid="{B618D99C-14F0-4CEF-A188-EE437DAD2B2E}"/>
    <hyperlink ref="C30" r:id="rId31" xr:uid="{B0B1A3E1-14F8-4DFF-8A7A-8023AA9561EA}"/>
    <hyperlink ref="C31" r:id="rId32" xr:uid="{358E6232-E0D4-4491-A773-4FD58621DF2E}"/>
    <hyperlink ref="C32" r:id="rId33" xr:uid="{EC711569-AA54-4DD9-A6AA-1FC4929451C7}"/>
    <hyperlink ref="C33" r:id="rId34" xr:uid="{4B9CEF5D-B148-4FB2-BA9C-178804B97864}"/>
    <hyperlink ref="C34" r:id="rId35" xr:uid="{036B2368-A0EE-48C2-84FD-7484090EA75E}"/>
    <hyperlink ref="C35" r:id="rId36" xr:uid="{2B09595E-47C4-456F-A805-5DF65521F6D8}"/>
    <hyperlink ref="C36" r:id="rId37" xr:uid="{17787DC9-C6A6-4FA9-9836-717E619D5F68}"/>
    <hyperlink ref="C37" r:id="rId38" xr:uid="{A5393D68-037D-42B1-B55E-42A3428C4CF5}"/>
    <hyperlink ref="C38" r:id="rId39" xr:uid="{60FEE93B-CBB7-42A2-93B3-DCBF6465473E}"/>
    <hyperlink ref="C39" r:id="rId40" xr:uid="{EE33D46E-CD27-4F1F-BB15-C821E0B4332D}"/>
    <hyperlink ref="C40" r:id="rId41" xr:uid="{FAB2E733-4E58-405D-8588-D08B9F0FC52D}"/>
    <hyperlink ref="C41" r:id="rId42" xr:uid="{89D63D6A-8B0D-4C25-8F96-21E2A3C4DBD0}"/>
    <hyperlink ref="C42" r:id="rId43" xr:uid="{6F38DF4B-D689-48C2-AD87-C3CC03130FE5}"/>
    <hyperlink ref="C43" r:id="rId44" xr:uid="{77366F5C-BE66-41A8-903B-197674039AB6}"/>
    <hyperlink ref="C44" r:id="rId45" xr:uid="{26FF6562-393A-4FF2-A691-0BB8A8D432E6}"/>
    <hyperlink ref="C45" r:id="rId46" xr:uid="{07A3B6E1-9BDE-4B35-BA2E-E10063763823}"/>
    <hyperlink ref="C46" r:id="rId47" xr:uid="{CDE75A15-0A66-41A1-B0C9-39425537C411}"/>
    <hyperlink ref="C47" r:id="rId48" xr:uid="{4A6FF64D-E7D7-434B-9479-147C2341835C}"/>
    <hyperlink ref="C48" r:id="rId49" xr:uid="{99D41B6F-E1A3-41B3-A257-583C9A899384}"/>
    <hyperlink ref="C49" r:id="rId50" xr:uid="{382EFBAA-FABE-45C6-B2C8-0E0909CA9F60}"/>
    <hyperlink ref="C50" r:id="rId51" xr:uid="{92BAB699-C775-4CBE-A0F0-F907AD938B2A}"/>
    <hyperlink ref="C51" r:id="rId52" xr:uid="{A0EE71D7-CFE6-4E35-88FA-12A65CDF8D89}"/>
    <hyperlink ref="C52" r:id="rId53" xr:uid="{64F4E1E3-F5D4-4F70-B4F7-DA8E1D586C91}"/>
    <hyperlink ref="C53" r:id="rId54" xr:uid="{EB4924C6-F66F-4522-BE8A-93B02E4199A6}"/>
    <hyperlink ref="C54" r:id="rId55" xr:uid="{04FF4CD5-18D9-4B94-8F85-77D7FA59875B}"/>
    <hyperlink ref="C55" r:id="rId56" xr:uid="{E1D3BEFA-F106-4C57-AD75-8272D1141C2E}"/>
    <hyperlink ref="C56" r:id="rId57" xr:uid="{2085D2C4-59B7-4B2F-A501-F041ADD4E5F5}"/>
    <hyperlink ref="C57" r:id="rId58" xr:uid="{20C6F722-3265-4FA9-9150-CD4FC0BA3330}"/>
    <hyperlink ref="C58" r:id="rId59" xr:uid="{CAA032AF-6402-4535-9317-A50EF4240AEB}"/>
    <hyperlink ref="C59" r:id="rId60" xr:uid="{F9F2BC1B-F535-4118-A16B-B07FE50A323A}"/>
    <hyperlink ref="C60" r:id="rId61" xr:uid="{F72FBAF5-C5D6-4D4F-9679-F04B60BBD615}"/>
    <hyperlink ref="C61" r:id="rId62" xr:uid="{7EA613E3-A57E-4057-9C43-0D1CFE6660BD}"/>
    <hyperlink ref="C62" r:id="rId63" xr:uid="{2F932566-43A9-4FC3-8932-DB0DCE468C0E}"/>
    <hyperlink ref="C63" r:id="rId64" xr:uid="{E52999F3-CA2C-434C-AB90-4473A765D82E}"/>
    <hyperlink ref="C64" r:id="rId65" xr:uid="{90883618-D8EF-4BA8-A4B5-F8AC047BABA9}"/>
    <hyperlink ref="C65" r:id="rId66" xr:uid="{70A60F44-EE50-41F9-9C59-641AF028BD55}"/>
    <hyperlink ref="D4:H4" r:id="rId67" display="https://aris.iaea.org/Publications/SMR_booklet_2022.pdf" xr:uid="{52963A2F-056A-41B1-ABE2-8DBA846C1EE9}"/>
    <hyperlink ref="D5:H5" r:id="rId68" display="https://aris.iaea.org/Publications/SMR_booklet_2022.pdf" xr:uid="{6F6898B0-D777-47B9-9A72-98C65E774584}"/>
    <hyperlink ref="D6:H6" r:id="rId69" display="https://aris.iaea.org/Publications/SMR_booklet_2022.pdf" xr:uid="{E5C737E3-15CB-43CF-A405-E87277D93724}"/>
    <hyperlink ref="D7:H7" r:id="rId70" display="https://aris.iaea.org/Publications/SMR_booklet_2022.pdf" xr:uid="{3B1138A3-2671-4FDE-A881-23CFB66A560A}"/>
    <hyperlink ref="D8:H8" r:id="rId71" display="https://aris.iaea.org/Publications/SMR_booklet_2022.pdf" xr:uid="{7EAF026D-18EE-48B1-81A9-31FB4E71AE3D}"/>
    <hyperlink ref="D9:H9" r:id="rId72" display="https://aris.iaea.org/Publications/SMR_booklet_2022.pdf" xr:uid="{F73F44AF-4E36-413C-AAE7-F15462DA341F}"/>
    <hyperlink ref="D10:H10" r:id="rId73" display="https://aris.iaea.org/Publications/SMR_booklet_2022.pdf" xr:uid="{0B42E637-5F76-438E-A3F2-2300B3D2B521}"/>
    <hyperlink ref="D11:H11" r:id="rId74" display="https://aris.iaea.org/Publications/SMR_booklet_2022.pdf" xr:uid="{8D44E668-868C-4BDC-AB5B-056E6C0219AC}"/>
    <hyperlink ref="D12:H12" r:id="rId75" display="https://aris.iaea.org/Publications/SMR_booklet_2022.pdf" xr:uid="{E80332A2-0A66-4CB6-B0DA-4FD238B36E50}"/>
    <hyperlink ref="D13:H13" r:id="rId76" display="https://aris.iaea.org/Publications/SMR_booklet_2022.pdf" xr:uid="{AE73A56A-1132-4805-8095-5388C57D0EA2}"/>
    <hyperlink ref="D14:H14" r:id="rId77" display="https://aris.iaea.org/Publications/SMR_booklet_2022.pdf" xr:uid="{0B75201D-73C7-4269-B987-3D83BCD7D399}"/>
    <hyperlink ref="D15:H15" r:id="rId78" display="https://aris.iaea.org/Publications/SMR_booklet_2022.pdf" xr:uid="{72A13FBA-F0DD-4AAE-B7AB-C59E13CD8586}"/>
    <hyperlink ref="D16:H16" r:id="rId79" display="https://aris.iaea.org/Publications/SMR_booklet_2022.pdf" xr:uid="{C833A092-F3C5-4B04-9406-C8E6E1A73960}"/>
    <hyperlink ref="D17:H17" r:id="rId80" display="https://aris.iaea.org/Publications/SMR_booklet_2022.pdf" xr:uid="{EFE6B86B-FF8C-41EC-8A4F-B3CF16ECFA12}"/>
    <hyperlink ref="D18:H18" r:id="rId81" display="https://aris.iaea.org/Publications/SMR_booklet_2022.pdf" xr:uid="{D9716DDA-EA5C-4DAB-8173-F06A068DAA98}"/>
    <hyperlink ref="D19:H19" r:id="rId82" display="https://aris.iaea.org/Publications/SMR_booklet_2022.pdf" xr:uid="{F7F72D4E-4FA8-46B0-97A4-C9255C6CB42E}"/>
    <hyperlink ref="D20:H20" r:id="rId83" display="https://aris.iaea.org/Publications/SMR_booklet_2022.pdf" xr:uid="{A61707ED-AEE5-4CEE-A614-D36381A751D7}"/>
    <hyperlink ref="D21:H21" r:id="rId84" display="https://aris.iaea.org/Publications/SMR_booklet_2022.pdf" xr:uid="{CB128515-E3D2-4C57-A460-0EBCF61604A9}"/>
    <hyperlink ref="D22:H22" r:id="rId85" display="https://aris.iaea.org/Publications/SMR_booklet_2022.pdf" xr:uid="{11CE5388-E7D9-4089-9876-60FE622B23B4}"/>
    <hyperlink ref="D23:H23" r:id="rId86" display="https://aris.iaea.org/Publications/SMR_booklet_2022.pdf" xr:uid="{FBA14BAC-5699-45F4-B172-A8CACF24B93A}"/>
    <hyperlink ref="D24:H24" r:id="rId87" display="https://aris.iaea.org/Publications/SMR_booklet_2022.pdf" xr:uid="{B29E578F-0568-4A33-9D5E-2919E5D4ACF5}"/>
    <hyperlink ref="D25:H25" r:id="rId88" display="https://aris.iaea.org/Publications/SMR_booklet_2022.pdf" xr:uid="{38409774-64D4-4BD1-B9F0-B7EBA9E88F8D}"/>
    <hyperlink ref="D26:H26" r:id="rId89" display="https://aris.iaea.org/Publications/SMR_booklet_2022.pdf" xr:uid="{F65C35C2-C4F1-4133-9BD1-A41FA105AB20}"/>
    <hyperlink ref="D27:H27" r:id="rId90" display="https://aris.iaea.org/Publications/SMR_booklet_2022.pdf" xr:uid="{114531EA-C496-4B7E-8CE9-C9C007B33EEF}"/>
    <hyperlink ref="D28:H28" r:id="rId91" display="https://aris.iaea.org/Publications/SMR_booklet_2022.pdf" xr:uid="{7C770293-29AA-44E3-9885-B1A1A8761BAC}"/>
    <hyperlink ref="D29:H29" r:id="rId92" display="https://aris.iaea.org/Publications/SMR_booklet_2022.pdf" xr:uid="{7D6EB165-60E1-412A-A938-55BD89F7C360}"/>
    <hyperlink ref="D30:H30" r:id="rId93" display="https://aris.iaea.org/Publications/SMR_booklet_2022.pdf" xr:uid="{FBC25E6E-8A87-49D1-90F6-28739E278525}"/>
    <hyperlink ref="D31:H31" r:id="rId94" display="https://aris.iaea.org/Publications/SMR_booklet_2022.pdf" xr:uid="{F5ADD88E-8B9D-4ABF-BA38-74B05DB643C9}"/>
    <hyperlink ref="D32:H32" r:id="rId95" display="https://aris.iaea.org/Publications/SMR_booklet_2022.pdf" xr:uid="{DE697463-11C2-4325-A920-F900F1BA4D68}"/>
    <hyperlink ref="D33:H33" r:id="rId96" display="https://aris.iaea.org/Publications/SMR_booklet_2022.pdf" xr:uid="{4AC82151-CFC0-4876-85CC-EDFC7E366496}"/>
    <hyperlink ref="D34:H34" r:id="rId97" display="https://aris.iaea.org/Publications/SMR_booklet_2022.pdf" xr:uid="{5CAF60D7-43E9-4A40-B42B-CA9BC9A06B85}"/>
    <hyperlink ref="D35:H35" r:id="rId98" display="https://aris.iaea.org/Publications/SMR_booklet_2022.pdf" xr:uid="{DCAA13AA-66D6-4108-9262-095A27C9F982}"/>
    <hyperlink ref="D36:H36" r:id="rId99" display="https://aris.iaea.org/Publications/SMR_booklet_2022.pdf" xr:uid="{034E5F5C-1D95-4689-A741-902CCD798656}"/>
    <hyperlink ref="D37:H37" r:id="rId100" display="https://aris.iaea.org/Publications/SMR_booklet_2022.pdf" xr:uid="{21558F9F-96CC-4A6D-84C5-9D0A118F877E}"/>
    <hyperlink ref="D38:H38" r:id="rId101" display="https://aris.iaea.org/Publications/SMR_booklet_2022.pdf" xr:uid="{7A5C8F8B-B10B-425E-82BA-96E2DB242B00}"/>
    <hyperlink ref="D39:H39" r:id="rId102" display="https://aris.iaea.org/Publications/SMR_booklet_2022.pdf" xr:uid="{495D2017-870D-4E86-B9E1-156CE5D09597}"/>
    <hyperlink ref="D40:H40" r:id="rId103" display="https://aris.iaea.org/Publications/SMR_booklet_2022.pdf" xr:uid="{FB7DA978-3BC6-4AE0-AF0A-0674FE5209F0}"/>
    <hyperlink ref="D41:H41" r:id="rId104" display="https://aris.iaea.org/Publications/SMR_booklet_2022.pdf" xr:uid="{57D1BEE7-9B45-4A15-B095-7E96E63792BF}"/>
    <hyperlink ref="D42:H42" r:id="rId105" display="https://aris.iaea.org/Publications/SMR_booklet_2022.pdf" xr:uid="{E6017667-8362-47CC-91A9-077278343AD1}"/>
    <hyperlink ref="D43:H43" r:id="rId106" display="https://aris.iaea.org/Publications/SMR_booklet_2022.pdf" xr:uid="{BB19F80D-6AE4-4F46-BCC4-D261283FEE77}"/>
    <hyperlink ref="D44:H44" r:id="rId107" display="https://aris.iaea.org/Publications/SMR_booklet_2022.pdf" xr:uid="{A8DF3F9F-874E-48F9-AD9E-1F9E5BF5A638}"/>
    <hyperlink ref="D45:H45" r:id="rId108" display="https://aris.iaea.org/Publications/SMR_booklet_2022.pdf" xr:uid="{517BAB4F-84FF-43A9-84E6-4C6B6AA375B5}"/>
    <hyperlink ref="D46:H46" r:id="rId109" display="https://aris.iaea.org/Publications/SMR_booklet_2022.pdf" xr:uid="{AA0BA40D-C005-48DF-B0C0-A91D485D5615}"/>
    <hyperlink ref="D47:H47" r:id="rId110" display="https://aris.iaea.org/Publications/SMR_booklet_2022.pdf" xr:uid="{C548C46A-304B-4592-8F66-C06F4991AB0E}"/>
    <hyperlink ref="D48:H48" r:id="rId111" display="https://aris.iaea.org/Publications/SMR_booklet_2022.pdf" xr:uid="{305359F9-C696-4D26-B01E-AEB1DF90E1B2}"/>
    <hyperlink ref="D49:H49" r:id="rId112" display="https://aris.iaea.org/Publications/SMR_booklet_2022.pdf" xr:uid="{19FC7313-707C-4C0F-8394-32FC596E22FC}"/>
    <hyperlink ref="D50:H50" r:id="rId113" display="https://aris.iaea.org/Publications/SMR_booklet_2022.pdf" xr:uid="{470E687C-B87E-49EC-97B1-77E106988A58}"/>
    <hyperlink ref="D51:H51" r:id="rId114" display="https://aris.iaea.org/Publications/SMR_booklet_2022.pdf" xr:uid="{3749272B-AC07-47C0-836B-6438EC3158E9}"/>
    <hyperlink ref="D52:H52" r:id="rId115" display="https://aris.iaea.org/Publications/SMR_booklet_2022.pdf" xr:uid="{EF166D2E-126B-4FD8-9A20-434342215BC6}"/>
    <hyperlink ref="D53:H53" r:id="rId116" display="https://aris.iaea.org/Publications/SMR_booklet_2022.pdf" xr:uid="{079B986B-8414-47F8-A7D4-D62B17360655}"/>
    <hyperlink ref="D54:H54" r:id="rId117" display="https://aris.iaea.org/Publications/SMR_booklet_2022.pdf" xr:uid="{F679BBF6-38F9-4B58-B43E-DC9336337A59}"/>
    <hyperlink ref="D55:H55" r:id="rId118" display="https://aris.iaea.org/Publications/SMR_booklet_2022.pdf" xr:uid="{293D3BED-CC37-42FA-A8A0-9FD3CC988E82}"/>
    <hyperlink ref="D56:H56" r:id="rId119" display="https://aris.iaea.org/Publications/SMR_booklet_2022.pdf" xr:uid="{3F736713-22AD-41A9-8568-4EBBFD1629D7}"/>
    <hyperlink ref="D57:H57" r:id="rId120" display="https://aris.iaea.org/Publications/SMR_booklet_2022.pdf" xr:uid="{D6716D4B-764B-4720-9995-5304FF0F452E}"/>
    <hyperlink ref="D58:H58" r:id="rId121" display="https://aris.iaea.org/Publications/SMR_booklet_2022.pdf" xr:uid="{53546DA1-E4F8-4107-8B55-6904876D6DC0}"/>
    <hyperlink ref="D59:H59" r:id="rId122" display="https://aris.iaea.org/Publications/SMR_booklet_2022.pdf" xr:uid="{C84106F1-7C2B-4F52-A7FE-27C4D36F138E}"/>
    <hyperlink ref="D60:H60" r:id="rId123" display="https://aris.iaea.org/Publications/SMR_booklet_2022.pdf" xr:uid="{F2015826-0B37-4421-B9BA-9BD820AD0670}"/>
    <hyperlink ref="D61:H61" r:id="rId124" display="https://aris.iaea.org/Publications/SMR_booklet_2022.pdf" xr:uid="{7CDBC709-C76B-4E32-AFB4-C379618657FC}"/>
    <hyperlink ref="D62:H62" r:id="rId125" display="https://aris.iaea.org/Publications/SMR_booklet_2022.pdf" xr:uid="{D40F6A95-1D90-4426-8417-9EDAAF694258}"/>
    <hyperlink ref="D63:H63" r:id="rId126" display="https://aris.iaea.org/Publications/SMR_booklet_2022.pdf" xr:uid="{7A6F1EDB-4C53-4308-8528-2A246EAD09F9}"/>
    <hyperlink ref="D64:H64" r:id="rId127" display="https://aris.iaea.org/Publications/SMR_booklet_2022.pdf" xr:uid="{80950135-B530-4F41-A90D-25B001CA999D}"/>
    <hyperlink ref="D65:H65" r:id="rId128" display="https://aris.iaea.org/Publications/SMR_booklet_2022.pdf" xr:uid="{A308742B-1756-476E-84EE-2727C83C7AD4}"/>
    <hyperlink ref="K3" r:id="rId129" xr:uid="{EF62818F-2701-4212-9C95-22E535F5D278}"/>
    <hyperlink ref="L3:P3" r:id="rId130" display="https://aris.iaea.org/Publications/SMR_booklet_2022.pdf" xr:uid="{48D88535-6134-46E2-8C00-252C45997272}"/>
    <hyperlink ref="K4:K65" r:id="rId131" display="https://aris.iaea.org/Publications/SMR_booklet_2022.pdf" xr:uid="{4F4E1922-15D4-4F55-9524-07CF7067791E}"/>
    <hyperlink ref="L4:L65" r:id="rId132" display="https://aris.iaea.org/Publications/SMR_booklet_2022.pdf" xr:uid="{72809E35-98B6-498F-972D-1F7DDD38BC51}"/>
    <hyperlink ref="M4:M65" r:id="rId133" display="https://aris.iaea.org/Publications/SMR_booklet_2022.pdf" xr:uid="{5B4222C2-EF66-4833-9988-C6E8113024A4}"/>
    <hyperlink ref="N4:N65" r:id="rId134" display="https://aris.iaea.org/Publications/SMR_booklet_2022.pdf" xr:uid="{561D212A-8C31-4D6E-AA71-B4017BE749E0}"/>
    <hyperlink ref="O4:O65" r:id="rId135" display="https://aris.iaea.org/Publications/SMR_booklet_2022.pdf" xr:uid="{27F51100-7D4E-4CB3-BD12-E4F1161C4412}"/>
    <hyperlink ref="P4:P65" r:id="rId136" display="https://aris.iaea.org/Publications/SMR_booklet_2022.pdf" xr:uid="{80D83F9D-03B3-4027-B8FC-8BF761014788}"/>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2C032-5452-4B53-B5C2-696235BC461C}">
  <dimension ref="A1:P30"/>
  <sheetViews>
    <sheetView zoomScale="75" workbookViewId="0">
      <selection activeCell="F6" sqref="F6"/>
    </sheetView>
  </sheetViews>
  <sheetFormatPr baseColWidth="10" defaultColWidth="11.44140625" defaultRowHeight="15" customHeight="1" x14ac:dyDescent="0.3"/>
  <cols>
    <col min="1" max="1" width="23.88671875" style="13" customWidth="1"/>
    <col min="2" max="2" width="5.6640625" customWidth="1"/>
    <col min="3" max="3" width="24.33203125" customWidth="1"/>
    <col min="4" max="4" width="16.109375" customWidth="1"/>
    <col min="5" max="5" width="17.6640625" customWidth="1"/>
    <col min="6" max="6" width="19.109375" bestFit="1" customWidth="1"/>
    <col min="7" max="7" width="20.109375" customWidth="1"/>
    <col min="8" max="8" width="13.109375" customWidth="1"/>
    <col min="12" max="12" width="14.44140625" customWidth="1"/>
  </cols>
  <sheetData>
    <row r="1" spans="1:16" ht="14.4" x14ac:dyDescent="0.3">
      <c r="A1" s="10"/>
      <c r="B1" s="6"/>
      <c r="C1" s="27">
        <v>1</v>
      </c>
      <c r="D1" s="27">
        <v>2</v>
      </c>
      <c r="E1" s="27">
        <v>3</v>
      </c>
      <c r="F1" s="27">
        <v>4</v>
      </c>
      <c r="G1" s="27">
        <v>5</v>
      </c>
      <c r="H1" s="27">
        <v>6</v>
      </c>
      <c r="I1" s="27">
        <v>7</v>
      </c>
      <c r="J1" s="27">
        <v>8</v>
      </c>
      <c r="K1" s="27">
        <v>9</v>
      </c>
      <c r="L1" s="27">
        <v>10</v>
      </c>
    </row>
    <row r="2" spans="1:16" ht="14.4" x14ac:dyDescent="0.3">
      <c r="A2" s="25" t="s">
        <v>806</v>
      </c>
      <c r="B2" s="26" t="s">
        <v>39</v>
      </c>
      <c r="C2" s="214" t="s">
        <v>807</v>
      </c>
      <c r="D2" s="215"/>
      <c r="E2" s="215"/>
      <c r="F2" s="215"/>
      <c r="G2" s="215"/>
      <c r="H2" s="216"/>
      <c r="I2" s="217" t="s">
        <v>808</v>
      </c>
      <c r="J2" s="217"/>
      <c r="K2" s="217"/>
      <c r="L2" s="217"/>
    </row>
    <row r="3" spans="1:16" s="5" customFormat="1" ht="57.6" x14ac:dyDescent="0.3">
      <c r="A3" s="28" t="s">
        <v>809</v>
      </c>
      <c r="B3" s="7" t="s">
        <v>650</v>
      </c>
      <c r="C3" s="24" t="s">
        <v>810</v>
      </c>
      <c r="D3" s="24" t="s">
        <v>811</v>
      </c>
      <c r="E3" s="24" t="s">
        <v>812</v>
      </c>
      <c r="F3" s="24" t="s">
        <v>813</v>
      </c>
      <c r="G3" s="24" t="s">
        <v>814</v>
      </c>
      <c r="H3" s="24" t="s">
        <v>815</v>
      </c>
      <c r="I3" s="144" t="s">
        <v>816</v>
      </c>
      <c r="J3" s="144" t="s">
        <v>817</v>
      </c>
      <c r="K3" s="144" t="s">
        <v>818</v>
      </c>
      <c r="L3" s="144" t="s">
        <v>819</v>
      </c>
      <c r="P3" s="5" t="s">
        <v>820</v>
      </c>
    </row>
    <row r="4" spans="1:16" ht="14.4" x14ac:dyDescent="0.3">
      <c r="A4" s="28" t="s">
        <v>477</v>
      </c>
      <c r="B4" s="7" t="s">
        <v>650</v>
      </c>
      <c r="C4" s="8" t="s">
        <v>126</v>
      </c>
      <c r="D4" s="8" t="s">
        <v>54</v>
      </c>
      <c r="E4" s="8" t="s">
        <v>235</v>
      </c>
      <c r="F4" s="8" t="s">
        <v>126</v>
      </c>
      <c r="G4" s="8" t="s">
        <v>821</v>
      </c>
      <c r="H4" s="8" t="s">
        <v>822</v>
      </c>
      <c r="I4" s="8"/>
      <c r="J4" s="8"/>
      <c r="K4" s="8"/>
      <c r="L4" s="8"/>
    </row>
    <row r="5" spans="1:16" ht="28.8" x14ac:dyDescent="0.3">
      <c r="A5" s="28" t="s">
        <v>823</v>
      </c>
      <c r="B5" s="7" t="s">
        <v>650</v>
      </c>
      <c r="C5" s="9" t="s">
        <v>824</v>
      </c>
      <c r="D5" s="7">
        <v>7</v>
      </c>
      <c r="E5" s="7">
        <v>2</v>
      </c>
      <c r="F5" s="7">
        <v>2</v>
      </c>
      <c r="G5" s="7">
        <v>4</v>
      </c>
      <c r="H5" s="7" t="s">
        <v>825</v>
      </c>
      <c r="I5" s="7"/>
      <c r="J5" s="7"/>
      <c r="K5" s="7"/>
      <c r="L5" s="7"/>
    </row>
    <row r="6" spans="1:16" ht="14.4" x14ac:dyDescent="0.3">
      <c r="A6" s="29" t="s">
        <v>17</v>
      </c>
      <c r="B6" s="19" t="s">
        <v>348</v>
      </c>
      <c r="C6" s="19"/>
      <c r="D6" s="19"/>
      <c r="E6" s="19"/>
      <c r="F6" s="19"/>
      <c r="G6" s="19"/>
      <c r="H6" s="19"/>
      <c r="I6" s="19"/>
      <c r="J6" s="19"/>
      <c r="K6" s="19"/>
      <c r="L6" s="19"/>
    </row>
    <row r="7" spans="1:16" ht="14.4" x14ac:dyDescent="0.3">
      <c r="A7" s="28" t="s">
        <v>826</v>
      </c>
      <c r="B7" s="7" t="s">
        <v>43</v>
      </c>
      <c r="C7" s="8" t="s">
        <v>827</v>
      </c>
      <c r="D7" s="8" t="s">
        <v>828</v>
      </c>
      <c r="E7" s="8" t="s">
        <v>829</v>
      </c>
      <c r="F7" s="8">
        <v>850</v>
      </c>
      <c r="G7" s="8" t="s">
        <v>830</v>
      </c>
      <c r="H7" s="8" t="s">
        <v>831</v>
      </c>
      <c r="I7" s="8"/>
      <c r="J7" s="8"/>
      <c r="K7" s="8"/>
      <c r="L7" s="8">
        <v>370</v>
      </c>
    </row>
    <row r="8" spans="1:16" ht="14.4" x14ac:dyDescent="0.3">
      <c r="A8" s="28" t="s">
        <v>15</v>
      </c>
      <c r="B8" s="7"/>
      <c r="C8" s="8" t="s">
        <v>832</v>
      </c>
      <c r="D8" s="8" t="s">
        <v>833</v>
      </c>
      <c r="E8" s="8" t="s">
        <v>834</v>
      </c>
      <c r="F8" s="8" t="s">
        <v>835</v>
      </c>
      <c r="G8" s="8" t="s">
        <v>835</v>
      </c>
      <c r="H8" s="8" t="s">
        <v>836</v>
      </c>
      <c r="I8" s="8"/>
      <c r="J8" s="8"/>
      <c r="K8" s="8"/>
      <c r="L8" s="8"/>
    </row>
    <row r="9" spans="1:16" ht="28.8" x14ac:dyDescent="0.3">
      <c r="A9" s="30" t="s">
        <v>837</v>
      </c>
      <c r="B9" s="7"/>
      <c r="C9" s="8" t="s">
        <v>838</v>
      </c>
      <c r="D9" s="8" t="s">
        <v>839</v>
      </c>
      <c r="E9" s="8" t="s">
        <v>840</v>
      </c>
      <c r="F9" s="8" t="s">
        <v>841</v>
      </c>
      <c r="G9" s="8" t="s">
        <v>842</v>
      </c>
      <c r="H9" s="8" t="s">
        <v>839</v>
      </c>
      <c r="I9" s="8"/>
      <c r="J9" s="8"/>
      <c r="K9" s="8"/>
      <c r="L9" s="8"/>
    </row>
    <row r="10" spans="1:16" ht="14.4" x14ac:dyDescent="0.3">
      <c r="A10" s="28" t="s">
        <v>843</v>
      </c>
      <c r="B10" s="7"/>
      <c r="C10" s="7"/>
      <c r="D10" s="7"/>
      <c r="E10" s="7"/>
      <c r="F10" s="7"/>
      <c r="G10" s="7"/>
      <c r="H10" s="7"/>
      <c r="I10" s="7"/>
      <c r="J10" s="7"/>
      <c r="K10" s="7"/>
      <c r="L10" s="7"/>
    </row>
    <row r="11" spans="1:16" ht="14.4" x14ac:dyDescent="0.3">
      <c r="A11" s="28" t="s">
        <v>844</v>
      </c>
      <c r="B11" s="7"/>
      <c r="C11" s="7"/>
      <c r="D11" s="7"/>
      <c r="E11" s="7"/>
      <c r="F11" s="7"/>
      <c r="G11" s="7" t="s">
        <v>845</v>
      </c>
      <c r="H11" s="7"/>
      <c r="I11" s="7"/>
      <c r="J11" s="7"/>
      <c r="K11" s="7"/>
      <c r="L11" s="7"/>
    </row>
    <row r="12" spans="1:16" ht="14.4" x14ac:dyDescent="0.3">
      <c r="A12" s="11"/>
      <c r="B12" s="4"/>
    </row>
    <row r="13" spans="1:16" ht="14.4" x14ac:dyDescent="0.3">
      <c r="A13" s="12" t="s">
        <v>11</v>
      </c>
      <c r="B13" s="4"/>
    </row>
    <row r="14" spans="1:16" ht="14.4" x14ac:dyDescent="0.3">
      <c r="A14" s="12" t="s">
        <v>846</v>
      </c>
      <c r="B14" s="4"/>
    </row>
    <row r="15" spans="1:16" ht="14.4" x14ac:dyDescent="0.3">
      <c r="A15" s="12" t="s">
        <v>847</v>
      </c>
      <c r="B15" s="4"/>
    </row>
    <row r="16" spans="1:16" ht="14.4" x14ac:dyDescent="0.3">
      <c r="A16" s="12"/>
      <c r="B16" s="4"/>
    </row>
    <row r="17" spans="1:9" ht="14.4" x14ac:dyDescent="0.3">
      <c r="A17" s="12"/>
      <c r="B17" s="4"/>
    </row>
    <row r="18" spans="1:9" ht="14.4" x14ac:dyDescent="0.3">
      <c r="A18" s="12"/>
      <c r="B18" s="4"/>
    </row>
    <row r="19" spans="1:9" ht="14.4" x14ac:dyDescent="0.3">
      <c r="A19" s="12"/>
      <c r="B19" s="4"/>
    </row>
    <row r="20" spans="1:9" ht="14.4" x14ac:dyDescent="0.3">
      <c r="A20" s="12"/>
      <c r="B20" s="4"/>
    </row>
    <row r="21" spans="1:9" ht="15.6" thickBot="1" x14ac:dyDescent="0.35">
      <c r="A21" s="12"/>
      <c r="B21" s="4"/>
      <c r="G21" s="33" t="s">
        <v>848</v>
      </c>
      <c r="H21" s="34" t="s">
        <v>849</v>
      </c>
      <c r="I21" s="35" t="s">
        <v>849</v>
      </c>
    </row>
    <row r="22" spans="1:9" ht="15.6" thickBot="1" x14ac:dyDescent="0.35">
      <c r="A22" s="12"/>
      <c r="B22" s="4"/>
      <c r="G22" s="36" t="s">
        <v>850</v>
      </c>
      <c r="H22" s="32" t="s">
        <v>851</v>
      </c>
      <c r="I22" s="37" t="s">
        <v>852</v>
      </c>
    </row>
    <row r="23" spans="1:9" x14ac:dyDescent="0.3">
      <c r="A23" s="12"/>
      <c r="B23" s="4"/>
      <c r="G23" s="38" t="s">
        <v>853</v>
      </c>
      <c r="H23" s="39" t="s">
        <v>854</v>
      </c>
      <c r="I23" s="40" t="s">
        <v>855</v>
      </c>
    </row>
    <row r="24" spans="1:9" x14ac:dyDescent="0.3">
      <c r="A24" s="12"/>
      <c r="B24" s="4"/>
      <c r="G24" s="41"/>
    </row>
    <row r="25" spans="1:9" ht="14.4" x14ac:dyDescent="0.3">
      <c r="A25" s="12"/>
      <c r="B25" s="4"/>
    </row>
    <row r="26" spans="1:9" ht="14.4" x14ac:dyDescent="0.3">
      <c r="A26" s="12"/>
      <c r="B26" s="4"/>
    </row>
    <row r="27" spans="1:9" ht="14.4" x14ac:dyDescent="0.3">
      <c r="A27" s="12"/>
      <c r="B27" s="4"/>
    </row>
    <row r="28" spans="1:9" ht="14.4" x14ac:dyDescent="0.3">
      <c r="A28" s="12"/>
      <c r="B28" s="4"/>
    </row>
    <row r="29" spans="1:9" ht="14.4" x14ac:dyDescent="0.3">
      <c r="A29" s="12"/>
      <c r="B29" s="4"/>
    </row>
    <row r="30" spans="1:9" ht="14.4" x14ac:dyDescent="0.3">
      <c r="A30" s="12"/>
      <c r="B30" s="4"/>
    </row>
  </sheetData>
  <mergeCells count="2">
    <mergeCell ref="C2:H2"/>
    <mergeCell ref="I2:L2"/>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C16FB2-BBA8-4420-8D2E-CE0707ADC252}">
  <dimension ref="A1:R88"/>
  <sheetViews>
    <sheetView topLeftCell="A18" zoomScale="70" zoomScaleNormal="70" workbookViewId="0">
      <selection activeCell="F58" sqref="F58"/>
    </sheetView>
  </sheetViews>
  <sheetFormatPr baseColWidth="10" defaultColWidth="8.88671875" defaultRowHeight="14.4" x14ac:dyDescent="0.3"/>
  <cols>
    <col min="1" max="1" width="41" bestFit="1" customWidth="1"/>
    <col min="2" max="2" width="34" bestFit="1" customWidth="1"/>
    <col min="3" max="3" width="18.6640625" bestFit="1" customWidth="1"/>
    <col min="4" max="4" width="16" bestFit="1" customWidth="1"/>
    <col min="5" max="5" width="17.44140625" bestFit="1" customWidth="1"/>
    <col min="6" max="6" width="23.109375" bestFit="1" customWidth="1"/>
    <col min="7" max="7" width="10.88671875" bestFit="1" customWidth="1"/>
    <col min="8" max="8" width="10.33203125" bestFit="1" customWidth="1"/>
    <col min="9" max="9" width="25.44140625" bestFit="1" customWidth="1"/>
    <col min="10" max="10" width="21.109375" bestFit="1" customWidth="1"/>
    <col min="16" max="16" width="23.33203125" bestFit="1" customWidth="1"/>
    <col min="17" max="18" width="6.5546875" bestFit="1" customWidth="1"/>
  </cols>
  <sheetData>
    <row r="1" spans="1:18" x14ac:dyDescent="0.3">
      <c r="A1" s="53"/>
      <c r="B1" s="53"/>
      <c r="C1" s="53"/>
      <c r="D1" s="53"/>
      <c r="E1" s="53"/>
      <c r="F1" s="53"/>
      <c r="G1" s="53"/>
      <c r="H1" s="53"/>
      <c r="I1" s="53"/>
      <c r="J1" s="53"/>
      <c r="K1" s="53"/>
      <c r="L1" s="98"/>
      <c r="M1" s="53"/>
      <c r="N1" s="53"/>
      <c r="O1" s="53"/>
      <c r="P1" s="53" t="s">
        <v>856</v>
      </c>
      <c r="Q1" s="53" t="s">
        <v>857</v>
      </c>
      <c r="R1" s="53" t="s">
        <v>858</v>
      </c>
    </row>
    <row r="2" spans="1:18" x14ac:dyDescent="0.3">
      <c r="A2" s="54" t="s">
        <v>859</v>
      </c>
      <c r="B2" s="218" t="s">
        <v>860</v>
      </c>
      <c r="C2" s="219"/>
      <c r="D2" s="218" t="s">
        <v>861</v>
      </c>
      <c r="E2" s="218"/>
      <c r="F2" s="219"/>
      <c r="G2" s="218" t="s">
        <v>862</v>
      </c>
      <c r="H2" s="218"/>
      <c r="I2" s="219"/>
      <c r="J2" s="53"/>
      <c r="K2" s="53"/>
      <c r="L2" s="53"/>
      <c r="M2" s="53"/>
      <c r="N2" s="53"/>
      <c r="O2" s="53"/>
      <c r="P2" s="53" t="s">
        <v>863</v>
      </c>
      <c r="Q2" s="53"/>
      <c r="R2" s="53"/>
    </row>
    <row r="3" spans="1:18" x14ac:dyDescent="0.3">
      <c r="A3" s="56" t="s">
        <v>864</v>
      </c>
      <c r="B3" s="57">
        <v>60</v>
      </c>
      <c r="C3" s="58">
        <v>80</v>
      </c>
      <c r="D3" s="57">
        <v>30</v>
      </c>
      <c r="E3" s="58">
        <v>60</v>
      </c>
      <c r="F3" s="58">
        <v>90</v>
      </c>
      <c r="G3" s="57">
        <v>700</v>
      </c>
      <c r="H3" s="58">
        <v>800</v>
      </c>
      <c r="I3" s="58">
        <v>900</v>
      </c>
      <c r="J3" s="59" t="s">
        <v>865</v>
      </c>
      <c r="K3" s="53"/>
      <c r="L3" s="53"/>
      <c r="M3" s="53"/>
      <c r="N3" s="53"/>
      <c r="O3" s="53"/>
      <c r="P3" s="53" t="s">
        <v>866</v>
      </c>
      <c r="Q3" s="53"/>
      <c r="R3" s="53"/>
    </row>
    <row r="4" spans="1:18" x14ac:dyDescent="0.3">
      <c r="A4" s="56" t="s">
        <v>867</v>
      </c>
      <c r="B4" s="57" t="s">
        <v>868</v>
      </c>
      <c r="C4" s="58" t="s">
        <v>869</v>
      </c>
      <c r="D4" s="57" t="s">
        <v>870</v>
      </c>
      <c r="E4" s="58" t="s">
        <v>871</v>
      </c>
      <c r="F4" s="58" t="s">
        <v>871</v>
      </c>
      <c r="G4" s="57" t="s">
        <v>872</v>
      </c>
      <c r="H4" s="58" t="s">
        <v>872</v>
      </c>
      <c r="I4" s="58" t="s">
        <v>872</v>
      </c>
      <c r="J4" s="53"/>
      <c r="K4" s="53"/>
      <c r="L4" s="53"/>
      <c r="M4" s="53"/>
      <c r="N4" s="53"/>
      <c r="O4" s="53"/>
      <c r="P4" s="60" t="s">
        <v>873</v>
      </c>
      <c r="Q4" s="60"/>
      <c r="R4" s="53"/>
    </row>
    <row r="5" spans="1:18" x14ac:dyDescent="0.3">
      <c r="A5" s="56" t="s">
        <v>874</v>
      </c>
      <c r="B5" s="57" t="s">
        <v>875</v>
      </c>
      <c r="C5" s="58" t="s">
        <v>876</v>
      </c>
      <c r="D5" s="57" t="s">
        <v>875</v>
      </c>
      <c r="E5" s="58" t="s">
        <v>875</v>
      </c>
      <c r="F5" s="58" t="s">
        <v>876</v>
      </c>
      <c r="G5" s="57" t="s">
        <v>875</v>
      </c>
      <c r="H5" s="58" t="s">
        <v>876</v>
      </c>
      <c r="I5" s="58" t="s">
        <v>877</v>
      </c>
      <c r="J5" s="53"/>
      <c r="K5" s="53"/>
      <c r="L5" s="53"/>
      <c r="M5" s="53"/>
      <c r="N5" s="53"/>
      <c r="O5" s="53"/>
      <c r="P5" s="53"/>
      <c r="Q5" s="53"/>
      <c r="R5" s="53"/>
    </row>
    <row r="6" spans="1:18" x14ac:dyDescent="0.3">
      <c r="A6" s="56" t="s">
        <v>878</v>
      </c>
      <c r="B6" s="57">
        <v>1</v>
      </c>
      <c r="C6" s="58">
        <v>1</v>
      </c>
      <c r="D6" s="57">
        <v>1</v>
      </c>
      <c r="E6" s="58">
        <v>1</v>
      </c>
      <c r="F6" s="58">
        <v>1</v>
      </c>
      <c r="G6" s="57">
        <v>1</v>
      </c>
      <c r="H6" s="58">
        <v>1</v>
      </c>
      <c r="I6" s="58">
        <v>1</v>
      </c>
      <c r="J6" s="53"/>
      <c r="K6" s="53"/>
      <c r="L6" s="53"/>
      <c r="M6" s="53"/>
      <c r="N6" s="53"/>
      <c r="O6" s="53"/>
      <c r="P6" s="53"/>
      <c r="Q6" s="53"/>
      <c r="R6" s="53"/>
    </row>
    <row r="7" spans="1:18" x14ac:dyDescent="0.3">
      <c r="A7" s="53"/>
      <c r="B7" s="53"/>
      <c r="C7" s="53"/>
      <c r="D7" s="53"/>
      <c r="E7" s="53"/>
      <c r="F7" s="53"/>
      <c r="G7" s="53"/>
      <c r="H7" s="53"/>
      <c r="I7" s="53"/>
      <c r="J7" s="53"/>
      <c r="K7" s="53"/>
      <c r="L7" s="53"/>
      <c r="M7" s="53"/>
      <c r="N7" s="53"/>
      <c r="O7" s="53"/>
      <c r="P7" s="53"/>
      <c r="Q7" s="53"/>
      <c r="R7" s="53"/>
    </row>
    <row r="8" spans="1:18" x14ac:dyDescent="0.3">
      <c r="A8" s="220" t="s">
        <v>879</v>
      </c>
      <c r="B8" s="221"/>
      <c r="C8" s="61" t="s">
        <v>880</v>
      </c>
      <c r="D8" s="61" t="s">
        <v>881</v>
      </c>
      <c r="E8" s="61" t="s">
        <v>882</v>
      </c>
      <c r="F8" s="62" t="s">
        <v>883</v>
      </c>
      <c r="G8" s="61" t="s">
        <v>884</v>
      </c>
      <c r="H8" s="63" t="s">
        <v>885</v>
      </c>
      <c r="I8" s="64" t="s">
        <v>886</v>
      </c>
      <c r="J8" s="53"/>
      <c r="K8" s="53"/>
      <c r="L8" s="53"/>
      <c r="M8" s="53"/>
      <c r="N8" s="53"/>
      <c r="O8" s="53"/>
      <c r="P8" s="53"/>
      <c r="Q8" s="53"/>
      <c r="R8" s="53"/>
    </row>
    <row r="9" spans="1:18" x14ac:dyDescent="0.3">
      <c r="A9" s="65" t="s">
        <v>887</v>
      </c>
      <c r="B9" s="66" t="s">
        <v>888</v>
      </c>
      <c r="C9" s="67" t="s">
        <v>889</v>
      </c>
      <c r="D9" s="67">
        <v>300</v>
      </c>
      <c r="E9" s="68" t="s">
        <v>650</v>
      </c>
      <c r="F9" s="69">
        <v>2500</v>
      </c>
      <c r="G9" s="67">
        <v>1000</v>
      </c>
      <c r="H9" s="70">
        <v>2500</v>
      </c>
      <c r="I9" s="71">
        <v>930</v>
      </c>
      <c r="J9" s="53"/>
      <c r="K9" s="53"/>
      <c r="L9" s="53"/>
      <c r="M9" s="53"/>
      <c r="N9" s="53"/>
      <c r="O9" s="53"/>
      <c r="P9" s="53"/>
      <c r="Q9" s="53"/>
      <c r="R9" s="53"/>
    </row>
    <row r="10" spans="1:18" x14ac:dyDescent="0.3">
      <c r="A10" s="65" t="s">
        <v>890</v>
      </c>
      <c r="B10" s="66" t="s">
        <v>891</v>
      </c>
      <c r="C10" s="222" t="s">
        <v>892</v>
      </c>
      <c r="D10" s="72">
        <v>650</v>
      </c>
      <c r="E10" s="72">
        <v>750</v>
      </c>
      <c r="F10" s="69">
        <v>1550</v>
      </c>
      <c r="G10" s="222">
        <v>720</v>
      </c>
      <c r="H10" s="224">
        <v>1800</v>
      </c>
      <c r="I10" s="73">
        <v>577</v>
      </c>
      <c r="J10" s="53"/>
      <c r="K10" s="53"/>
      <c r="L10" s="53"/>
      <c r="M10" s="53"/>
      <c r="N10" s="53"/>
      <c r="O10" s="53"/>
      <c r="P10" s="53"/>
      <c r="Q10" s="53"/>
      <c r="R10" s="53"/>
    </row>
    <row r="11" spans="1:18" x14ac:dyDescent="0.3">
      <c r="A11" s="65" t="s">
        <v>893</v>
      </c>
      <c r="B11" s="66" t="s">
        <v>894</v>
      </c>
      <c r="C11" s="222"/>
      <c r="D11" s="72">
        <v>450</v>
      </c>
      <c r="E11" s="72">
        <v>550</v>
      </c>
      <c r="F11" s="74">
        <v>1250</v>
      </c>
      <c r="G11" s="222"/>
      <c r="H11" s="224"/>
      <c r="I11" s="73">
        <v>465</v>
      </c>
      <c r="J11" s="53"/>
      <c r="K11" s="53"/>
      <c r="L11" s="53"/>
      <c r="M11" s="53"/>
      <c r="N11" s="53"/>
      <c r="O11" s="53"/>
      <c r="P11" s="53"/>
      <c r="Q11" s="53"/>
      <c r="R11" s="53"/>
    </row>
    <row r="12" spans="1:18" x14ac:dyDescent="0.3">
      <c r="A12" s="65" t="s">
        <v>895</v>
      </c>
      <c r="B12" s="66" t="s">
        <v>896</v>
      </c>
      <c r="C12" s="222"/>
      <c r="D12" s="72">
        <v>480</v>
      </c>
      <c r="E12" s="72">
        <v>570</v>
      </c>
      <c r="F12" s="74">
        <v>1350</v>
      </c>
      <c r="G12" s="222"/>
      <c r="H12" s="224"/>
      <c r="I12" s="73">
        <v>502</v>
      </c>
      <c r="J12" s="53"/>
      <c r="K12" s="53"/>
      <c r="L12" s="53"/>
      <c r="M12" s="53"/>
      <c r="N12" s="53"/>
      <c r="O12" s="53"/>
      <c r="P12" s="53"/>
      <c r="Q12" s="53"/>
      <c r="R12" s="53"/>
    </row>
    <row r="13" spans="1:18" x14ac:dyDescent="0.3">
      <c r="A13" s="65" t="s">
        <v>897</v>
      </c>
      <c r="B13" s="66" t="s">
        <v>898</v>
      </c>
      <c r="C13" s="222"/>
      <c r="D13" s="72">
        <v>500</v>
      </c>
      <c r="E13" s="72">
        <v>625</v>
      </c>
      <c r="F13" s="69">
        <v>2500</v>
      </c>
      <c r="G13" s="222"/>
      <c r="H13" s="224"/>
      <c r="I13" s="73">
        <v>930</v>
      </c>
      <c r="J13" s="53"/>
      <c r="K13" s="53"/>
      <c r="L13" s="53"/>
      <c r="M13" s="53"/>
      <c r="N13" s="53"/>
      <c r="O13" s="53"/>
      <c r="P13" s="53"/>
      <c r="Q13" s="53"/>
      <c r="R13" s="53"/>
    </row>
    <row r="14" spans="1:18" x14ac:dyDescent="0.3">
      <c r="A14" s="65" t="s">
        <v>899</v>
      </c>
      <c r="B14" s="66" t="s">
        <v>900</v>
      </c>
      <c r="C14" s="223"/>
      <c r="D14" s="72">
        <v>650</v>
      </c>
      <c r="E14" s="72">
        <v>750</v>
      </c>
      <c r="F14" s="74">
        <v>2500</v>
      </c>
      <c r="G14" s="223"/>
      <c r="H14" s="225"/>
      <c r="I14" s="73">
        <v>930</v>
      </c>
      <c r="J14" s="53"/>
      <c r="K14" s="53"/>
      <c r="L14" s="53"/>
      <c r="M14" s="53"/>
      <c r="N14" s="53"/>
      <c r="O14" s="53"/>
      <c r="P14" s="53"/>
      <c r="Q14" s="53"/>
      <c r="R14" s="53"/>
    </row>
    <row r="15" spans="1:18" x14ac:dyDescent="0.3">
      <c r="A15" s="65" t="s">
        <v>901</v>
      </c>
      <c r="B15" s="66" t="s">
        <v>902</v>
      </c>
      <c r="C15" s="222" t="s">
        <v>903</v>
      </c>
      <c r="D15" s="72">
        <v>900</v>
      </c>
      <c r="E15" s="72">
        <v>950</v>
      </c>
      <c r="F15" s="74">
        <v>600</v>
      </c>
      <c r="G15" s="226">
        <v>560</v>
      </c>
      <c r="H15" s="228">
        <v>1400</v>
      </c>
      <c r="I15" s="73">
        <v>223</v>
      </c>
      <c r="J15" s="53"/>
      <c r="K15" s="53"/>
      <c r="L15" s="53"/>
      <c r="M15" s="53"/>
      <c r="N15" s="53"/>
      <c r="O15" s="53"/>
      <c r="P15" s="53"/>
      <c r="Q15" s="53"/>
      <c r="R15" s="53"/>
    </row>
    <row r="16" spans="1:18" x14ac:dyDescent="0.3">
      <c r="A16" s="65" t="s">
        <v>122</v>
      </c>
      <c r="B16" s="66" t="s">
        <v>904</v>
      </c>
      <c r="C16" s="222"/>
      <c r="D16" s="72">
        <v>750</v>
      </c>
      <c r="E16" s="72">
        <v>850</v>
      </c>
      <c r="F16" s="76">
        <v>1450</v>
      </c>
      <c r="G16" s="226"/>
      <c r="H16" s="228"/>
      <c r="I16" s="73">
        <v>539</v>
      </c>
      <c r="J16" s="53"/>
      <c r="K16" s="53"/>
      <c r="L16" s="53"/>
      <c r="M16" s="53"/>
      <c r="N16" s="53"/>
      <c r="O16" s="53"/>
      <c r="P16" s="53"/>
      <c r="Q16" s="53"/>
      <c r="R16" s="53"/>
    </row>
    <row r="17" spans="1:18" x14ac:dyDescent="0.3">
      <c r="A17" s="77" t="s">
        <v>905</v>
      </c>
      <c r="B17" s="78" t="s">
        <v>906</v>
      </c>
      <c r="C17" s="223"/>
      <c r="D17" s="72">
        <v>750</v>
      </c>
      <c r="E17" s="75">
        <v>950</v>
      </c>
      <c r="F17" s="79">
        <v>2000</v>
      </c>
      <c r="G17" s="227"/>
      <c r="H17" s="229"/>
      <c r="I17" s="73">
        <v>744</v>
      </c>
      <c r="J17" s="53"/>
      <c r="K17" s="53"/>
      <c r="L17" s="53"/>
      <c r="M17" s="53"/>
      <c r="N17" s="53"/>
      <c r="O17" s="53"/>
      <c r="P17" s="53"/>
      <c r="Q17" s="53"/>
      <c r="R17" s="53"/>
    </row>
    <row r="18" spans="1:18" x14ac:dyDescent="0.3">
      <c r="A18" s="54" t="s">
        <v>907</v>
      </c>
      <c r="B18" s="55" t="s">
        <v>908</v>
      </c>
      <c r="C18" s="53"/>
      <c r="D18" s="53"/>
      <c r="E18" s="53"/>
      <c r="F18" s="53"/>
      <c r="G18" s="53"/>
      <c r="H18" s="53"/>
      <c r="I18" s="53"/>
      <c r="J18" s="53"/>
      <c r="K18" s="53"/>
      <c r="L18" s="53"/>
      <c r="M18" s="53"/>
      <c r="N18" s="53"/>
      <c r="O18" s="53"/>
      <c r="P18" s="53"/>
      <c r="Q18" s="53"/>
      <c r="R18" s="53"/>
    </row>
    <row r="19" spans="1:18" x14ac:dyDescent="0.3">
      <c r="A19" s="80" t="s">
        <v>909</v>
      </c>
      <c r="B19" s="81" t="s">
        <v>488</v>
      </c>
      <c r="C19" s="53"/>
      <c r="D19" s="53"/>
      <c r="E19" s="53"/>
      <c r="F19" s="53"/>
      <c r="G19" s="53"/>
      <c r="H19" s="53"/>
      <c r="I19" s="53"/>
      <c r="J19" s="53"/>
      <c r="K19" s="53"/>
      <c r="L19" s="53"/>
      <c r="M19" s="53"/>
      <c r="N19" s="53"/>
      <c r="O19" s="53"/>
      <c r="P19" s="53"/>
      <c r="Q19" s="53"/>
      <c r="R19" s="53"/>
    </row>
    <row r="20" spans="1:18" x14ac:dyDescent="0.3">
      <c r="A20" s="60"/>
      <c r="B20" s="60"/>
      <c r="C20" s="53"/>
      <c r="D20" s="53"/>
      <c r="E20" s="53"/>
      <c r="F20" s="53"/>
      <c r="G20" s="53"/>
      <c r="H20" s="53"/>
      <c r="I20" s="53"/>
      <c r="J20" s="53"/>
      <c r="K20" s="53"/>
      <c r="L20" s="53"/>
      <c r="M20" s="53"/>
      <c r="N20" s="53"/>
      <c r="O20" s="53"/>
      <c r="P20" s="53"/>
      <c r="Q20" s="53"/>
      <c r="R20" s="53"/>
    </row>
    <row r="21" spans="1:18" x14ac:dyDescent="0.3">
      <c r="A21" s="60" t="s">
        <v>910</v>
      </c>
      <c r="B21" s="53"/>
      <c r="C21" s="53"/>
      <c r="D21" s="53"/>
      <c r="E21" s="53"/>
      <c r="F21" s="53"/>
      <c r="G21" s="53"/>
      <c r="H21" s="53"/>
      <c r="I21" s="53"/>
      <c r="J21" s="53"/>
      <c r="K21" s="53"/>
      <c r="L21" s="53"/>
      <c r="M21" s="53"/>
      <c r="N21" s="53"/>
      <c r="O21" s="53"/>
      <c r="P21" s="53"/>
      <c r="Q21" s="53"/>
      <c r="R21" s="53"/>
    </row>
    <row r="22" spans="1:18" x14ac:dyDescent="0.3">
      <c r="A22" s="60"/>
      <c r="B22" s="53"/>
      <c r="C22" s="53"/>
      <c r="D22" s="53"/>
      <c r="E22" s="53"/>
      <c r="F22" s="53"/>
      <c r="G22" s="53"/>
      <c r="H22" s="53"/>
      <c r="I22" s="53"/>
      <c r="J22" s="53"/>
      <c r="K22" s="53"/>
      <c r="L22" s="53"/>
      <c r="M22" s="53"/>
      <c r="N22" s="53"/>
      <c r="O22" s="53"/>
      <c r="P22" s="53"/>
      <c r="Q22" s="53"/>
      <c r="R22" s="53"/>
    </row>
    <row r="23" spans="1:18" x14ac:dyDescent="0.3">
      <c r="A23" s="230" t="s">
        <v>911</v>
      </c>
      <c r="B23" s="230" t="s">
        <v>912</v>
      </c>
      <c r="C23" s="232" t="s">
        <v>913</v>
      </c>
      <c r="D23" s="232" t="s">
        <v>914</v>
      </c>
      <c r="E23" s="232" t="s">
        <v>915</v>
      </c>
      <c r="F23" s="53"/>
      <c r="G23" s="53"/>
      <c r="H23" s="53"/>
      <c r="I23" s="53"/>
      <c r="J23" s="53"/>
      <c r="K23" s="53"/>
      <c r="L23" s="53"/>
      <c r="M23" s="53"/>
      <c r="N23" s="53"/>
      <c r="O23" s="53"/>
      <c r="P23" s="53"/>
      <c r="Q23" s="53"/>
      <c r="R23" s="53"/>
    </row>
    <row r="24" spans="1:18" x14ac:dyDescent="0.3">
      <c r="A24" s="231"/>
      <c r="B24" s="231"/>
      <c r="C24" s="233"/>
      <c r="D24" s="233"/>
      <c r="E24" s="233"/>
      <c r="F24" s="53"/>
      <c r="G24" s="53"/>
      <c r="H24" s="53"/>
      <c r="I24" s="53"/>
      <c r="J24" s="53"/>
      <c r="K24" s="53"/>
      <c r="L24" s="53"/>
      <c r="M24" s="53"/>
      <c r="N24" s="53"/>
      <c r="O24" s="53"/>
      <c r="P24" s="53"/>
      <c r="Q24" s="53"/>
      <c r="R24" s="53"/>
    </row>
    <row r="25" spans="1:18" x14ac:dyDescent="0.3">
      <c r="A25" s="235" t="s">
        <v>887</v>
      </c>
      <c r="B25" s="82" t="s">
        <v>880</v>
      </c>
      <c r="C25" s="82">
        <v>1</v>
      </c>
      <c r="D25" s="82">
        <v>1</v>
      </c>
      <c r="E25" s="82">
        <v>0</v>
      </c>
      <c r="F25" s="53"/>
      <c r="G25" s="53"/>
      <c r="H25" s="53"/>
      <c r="I25" s="53"/>
      <c r="J25" s="53"/>
      <c r="K25" s="53"/>
      <c r="L25" s="53"/>
      <c r="M25" s="53"/>
      <c r="N25" s="53"/>
      <c r="O25" s="53"/>
      <c r="P25" s="53"/>
      <c r="Q25" s="53"/>
      <c r="R25" s="53"/>
    </row>
    <row r="26" spans="1:18" x14ac:dyDescent="0.3">
      <c r="A26" s="235"/>
      <c r="B26" s="82" t="s">
        <v>916</v>
      </c>
      <c r="C26" s="73">
        <v>930</v>
      </c>
      <c r="D26" s="73">
        <v>930</v>
      </c>
      <c r="E26" s="73">
        <v>930</v>
      </c>
      <c r="F26" s="53"/>
      <c r="G26" s="53"/>
      <c r="H26" s="53"/>
      <c r="I26" s="53"/>
      <c r="J26" s="53"/>
      <c r="K26" s="53"/>
      <c r="L26" s="53"/>
      <c r="M26" s="53"/>
      <c r="N26" s="53"/>
      <c r="O26" s="53"/>
      <c r="P26" s="53"/>
      <c r="Q26" s="53"/>
      <c r="R26" s="53"/>
    </row>
    <row r="27" spans="1:18" x14ac:dyDescent="0.3">
      <c r="A27" s="235"/>
      <c r="B27" s="82" t="s">
        <v>917</v>
      </c>
      <c r="C27" s="82">
        <v>18.600000000000001</v>
      </c>
      <c r="D27" s="82">
        <v>15.579000000000001</v>
      </c>
      <c r="E27" s="82">
        <v>22.821999999999999</v>
      </c>
      <c r="F27" s="53"/>
      <c r="G27" s="53"/>
      <c r="H27" s="53"/>
      <c r="I27" s="53"/>
      <c r="J27" s="53"/>
      <c r="K27" s="53"/>
      <c r="L27" s="53"/>
      <c r="M27" s="53"/>
      <c r="N27" s="53"/>
      <c r="O27" s="53"/>
      <c r="P27" s="53"/>
      <c r="Q27" s="53"/>
      <c r="R27" s="53"/>
    </row>
    <row r="28" spans="1:18" x14ac:dyDescent="0.3">
      <c r="A28" s="235"/>
      <c r="B28" s="83" t="s">
        <v>918</v>
      </c>
      <c r="C28" s="83" t="s">
        <v>919</v>
      </c>
      <c r="D28" s="83">
        <v>106</v>
      </c>
      <c r="E28" s="83">
        <v>169</v>
      </c>
      <c r="F28" s="53"/>
      <c r="G28" s="53"/>
      <c r="H28" s="53"/>
      <c r="I28" s="53"/>
      <c r="J28" s="53"/>
      <c r="K28" s="53"/>
      <c r="L28" s="53"/>
      <c r="M28" s="53"/>
      <c r="N28" s="53"/>
      <c r="O28" s="53"/>
      <c r="P28" s="53"/>
      <c r="Q28" s="53"/>
      <c r="R28" s="53"/>
    </row>
    <row r="29" spans="1:18" x14ac:dyDescent="0.3">
      <c r="A29" s="236"/>
      <c r="B29" s="84" t="s">
        <v>920</v>
      </c>
      <c r="C29" s="84" t="s">
        <v>921</v>
      </c>
      <c r="D29" s="84" t="s">
        <v>921</v>
      </c>
      <c r="E29" s="85" t="s">
        <v>922</v>
      </c>
      <c r="F29" s="53"/>
      <c r="G29" s="53"/>
      <c r="H29" s="53"/>
      <c r="I29" s="53"/>
      <c r="J29" s="53"/>
      <c r="K29" s="53"/>
      <c r="L29" s="53"/>
      <c r="M29" s="53"/>
      <c r="N29" s="53"/>
      <c r="O29" s="53"/>
      <c r="P29" s="53"/>
      <c r="Q29" s="53"/>
      <c r="R29" s="53"/>
    </row>
    <row r="30" spans="1:18" x14ac:dyDescent="0.3">
      <c r="A30" s="234" t="s">
        <v>890</v>
      </c>
      <c r="B30" s="82" t="s">
        <v>880</v>
      </c>
      <c r="C30" s="82">
        <v>1</v>
      </c>
      <c r="D30" s="82">
        <v>1</v>
      </c>
      <c r="E30" s="82">
        <v>1</v>
      </c>
      <c r="F30" s="53"/>
      <c r="G30" s="53"/>
      <c r="H30" s="53"/>
      <c r="I30" s="53"/>
      <c r="J30" s="53"/>
      <c r="K30" s="53"/>
      <c r="L30" s="53"/>
      <c r="M30" s="53"/>
      <c r="N30" s="53"/>
      <c r="O30" s="53"/>
      <c r="P30" s="53"/>
      <c r="Q30" s="53"/>
      <c r="R30" s="53"/>
    </row>
    <row r="31" spans="1:18" x14ac:dyDescent="0.3">
      <c r="A31" s="235"/>
      <c r="B31" s="82" t="s">
        <v>923</v>
      </c>
      <c r="C31" s="73">
        <v>577</v>
      </c>
      <c r="D31" s="73">
        <v>577</v>
      </c>
      <c r="E31" s="73">
        <v>577</v>
      </c>
      <c r="F31" s="53"/>
      <c r="G31" s="53"/>
      <c r="H31" s="53"/>
      <c r="I31" s="53"/>
      <c r="J31" s="53"/>
      <c r="K31" s="53"/>
      <c r="L31" s="53"/>
      <c r="M31" s="53"/>
      <c r="N31" s="53"/>
      <c r="O31" s="53"/>
      <c r="P31" s="53"/>
      <c r="Q31" s="53"/>
      <c r="R31" s="53"/>
    </row>
    <row r="32" spans="1:18" x14ac:dyDescent="0.3">
      <c r="A32" s="235"/>
      <c r="B32" s="82" t="s">
        <v>917</v>
      </c>
      <c r="C32" s="82">
        <v>11.532</v>
      </c>
      <c r="D32" s="82">
        <v>9.6590000000000007</v>
      </c>
      <c r="E32" s="82">
        <v>14.15</v>
      </c>
      <c r="F32" s="53"/>
      <c r="G32" s="53"/>
      <c r="H32" s="53"/>
      <c r="I32" s="53"/>
      <c r="J32" s="53"/>
      <c r="K32" s="53"/>
      <c r="L32" s="53"/>
      <c r="M32" s="53"/>
      <c r="N32" s="53"/>
      <c r="O32" s="53"/>
      <c r="P32" s="53"/>
      <c r="Q32" s="53"/>
      <c r="R32" s="53"/>
    </row>
    <row r="33" spans="1:18" x14ac:dyDescent="0.3">
      <c r="A33" s="235"/>
      <c r="B33" s="83" t="s">
        <v>918</v>
      </c>
      <c r="C33" s="82">
        <v>84</v>
      </c>
      <c r="D33" s="82">
        <v>65</v>
      </c>
      <c r="E33" s="82">
        <v>105</v>
      </c>
      <c r="F33" s="53"/>
      <c r="G33" s="53"/>
      <c r="H33" s="53"/>
      <c r="I33" s="53"/>
      <c r="J33" s="53"/>
      <c r="K33" s="53"/>
      <c r="L33" s="53"/>
      <c r="M33" s="53"/>
      <c r="N33" s="53"/>
      <c r="O33" s="53"/>
      <c r="P33" s="53"/>
      <c r="Q33" s="53"/>
      <c r="R33" s="53"/>
    </row>
    <row r="34" spans="1:18" x14ac:dyDescent="0.3">
      <c r="A34" s="236"/>
      <c r="B34" s="84" t="s">
        <v>920</v>
      </c>
      <c r="C34" s="86" t="s">
        <v>921</v>
      </c>
      <c r="D34" s="86" t="s">
        <v>921</v>
      </c>
      <c r="E34" s="86" t="s">
        <v>921</v>
      </c>
      <c r="F34" s="53"/>
      <c r="G34" s="53"/>
      <c r="H34" s="53"/>
      <c r="I34" s="53"/>
      <c r="J34" s="53"/>
      <c r="K34" s="53"/>
      <c r="L34" s="53"/>
      <c r="M34" s="53"/>
      <c r="N34" s="53"/>
      <c r="O34" s="53"/>
      <c r="P34" s="53"/>
      <c r="Q34" s="53"/>
      <c r="R34" s="53"/>
    </row>
    <row r="35" spans="1:18" x14ac:dyDescent="0.3">
      <c r="A35" s="234" t="s">
        <v>893</v>
      </c>
      <c r="B35" s="82" t="s">
        <v>880</v>
      </c>
      <c r="C35" s="82">
        <v>1</v>
      </c>
      <c r="D35" s="82">
        <v>1</v>
      </c>
      <c r="E35" s="82">
        <v>0</v>
      </c>
      <c r="F35" s="53"/>
      <c r="G35" s="53"/>
      <c r="H35" s="53"/>
      <c r="I35" s="53"/>
      <c r="J35" s="53"/>
      <c r="K35" s="53"/>
      <c r="L35" s="53"/>
      <c r="M35" s="53"/>
      <c r="N35" s="53"/>
      <c r="O35" s="53"/>
      <c r="P35" s="53"/>
      <c r="Q35" s="53"/>
      <c r="R35" s="53"/>
    </row>
    <row r="36" spans="1:18" x14ac:dyDescent="0.3">
      <c r="A36" s="235"/>
      <c r="B36" s="82" t="s">
        <v>923</v>
      </c>
      <c r="C36" s="73">
        <v>465</v>
      </c>
      <c r="D36" s="73">
        <v>465</v>
      </c>
      <c r="E36" s="73">
        <v>465</v>
      </c>
      <c r="F36" s="53"/>
      <c r="G36" s="53"/>
      <c r="H36" s="53"/>
      <c r="I36" s="53"/>
      <c r="J36" s="53"/>
      <c r="K36" s="53"/>
      <c r="L36" s="53"/>
      <c r="M36" s="53"/>
      <c r="N36" s="53"/>
      <c r="O36" s="53"/>
      <c r="P36" s="53"/>
      <c r="Q36" s="53"/>
      <c r="R36" s="53"/>
    </row>
    <row r="37" spans="1:18" x14ac:dyDescent="0.3">
      <c r="A37" s="235"/>
      <c r="B37" s="82" t="s">
        <v>917</v>
      </c>
      <c r="C37" s="82">
        <v>9.3000000000000007</v>
      </c>
      <c r="D37" s="82">
        <v>7.79</v>
      </c>
      <c r="E37" s="82">
        <v>11.411</v>
      </c>
      <c r="F37" s="53"/>
      <c r="G37" s="53"/>
      <c r="H37" s="53"/>
      <c r="I37" s="53"/>
      <c r="J37" s="53"/>
      <c r="K37" s="53"/>
      <c r="L37" s="53"/>
      <c r="M37" s="53"/>
      <c r="N37" s="53"/>
      <c r="O37" s="53"/>
      <c r="P37" s="53"/>
      <c r="Q37" s="53"/>
      <c r="R37" s="53"/>
    </row>
    <row r="38" spans="1:18" x14ac:dyDescent="0.3">
      <c r="A38" s="235"/>
      <c r="B38" s="83" t="s">
        <v>918</v>
      </c>
      <c r="C38" s="82">
        <v>68</v>
      </c>
      <c r="D38" s="82">
        <v>53</v>
      </c>
      <c r="E38" s="82">
        <v>85</v>
      </c>
      <c r="F38" s="53"/>
      <c r="G38" s="53"/>
      <c r="H38" s="53"/>
      <c r="I38" s="53"/>
      <c r="J38" s="53"/>
      <c r="K38" s="53"/>
      <c r="L38" s="53"/>
      <c r="M38" s="53"/>
      <c r="N38" s="53"/>
      <c r="O38" s="53"/>
      <c r="P38" s="53"/>
      <c r="Q38" s="53"/>
      <c r="R38" s="53"/>
    </row>
    <row r="39" spans="1:18" x14ac:dyDescent="0.3">
      <c r="A39" s="236"/>
      <c r="B39" s="84" t="s">
        <v>920</v>
      </c>
      <c r="C39" s="86" t="s">
        <v>921</v>
      </c>
      <c r="D39" s="86" t="s">
        <v>921</v>
      </c>
      <c r="E39" s="87" t="s">
        <v>922</v>
      </c>
      <c r="F39" s="53"/>
      <c r="G39" s="53"/>
      <c r="H39" s="53"/>
      <c r="I39" s="53"/>
      <c r="J39" s="53"/>
      <c r="K39" s="53"/>
      <c r="L39" s="53"/>
      <c r="M39" s="53"/>
      <c r="N39" s="53"/>
      <c r="O39" s="53"/>
      <c r="P39" s="53"/>
      <c r="Q39" s="53"/>
      <c r="R39" s="53"/>
    </row>
    <row r="40" spans="1:18" x14ac:dyDescent="0.3">
      <c r="A40" s="234" t="s">
        <v>895</v>
      </c>
      <c r="B40" s="82" t="s">
        <v>880</v>
      </c>
      <c r="C40" s="82">
        <v>1</v>
      </c>
      <c r="D40" s="82">
        <v>1</v>
      </c>
      <c r="E40" s="82">
        <v>0</v>
      </c>
      <c r="F40" s="53"/>
      <c r="G40" s="53"/>
      <c r="H40" s="53"/>
      <c r="I40" s="53"/>
      <c r="J40" s="53"/>
      <c r="K40" s="53"/>
      <c r="L40" s="53"/>
      <c r="M40" s="53"/>
      <c r="N40" s="53"/>
      <c r="O40" s="53"/>
      <c r="P40" s="53"/>
      <c r="Q40" s="53"/>
      <c r="R40" s="53"/>
    </row>
    <row r="41" spans="1:18" x14ac:dyDescent="0.3">
      <c r="A41" s="235"/>
      <c r="B41" s="82" t="s">
        <v>923</v>
      </c>
      <c r="C41" s="73">
        <v>502</v>
      </c>
      <c r="D41" s="73">
        <v>502</v>
      </c>
      <c r="E41" s="73">
        <v>502</v>
      </c>
      <c r="F41" s="53"/>
      <c r="G41" s="53"/>
      <c r="H41" s="53"/>
      <c r="I41" s="53"/>
      <c r="J41" s="53"/>
      <c r="K41" s="53"/>
      <c r="L41" s="53"/>
      <c r="M41" s="53"/>
      <c r="N41" s="53"/>
      <c r="O41" s="53"/>
      <c r="P41" s="53"/>
      <c r="Q41" s="53"/>
      <c r="R41" s="53"/>
    </row>
    <row r="42" spans="1:18" x14ac:dyDescent="0.3">
      <c r="A42" s="235"/>
      <c r="B42" s="82" t="s">
        <v>917</v>
      </c>
      <c r="C42" s="82">
        <v>10.044</v>
      </c>
      <c r="D42" s="82">
        <v>8.4130000000000003</v>
      </c>
      <c r="E42" s="82">
        <v>12.324</v>
      </c>
      <c r="F42" s="53"/>
      <c r="G42" s="53"/>
      <c r="H42" s="53"/>
      <c r="I42" s="53"/>
      <c r="J42" s="53"/>
      <c r="K42" s="53"/>
      <c r="L42" s="53"/>
      <c r="M42" s="53"/>
      <c r="N42" s="53"/>
      <c r="O42" s="53"/>
      <c r="P42" s="53"/>
      <c r="Q42" s="53"/>
      <c r="R42" s="53"/>
    </row>
    <row r="43" spans="1:18" x14ac:dyDescent="0.3">
      <c r="A43" s="235"/>
      <c r="B43" s="83" t="s">
        <v>918</v>
      </c>
      <c r="C43" s="82">
        <v>73</v>
      </c>
      <c r="D43" s="82">
        <v>57</v>
      </c>
      <c r="E43" s="82">
        <v>91</v>
      </c>
      <c r="F43" s="53"/>
      <c r="G43" s="53"/>
      <c r="H43" s="53"/>
      <c r="I43" s="53"/>
      <c r="J43" s="53"/>
      <c r="K43" s="53"/>
      <c r="L43" s="53"/>
      <c r="M43" s="53"/>
      <c r="N43" s="53"/>
      <c r="O43" s="53"/>
      <c r="P43" s="53"/>
      <c r="Q43" s="53"/>
      <c r="R43" s="53"/>
    </row>
    <row r="44" spans="1:18" x14ac:dyDescent="0.3">
      <c r="A44" s="236"/>
      <c r="B44" s="84" t="s">
        <v>920</v>
      </c>
      <c r="C44" s="86" t="s">
        <v>921</v>
      </c>
      <c r="D44" s="86" t="s">
        <v>921</v>
      </c>
      <c r="E44" s="87" t="s">
        <v>922</v>
      </c>
      <c r="F44" s="53"/>
      <c r="G44" s="53"/>
      <c r="H44" s="53"/>
      <c r="I44" s="53"/>
      <c r="J44" s="53"/>
      <c r="K44" s="53"/>
      <c r="L44" s="53"/>
      <c r="M44" s="53"/>
      <c r="N44" s="53"/>
      <c r="O44" s="53"/>
      <c r="P44" s="53"/>
      <c r="Q44" s="53"/>
      <c r="R44" s="53"/>
    </row>
    <row r="45" spans="1:18" x14ac:dyDescent="0.3">
      <c r="A45" s="234" t="s">
        <v>897</v>
      </c>
      <c r="B45" s="82" t="s">
        <v>880</v>
      </c>
      <c r="C45" s="82">
        <v>1</v>
      </c>
      <c r="D45" s="82">
        <v>1</v>
      </c>
      <c r="E45" s="82">
        <v>0</v>
      </c>
      <c r="F45" s="53"/>
      <c r="G45" s="53"/>
      <c r="H45" s="53"/>
      <c r="I45" s="53"/>
      <c r="J45" s="53"/>
      <c r="K45" s="53"/>
      <c r="L45" s="53"/>
      <c r="M45" s="53"/>
      <c r="N45" s="53"/>
      <c r="O45" s="53"/>
      <c r="P45" s="53"/>
      <c r="Q45" s="53"/>
      <c r="R45" s="53"/>
    </row>
    <row r="46" spans="1:18" x14ac:dyDescent="0.3">
      <c r="A46" s="235"/>
      <c r="B46" s="82" t="s">
        <v>923</v>
      </c>
      <c r="C46" s="73">
        <v>930</v>
      </c>
      <c r="D46" s="73">
        <v>930</v>
      </c>
      <c r="E46" s="73">
        <v>930</v>
      </c>
      <c r="F46" s="53"/>
      <c r="G46" s="53"/>
      <c r="H46" s="53"/>
      <c r="I46" s="53"/>
      <c r="J46" s="53"/>
      <c r="K46" s="53"/>
      <c r="L46" s="53"/>
      <c r="M46" s="53"/>
      <c r="N46" s="53"/>
      <c r="O46" s="53"/>
      <c r="P46" s="53"/>
      <c r="Q46" s="53"/>
      <c r="R46" s="53"/>
    </row>
    <row r="47" spans="1:18" x14ac:dyDescent="0.3">
      <c r="A47" s="235"/>
      <c r="B47" s="82" t="s">
        <v>917</v>
      </c>
      <c r="C47" s="82">
        <v>18.600000000000001</v>
      </c>
      <c r="D47" s="82">
        <v>15.579000000000001</v>
      </c>
      <c r="E47" s="82">
        <v>22.821999999999999</v>
      </c>
      <c r="F47" s="53"/>
      <c r="G47" s="53"/>
      <c r="H47" s="53"/>
      <c r="I47" s="53"/>
      <c r="J47" s="53"/>
      <c r="K47" s="53"/>
      <c r="L47" s="53"/>
      <c r="M47" s="53"/>
      <c r="N47" s="53"/>
      <c r="O47" s="53"/>
      <c r="P47" s="53"/>
      <c r="Q47" s="53"/>
      <c r="R47" s="53"/>
    </row>
    <row r="48" spans="1:18" x14ac:dyDescent="0.3">
      <c r="A48" s="235"/>
      <c r="B48" s="83" t="s">
        <v>918</v>
      </c>
      <c r="C48" s="82">
        <v>135</v>
      </c>
      <c r="D48" s="82">
        <v>106</v>
      </c>
      <c r="E48" s="82">
        <v>169</v>
      </c>
      <c r="F48" s="53"/>
      <c r="G48" s="53"/>
      <c r="H48" s="53"/>
      <c r="I48" s="53"/>
      <c r="J48" s="53"/>
      <c r="K48" s="53"/>
      <c r="L48" s="53"/>
      <c r="M48" s="53"/>
      <c r="N48" s="53"/>
      <c r="O48" s="53"/>
      <c r="P48" s="53"/>
      <c r="Q48" s="53"/>
      <c r="R48" s="53"/>
    </row>
    <row r="49" spans="1:18" x14ac:dyDescent="0.3">
      <c r="A49" s="236"/>
      <c r="B49" s="84" t="s">
        <v>920</v>
      </c>
      <c r="C49" s="86" t="s">
        <v>921</v>
      </c>
      <c r="D49" s="86" t="s">
        <v>921</v>
      </c>
      <c r="E49" s="87" t="s">
        <v>922</v>
      </c>
      <c r="F49" s="53"/>
      <c r="G49" s="53"/>
      <c r="H49" s="53"/>
      <c r="I49" s="53"/>
      <c r="J49" s="53"/>
      <c r="K49" s="53"/>
      <c r="L49" s="53"/>
      <c r="M49" s="53"/>
      <c r="N49" s="53"/>
      <c r="O49" s="53"/>
      <c r="P49" s="53"/>
      <c r="Q49" s="53"/>
      <c r="R49" s="53"/>
    </row>
    <row r="50" spans="1:18" x14ac:dyDescent="0.3">
      <c r="A50" s="234" t="s">
        <v>899</v>
      </c>
      <c r="B50" s="82" t="s">
        <v>880</v>
      </c>
      <c r="C50" s="82">
        <v>1</v>
      </c>
      <c r="D50" s="82">
        <v>1</v>
      </c>
      <c r="E50" s="82">
        <v>1</v>
      </c>
      <c r="F50" s="53"/>
      <c r="G50" s="53"/>
      <c r="H50" s="53"/>
      <c r="I50" s="53"/>
      <c r="J50" s="53"/>
      <c r="K50" s="53"/>
      <c r="L50" s="53"/>
      <c r="M50" s="53"/>
      <c r="N50" s="53"/>
      <c r="O50" s="53"/>
      <c r="P50" s="53"/>
      <c r="Q50" s="53"/>
      <c r="R50" s="53"/>
    </row>
    <row r="51" spans="1:18" x14ac:dyDescent="0.3">
      <c r="A51" s="235"/>
      <c r="B51" s="82" t="s">
        <v>923</v>
      </c>
      <c r="C51" s="73">
        <v>930</v>
      </c>
      <c r="D51" s="73">
        <v>930</v>
      </c>
      <c r="E51" s="73">
        <v>930</v>
      </c>
      <c r="F51" s="53"/>
      <c r="G51" s="53"/>
      <c r="H51" s="53"/>
      <c r="I51" s="53"/>
      <c r="J51" s="53"/>
      <c r="K51" s="53"/>
      <c r="L51" s="53"/>
      <c r="M51" s="53"/>
      <c r="N51" s="53"/>
      <c r="O51" s="53"/>
      <c r="P51" s="53"/>
      <c r="Q51" s="53"/>
      <c r="R51" s="53"/>
    </row>
    <row r="52" spans="1:18" x14ac:dyDescent="0.3">
      <c r="A52" s="235"/>
      <c r="B52" s="82" t="s">
        <v>917</v>
      </c>
      <c r="C52" s="82">
        <v>18.600000000000001</v>
      </c>
      <c r="D52" s="82">
        <v>15.579000000000001</v>
      </c>
      <c r="E52" s="82">
        <v>22.821999999999999</v>
      </c>
      <c r="F52" s="53"/>
      <c r="G52" s="53"/>
      <c r="H52" s="53"/>
      <c r="I52" s="53"/>
      <c r="J52" s="53"/>
      <c r="K52" s="53"/>
      <c r="L52" s="53"/>
      <c r="M52" s="53"/>
      <c r="N52" s="53"/>
      <c r="O52" s="53"/>
      <c r="P52" s="53"/>
      <c r="Q52" s="53"/>
      <c r="R52" s="53"/>
    </row>
    <row r="53" spans="1:18" x14ac:dyDescent="0.3">
      <c r="A53" s="235"/>
      <c r="B53" s="83" t="s">
        <v>918</v>
      </c>
      <c r="C53" s="82">
        <v>135</v>
      </c>
      <c r="D53" s="82">
        <v>106</v>
      </c>
      <c r="E53" s="82">
        <v>169</v>
      </c>
      <c r="F53" s="53"/>
      <c r="G53" s="53"/>
      <c r="H53" s="53"/>
      <c r="I53" s="53"/>
      <c r="J53" s="53"/>
      <c r="K53" s="53"/>
      <c r="L53" s="53"/>
      <c r="M53" s="53"/>
      <c r="N53" s="53"/>
      <c r="O53" s="53"/>
      <c r="P53" s="53"/>
      <c r="Q53" s="53"/>
      <c r="R53" s="53"/>
    </row>
    <row r="54" spans="1:18" x14ac:dyDescent="0.3">
      <c r="A54" s="236"/>
      <c r="B54" s="84" t="s">
        <v>920</v>
      </c>
      <c r="C54" s="86" t="s">
        <v>921</v>
      </c>
      <c r="D54" s="86" t="s">
        <v>921</v>
      </c>
      <c r="E54" s="86" t="s">
        <v>921</v>
      </c>
      <c r="F54" s="53"/>
      <c r="G54" s="53"/>
      <c r="H54" s="53"/>
      <c r="I54" s="53"/>
      <c r="J54" s="53"/>
      <c r="K54" s="53"/>
      <c r="L54" s="53"/>
      <c r="M54" s="53"/>
      <c r="N54" s="53"/>
      <c r="O54" s="53"/>
      <c r="P54" s="53"/>
      <c r="Q54" s="53"/>
      <c r="R54" s="53"/>
    </row>
    <row r="55" spans="1:18" x14ac:dyDescent="0.3">
      <c r="A55" s="234" t="s">
        <v>901</v>
      </c>
      <c r="B55" s="82" t="s">
        <v>880</v>
      </c>
      <c r="C55" s="82">
        <v>1</v>
      </c>
      <c r="D55" s="82">
        <v>1</v>
      </c>
      <c r="E55" s="82">
        <v>1</v>
      </c>
      <c r="F55" s="53"/>
      <c r="G55" s="53"/>
      <c r="H55" s="53"/>
      <c r="I55" s="53"/>
      <c r="J55" s="53"/>
      <c r="K55" s="53"/>
      <c r="L55" s="53"/>
      <c r="M55" s="53"/>
      <c r="N55" s="53"/>
      <c r="O55" s="53"/>
      <c r="P55" s="53"/>
      <c r="Q55" s="53"/>
      <c r="R55" s="53"/>
    </row>
    <row r="56" spans="1:18" x14ac:dyDescent="0.3">
      <c r="A56" s="235"/>
      <c r="B56" s="82" t="s">
        <v>923</v>
      </c>
      <c r="C56" s="73">
        <v>223</v>
      </c>
      <c r="D56" s="73">
        <v>223</v>
      </c>
      <c r="E56" s="73">
        <v>223</v>
      </c>
      <c r="F56" s="53"/>
      <c r="G56" s="53"/>
      <c r="H56" s="53"/>
      <c r="I56" s="53"/>
      <c r="J56" s="53"/>
      <c r="K56" s="53"/>
      <c r="L56" s="53"/>
      <c r="M56" s="53"/>
      <c r="N56" s="53"/>
      <c r="O56" s="53"/>
      <c r="P56" s="53"/>
      <c r="Q56" s="53"/>
      <c r="R56" s="53"/>
    </row>
    <row r="57" spans="1:18" x14ac:dyDescent="0.3">
      <c r="A57" s="235"/>
      <c r="B57" s="82" t="s">
        <v>917</v>
      </c>
      <c r="C57" s="82">
        <v>4.4640000000000004</v>
      </c>
      <c r="D57" s="82">
        <v>3.7389999999999999</v>
      </c>
      <c r="E57" s="82">
        <v>5.4770000000000003</v>
      </c>
      <c r="F57" s="53"/>
      <c r="G57" s="53"/>
      <c r="H57" s="53"/>
      <c r="I57" s="53"/>
      <c r="J57" s="53"/>
      <c r="K57" s="53"/>
      <c r="L57" s="53"/>
      <c r="M57" s="53"/>
      <c r="N57" s="53"/>
      <c r="O57" s="53"/>
      <c r="P57" s="53"/>
      <c r="Q57" s="53"/>
      <c r="R57" s="53"/>
    </row>
    <row r="58" spans="1:18" x14ac:dyDescent="0.3">
      <c r="A58" s="235"/>
      <c r="B58" s="83" t="s">
        <v>918</v>
      </c>
      <c r="C58" s="82">
        <v>32</v>
      </c>
      <c r="D58" s="82">
        <v>25</v>
      </c>
      <c r="E58" s="82">
        <v>41</v>
      </c>
      <c r="F58" s="53"/>
      <c r="G58" s="53"/>
      <c r="H58" s="53"/>
      <c r="I58" s="53"/>
      <c r="J58" s="53"/>
      <c r="K58" s="53"/>
      <c r="L58" s="53"/>
      <c r="M58" s="53"/>
      <c r="N58" s="53"/>
      <c r="O58" s="53"/>
      <c r="P58" s="53"/>
      <c r="Q58" s="53"/>
      <c r="R58" s="53"/>
    </row>
    <row r="59" spans="1:18" x14ac:dyDescent="0.3">
      <c r="A59" s="236"/>
      <c r="B59" s="84" t="s">
        <v>920</v>
      </c>
      <c r="C59" s="86" t="s">
        <v>921</v>
      </c>
      <c r="D59" s="86" t="s">
        <v>921</v>
      </c>
      <c r="E59" s="86" t="s">
        <v>921</v>
      </c>
      <c r="F59" s="53"/>
      <c r="G59" s="53"/>
      <c r="H59" s="53"/>
      <c r="I59" s="53"/>
      <c r="J59" s="53"/>
      <c r="K59" s="53"/>
      <c r="L59" s="53"/>
      <c r="M59" s="53"/>
      <c r="N59" s="53"/>
      <c r="O59" s="53"/>
      <c r="P59" s="53"/>
      <c r="Q59" s="53"/>
      <c r="R59" s="53"/>
    </row>
    <row r="60" spans="1:18" x14ac:dyDescent="0.3">
      <c r="A60" s="234" t="s">
        <v>122</v>
      </c>
      <c r="B60" s="82" t="s">
        <v>880</v>
      </c>
      <c r="C60" s="82">
        <v>1</v>
      </c>
      <c r="D60" s="82">
        <v>1</v>
      </c>
      <c r="E60" s="82">
        <v>1</v>
      </c>
      <c r="F60" s="53"/>
      <c r="G60" s="53"/>
      <c r="H60" s="53"/>
      <c r="I60" s="53"/>
      <c r="J60" s="53"/>
      <c r="K60" s="53"/>
      <c r="L60" s="53"/>
      <c r="M60" s="53"/>
      <c r="N60" s="53"/>
      <c r="O60" s="53"/>
      <c r="P60" s="53"/>
      <c r="Q60" s="53"/>
      <c r="R60" s="53"/>
    </row>
    <row r="61" spans="1:18" x14ac:dyDescent="0.3">
      <c r="A61" s="235"/>
      <c r="B61" s="82" t="s">
        <v>923</v>
      </c>
      <c r="C61" s="73">
        <v>539</v>
      </c>
      <c r="D61" s="73">
        <v>539</v>
      </c>
      <c r="E61" s="73">
        <v>539</v>
      </c>
      <c r="F61" s="53"/>
      <c r="G61" s="53"/>
      <c r="H61" s="53"/>
      <c r="I61" s="53"/>
      <c r="J61" s="53"/>
      <c r="K61" s="53"/>
      <c r="L61" s="53"/>
      <c r="M61" s="53"/>
      <c r="N61" s="53"/>
      <c r="O61" s="53"/>
      <c r="P61" s="53"/>
      <c r="Q61" s="53"/>
      <c r="R61" s="53"/>
    </row>
    <row r="62" spans="1:18" x14ac:dyDescent="0.3">
      <c r="A62" s="235"/>
      <c r="B62" s="82" t="s">
        <v>917</v>
      </c>
      <c r="C62" s="82">
        <v>10.788</v>
      </c>
      <c r="D62" s="82">
        <v>9.0359999999999996</v>
      </c>
      <c r="E62" s="82">
        <v>13.237</v>
      </c>
      <c r="F62" s="53"/>
      <c r="G62" s="53"/>
      <c r="H62" s="53"/>
      <c r="I62" s="53"/>
      <c r="J62" s="53"/>
      <c r="K62" s="53"/>
      <c r="L62" s="53"/>
      <c r="M62" s="53"/>
      <c r="N62" s="53"/>
      <c r="O62" s="53"/>
      <c r="P62" s="53"/>
      <c r="Q62" s="53"/>
      <c r="R62" s="53"/>
    </row>
    <row r="63" spans="1:18" x14ac:dyDescent="0.3">
      <c r="A63" s="235"/>
      <c r="B63" s="83" t="s">
        <v>918</v>
      </c>
      <c r="C63" s="82">
        <v>79</v>
      </c>
      <c r="D63" s="82">
        <v>61</v>
      </c>
      <c r="E63" s="82">
        <v>98</v>
      </c>
      <c r="F63" s="53"/>
      <c r="G63" s="53"/>
      <c r="H63" s="53"/>
      <c r="I63" s="53"/>
      <c r="J63" s="53"/>
      <c r="K63" s="53"/>
      <c r="L63" s="53"/>
      <c r="M63" s="53"/>
      <c r="N63" s="53"/>
      <c r="O63" s="53"/>
      <c r="P63" s="53"/>
      <c r="Q63" s="53"/>
      <c r="R63" s="53"/>
    </row>
    <row r="64" spans="1:18" x14ac:dyDescent="0.3">
      <c r="A64" s="236"/>
      <c r="B64" s="84" t="s">
        <v>920</v>
      </c>
      <c r="C64" s="86" t="s">
        <v>921</v>
      </c>
      <c r="D64" s="86" t="s">
        <v>921</v>
      </c>
      <c r="E64" s="86" t="s">
        <v>921</v>
      </c>
      <c r="F64" s="53"/>
      <c r="G64" s="53"/>
      <c r="H64" s="53"/>
      <c r="I64" s="53"/>
      <c r="J64" s="53"/>
      <c r="K64" s="53"/>
      <c r="L64" s="53"/>
      <c r="M64" s="53"/>
      <c r="N64" s="53"/>
      <c r="O64" s="53"/>
      <c r="P64" s="53"/>
      <c r="Q64" s="53"/>
      <c r="R64" s="53"/>
    </row>
    <row r="65" spans="1:18" x14ac:dyDescent="0.3">
      <c r="A65" s="234" t="s">
        <v>905</v>
      </c>
      <c r="B65" s="82" t="s">
        <v>880</v>
      </c>
      <c r="C65" s="82">
        <v>1</v>
      </c>
      <c r="D65" s="82">
        <v>1</v>
      </c>
      <c r="E65" s="82">
        <v>1</v>
      </c>
      <c r="F65" s="53"/>
      <c r="G65" s="53"/>
      <c r="H65" s="53"/>
      <c r="I65" s="53"/>
      <c r="J65" s="53"/>
      <c r="K65" s="53"/>
      <c r="L65" s="53"/>
      <c r="M65" s="53"/>
      <c r="N65" s="53"/>
      <c r="O65" s="53"/>
      <c r="P65" s="53"/>
      <c r="Q65" s="53"/>
      <c r="R65" s="53"/>
    </row>
    <row r="66" spans="1:18" x14ac:dyDescent="0.3">
      <c r="A66" s="235"/>
      <c r="B66" s="82" t="s">
        <v>923</v>
      </c>
      <c r="C66" s="73">
        <v>744</v>
      </c>
      <c r="D66" s="73">
        <v>744</v>
      </c>
      <c r="E66" s="73">
        <v>744</v>
      </c>
      <c r="F66" s="53"/>
      <c r="G66" s="53"/>
      <c r="H66" s="53"/>
      <c r="I66" s="53"/>
      <c r="J66" s="53"/>
      <c r="K66" s="53"/>
      <c r="L66" s="53"/>
      <c r="M66" s="53"/>
      <c r="N66" s="53"/>
      <c r="O66" s="53"/>
      <c r="P66" s="53"/>
      <c r="Q66" s="53"/>
      <c r="R66" s="53"/>
    </row>
    <row r="67" spans="1:18" x14ac:dyDescent="0.3">
      <c r="A67" s="235"/>
      <c r="B67" s="82" t="s">
        <v>917</v>
      </c>
      <c r="C67" s="82">
        <v>14.88</v>
      </c>
      <c r="D67" s="82">
        <v>12.462999999999999</v>
      </c>
      <c r="E67" s="82">
        <v>18.257999999999999</v>
      </c>
      <c r="F67" s="53"/>
      <c r="G67" s="53"/>
      <c r="H67" s="53"/>
      <c r="I67" s="53"/>
      <c r="J67" s="53"/>
      <c r="K67" s="53"/>
      <c r="L67" s="53"/>
      <c r="M67" s="53"/>
      <c r="N67" s="53"/>
      <c r="O67" s="53"/>
      <c r="P67" s="53"/>
      <c r="Q67" s="53"/>
      <c r="R67" s="53"/>
    </row>
    <row r="68" spans="1:18" x14ac:dyDescent="0.3">
      <c r="A68" s="235"/>
      <c r="B68" s="83" t="s">
        <v>918</v>
      </c>
      <c r="C68" s="82">
        <v>108</v>
      </c>
      <c r="D68" s="82">
        <v>84</v>
      </c>
      <c r="E68" s="82">
        <v>135</v>
      </c>
      <c r="F68" s="53"/>
      <c r="G68" s="53"/>
      <c r="H68" s="53"/>
      <c r="I68" s="53"/>
      <c r="J68" s="53"/>
      <c r="K68" s="53"/>
      <c r="L68" s="53"/>
      <c r="M68" s="53"/>
      <c r="N68" s="53"/>
      <c r="O68" s="53"/>
      <c r="P68" s="53"/>
      <c r="Q68" s="53"/>
      <c r="R68" s="53"/>
    </row>
    <row r="69" spans="1:18" x14ac:dyDescent="0.3">
      <c r="A69" s="237"/>
      <c r="B69" s="84" t="s">
        <v>920</v>
      </c>
      <c r="C69" s="86" t="s">
        <v>921</v>
      </c>
      <c r="D69" s="86" t="s">
        <v>921</v>
      </c>
      <c r="E69" s="86" t="s">
        <v>921</v>
      </c>
      <c r="F69" s="53"/>
      <c r="G69" s="53"/>
      <c r="H69" s="53"/>
      <c r="I69" s="53"/>
      <c r="J69" s="53"/>
      <c r="K69" s="53"/>
      <c r="L69" s="53"/>
      <c r="M69" s="53"/>
      <c r="N69" s="53"/>
      <c r="O69" s="53"/>
      <c r="P69" s="53"/>
      <c r="Q69" s="53"/>
      <c r="R69" s="53"/>
    </row>
    <row r="70" spans="1:18" x14ac:dyDescent="0.3">
      <c r="A70" s="53"/>
      <c r="B70" s="53"/>
      <c r="C70" s="53"/>
      <c r="D70" s="53"/>
      <c r="E70" s="53"/>
      <c r="F70" s="53"/>
      <c r="G70" s="53"/>
      <c r="H70" s="53"/>
      <c r="I70" s="53"/>
      <c r="J70" s="53"/>
      <c r="K70" s="53"/>
      <c r="L70" s="53"/>
      <c r="M70" s="53"/>
      <c r="N70" s="53"/>
      <c r="O70" s="53"/>
      <c r="P70" s="53"/>
      <c r="Q70" s="53"/>
      <c r="R70" s="53"/>
    </row>
    <row r="71" spans="1:18" x14ac:dyDescent="0.3">
      <c r="A71" s="53"/>
      <c r="B71" s="53"/>
      <c r="C71" s="53"/>
      <c r="D71" s="53"/>
      <c r="E71" s="53"/>
      <c r="F71" s="53"/>
      <c r="G71" s="53"/>
      <c r="H71" s="53"/>
      <c r="I71" s="53"/>
      <c r="J71" s="53"/>
      <c r="K71" s="53"/>
      <c r="L71" s="53"/>
      <c r="M71" s="53"/>
      <c r="N71" s="53"/>
      <c r="O71" s="53"/>
      <c r="P71" s="53"/>
      <c r="Q71" s="53"/>
      <c r="R71" s="53"/>
    </row>
    <row r="72" spans="1:18" x14ac:dyDescent="0.3">
      <c r="A72" s="60" t="s">
        <v>924</v>
      </c>
      <c r="B72" s="53"/>
      <c r="C72" s="53"/>
      <c r="D72" s="53"/>
      <c r="E72" s="53"/>
      <c r="F72" s="53"/>
      <c r="G72" s="53"/>
      <c r="H72" s="53"/>
      <c r="I72" s="53"/>
      <c r="J72" s="53"/>
      <c r="K72" s="53"/>
      <c r="L72" s="53"/>
      <c r="M72" s="53"/>
      <c r="N72" s="53"/>
      <c r="O72" s="53"/>
      <c r="P72" s="53"/>
      <c r="Q72" s="53"/>
      <c r="R72" s="53"/>
    </row>
    <row r="73" spans="1:18" x14ac:dyDescent="0.3">
      <c r="A73" s="53"/>
      <c r="B73" s="53"/>
      <c r="C73" s="53"/>
      <c r="D73" s="53"/>
      <c r="E73" s="53"/>
      <c r="F73" s="53"/>
      <c r="G73" s="53"/>
      <c r="H73" s="53"/>
      <c r="I73" s="53"/>
      <c r="J73" s="53"/>
      <c r="K73" s="53"/>
      <c r="L73" s="53"/>
      <c r="M73" s="53"/>
      <c r="N73" s="53"/>
      <c r="O73" s="53"/>
      <c r="P73" s="53"/>
      <c r="Q73" s="53"/>
      <c r="R73" s="53"/>
    </row>
    <row r="74" spans="1:18" x14ac:dyDescent="0.3">
      <c r="A74" s="88" t="s">
        <v>925</v>
      </c>
      <c r="B74" s="89" t="s">
        <v>926</v>
      </c>
      <c r="C74" s="89" t="s">
        <v>927</v>
      </c>
      <c r="D74" s="53"/>
      <c r="E74" s="53"/>
      <c r="F74" s="53"/>
      <c r="G74" s="53"/>
      <c r="H74" s="53"/>
      <c r="I74" s="53"/>
      <c r="J74" s="53"/>
      <c r="K74" s="53"/>
      <c r="L74" s="53"/>
      <c r="M74" s="53"/>
      <c r="N74" s="53"/>
      <c r="O74" s="53"/>
      <c r="P74" s="53"/>
      <c r="Q74" s="53"/>
      <c r="R74" s="53"/>
    </row>
    <row r="75" spans="1:18" x14ac:dyDescent="0.3">
      <c r="A75" s="56" t="s">
        <v>351</v>
      </c>
      <c r="B75" s="82" t="s">
        <v>351</v>
      </c>
      <c r="C75" s="82" t="s">
        <v>351</v>
      </c>
      <c r="D75" s="53"/>
      <c r="E75" s="53"/>
      <c r="F75" s="53"/>
      <c r="G75" s="53"/>
      <c r="H75" s="53"/>
      <c r="I75" s="53"/>
      <c r="J75" s="53"/>
      <c r="K75" s="53"/>
      <c r="L75" s="53"/>
      <c r="M75" s="53"/>
      <c r="N75" s="53"/>
      <c r="O75" s="53"/>
      <c r="P75" s="53"/>
      <c r="Q75" s="53"/>
      <c r="R75" s="53"/>
    </row>
    <row r="76" spans="1:18" x14ac:dyDescent="0.3">
      <c r="A76" s="56" t="s">
        <v>351</v>
      </c>
      <c r="B76" s="82" t="s">
        <v>351</v>
      </c>
      <c r="C76" s="82" t="s">
        <v>351</v>
      </c>
      <c r="D76" s="53"/>
      <c r="E76" s="53"/>
      <c r="F76" s="53"/>
      <c r="G76" s="53"/>
      <c r="H76" s="53"/>
      <c r="I76" s="53"/>
      <c r="J76" s="53"/>
      <c r="K76" s="53"/>
      <c r="L76" s="53"/>
      <c r="M76" s="53"/>
      <c r="N76" s="53"/>
      <c r="O76" s="53"/>
      <c r="P76" s="53"/>
      <c r="Q76" s="53"/>
      <c r="R76" s="53"/>
    </row>
    <row r="77" spans="1:18" x14ac:dyDescent="0.3">
      <c r="A77" s="56" t="s">
        <v>351</v>
      </c>
      <c r="B77" s="82" t="s">
        <v>351</v>
      </c>
      <c r="C77" s="82" t="s">
        <v>351</v>
      </c>
      <c r="D77" s="53"/>
      <c r="E77" s="53"/>
      <c r="F77" s="53"/>
      <c r="G77" s="53"/>
      <c r="H77" s="53"/>
      <c r="I77" s="53"/>
      <c r="J77" s="53"/>
      <c r="K77" s="53"/>
      <c r="L77" s="53"/>
      <c r="M77" s="53"/>
      <c r="N77" s="53"/>
      <c r="O77" s="53"/>
      <c r="P77" s="53"/>
      <c r="Q77" s="53"/>
      <c r="R77" s="53"/>
    </row>
    <row r="78" spans="1:18" x14ac:dyDescent="0.3">
      <c r="A78" s="56" t="s">
        <v>351</v>
      </c>
      <c r="B78" s="82" t="s">
        <v>351</v>
      </c>
      <c r="C78" s="82" t="s">
        <v>351</v>
      </c>
      <c r="D78" s="53"/>
      <c r="E78" s="53"/>
      <c r="F78" s="53"/>
      <c r="G78" s="53"/>
      <c r="H78" s="53"/>
      <c r="I78" s="53"/>
      <c r="J78" s="53"/>
      <c r="K78" s="53"/>
      <c r="L78" s="53"/>
      <c r="M78" s="53"/>
      <c r="N78" s="53"/>
      <c r="O78" s="53"/>
      <c r="P78" s="53"/>
      <c r="Q78" s="53"/>
      <c r="R78" s="53"/>
    </row>
    <row r="79" spans="1:18" x14ac:dyDescent="0.3">
      <c r="A79" s="56" t="s">
        <v>351</v>
      </c>
      <c r="B79" s="82" t="s">
        <v>351</v>
      </c>
      <c r="C79" s="82" t="s">
        <v>351</v>
      </c>
      <c r="D79" s="53"/>
      <c r="E79" s="53"/>
      <c r="F79" s="53"/>
      <c r="G79" s="53"/>
      <c r="H79" s="53"/>
      <c r="I79" s="53"/>
      <c r="J79" s="53"/>
      <c r="K79" s="53"/>
      <c r="L79" s="53"/>
      <c r="M79" s="53"/>
      <c r="N79" s="53"/>
      <c r="O79" s="53"/>
      <c r="P79" s="53"/>
      <c r="Q79" s="53"/>
      <c r="R79" s="53"/>
    </row>
    <row r="80" spans="1:18" x14ac:dyDescent="0.3">
      <c r="A80" s="56" t="s">
        <v>351</v>
      </c>
      <c r="B80" s="82" t="s">
        <v>351</v>
      </c>
      <c r="C80" s="82" t="s">
        <v>351</v>
      </c>
      <c r="D80" s="53"/>
      <c r="E80" s="53"/>
      <c r="F80" s="53"/>
      <c r="G80" s="53"/>
      <c r="H80" s="53"/>
      <c r="I80" s="53"/>
      <c r="J80" s="53"/>
      <c r="K80" s="53"/>
      <c r="L80" s="53"/>
      <c r="M80" s="53"/>
      <c r="N80" s="53"/>
      <c r="O80" s="53"/>
      <c r="P80" s="53"/>
      <c r="Q80" s="53"/>
      <c r="R80" s="53"/>
    </row>
    <row r="81" spans="1:18" x14ac:dyDescent="0.3">
      <c r="A81" s="56" t="s">
        <v>351</v>
      </c>
      <c r="B81" s="82" t="s">
        <v>351</v>
      </c>
      <c r="C81" s="82" t="s">
        <v>351</v>
      </c>
      <c r="D81" s="53"/>
      <c r="E81" s="53"/>
      <c r="F81" s="53"/>
      <c r="G81" s="53"/>
      <c r="H81" s="53"/>
      <c r="I81" s="53"/>
      <c r="J81" s="53"/>
      <c r="K81" s="53"/>
      <c r="L81" s="53"/>
      <c r="M81" s="53"/>
      <c r="N81" s="53"/>
      <c r="O81" s="53"/>
      <c r="P81" s="53"/>
      <c r="Q81" s="53"/>
      <c r="R81" s="53"/>
    </row>
    <row r="82" spans="1:18" x14ac:dyDescent="0.3">
      <c r="A82" s="56" t="s">
        <v>351</v>
      </c>
      <c r="B82" s="82" t="s">
        <v>351</v>
      </c>
      <c r="C82" s="82" t="s">
        <v>351</v>
      </c>
      <c r="D82" s="53"/>
      <c r="E82" s="53"/>
      <c r="F82" s="53"/>
      <c r="G82" s="53"/>
      <c r="H82" s="53"/>
      <c r="I82" s="53"/>
      <c r="J82" s="53"/>
      <c r="K82" s="53"/>
      <c r="L82" s="53"/>
      <c r="M82" s="53"/>
      <c r="N82" s="53"/>
      <c r="O82" s="53"/>
      <c r="P82" s="53"/>
      <c r="Q82" s="53"/>
      <c r="R82" s="53"/>
    </row>
    <row r="83" spans="1:18" x14ac:dyDescent="0.3">
      <c r="A83" s="56" t="s">
        <v>351</v>
      </c>
      <c r="B83" s="82" t="s">
        <v>351</v>
      </c>
      <c r="C83" s="82" t="s">
        <v>351</v>
      </c>
      <c r="D83" s="53"/>
      <c r="E83" s="53"/>
      <c r="F83" s="53"/>
      <c r="G83" s="53"/>
      <c r="H83" s="53"/>
      <c r="I83" s="53"/>
      <c r="J83" s="53"/>
      <c r="K83" s="53"/>
      <c r="L83" s="53"/>
      <c r="M83" s="53"/>
      <c r="N83" s="53"/>
      <c r="O83" s="53"/>
      <c r="P83" s="53"/>
      <c r="Q83" s="53"/>
      <c r="R83" s="53"/>
    </row>
    <row r="84" spans="1:18" x14ac:dyDescent="0.3">
      <c r="A84" s="56" t="s">
        <v>351</v>
      </c>
      <c r="B84" s="82" t="s">
        <v>351</v>
      </c>
      <c r="C84" s="82" t="s">
        <v>351</v>
      </c>
      <c r="D84" s="53"/>
      <c r="E84" s="53"/>
      <c r="F84" s="53"/>
      <c r="G84" s="53"/>
      <c r="H84" s="53"/>
      <c r="I84" s="53"/>
      <c r="J84" s="53"/>
      <c r="K84" s="53"/>
      <c r="L84" s="53"/>
      <c r="M84" s="53"/>
      <c r="N84" s="53"/>
      <c r="O84" s="53"/>
      <c r="P84" s="53"/>
      <c r="Q84" s="53"/>
      <c r="R84" s="53"/>
    </row>
    <row r="85" spans="1:18" x14ac:dyDescent="0.3">
      <c r="A85" s="56" t="s">
        <v>351</v>
      </c>
      <c r="B85" s="82" t="s">
        <v>351</v>
      </c>
      <c r="C85" s="82" t="s">
        <v>351</v>
      </c>
      <c r="D85" s="53"/>
      <c r="E85" s="53"/>
      <c r="F85" s="53"/>
      <c r="G85" s="53"/>
      <c r="H85" s="53"/>
      <c r="I85" s="53"/>
      <c r="J85" s="53"/>
      <c r="K85" s="53"/>
      <c r="L85" s="53"/>
      <c r="M85" s="53"/>
      <c r="N85" s="53"/>
      <c r="O85" s="53"/>
      <c r="P85" s="53"/>
      <c r="Q85" s="53"/>
      <c r="R85" s="53"/>
    </row>
    <row r="86" spans="1:18" x14ac:dyDescent="0.3">
      <c r="A86" s="56" t="s">
        <v>351</v>
      </c>
      <c r="B86" s="82" t="s">
        <v>351</v>
      </c>
      <c r="C86" s="82" t="s">
        <v>351</v>
      </c>
      <c r="D86" s="53"/>
      <c r="E86" s="53"/>
      <c r="F86" s="53"/>
      <c r="G86" s="53"/>
      <c r="H86" s="53"/>
      <c r="I86" s="53"/>
      <c r="J86" s="53"/>
      <c r="K86" s="53"/>
      <c r="L86" s="53"/>
      <c r="M86" s="53"/>
      <c r="N86" s="53"/>
      <c r="O86" s="53"/>
      <c r="P86" s="53"/>
      <c r="Q86" s="53"/>
      <c r="R86" s="53"/>
    </row>
    <row r="87" spans="1:18" x14ac:dyDescent="0.3">
      <c r="A87" s="56" t="s">
        <v>351</v>
      </c>
      <c r="B87" s="82" t="s">
        <v>351</v>
      </c>
      <c r="C87" s="82" t="s">
        <v>351</v>
      </c>
      <c r="D87" s="53"/>
      <c r="E87" s="53"/>
      <c r="F87" s="53"/>
      <c r="G87" s="53"/>
      <c r="H87" s="53"/>
      <c r="I87" s="53"/>
      <c r="J87" s="53"/>
      <c r="K87" s="53"/>
      <c r="L87" s="53"/>
      <c r="M87" s="53"/>
      <c r="N87" s="53"/>
      <c r="O87" s="53"/>
      <c r="P87" s="53"/>
      <c r="Q87" s="53"/>
      <c r="R87" s="53"/>
    </row>
    <row r="88" spans="1:18" x14ac:dyDescent="0.3">
      <c r="A88" s="56" t="s">
        <v>351</v>
      </c>
      <c r="B88" s="82" t="s">
        <v>351</v>
      </c>
      <c r="C88" s="82" t="s">
        <v>351</v>
      </c>
      <c r="D88" s="53"/>
      <c r="E88" s="53"/>
      <c r="F88" s="53"/>
      <c r="G88" s="53"/>
      <c r="H88" s="53"/>
      <c r="I88" s="53"/>
      <c r="J88" s="53"/>
      <c r="K88" s="53"/>
      <c r="L88" s="53"/>
      <c r="M88" s="53"/>
      <c r="N88" s="53"/>
      <c r="O88" s="53"/>
      <c r="P88" s="53"/>
      <c r="Q88" s="53"/>
      <c r="R88" s="53"/>
    </row>
  </sheetData>
  <mergeCells count="24">
    <mergeCell ref="A55:A59"/>
    <mergeCell ref="A60:A64"/>
    <mergeCell ref="A65:A69"/>
    <mergeCell ref="A25:A29"/>
    <mergeCell ref="A30:A34"/>
    <mergeCell ref="A35:A39"/>
    <mergeCell ref="A40:A44"/>
    <mergeCell ref="A45:A49"/>
    <mergeCell ref="A50:A54"/>
    <mergeCell ref="C15:C17"/>
    <mergeCell ref="G15:G17"/>
    <mergeCell ref="H15:H17"/>
    <mergeCell ref="A23:A24"/>
    <mergeCell ref="B23:B24"/>
    <mergeCell ref="C23:C24"/>
    <mergeCell ref="D23:D24"/>
    <mergeCell ref="E23:E24"/>
    <mergeCell ref="B2:C2"/>
    <mergeCell ref="D2:F2"/>
    <mergeCell ref="G2:I2"/>
    <mergeCell ref="A8:B8"/>
    <mergeCell ref="C10:C14"/>
    <mergeCell ref="G10:G14"/>
    <mergeCell ref="H10:H14"/>
  </mergeCells>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56528f00-8daf-4285-8b2f-184ebce7f2e9">
      <Terms xmlns="http://schemas.microsoft.com/office/infopath/2007/PartnerControls"/>
    </lcf76f155ced4ddcb4097134ff3c332f>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EF98156A4E08ED42B22DA6C86624442E" ma:contentTypeVersion="10" ma:contentTypeDescription="Create a new document." ma:contentTypeScope="" ma:versionID="11ba5f1833b47c39d11f9a0fc9ca5ad0">
  <xsd:schema xmlns:xsd="http://www.w3.org/2001/XMLSchema" xmlns:xs="http://www.w3.org/2001/XMLSchema" xmlns:p="http://schemas.microsoft.com/office/2006/metadata/properties" xmlns:ns2="56528f00-8daf-4285-8b2f-184ebce7f2e9" targetNamespace="http://schemas.microsoft.com/office/2006/metadata/properties" ma:root="true" ma:fieldsID="5b814f87d70368c36b985d9f62a71433" ns2:_="">
    <xsd:import namespace="56528f00-8daf-4285-8b2f-184ebce7f2e9"/>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lcf76f155ced4ddcb4097134ff3c332f" minOccurs="0"/>
                <xsd:element ref="ns2:MediaServiceDateTaken"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6528f00-8daf-4285-8b2f-184ebce7f2e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2d61bb93-c830-477f-800c-34a01ab1e79a" ma:termSetId="09814cd3-568e-fe90-9814-8d621ff8fb84" ma:anchorId="fba54fb3-c3e1-fe81-a776-ca4b69148c4d" ma:open="true" ma:isKeyword="false">
      <xsd:complexType>
        <xsd:sequence>
          <xsd:element ref="pc:Terms" minOccurs="0" maxOccurs="1"/>
        </xsd:sequence>
      </xsd:complexType>
    </xsd:element>
    <xsd:element name="MediaServiceDateTaken" ma:index="14" nillable="true" ma:displayName="MediaServiceDateTaken" ma:hidden="true" ma:indexed="true" ma:internalName="MediaServiceDateTaken"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C3D178F-0972-40B6-A2AC-EA36D3A03FFA}">
  <ds:schemaRefs>
    <ds:schemaRef ds:uri="http://schemas.microsoft.com/office/2006/metadata/properties"/>
    <ds:schemaRef ds:uri="http://schemas.microsoft.com/office/infopath/2007/PartnerControls"/>
    <ds:schemaRef ds:uri="56528f00-8daf-4285-8b2f-184ebce7f2e9"/>
  </ds:schemaRefs>
</ds:datastoreItem>
</file>

<file path=customXml/itemProps2.xml><?xml version="1.0" encoding="utf-8"?>
<ds:datastoreItem xmlns:ds="http://schemas.openxmlformats.org/officeDocument/2006/customXml" ds:itemID="{3162FD9B-11EE-402C-9DDF-408FEDD00CFF}">
  <ds:schemaRefs>
    <ds:schemaRef ds:uri="http://schemas.microsoft.com/sharepoint/v3/contenttype/forms"/>
  </ds:schemaRefs>
</ds:datastoreItem>
</file>

<file path=customXml/itemProps3.xml><?xml version="1.0" encoding="utf-8"?>
<ds:datastoreItem xmlns:ds="http://schemas.openxmlformats.org/officeDocument/2006/customXml" ds:itemID="{60EFF826-2EF8-4A64-A822-C0246D0F06D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6528f00-8daf-4285-8b2f-184ebce7f2e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19</vt:i4>
      </vt:variant>
    </vt:vector>
  </HeadingPairs>
  <TitlesOfParts>
    <vt:vector size="19" baseType="lpstr">
      <vt:lpstr>Analysis</vt:lpstr>
      <vt:lpstr>Excel Instruction</vt:lpstr>
      <vt:lpstr>SMR (Main)</vt:lpstr>
      <vt:lpstr>Geopolitical Barriers</vt:lpstr>
      <vt:lpstr>Economic Lifetime</vt:lpstr>
      <vt:lpstr>Production Efficiency</vt:lpstr>
      <vt:lpstr>Ecological Impact </vt:lpstr>
      <vt:lpstr>ELECTROLYZER (Main)</vt:lpstr>
      <vt:lpstr>CAPEX</vt:lpstr>
      <vt:lpstr>Safety</vt:lpstr>
      <vt:lpstr>Scalability</vt:lpstr>
      <vt:lpstr>Technology Readiness</vt:lpstr>
      <vt:lpstr>Availability </vt:lpstr>
      <vt:lpstr>Footprint</vt:lpstr>
      <vt:lpstr>Profitability</vt:lpstr>
      <vt:lpstr>Electrolysis Technology</vt:lpstr>
      <vt:lpstr>Sources</vt:lpstr>
      <vt:lpstr>NRT (Old Not use)</vt:lpstr>
      <vt:lpstr>Excel Coupling Beta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Gourdès Matis</cp:lastModifiedBy>
  <cp:revision/>
  <dcterms:created xsi:type="dcterms:W3CDTF">2024-09-19T10:18:37Z</dcterms:created>
  <dcterms:modified xsi:type="dcterms:W3CDTF">2024-11-11T08:19:26Z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0x010100EF98156A4E08ED42B22DA6C86624442E</vt:lpwstr>
  </property>
  <property fmtid="{D5CDD505-2E9C-101B-9397-08002B2CF9AE}" pid="3" name="MediaServiceImageTags">
    <vt:lpwstr/>
  </property>
</Properties>
</file>